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defaultThemeVersion="166925"/>
  <mc:AlternateContent xmlns:mc="http://schemas.openxmlformats.org/markup-compatibility/2006">
    <mc:Choice Requires="x15">
      <x15ac:absPath xmlns:x15ac="http://schemas.microsoft.com/office/spreadsheetml/2010/11/ac" url="C:\Users\laura.johnson\OneDrive - National Grid\MOD 678\FCC\2021 methodology Review\Data on website\"/>
    </mc:Choice>
  </mc:AlternateContent>
  <xr:revisionPtr revIDLastSave="5" documentId="13_ncr:1_{6D054782-3819-43A4-ACBF-1F43B88713EB}" xr6:coauthVersionLast="44" xr6:coauthVersionMax="44" xr10:uidLastSave="{5FE8482E-6400-4BCC-9D89-DD008B0E39A5}"/>
  <bookViews>
    <workbookView xWindow="-120" yWindow="-120" windowWidth="20730" windowHeight="11160" tabRatio="740" xr2:uid="{00000000-000D-0000-FFFF-FFFF00000000}"/>
  </bookViews>
  <sheets>
    <sheet name="Cover Note" sheetId="14" r:id="rId1"/>
    <sheet name="1 Entry Historic Flows" sheetId="6" r:id="rId2"/>
    <sheet name="2. Forecast Normalisation" sheetId="7" r:id="rId3"/>
    <sheet name="3. Utilisation Factor" sheetId="9" r:id="rId4"/>
    <sheet name="4. Future Sold inc EC" sheetId="10" r:id="rId5"/>
    <sheet name="5. PARCA" sheetId="12" r:id="rId6"/>
    <sheet name="Entry FCC Summary" sheetId="1" r:id="rId7"/>
  </sheets>
  <definedNames>
    <definedName name="Flow" localSheetId="1">#REF!</definedName>
    <definedName name="Flow" localSheetId="2">#REF!</definedName>
    <definedName name="Flow" localSheetId="3">#REF!</definedName>
    <definedName name="Flow" localSheetId="4">#REF!</definedName>
    <definedName name="Flow" localSheetId="5">#REF!</definedName>
    <definedName name="Flo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3" i="7" l="1"/>
  <c r="I13" i="7"/>
  <c r="F13" i="7"/>
  <c r="C13" i="7"/>
  <c r="C28" i="1"/>
  <c r="D28" i="1"/>
  <c r="E28" i="1"/>
  <c r="F28" i="1"/>
  <c r="C3" i="1"/>
  <c r="D3" i="1"/>
  <c r="E3" i="1"/>
  <c r="F3" i="1"/>
  <c r="AD31" i="1" l="1"/>
  <c r="AC31" i="1"/>
  <c r="AB31" i="1"/>
  <c r="AA31" i="1"/>
  <c r="Z31" i="1"/>
  <c r="Y31" i="1"/>
  <c r="X31" i="1"/>
  <c r="W31" i="1"/>
  <c r="X6" i="9" l="1"/>
  <c r="V49" i="9"/>
  <c r="U49" i="9"/>
  <c r="U5" i="9"/>
  <c r="V5" i="9"/>
  <c r="V31" i="9" s="1"/>
  <c r="V37" i="9"/>
  <c r="S31" i="9"/>
  <c r="R31" i="9"/>
  <c r="P31" i="9"/>
  <c r="O31" i="9"/>
  <c r="M31" i="9"/>
  <c r="L31" i="9"/>
  <c r="J31" i="9"/>
  <c r="I31" i="9"/>
  <c r="G31" i="9"/>
  <c r="F31" i="9"/>
  <c r="C35" i="1" l="1"/>
  <c r="D35" i="1"/>
  <c r="E35" i="1"/>
  <c r="F35" i="1"/>
  <c r="C37" i="1"/>
  <c r="D37" i="1"/>
  <c r="E37" i="1"/>
  <c r="F37" i="1"/>
  <c r="N29" i="10" l="1"/>
  <c r="N28" i="10"/>
  <c r="N27" i="10"/>
  <c r="N26" i="10"/>
  <c r="N25" i="10"/>
  <c r="N24" i="10"/>
  <c r="N23" i="10"/>
  <c r="N22" i="10"/>
  <c r="N21" i="10"/>
  <c r="N20" i="10"/>
  <c r="N19" i="10"/>
  <c r="N18" i="10"/>
  <c r="N17" i="10"/>
  <c r="N16" i="10"/>
  <c r="N15" i="10"/>
  <c r="N14" i="10"/>
  <c r="N13" i="10"/>
  <c r="N12" i="10"/>
  <c r="N11" i="10"/>
  <c r="N10" i="10"/>
  <c r="N9" i="10"/>
  <c r="N8" i="10"/>
  <c r="N7" i="10"/>
  <c r="N6" i="10"/>
  <c r="N5" i="10"/>
  <c r="N4" i="10"/>
  <c r="N3" i="10"/>
  <c r="K29" i="10"/>
  <c r="K28" i="10"/>
  <c r="K27" i="10"/>
  <c r="K26" i="10"/>
  <c r="K25" i="10"/>
  <c r="K24" i="10"/>
  <c r="K23" i="10"/>
  <c r="K22" i="10"/>
  <c r="K21" i="10"/>
  <c r="K20" i="10"/>
  <c r="K19" i="10"/>
  <c r="K18" i="10"/>
  <c r="K17" i="10"/>
  <c r="K16" i="10"/>
  <c r="K15" i="10"/>
  <c r="K14" i="10"/>
  <c r="K13" i="10"/>
  <c r="K12" i="10"/>
  <c r="K11" i="10"/>
  <c r="K10" i="10"/>
  <c r="K9" i="10"/>
  <c r="K8" i="10"/>
  <c r="K7" i="10"/>
  <c r="K6" i="10"/>
  <c r="K5" i="10"/>
  <c r="K4" i="10"/>
  <c r="K3" i="10"/>
  <c r="H29" i="10"/>
  <c r="H28" i="10"/>
  <c r="H27" i="10"/>
  <c r="H26" i="10"/>
  <c r="H25" i="10"/>
  <c r="H24" i="10"/>
  <c r="H23" i="10"/>
  <c r="H22" i="10"/>
  <c r="H21" i="10"/>
  <c r="H20" i="10"/>
  <c r="H19" i="10"/>
  <c r="H18" i="10"/>
  <c r="H17" i="10"/>
  <c r="H16" i="10"/>
  <c r="H15" i="10"/>
  <c r="H14" i="10"/>
  <c r="H13" i="10"/>
  <c r="H12" i="10"/>
  <c r="H11" i="10"/>
  <c r="H10" i="10"/>
  <c r="H9" i="10"/>
  <c r="H8" i="10"/>
  <c r="H7" i="10"/>
  <c r="H6" i="10"/>
  <c r="H5" i="10"/>
  <c r="H4" i="10"/>
  <c r="H3"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K29" i="12" l="1"/>
  <c r="J29" i="12"/>
  <c r="I29" i="12"/>
  <c r="K28" i="12"/>
  <c r="J28" i="12"/>
  <c r="I28" i="12"/>
  <c r="K27" i="12"/>
  <c r="J27" i="12"/>
  <c r="I27" i="12"/>
  <c r="K26" i="12"/>
  <c r="J26" i="12"/>
  <c r="I26" i="12"/>
  <c r="K25" i="12"/>
  <c r="J25" i="12"/>
  <c r="I25" i="12"/>
  <c r="K24" i="12"/>
  <c r="J24" i="12"/>
  <c r="I24" i="12"/>
  <c r="K23" i="12"/>
  <c r="J23" i="12"/>
  <c r="I23" i="12"/>
  <c r="K22" i="12"/>
  <c r="J22" i="12"/>
  <c r="I22" i="12"/>
  <c r="K21" i="12"/>
  <c r="J21" i="12"/>
  <c r="I21" i="12"/>
  <c r="K20" i="12"/>
  <c r="J20" i="12"/>
  <c r="I20" i="12"/>
  <c r="K19" i="12"/>
  <c r="J19" i="12"/>
  <c r="I19" i="12"/>
  <c r="K18" i="12"/>
  <c r="J18" i="12"/>
  <c r="I18" i="12"/>
  <c r="K17" i="12"/>
  <c r="J17" i="12"/>
  <c r="I17" i="12"/>
  <c r="K16" i="12"/>
  <c r="J16" i="12"/>
  <c r="I16" i="12"/>
  <c r="K15" i="12"/>
  <c r="J15" i="12"/>
  <c r="I15" i="12"/>
  <c r="K14" i="12"/>
  <c r="J14" i="12"/>
  <c r="I14" i="12"/>
  <c r="K13" i="12"/>
  <c r="J13" i="12"/>
  <c r="I13" i="12"/>
  <c r="K12" i="12"/>
  <c r="J12" i="12"/>
  <c r="I12" i="12"/>
  <c r="K11" i="12"/>
  <c r="J11" i="12"/>
  <c r="I11" i="12"/>
  <c r="K10" i="12"/>
  <c r="J10" i="12"/>
  <c r="I10" i="12"/>
  <c r="K9" i="12"/>
  <c r="J9" i="12"/>
  <c r="I9" i="12"/>
  <c r="K8" i="12"/>
  <c r="J8" i="12"/>
  <c r="I8" i="12"/>
  <c r="K7" i="12"/>
  <c r="J7" i="12"/>
  <c r="I7" i="12"/>
  <c r="K6" i="12"/>
  <c r="J6" i="12"/>
  <c r="I6" i="12"/>
  <c r="K5" i="12"/>
  <c r="J5" i="12"/>
  <c r="I5" i="12"/>
  <c r="K4" i="12"/>
  <c r="J4" i="12"/>
  <c r="I4" i="12"/>
  <c r="K3" i="12"/>
  <c r="J3" i="12"/>
  <c r="I3" i="12"/>
  <c r="H29" i="12"/>
  <c r="H28" i="12"/>
  <c r="H27" i="12"/>
  <c r="H26" i="12"/>
  <c r="H25" i="12"/>
  <c r="H24" i="12"/>
  <c r="H23" i="12"/>
  <c r="H22" i="12"/>
  <c r="H21" i="12"/>
  <c r="H20" i="12"/>
  <c r="H19" i="12"/>
  <c r="H18" i="12"/>
  <c r="H17" i="12"/>
  <c r="H16" i="12"/>
  <c r="H15" i="12"/>
  <c r="H14" i="12"/>
  <c r="H13" i="12"/>
  <c r="H12" i="12"/>
  <c r="H11" i="12"/>
  <c r="H10" i="12"/>
  <c r="H9" i="12"/>
  <c r="H8" i="12"/>
  <c r="H7" i="12"/>
  <c r="H6" i="12"/>
  <c r="H5" i="12"/>
  <c r="H4" i="12"/>
  <c r="H3" i="12"/>
  <c r="P40" i="6" l="1"/>
  <c r="O40" i="6"/>
  <c r="P39" i="6"/>
  <c r="O39" i="6"/>
  <c r="P38" i="6"/>
  <c r="O38" i="6"/>
  <c r="P36" i="6"/>
  <c r="O36" i="6"/>
  <c r="P35" i="6"/>
  <c r="O35" i="6"/>
  <c r="N31" i="6"/>
  <c r="M31" i="6"/>
  <c r="L31" i="6"/>
  <c r="K31" i="6"/>
  <c r="J31" i="6"/>
  <c r="E31" i="6"/>
  <c r="F31" i="6"/>
  <c r="G31" i="6"/>
  <c r="H31" i="6"/>
  <c r="I31" i="6"/>
  <c r="S40" i="9" l="1"/>
  <c r="S39" i="9"/>
  <c r="S38" i="9"/>
  <c r="S37" i="9"/>
  <c r="S36" i="9"/>
  <c r="S35" i="9"/>
  <c r="S42" i="9" s="1"/>
  <c r="R40" i="9"/>
  <c r="R39" i="9"/>
  <c r="R38" i="9"/>
  <c r="R37" i="9"/>
  <c r="R36" i="9"/>
  <c r="R35" i="9"/>
  <c r="R42" i="9" s="1"/>
  <c r="P40" i="9"/>
  <c r="P39" i="9"/>
  <c r="P38" i="9"/>
  <c r="P37" i="9"/>
  <c r="P36" i="9"/>
  <c r="P35" i="9"/>
  <c r="P42" i="9" s="1"/>
  <c r="O40" i="9"/>
  <c r="O39" i="9"/>
  <c r="O38" i="9"/>
  <c r="O37" i="9"/>
  <c r="O36" i="9"/>
  <c r="O35" i="9"/>
  <c r="O42" i="9" s="1"/>
  <c r="M40" i="9"/>
  <c r="M39" i="9"/>
  <c r="M38" i="9"/>
  <c r="M37" i="9"/>
  <c r="M36" i="9"/>
  <c r="M35" i="9"/>
  <c r="L40" i="9"/>
  <c r="L39" i="9"/>
  <c r="L38" i="9"/>
  <c r="L37" i="9"/>
  <c r="L36" i="9"/>
  <c r="L35" i="9"/>
  <c r="J40" i="9"/>
  <c r="J39" i="9"/>
  <c r="J38" i="9"/>
  <c r="J37" i="9"/>
  <c r="J36" i="9"/>
  <c r="J35" i="9"/>
  <c r="J42" i="9" s="1"/>
  <c r="I40" i="9"/>
  <c r="I39" i="9"/>
  <c r="I38" i="9"/>
  <c r="I37" i="9"/>
  <c r="I36" i="9"/>
  <c r="I35" i="9"/>
  <c r="I42" i="9" s="1"/>
  <c r="G40" i="9"/>
  <c r="G39" i="9"/>
  <c r="G38" i="9"/>
  <c r="G37" i="9"/>
  <c r="G36" i="9"/>
  <c r="G35" i="9"/>
  <c r="G42" i="9" s="1"/>
  <c r="F40" i="9"/>
  <c r="F42" i="9" s="1"/>
  <c r="F39" i="9"/>
  <c r="F38" i="9"/>
  <c r="F37" i="9"/>
  <c r="H37" i="9" s="1"/>
  <c r="F36" i="9"/>
  <c r="H36" i="9" s="1"/>
  <c r="F35" i="9"/>
  <c r="D40" i="9"/>
  <c r="D39" i="9"/>
  <c r="D38" i="9"/>
  <c r="D37" i="9"/>
  <c r="D36" i="9"/>
  <c r="D35" i="9"/>
  <c r="H38" i="9"/>
  <c r="H39" i="9" l="1"/>
  <c r="D42" i="9"/>
  <c r="M42" i="9"/>
  <c r="L42" i="9"/>
  <c r="H42" i="9"/>
  <c r="H35" i="9"/>
  <c r="H40" i="9"/>
  <c r="AD29" i="1"/>
  <c r="AC29" i="1"/>
  <c r="AB29" i="1"/>
  <c r="AA29" i="1"/>
  <c r="AD28" i="1"/>
  <c r="AC28" i="1"/>
  <c r="AB28" i="1"/>
  <c r="AA28" i="1"/>
  <c r="AD27" i="1"/>
  <c r="AC27" i="1"/>
  <c r="AB27" i="1"/>
  <c r="AA27" i="1"/>
  <c r="AD26" i="1"/>
  <c r="AC26" i="1"/>
  <c r="AB26" i="1"/>
  <c r="AA26" i="1"/>
  <c r="AD25" i="1"/>
  <c r="AD39" i="1" s="1"/>
  <c r="AC25" i="1"/>
  <c r="AC39" i="1" s="1"/>
  <c r="AB25" i="1"/>
  <c r="AB39" i="1" s="1"/>
  <c r="AA25" i="1"/>
  <c r="AD24" i="1"/>
  <c r="AC24" i="1"/>
  <c r="AB24" i="1"/>
  <c r="AA24" i="1"/>
  <c r="AD23" i="1"/>
  <c r="AC23" i="1"/>
  <c r="AB23" i="1"/>
  <c r="AA23" i="1"/>
  <c r="AD22" i="1"/>
  <c r="AC22" i="1"/>
  <c r="AB22" i="1"/>
  <c r="AA22" i="1"/>
  <c r="AD21" i="1"/>
  <c r="AC21" i="1"/>
  <c r="AB21" i="1"/>
  <c r="AA21" i="1"/>
  <c r="AD20" i="1"/>
  <c r="AC20" i="1"/>
  <c r="AB20" i="1"/>
  <c r="AA20" i="1"/>
  <c r="AD19" i="1"/>
  <c r="AC19" i="1"/>
  <c r="AB19" i="1"/>
  <c r="AA19" i="1"/>
  <c r="AD18" i="1"/>
  <c r="AC18" i="1"/>
  <c r="AB18" i="1"/>
  <c r="AA18" i="1"/>
  <c r="AD17" i="1"/>
  <c r="AC17" i="1"/>
  <c r="AB17" i="1"/>
  <c r="AA17" i="1"/>
  <c r="AD16" i="1"/>
  <c r="AC16" i="1"/>
  <c r="AB16" i="1"/>
  <c r="AA16" i="1"/>
  <c r="AD15" i="1"/>
  <c r="AC15" i="1"/>
  <c r="AB15" i="1"/>
  <c r="AA15" i="1"/>
  <c r="AD14" i="1"/>
  <c r="AC14" i="1"/>
  <c r="AB14" i="1"/>
  <c r="AA14" i="1"/>
  <c r="AD13" i="1"/>
  <c r="AC13" i="1"/>
  <c r="AB13" i="1"/>
  <c r="AA13" i="1"/>
  <c r="AD12" i="1"/>
  <c r="AC12" i="1"/>
  <c r="AB12" i="1"/>
  <c r="AA12" i="1"/>
  <c r="AD11" i="1"/>
  <c r="AC11" i="1"/>
  <c r="AB11" i="1"/>
  <c r="AA11" i="1"/>
  <c r="AD10" i="1"/>
  <c r="AC10" i="1"/>
  <c r="AB10" i="1"/>
  <c r="AA10" i="1"/>
  <c r="AD9" i="1"/>
  <c r="AC9" i="1"/>
  <c r="AB9" i="1"/>
  <c r="AA9" i="1"/>
  <c r="AA38" i="1" s="1"/>
  <c r="AD8" i="1"/>
  <c r="AC8" i="1"/>
  <c r="AB8" i="1"/>
  <c r="AA8" i="1"/>
  <c r="AD7" i="1"/>
  <c r="AC7" i="1"/>
  <c r="AB7" i="1"/>
  <c r="AA7" i="1"/>
  <c r="AD6" i="1"/>
  <c r="AC6" i="1"/>
  <c r="AB6" i="1"/>
  <c r="AA6" i="1"/>
  <c r="AD5" i="1"/>
  <c r="AC5" i="1"/>
  <c r="AB5" i="1"/>
  <c r="AA5" i="1"/>
  <c r="AD4" i="1"/>
  <c r="AC4" i="1"/>
  <c r="AC36" i="1" s="1"/>
  <c r="AB4" i="1"/>
  <c r="AB36" i="1" s="1"/>
  <c r="AA4" i="1"/>
  <c r="AD3" i="1"/>
  <c r="AC3" i="1"/>
  <c r="AB3" i="1"/>
  <c r="AA3" i="1"/>
  <c r="O40" i="12"/>
  <c r="N40" i="12"/>
  <c r="M40" i="12"/>
  <c r="L40" i="12"/>
  <c r="O39" i="12"/>
  <c r="N39" i="12"/>
  <c r="M39" i="12"/>
  <c r="L39" i="12"/>
  <c r="O38" i="12"/>
  <c r="N38" i="12"/>
  <c r="M38" i="12"/>
  <c r="L38" i="12"/>
  <c r="O37" i="12"/>
  <c r="N37" i="12"/>
  <c r="M37" i="12"/>
  <c r="L37" i="12"/>
  <c r="O36" i="12"/>
  <c r="N36" i="12"/>
  <c r="M36" i="12"/>
  <c r="L36" i="12"/>
  <c r="O35" i="12"/>
  <c r="N35" i="12"/>
  <c r="M35" i="12"/>
  <c r="L35" i="12"/>
  <c r="Y14" i="1"/>
  <c r="X29" i="1"/>
  <c r="X25" i="1"/>
  <c r="X39" i="1" s="1"/>
  <c r="X22" i="1"/>
  <c r="X21" i="1"/>
  <c r="X17" i="1"/>
  <c r="X14" i="1"/>
  <c r="X13" i="1"/>
  <c r="X6" i="1"/>
  <c r="X5" i="1"/>
  <c r="W27" i="1"/>
  <c r="E39" i="10"/>
  <c r="W17" i="1"/>
  <c r="W16" i="1"/>
  <c r="Z29" i="1"/>
  <c r="Z28" i="1"/>
  <c r="Z27" i="1"/>
  <c r="Z26" i="1"/>
  <c r="Z25" i="1"/>
  <c r="Z39" i="1" s="1"/>
  <c r="Z24" i="1"/>
  <c r="Z23" i="1"/>
  <c r="Z21" i="1"/>
  <c r="Z20" i="1"/>
  <c r="Z19" i="1"/>
  <c r="Z18" i="1"/>
  <c r="Z17" i="1"/>
  <c r="Z16" i="1"/>
  <c r="Z15" i="1"/>
  <c r="Z14" i="1"/>
  <c r="Z13" i="1"/>
  <c r="Z12" i="1"/>
  <c r="Z11" i="1"/>
  <c r="Z10" i="1"/>
  <c r="Z9" i="1"/>
  <c r="Z8" i="1"/>
  <c r="Z7" i="1"/>
  <c r="Z6" i="1"/>
  <c r="Z5" i="1"/>
  <c r="Z4" i="1"/>
  <c r="Z3" i="1"/>
  <c r="Y29" i="1"/>
  <c r="Y28" i="1"/>
  <c r="Y27" i="1"/>
  <c r="Y26" i="1"/>
  <c r="Y24" i="1"/>
  <c r="Y23" i="1"/>
  <c r="Y22" i="1"/>
  <c r="Y21" i="1"/>
  <c r="Y20" i="1"/>
  <c r="Y19" i="1"/>
  <c r="Y18" i="1"/>
  <c r="Y17" i="1"/>
  <c r="Y16" i="1"/>
  <c r="Y15" i="1"/>
  <c r="Y13" i="1"/>
  <c r="Y12" i="1"/>
  <c r="Y11" i="1"/>
  <c r="Y10" i="1"/>
  <c r="Y9" i="1"/>
  <c r="Y8" i="1"/>
  <c r="Y7" i="1"/>
  <c r="Y5" i="1"/>
  <c r="Y3" i="1"/>
  <c r="X28" i="1"/>
  <c r="X27" i="1"/>
  <c r="X26" i="1"/>
  <c r="X24" i="1"/>
  <c r="X23" i="1"/>
  <c r="X20" i="1"/>
  <c r="X19" i="1"/>
  <c r="X18" i="1"/>
  <c r="X16" i="1"/>
  <c r="X15" i="1"/>
  <c r="X12" i="1"/>
  <c r="X11" i="1"/>
  <c r="X10" i="1"/>
  <c r="X8" i="1"/>
  <c r="X7" i="1"/>
  <c r="X3" i="1"/>
  <c r="W22" i="1"/>
  <c r="W13" i="1"/>
  <c r="W11" i="1"/>
  <c r="W10" i="1"/>
  <c r="W5" i="1"/>
  <c r="W29" i="1"/>
  <c r="W28" i="1"/>
  <c r="W26" i="1"/>
  <c r="W25" i="1"/>
  <c r="W39" i="1" s="1"/>
  <c r="W24" i="1"/>
  <c r="W23" i="1"/>
  <c r="W20" i="1"/>
  <c r="W19" i="1"/>
  <c r="W18" i="1"/>
  <c r="W15" i="1"/>
  <c r="W14" i="1"/>
  <c r="W12" i="1"/>
  <c r="X9" i="1"/>
  <c r="W9" i="1"/>
  <c r="W8" i="1"/>
  <c r="W6" i="1"/>
  <c r="W3" i="1"/>
  <c r="M40" i="10"/>
  <c r="L40" i="10"/>
  <c r="M39" i="10"/>
  <c r="L39" i="10"/>
  <c r="M38" i="10"/>
  <c r="L38" i="10"/>
  <c r="M37" i="10"/>
  <c r="L37" i="10"/>
  <c r="M36" i="10"/>
  <c r="L36" i="10"/>
  <c r="M35" i="10"/>
  <c r="L35" i="10"/>
  <c r="M31" i="10"/>
  <c r="L31" i="10"/>
  <c r="J40" i="10"/>
  <c r="I40" i="10"/>
  <c r="J39" i="10"/>
  <c r="I39" i="10"/>
  <c r="J38" i="10"/>
  <c r="I38" i="10"/>
  <c r="J37" i="10"/>
  <c r="I37" i="10"/>
  <c r="J36" i="10"/>
  <c r="I36" i="10"/>
  <c r="J35" i="10"/>
  <c r="I35" i="10"/>
  <c r="J31" i="10"/>
  <c r="I31" i="10"/>
  <c r="G40" i="10"/>
  <c r="F40" i="10"/>
  <c r="G39" i="10"/>
  <c r="F39" i="10"/>
  <c r="G38" i="10"/>
  <c r="F38" i="10"/>
  <c r="G37" i="10"/>
  <c r="F37" i="10"/>
  <c r="G36" i="10"/>
  <c r="F36" i="10"/>
  <c r="G35" i="10"/>
  <c r="F35" i="10"/>
  <c r="G31" i="10"/>
  <c r="F31" i="10"/>
  <c r="H39" i="10"/>
  <c r="D40" i="10"/>
  <c r="D39" i="10"/>
  <c r="D38" i="10"/>
  <c r="D37" i="10"/>
  <c r="D36" i="10"/>
  <c r="D35" i="10"/>
  <c r="E38" i="10"/>
  <c r="V29" i="9"/>
  <c r="U29" i="9"/>
  <c r="T29" i="9"/>
  <c r="Q29" i="9"/>
  <c r="N29" i="9"/>
  <c r="K29" i="9"/>
  <c r="H29" i="9"/>
  <c r="E29" i="9"/>
  <c r="V28" i="9"/>
  <c r="U28" i="9"/>
  <c r="T28" i="9"/>
  <c r="Q28" i="9"/>
  <c r="N28" i="9"/>
  <c r="K28" i="9"/>
  <c r="H28" i="9"/>
  <c r="E28" i="9"/>
  <c r="V27" i="9"/>
  <c r="U27" i="9"/>
  <c r="T27" i="9"/>
  <c r="Q27" i="9"/>
  <c r="N27" i="9"/>
  <c r="K27" i="9"/>
  <c r="H27" i="9"/>
  <c r="E27" i="9"/>
  <c r="V26" i="9"/>
  <c r="U26" i="9"/>
  <c r="T26" i="9"/>
  <c r="Q26" i="9"/>
  <c r="N26" i="9"/>
  <c r="K26" i="9"/>
  <c r="H26" i="9"/>
  <c r="E26" i="9"/>
  <c r="V25" i="9"/>
  <c r="U25" i="9"/>
  <c r="T25" i="9"/>
  <c r="Q25" i="9"/>
  <c r="N25" i="9"/>
  <c r="K25" i="9"/>
  <c r="H25" i="9"/>
  <c r="E25" i="9"/>
  <c r="V24" i="9"/>
  <c r="U24" i="9"/>
  <c r="T24" i="9"/>
  <c r="Q24" i="9"/>
  <c r="N24" i="9"/>
  <c r="K24" i="9"/>
  <c r="H24" i="9"/>
  <c r="E24" i="9"/>
  <c r="V23" i="9"/>
  <c r="U23" i="9"/>
  <c r="T23" i="9"/>
  <c r="Q23" i="9"/>
  <c r="N23" i="9"/>
  <c r="K23" i="9"/>
  <c r="H23" i="9"/>
  <c r="E23" i="9"/>
  <c r="V22" i="9"/>
  <c r="U22" i="9"/>
  <c r="T22" i="9"/>
  <c r="Q22" i="9"/>
  <c r="N22" i="9"/>
  <c r="K22" i="9"/>
  <c r="H22" i="9"/>
  <c r="E22" i="9"/>
  <c r="V21" i="9"/>
  <c r="U21" i="9"/>
  <c r="T21" i="9"/>
  <c r="Q21" i="9"/>
  <c r="N21" i="9"/>
  <c r="K21" i="9"/>
  <c r="H21" i="9"/>
  <c r="E21" i="9"/>
  <c r="V20" i="9"/>
  <c r="U20" i="9"/>
  <c r="T20" i="9"/>
  <c r="Q20" i="9"/>
  <c r="N20" i="9"/>
  <c r="K20" i="9"/>
  <c r="H20" i="9"/>
  <c r="E20" i="9"/>
  <c r="V19" i="9"/>
  <c r="U19" i="9"/>
  <c r="T19" i="9"/>
  <c r="Q19" i="9"/>
  <c r="N19" i="9"/>
  <c r="K19" i="9"/>
  <c r="H19" i="9"/>
  <c r="E19" i="9"/>
  <c r="V18" i="9"/>
  <c r="U18" i="9"/>
  <c r="T18" i="9"/>
  <c r="Q18" i="9"/>
  <c r="N18" i="9"/>
  <c r="K18" i="9"/>
  <c r="H18" i="9"/>
  <c r="E18" i="9"/>
  <c r="V17" i="9"/>
  <c r="U17" i="9"/>
  <c r="T17" i="9"/>
  <c r="Q17" i="9"/>
  <c r="N17" i="9"/>
  <c r="K17" i="9"/>
  <c r="H17" i="9"/>
  <c r="E17" i="9"/>
  <c r="V16" i="9"/>
  <c r="U16" i="9"/>
  <c r="T16" i="9"/>
  <c r="Q16" i="9"/>
  <c r="N16" i="9"/>
  <c r="K16" i="9"/>
  <c r="H16" i="9"/>
  <c r="E16" i="9"/>
  <c r="V15" i="9"/>
  <c r="U15" i="9"/>
  <c r="T15" i="9"/>
  <c r="Q15" i="9"/>
  <c r="N15" i="9"/>
  <c r="K15" i="9"/>
  <c r="H15" i="9"/>
  <c r="E15" i="9"/>
  <c r="V14" i="9"/>
  <c r="U14" i="9"/>
  <c r="T14" i="9"/>
  <c r="Q14" i="9"/>
  <c r="N14" i="9"/>
  <c r="K14" i="9"/>
  <c r="H14" i="9"/>
  <c r="E14" i="9"/>
  <c r="V13" i="9"/>
  <c r="U13" i="9"/>
  <c r="T13" i="9"/>
  <c r="Q13" i="9"/>
  <c r="N13" i="9"/>
  <c r="K13" i="9"/>
  <c r="H13" i="9"/>
  <c r="E13" i="9"/>
  <c r="V12" i="9"/>
  <c r="U12" i="9"/>
  <c r="T12" i="9"/>
  <c r="Q12" i="9"/>
  <c r="N12" i="9"/>
  <c r="K12" i="9"/>
  <c r="H12" i="9"/>
  <c r="E12" i="9"/>
  <c r="V11" i="9"/>
  <c r="U11" i="9"/>
  <c r="T11" i="9"/>
  <c r="Q11" i="9"/>
  <c r="N11" i="9"/>
  <c r="K11" i="9"/>
  <c r="H11" i="9"/>
  <c r="E11" i="9"/>
  <c r="V10" i="9"/>
  <c r="U10" i="9"/>
  <c r="T10" i="9"/>
  <c r="Q10" i="9"/>
  <c r="N10" i="9"/>
  <c r="K10" i="9"/>
  <c r="H10" i="9"/>
  <c r="E10" i="9"/>
  <c r="V9" i="9"/>
  <c r="U9" i="9"/>
  <c r="T9" i="9"/>
  <c r="Q9" i="9"/>
  <c r="N9" i="9"/>
  <c r="K9" i="9"/>
  <c r="H9" i="9"/>
  <c r="E9" i="9"/>
  <c r="V8" i="9"/>
  <c r="U8" i="9"/>
  <c r="T8" i="9"/>
  <c r="Q8" i="9"/>
  <c r="N8" i="9"/>
  <c r="K8" i="9"/>
  <c r="H8" i="9"/>
  <c r="E8" i="9"/>
  <c r="V7" i="9"/>
  <c r="U7" i="9"/>
  <c r="T7" i="9"/>
  <c r="Q7" i="9"/>
  <c r="N7" i="9"/>
  <c r="K7" i="9"/>
  <c r="H7" i="9"/>
  <c r="E7" i="9"/>
  <c r="V6" i="9"/>
  <c r="U6" i="9"/>
  <c r="T6" i="9"/>
  <c r="Q6" i="9"/>
  <c r="N6" i="9"/>
  <c r="K6" i="9"/>
  <c r="H6" i="9"/>
  <c r="E6" i="9"/>
  <c r="T5" i="9"/>
  <c r="Q5" i="9"/>
  <c r="N5" i="9"/>
  <c r="K5" i="9"/>
  <c r="H5" i="9"/>
  <c r="E5" i="9"/>
  <c r="V4" i="9"/>
  <c r="U4" i="9"/>
  <c r="T4" i="9"/>
  <c r="Q4" i="9"/>
  <c r="N4" i="9"/>
  <c r="K4" i="9"/>
  <c r="H4" i="9"/>
  <c r="E4" i="9"/>
  <c r="V3" i="9"/>
  <c r="U3" i="9"/>
  <c r="T3" i="9"/>
  <c r="Q3" i="9"/>
  <c r="N3" i="9"/>
  <c r="K3" i="9"/>
  <c r="H3" i="9"/>
  <c r="E3" i="9"/>
  <c r="AB40" i="6"/>
  <c r="AA40" i="6"/>
  <c r="Z40" i="6"/>
  <c r="Y40" i="6"/>
  <c r="X40" i="6"/>
  <c r="U40" i="6"/>
  <c r="T40" i="6"/>
  <c r="S40" i="6"/>
  <c r="R40" i="6"/>
  <c r="Q40" i="6"/>
  <c r="N40" i="6"/>
  <c r="M40" i="6"/>
  <c r="L40" i="6"/>
  <c r="K40" i="6"/>
  <c r="J40" i="6"/>
  <c r="G40" i="6"/>
  <c r="F40" i="6"/>
  <c r="E40" i="6"/>
  <c r="D40" i="6"/>
  <c r="AB39" i="6"/>
  <c r="AA39" i="6"/>
  <c r="Z39" i="6"/>
  <c r="Y39" i="6"/>
  <c r="X39" i="6"/>
  <c r="U39" i="6"/>
  <c r="T39" i="6"/>
  <c r="S39" i="6"/>
  <c r="R39" i="6"/>
  <c r="Q39" i="6"/>
  <c r="N39" i="6"/>
  <c r="M39" i="6"/>
  <c r="L39" i="6"/>
  <c r="K39" i="6"/>
  <c r="J39" i="6"/>
  <c r="G39" i="6"/>
  <c r="F39" i="6"/>
  <c r="E39" i="6"/>
  <c r="D39" i="6"/>
  <c r="AB38" i="6"/>
  <c r="AA38" i="6"/>
  <c r="Z38" i="6"/>
  <c r="Y38" i="6"/>
  <c r="X38" i="6"/>
  <c r="U38" i="6"/>
  <c r="T38" i="6"/>
  <c r="S38" i="6"/>
  <c r="R38" i="6"/>
  <c r="Q38" i="6"/>
  <c r="N38" i="6"/>
  <c r="M38" i="6"/>
  <c r="L38" i="6"/>
  <c r="K38" i="6"/>
  <c r="J38" i="6"/>
  <c r="G38" i="6"/>
  <c r="F38" i="6"/>
  <c r="E38" i="6"/>
  <c r="D38" i="6"/>
  <c r="AB37" i="6"/>
  <c r="AA37" i="6"/>
  <c r="Z37" i="6"/>
  <c r="Y37" i="6"/>
  <c r="X37" i="6"/>
  <c r="U37" i="6"/>
  <c r="T37" i="6"/>
  <c r="S37" i="6"/>
  <c r="R37" i="6"/>
  <c r="Q37" i="6"/>
  <c r="N37" i="6"/>
  <c r="M37" i="6"/>
  <c r="L37" i="6"/>
  <c r="K37" i="6"/>
  <c r="J37" i="6"/>
  <c r="G37" i="6"/>
  <c r="F37" i="6"/>
  <c r="E37" i="6"/>
  <c r="D37" i="6"/>
  <c r="AB36" i="6"/>
  <c r="AA36" i="6"/>
  <c r="Z36" i="6"/>
  <c r="Y36" i="6"/>
  <c r="X36" i="6"/>
  <c r="U36" i="6"/>
  <c r="T36" i="6"/>
  <c r="S36" i="6"/>
  <c r="R36" i="6"/>
  <c r="Q36" i="6"/>
  <c r="N36" i="6"/>
  <c r="M36" i="6"/>
  <c r="L36" i="6"/>
  <c r="K36" i="6"/>
  <c r="J36" i="6"/>
  <c r="G36" i="6"/>
  <c r="F36" i="6"/>
  <c r="E36" i="6"/>
  <c r="D36" i="6"/>
  <c r="AB35" i="6"/>
  <c r="AA35" i="6"/>
  <c r="Z35" i="6"/>
  <c r="Y35" i="6"/>
  <c r="X35" i="6"/>
  <c r="U35" i="6"/>
  <c r="T35" i="6"/>
  <c r="S35" i="6"/>
  <c r="R35" i="6"/>
  <c r="Q35" i="6"/>
  <c r="N35" i="6"/>
  <c r="M35" i="6"/>
  <c r="L35" i="6"/>
  <c r="K35" i="6"/>
  <c r="J35" i="6"/>
  <c r="G35" i="6"/>
  <c r="F35" i="6"/>
  <c r="E35" i="6"/>
  <c r="D35" i="6"/>
  <c r="AD29" i="6"/>
  <c r="F29" i="1" s="1"/>
  <c r="AD13" i="6"/>
  <c r="F13" i="1" s="1"/>
  <c r="AD6" i="6"/>
  <c r="AD5" i="6"/>
  <c r="W27" i="6"/>
  <c r="E27" i="1" s="1"/>
  <c r="W22" i="6"/>
  <c r="E22" i="1" s="1"/>
  <c r="W21" i="6"/>
  <c r="P16" i="6"/>
  <c r="P7" i="6"/>
  <c r="F6" i="1"/>
  <c r="E21" i="1"/>
  <c r="D16" i="1"/>
  <c r="D7" i="1"/>
  <c r="C17" i="1"/>
  <c r="C13" i="1"/>
  <c r="C8" i="1"/>
  <c r="C6" i="1"/>
  <c r="AC29" i="6"/>
  <c r="AC27" i="6"/>
  <c r="AD27" i="6" s="1"/>
  <c r="F27" i="1" s="1"/>
  <c r="AC26" i="6"/>
  <c r="AD26" i="6" s="1"/>
  <c r="F26" i="1" s="1"/>
  <c r="AC25" i="6"/>
  <c r="AC39" i="6" s="1"/>
  <c r="L10" i="7" s="1"/>
  <c r="AC24" i="6"/>
  <c r="AD24" i="6" s="1"/>
  <c r="F24" i="1" s="1"/>
  <c r="AC23" i="6"/>
  <c r="AD23" i="6" s="1"/>
  <c r="F23" i="1" s="1"/>
  <c r="AC22" i="6"/>
  <c r="AD22" i="6" s="1"/>
  <c r="F22" i="1" s="1"/>
  <c r="AC21" i="6"/>
  <c r="AC20" i="6"/>
  <c r="AD20" i="6" s="1"/>
  <c r="F20" i="1" s="1"/>
  <c r="AC19" i="6"/>
  <c r="AD19" i="6" s="1"/>
  <c r="F19" i="1" s="1"/>
  <c r="AC18" i="6"/>
  <c r="AD18" i="6" s="1"/>
  <c r="F18" i="1" s="1"/>
  <c r="AC17" i="6"/>
  <c r="AD17" i="6" s="1"/>
  <c r="F17" i="1" s="1"/>
  <c r="AC16" i="6"/>
  <c r="AD16" i="6" s="1"/>
  <c r="F16" i="1" s="1"/>
  <c r="AC15" i="6"/>
  <c r="AD15" i="6" s="1"/>
  <c r="F15" i="1" s="1"/>
  <c r="AC14" i="6"/>
  <c r="AD14" i="6" s="1"/>
  <c r="F14" i="1" s="1"/>
  <c r="AC13" i="6"/>
  <c r="AC12" i="6"/>
  <c r="AD12" i="6" s="1"/>
  <c r="F12" i="1" s="1"/>
  <c r="AC11" i="6"/>
  <c r="AD11" i="6" s="1"/>
  <c r="F11" i="1" s="1"/>
  <c r="AC10" i="6"/>
  <c r="AD10" i="6" s="1"/>
  <c r="F10" i="1" s="1"/>
  <c r="AC9" i="6"/>
  <c r="AD9" i="6" s="1"/>
  <c r="F9" i="1" s="1"/>
  <c r="AC8" i="6"/>
  <c r="AD8" i="6" s="1"/>
  <c r="F8" i="1" s="1"/>
  <c r="AC7" i="6"/>
  <c r="AD7" i="6" s="1"/>
  <c r="F7" i="1" s="1"/>
  <c r="AC6" i="6"/>
  <c r="AC5" i="6"/>
  <c r="AC4" i="6"/>
  <c r="V29" i="6"/>
  <c r="W29" i="6" s="1"/>
  <c r="V27" i="6"/>
  <c r="V26" i="6"/>
  <c r="W26" i="6" s="1"/>
  <c r="E26" i="1" s="1"/>
  <c r="V25" i="6"/>
  <c r="V39" i="6" s="1"/>
  <c r="I10" i="7" s="1"/>
  <c r="V24" i="6"/>
  <c r="W24" i="6" s="1"/>
  <c r="E24" i="1" s="1"/>
  <c r="V23" i="6"/>
  <c r="W23" i="6" s="1"/>
  <c r="E23" i="1" s="1"/>
  <c r="V22" i="6"/>
  <c r="V21" i="6"/>
  <c r="V20" i="6"/>
  <c r="W20" i="6" s="1"/>
  <c r="E20" i="1" s="1"/>
  <c r="V19" i="6"/>
  <c r="W19" i="6" s="1"/>
  <c r="E19" i="1" s="1"/>
  <c r="V18" i="6"/>
  <c r="W18" i="6" s="1"/>
  <c r="E18" i="1" s="1"/>
  <c r="V17" i="6"/>
  <c r="W17" i="6" s="1"/>
  <c r="E17" i="1" s="1"/>
  <c r="V16" i="6"/>
  <c r="W16" i="6" s="1"/>
  <c r="E16" i="1" s="1"/>
  <c r="V15" i="6"/>
  <c r="W15" i="6" s="1"/>
  <c r="E15" i="1" s="1"/>
  <c r="V14" i="6"/>
  <c r="W14" i="6" s="1"/>
  <c r="E14" i="1" s="1"/>
  <c r="V13" i="6"/>
  <c r="W13" i="6" s="1"/>
  <c r="E13" i="1" s="1"/>
  <c r="V12" i="6"/>
  <c r="W12" i="6" s="1"/>
  <c r="E12" i="1" s="1"/>
  <c r="V11" i="6"/>
  <c r="W11" i="6" s="1"/>
  <c r="E11" i="1" s="1"/>
  <c r="V10" i="6"/>
  <c r="W10" i="6" s="1"/>
  <c r="E10" i="1" s="1"/>
  <c r="V9" i="6"/>
  <c r="W9" i="6" s="1"/>
  <c r="E9" i="1" s="1"/>
  <c r="V8" i="6"/>
  <c r="W8" i="6" s="1"/>
  <c r="E8" i="1" s="1"/>
  <c r="V7" i="6"/>
  <c r="W7" i="6" s="1"/>
  <c r="E7" i="1" s="1"/>
  <c r="V6" i="6"/>
  <c r="V5" i="6"/>
  <c r="V4" i="6"/>
  <c r="O29" i="6"/>
  <c r="P29" i="6" s="1"/>
  <c r="O27" i="6"/>
  <c r="P27" i="6" s="1"/>
  <c r="D27" i="1" s="1"/>
  <c r="O26" i="6"/>
  <c r="P26" i="6" s="1"/>
  <c r="D26" i="1" s="1"/>
  <c r="O25" i="6"/>
  <c r="F10" i="7" s="1"/>
  <c r="O24" i="6"/>
  <c r="P24" i="6" s="1"/>
  <c r="D24" i="1" s="1"/>
  <c r="O23" i="6"/>
  <c r="P23" i="6" s="1"/>
  <c r="D23" i="1" s="1"/>
  <c r="O22" i="6"/>
  <c r="P22" i="6" s="1"/>
  <c r="D22" i="1" s="1"/>
  <c r="O21" i="6"/>
  <c r="P21" i="6" s="1"/>
  <c r="O20" i="6"/>
  <c r="P20" i="6" s="1"/>
  <c r="D20" i="1" s="1"/>
  <c r="O19" i="6"/>
  <c r="P19" i="6" s="1"/>
  <c r="D19" i="1" s="1"/>
  <c r="O18" i="6"/>
  <c r="P18" i="6" s="1"/>
  <c r="D18" i="1" s="1"/>
  <c r="O17" i="6"/>
  <c r="P17" i="6" s="1"/>
  <c r="D17" i="1" s="1"/>
  <c r="O16" i="6"/>
  <c r="O15" i="6"/>
  <c r="P15" i="6" s="1"/>
  <c r="D15" i="1" s="1"/>
  <c r="O14" i="6"/>
  <c r="P14" i="6" s="1"/>
  <c r="D14" i="1" s="1"/>
  <c r="O13" i="6"/>
  <c r="O12" i="6"/>
  <c r="P12" i="6" s="1"/>
  <c r="D12" i="1" s="1"/>
  <c r="O11" i="6"/>
  <c r="P11" i="6" s="1"/>
  <c r="D11" i="1" s="1"/>
  <c r="O10" i="6"/>
  <c r="P10" i="6" s="1"/>
  <c r="D10" i="1" s="1"/>
  <c r="O9" i="6"/>
  <c r="P9" i="6" s="1"/>
  <c r="D9" i="1" s="1"/>
  <c r="O8" i="6"/>
  <c r="P8" i="6" s="1"/>
  <c r="D8" i="1" s="1"/>
  <c r="O7" i="6"/>
  <c r="O6" i="6"/>
  <c r="P6" i="6" s="1"/>
  <c r="D6" i="1" s="1"/>
  <c r="O5" i="6"/>
  <c r="P5" i="6" s="1"/>
  <c r="O4" i="6"/>
  <c r="P4" i="6" s="1"/>
  <c r="H29" i="6"/>
  <c r="I29" i="6" s="1"/>
  <c r="C29" i="1" s="1"/>
  <c r="H27" i="6"/>
  <c r="I27" i="6" s="1"/>
  <c r="C27" i="1" s="1"/>
  <c r="H26" i="6"/>
  <c r="I26" i="6" s="1"/>
  <c r="C26" i="1" s="1"/>
  <c r="H25" i="6"/>
  <c r="I25" i="6" s="1"/>
  <c r="I39" i="6" s="1"/>
  <c r="H24" i="6"/>
  <c r="I24" i="6" s="1"/>
  <c r="C24" i="1" s="1"/>
  <c r="H23" i="6"/>
  <c r="I23" i="6" s="1"/>
  <c r="C23" i="1" s="1"/>
  <c r="H22" i="6"/>
  <c r="I22" i="6" s="1"/>
  <c r="C22" i="1" s="1"/>
  <c r="H21" i="6"/>
  <c r="I21" i="6" s="1"/>
  <c r="H20" i="6"/>
  <c r="I20" i="6" s="1"/>
  <c r="C20" i="1" s="1"/>
  <c r="H19" i="6"/>
  <c r="I19" i="6" s="1"/>
  <c r="C19" i="1" s="1"/>
  <c r="H18" i="6"/>
  <c r="I18" i="6" s="1"/>
  <c r="C18" i="1" s="1"/>
  <c r="H17" i="6"/>
  <c r="I17" i="6" s="1"/>
  <c r="H16" i="6"/>
  <c r="I16" i="6" s="1"/>
  <c r="C16" i="1" s="1"/>
  <c r="H15" i="6"/>
  <c r="I15" i="6" s="1"/>
  <c r="C15" i="1" s="1"/>
  <c r="H14" i="6"/>
  <c r="I14" i="6" s="1"/>
  <c r="C14" i="1" s="1"/>
  <c r="H13" i="6"/>
  <c r="I13" i="6" s="1"/>
  <c r="H12" i="6"/>
  <c r="I12" i="6" s="1"/>
  <c r="C12" i="1" s="1"/>
  <c r="H11" i="6"/>
  <c r="I11" i="6" s="1"/>
  <c r="C11" i="1" s="1"/>
  <c r="H10" i="6"/>
  <c r="I10" i="6" s="1"/>
  <c r="C10" i="1" s="1"/>
  <c r="H9" i="6"/>
  <c r="I9" i="6" s="1"/>
  <c r="C9" i="1" s="1"/>
  <c r="H8" i="6"/>
  <c r="I8" i="6" s="1"/>
  <c r="H7" i="6"/>
  <c r="I7" i="6" s="1"/>
  <c r="C7" i="1" s="1"/>
  <c r="H6" i="6"/>
  <c r="I6" i="6" s="1"/>
  <c r="H5" i="6"/>
  <c r="I5" i="6" s="1"/>
  <c r="H4" i="6"/>
  <c r="I4" i="6" s="1"/>
  <c r="AJ40" i="1"/>
  <c r="AJ39" i="1"/>
  <c r="AJ38" i="1"/>
  <c r="AJ36" i="1"/>
  <c r="AA40" i="1"/>
  <c r="AA39" i="1"/>
  <c r="AD37" i="1"/>
  <c r="AD36" i="1"/>
  <c r="AA35" i="1"/>
  <c r="L31" i="12"/>
  <c r="D31" i="10"/>
  <c r="D31" i="9"/>
  <c r="R31" i="6"/>
  <c r="D31" i="6"/>
  <c r="U31" i="9" l="1"/>
  <c r="AA36" i="1"/>
  <c r="AD40" i="1"/>
  <c r="O37" i="6"/>
  <c r="O42" i="6" s="1"/>
  <c r="O31" i="6"/>
  <c r="Y25" i="1"/>
  <c r="Y39" i="1" s="1"/>
  <c r="K39" i="10"/>
  <c r="N40" i="10"/>
  <c r="Y4" i="1"/>
  <c r="Y36" i="1" s="1"/>
  <c r="K36" i="10"/>
  <c r="X37" i="1"/>
  <c r="Z36" i="1"/>
  <c r="H36" i="10"/>
  <c r="X4" i="1"/>
  <c r="X36" i="1" s="1"/>
  <c r="W38" i="1"/>
  <c r="X38" i="1"/>
  <c r="X40" i="1"/>
  <c r="I42" i="10"/>
  <c r="K38" i="10"/>
  <c r="M42" i="10"/>
  <c r="E40" i="10"/>
  <c r="W21" i="1"/>
  <c r="W40" i="1" s="1"/>
  <c r="E35" i="10"/>
  <c r="W7" i="1"/>
  <c r="W37" i="1" s="1"/>
  <c r="E37" i="10"/>
  <c r="E31" i="10"/>
  <c r="E36" i="10"/>
  <c r="W4" i="1"/>
  <c r="W36" i="1" s="1"/>
  <c r="AA37" i="1"/>
  <c r="AB40" i="1"/>
  <c r="AD35" i="1"/>
  <c r="AB38" i="1"/>
  <c r="AD38" i="1"/>
  <c r="AB37" i="1"/>
  <c r="AC38" i="1"/>
  <c r="AC40" i="1"/>
  <c r="AC37" i="1"/>
  <c r="AB35" i="1"/>
  <c r="AD25" i="6"/>
  <c r="AC40" i="6"/>
  <c r="L11" i="7" s="1"/>
  <c r="AC36" i="6"/>
  <c r="L7" i="7" s="1"/>
  <c r="AD21" i="6"/>
  <c r="AD38" i="6"/>
  <c r="AC38" i="6"/>
  <c r="L9" i="7" s="1"/>
  <c r="AC35" i="6"/>
  <c r="L6" i="7" s="1"/>
  <c r="M10" i="1" s="1"/>
  <c r="N10" i="1" s="1"/>
  <c r="AC37" i="6"/>
  <c r="L8" i="7" s="1"/>
  <c r="AD37" i="6"/>
  <c r="F5" i="1"/>
  <c r="AD4" i="6"/>
  <c r="W25" i="6"/>
  <c r="E25" i="1" s="1"/>
  <c r="V40" i="6"/>
  <c r="I11" i="7" s="1"/>
  <c r="W40" i="6"/>
  <c r="V36" i="6"/>
  <c r="I7" i="7" s="1"/>
  <c r="E40" i="1"/>
  <c r="V38" i="6"/>
  <c r="I9" i="7" s="1"/>
  <c r="W6" i="6"/>
  <c r="V37" i="6"/>
  <c r="I8" i="7" s="1"/>
  <c r="W5" i="6"/>
  <c r="W4" i="6"/>
  <c r="W35" i="6"/>
  <c r="V35" i="6"/>
  <c r="P25" i="6"/>
  <c r="F11" i="7"/>
  <c r="D21" i="1"/>
  <c r="D40" i="1"/>
  <c r="P13" i="6"/>
  <c r="D13" i="1" s="1"/>
  <c r="F6" i="7"/>
  <c r="I12" i="1" s="1"/>
  <c r="J12" i="1" s="1"/>
  <c r="D5" i="1"/>
  <c r="I40" i="6"/>
  <c r="H39" i="6"/>
  <c r="C10" i="7" s="1"/>
  <c r="C25" i="1"/>
  <c r="I36" i="6"/>
  <c r="H40" i="6"/>
  <c r="C11" i="7" s="1"/>
  <c r="C21" i="1"/>
  <c r="I35" i="6"/>
  <c r="I37" i="6"/>
  <c r="C5" i="1"/>
  <c r="H37" i="6"/>
  <c r="C8" i="7" s="1"/>
  <c r="E29" i="1"/>
  <c r="D29" i="1"/>
  <c r="F9" i="7"/>
  <c r="D38" i="1"/>
  <c r="H38" i="6"/>
  <c r="C9" i="7" s="1"/>
  <c r="I38" i="6"/>
  <c r="D4" i="1"/>
  <c r="F7" i="7"/>
  <c r="C4" i="1"/>
  <c r="H36" i="6"/>
  <c r="C7" i="7" s="1"/>
  <c r="H35" i="6"/>
  <c r="W26" i="9"/>
  <c r="W22" i="9"/>
  <c r="W6" i="9"/>
  <c r="AC35" i="1"/>
  <c r="Z37" i="1"/>
  <c r="N37" i="10"/>
  <c r="Z22" i="1"/>
  <c r="Z40" i="1" s="1"/>
  <c r="N39" i="10"/>
  <c r="N35" i="10"/>
  <c r="Y6" i="1"/>
  <c r="Y38" i="1" s="1"/>
  <c r="Y40" i="1"/>
  <c r="H40" i="10"/>
  <c r="Z35" i="1"/>
  <c r="W35" i="1"/>
  <c r="Z38" i="1"/>
  <c r="X35" i="1"/>
  <c r="Y35" i="1"/>
  <c r="Y37" i="1"/>
  <c r="H35" i="10"/>
  <c r="N38" i="10"/>
  <c r="H37" i="10"/>
  <c r="K35" i="10"/>
  <c r="L42" i="10"/>
  <c r="H38" i="10"/>
  <c r="D42" i="10"/>
  <c r="K37" i="10"/>
  <c r="K40" i="10"/>
  <c r="F42" i="10"/>
  <c r="J42" i="10"/>
  <c r="G42" i="10"/>
  <c r="N31" i="10"/>
  <c r="N36" i="10"/>
  <c r="K31" i="10"/>
  <c r="H31" i="10"/>
  <c r="W17" i="9"/>
  <c r="W4" i="9"/>
  <c r="W12" i="9"/>
  <c r="W14" i="9"/>
  <c r="W18" i="9"/>
  <c r="W10" i="9"/>
  <c r="W8" i="9"/>
  <c r="W16" i="9"/>
  <c r="W20" i="9"/>
  <c r="W23" i="9"/>
  <c r="W7" i="9"/>
  <c r="W24" i="9"/>
  <c r="W28" i="9"/>
  <c r="W3" i="9"/>
  <c r="W11" i="9"/>
  <c r="W15" i="9"/>
  <c r="W19" i="9"/>
  <c r="W27" i="9"/>
  <c r="W5" i="9"/>
  <c r="W9" i="9"/>
  <c r="W13" i="9"/>
  <c r="W21" i="9"/>
  <c r="W25" i="9"/>
  <c r="W29" i="9"/>
  <c r="F38" i="1"/>
  <c r="AA42" i="6"/>
  <c r="Y42" i="6"/>
  <c r="C39" i="6"/>
  <c r="R42" i="6"/>
  <c r="C40" i="6"/>
  <c r="F42" i="6"/>
  <c r="T42" i="6"/>
  <c r="C39" i="9"/>
  <c r="E39" i="9" s="1"/>
  <c r="L42" i="12"/>
  <c r="G42" i="6"/>
  <c r="U42" i="6"/>
  <c r="D42" i="6"/>
  <c r="C40" i="9"/>
  <c r="E40" i="9" s="1"/>
  <c r="N42" i="12"/>
  <c r="O42" i="12"/>
  <c r="M42" i="6"/>
  <c r="K42" i="6"/>
  <c r="N42" i="6"/>
  <c r="AB42" i="6"/>
  <c r="Q31" i="6"/>
  <c r="F8" i="7" l="1"/>
  <c r="I42" i="6"/>
  <c r="C6" i="7"/>
  <c r="H42" i="6"/>
  <c r="AA42" i="1"/>
  <c r="P31" i="6"/>
  <c r="P37" i="6"/>
  <c r="P42" i="6" s="1"/>
  <c r="X42" i="1"/>
  <c r="N42" i="10"/>
  <c r="E42" i="10"/>
  <c r="W42" i="1"/>
  <c r="AD42" i="1"/>
  <c r="AC42" i="1"/>
  <c r="AB42" i="1"/>
  <c r="AD39" i="6"/>
  <c r="F25" i="1"/>
  <c r="F21" i="1"/>
  <c r="F40" i="1" s="1"/>
  <c r="AD40" i="6"/>
  <c r="AC42" i="6"/>
  <c r="AD36" i="6"/>
  <c r="F4" i="1"/>
  <c r="F36" i="1" s="1"/>
  <c r="M14" i="1"/>
  <c r="N14" i="1" s="1"/>
  <c r="N13" i="7"/>
  <c r="M15" i="1"/>
  <c r="N15" i="1" s="1"/>
  <c r="M16" i="1"/>
  <c r="N16" i="1" s="1"/>
  <c r="M3" i="1"/>
  <c r="M17" i="1"/>
  <c r="N17" i="1" s="1"/>
  <c r="M8" i="1"/>
  <c r="N8" i="1" s="1"/>
  <c r="M11" i="1"/>
  <c r="N11" i="1" s="1"/>
  <c r="M19" i="1"/>
  <c r="N19" i="1" s="1"/>
  <c r="M23" i="1"/>
  <c r="N23" i="1" s="1"/>
  <c r="M20" i="1"/>
  <c r="N20" i="1" s="1"/>
  <c r="M12" i="1"/>
  <c r="N12" i="1" s="1"/>
  <c r="AD35" i="6"/>
  <c r="E39" i="1"/>
  <c r="W39" i="6"/>
  <c r="V42" i="6"/>
  <c r="W38" i="6"/>
  <c r="E6" i="1"/>
  <c r="E38" i="1" s="1"/>
  <c r="E5" i="1"/>
  <c r="W37" i="6"/>
  <c r="E31" i="1"/>
  <c r="W36" i="6"/>
  <c r="E4" i="1"/>
  <c r="E36" i="1" s="1"/>
  <c r="I6" i="7"/>
  <c r="D25" i="1"/>
  <c r="D39" i="1"/>
  <c r="I10" i="1"/>
  <c r="J10" i="1" s="1"/>
  <c r="I3" i="1"/>
  <c r="I15" i="1"/>
  <c r="J15" i="1" s="1"/>
  <c r="I16" i="1"/>
  <c r="J16" i="1" s="1"/>
  <c r="I8" i="1"/>
  <c r="J8" i="1" s="1"/>
  <c r="I14" i="1"/>
  <c r="J14" i="1" s="1"/>
  <c r="I19" i="1"/>
  <c r="J19" i="1" s="1"/>
  <c r="I11" i="1"/>
  <c r="J11" i="1" s="1"/>
  <c r="I17" i="1"/>
  <c r="J17" i="1" s="1"/>
  <c r="I20" i="1"/>
  <c r="J20" i="1" s="1"/>
  <c r="I23" i="1"/>
  <c r="J23" i="1" s="1"/>
  <c r="D36" i="1"/>
  <c r="G23" i="1"/>
  <c r="H23" i="1" s="1"/>
  <c r="G19" i="1"/>
  <c r="H19" i="1" s="1"/>
  <c r="G16" i="1"/>
  <c r="H16" i="1" s="1"/>
  <c r="G14" i="1"/>
  <c r="H14" i="1" s="1"/>
  <c r="G11" i="1"/>
  <c r="H11" i="1" s="1"/>
  <c r="G8" i="1"/>
  <c r="H8" i="1" s="1"/>
  <c r="G20" i="1"/>
  <c r="H20" i="1" s="1"/>
  <c r="G17" i="1"/>
  <c r="H17" i="1" s="1"/>
  <c r="G15" i="1"/>
  <c r="H15" i="1" s="1"/>
  <c r="G12" i="1"/>
  <c r="H12" i="1" s="1"/>
  <c r="G10" i="1"/>
  <c r="H10" i="1" s="1"/>
  <c r="G3" i="1"/>
  <c r="H3" i="1" s="1"/>
  <c r="E13" i="7"/>
  <c r="K39" i="9"/>
  <c r="N39" i="9" s="1"/>
  <c r="Q39" i="9" s="1"/>
  <c r="K40" i="9"/>
  <c r="N40" i="9" s="1"/>
  <c r="Q40" i="9" s="1"/>
  <c r="Z42" i="1"/>
  <c r="K42" i="10"/>
  <c r="Y42" i="1"/>
  <c r="H42" i="10"/>
  <c r="C38" i="9"/>
  <c r="E38" i="9" s="1"/>
  <c r="C36" i="9"/>
  <c r="E36" i="9" s="1"/>
  <c r="C36" i="6"/>
  <c r="C37" i="6"/>
  <c r="C35" i="12"/>
  <c r="C31" i="12"/>
  <c r="C38" i="12"/>
  <c r="C36" i="12"/>
  <c r="C39" i="12"/>
  <c r="C37" i="12"/>
  <c r="C40" i="12"/>
  <c r="C38" i="10"/>
  <c r="C39" i="10"/>
  <c r="C36" i="10"/>
  <c r="C37" i="10"/>
  <c r="C35" i="10"/>
  <c r="C31" i="10"/>
  <c r="C40" i="10"/>
  <c r="C37" i="9"/>
  <c r="E37" i="9" s="1"/>
  <c r="C35" i="9"/>
  <c r="E35" i="9" s="1"/>
  <c r="C31" i="9"/>
  <c r="C38" i="6"/>
  <c r="C35" i="6"/>
  <c r="X31" i="6"/>
  <c r="C31" i="6"/>
  <c r="N11" i="7" l="1"/>
  <c r="N10" i="7"/>
  <c r="M25" i="1" s="1"/>
  <c r="N25" i="1" s="1"/>
  <c r="N39" i="1" s="1"/>
  <c r="N9" i="7"/>
  <c r="N7" i="7"/>
  <c r="N8" i="7"/>
  <c r="E9" i="7"/>
  <c r="E11" i="7"/>
  <c r="E8" i="7"/>
  <c r="E10" i="7"/>
  <c r="G25" i="1" s="1"/>
  <c r="H25" i="1" s="1"/>
  <c r="H39" i="1" s="1"/>
  <c r="H13" i="7"/>
  <c r="F39" i="1"/>
  <c r="AD42" i="6"/>
  <c r="N3" i="1"/>
  <c r="F31" i="1"/>
  <c r="W42" i="6"/>
  <c r="K13" i="7"/>
  <c r="K8" i="1"/>
  <c r="L8" i="1" s="1"/>
  <c r="K20" i="1"/>
  <c r="L20" i="1" s="1"/>
  <c r="K12" i="1"/>
  <c r="L12" i="1" s="1"/>
  <c r="K15" i="1"/>
  <c r="L15" i="1" s="1"/>
  <c r="K23" i="1"/>
  <c r="L23" i="1" s="1"/>
  <c r="K10" i="1"/>
  <c r="L10" i="1" s="1"/>
  <c r="K16" i="1"/>
  <c r="L16" i="1" s="1"/>
  <c r="K17" i="1"/>
  <c r="L17" i="1" s="1"/>
  <c r="K11" i="1"/>
  <c r="L11" i="1" s="1"/>
  <c r="K3" i="1"/>
  <c r="L3" i="1" s="1"/>
  <c r="K19" i="1"/>
  <c r="L19" i="1" s="1"/>
  <c r="K14" i="1"/>
  <c r="L14" i="1" s="1"/>
  <c r="J3" i="1"/>
  <c r="D31" i="1"/>
  <c r="H35" i="1"/>
  <c r="V40" i="9"/>
  <c r="V52" i="9" s="1"/>
  <c r="V39" i="9"/>
  <c r="V51" i="9" s="1"/>
  <c r="C42" i="12"/>
  <c r="C42" i="10"/>
  <c r="C42" i="9"/>
  <c r="E42" i="9" s="1"/>
  <c r="X42" i="6"/>
  <c r="J42" i="6"/>
  <c r="C42" i="6"/>
  <c r="L42" i="6"/>
  <c r="Q42" i="6"/>
  <c r="M27" i="1" l="1"/>
  <c r="N27" i="1" s="1"/>
  <c r="M7" i="1"/>
  <c r="N7" i="1" s="1"/>
  <c r="M5" i="1"/>
  <c r="N5" i="1" s="1"/>
  <c r="M28" i="1"/>
  <c r="N28" i="1" s="1"/>
  <c r="M26" i="1"/>
  <c r="N26" i="1" s="1"/>
  <c r="M13" i="1"/>
  <c r="N13" i="1" s="1"/>
  <c r="M24" i="1"/>
  <c r="N24" i="1" s="1"/>
  <c r="M4" i="1"/>
  <c r="N4" i="1" s="1"/>
  <c r="M9" i="1"/>
  <c r="N9" i="1" s="1"/>
  <c r="M29" i="1"/>
  <c r="N29" i="1" s="1"/>
  <c r="M18" i="1"/>
  <c r="N18" i="1" s="1"/>
  <c r="M6" i="1"/>
  <c r="N6" i="1" s="1"/>
  <c r="M21" i="1"/>
  <c r="N21" i="1" s="1"/>
  <c r="M22" i="1"/>
  <c r="N22" i="1" s="1"/>
  <c r="N40" i="1" s="1"/>
  <c r="K10" i="7"/>
  <c r="K25" i="1" s="1"/>
  <c r="L25" i="1" s="1"/>
  <c r="L39" i="1" s="1"/>
  <c r="K7" i="7"/>
  <c r="K9" i="7"/>
  <c r="K8" i="7"/>
  <c r="K11" i="7"/>
  <c r="G27" i="1"/>
  <c r="H27" i="1" s="1"/>
  <c r="G13" i="1"/>
  <c r="H13" i="1" s="1"/>
  <c r="G7" i="1"/>
  <c r="H7" i="1" s="1"/>
  <c r="G5" i="1"/>
  <c r="H5" i="1" s="1"/>
  <c r="G28" i="1"/>
  <c r="H28" i="1" s="1"/>
  <c r="G26" i="1"/>
  <c r="H26" i="1" s="1"/>
  <c r="G21" i="1"/>
  <c r="H21" i="1" s="1"/>
  <c r="G22" i="1"/>
  <c r="H22" i="1" s="1"/>
  <c r="G9" i="1"/>
  <c r="H9" i="1" s="1"/>
  <c r="G18" i="1"/>
  <c r="H18" i="1" s="1"/>
  <c r="G6" i="1"/>
  <c r="H6" i="1" s="1"/>
  <c r="G29" i="1"/>
  <c r="H29" i="1" s="1"/>
  <c r="N35" i="1"/>
  <c r="J35" i="1"/>
  <c r="H11" i="7"/>
  <c r="H8" i="7"/>
  <c r="H10" i="7"/>
  <c r="I25" i="1" s="1"/>
  <c r="J25" i="1" s="1"/>
  <c r="H7" i="7"/>
  <c r="H9" i="7"/>
  <c r="L35" i="1"/>
  <c r="U39" i="9"/>
  <c r="T39" i="9"/>
  <c r="K36" i="9"/>
  <c r="N36" i="9" s="1"/>
  <c r="Q36" i="9" s="1"/>
  <c r="K38" i="9"/>
  <c r="N38" i="9" s="1"/>
  <c r="Q38" i="9" s="1"/>
  <c r="K37" i="9"/>
  <c r="N37" i="9" s="1"/>
  <c r="Q37" i="9" s="1"/>
  <c r="U40" i="9"/>
  <c r="T40" i="9"/>
  <c r="M42" i="12"/>
  <c r="K42" i="9"/>
  <c r="S42" i="6"/>
  <c r="E42" i="6"/>
  <c r="Z42" i="6"/>
  <c r="F42" i="1"/>
  <c r="N36" i="1" l="1"/>
  <c r="N38" i="1"/>
  <c r="N37" i="1"/>
  <c r="N42" i="1" s="1"/>
  <c r="N31" i="1"/>
  <c r="K27" i="1"/>
  <c r="L27" i="1" s="1"/>
  <c r="K28" i="1"/>
  <c r="L28" i="1" s="1"/>
  <c r="K7" i="1"/>
  <c r="L7" i="1" s="1"/>
  <c r="K26" i="1"/>
  <c r="L26" i="1" s="1"/>
  <c r="K5" i="1"/>
  <c r="L5" i="1" s="1"/>
  <c r="K13" i="1"/>
  <c r="L13" i="1" s="1"/>
  <c r="K6" i="1"/>
  <c r="L6" i="1" s="1"/>
  <c r="K29" i="1"/>
  <c r="L29" i="1" s="1"/>
  <c r="K18" i="1"/>
  <c r="L18" i="1" s="1"/>
  <c r="K9" i="1"/>
  <c r="L9" i="1" s="1"/>
  <c r="K22" i="1"/>
  <c r="L22" i="1" s="1"/>
  <c r="K21" i="1"/>
  <c r="L21" i="1" s="1"/>
  <c r="K24" i="1"/>
  <c r="L24" i="1" s="1"/>
  <c r="K4" i="1"/>
  <c r="L4" i="1" s="1"/>
  <c r="H37" i="1"/>
  <c r="H38" i="1"/>
  <c r="H40" i="1"/>
  <c r="X39" i="9"/>
  <c r="U51" i="9"/>
  <c r="X40" i="9"/>
  <c r="U52" i="9"/>
  <c r="I21" i="1"/>
  <c r="J21" i="1" s="1"/>
  <c r="I22" i="1"/>
  <c r="J22" i="1" s="1"/>
  <c r="I6" i="1"/>
  <c r="J6" i="1" s="1"/>
  <c r="I18" i="1"/>
  <c r="J18" i="1" s="1"/>
  <c r="I9" i="1"/>
  <c r="J9" i="1" s="1"/>
  <c r="I29" i="1"/>
  <c r="J29" i="1" s="1"/>
  <c r="I24" i="1"/>
  <c r="J24" i="1" s="1"/>
  <c r="I4" i="1"/>
  <c r="J4" i="1" s="1"/>
  <c r="J39" i="1"/>
  <c r="I26" i="1"/>
  <c r="J26" i="1" s="1"/>
  <c r="I7" i="1"/>
  <c r="J7" i="1" s="1"/>
  <c r="I27" i="1"/>
  <c r="J27" i="1" s="1"/>
  <c r="I28" i="1"/>
  <c r="J28" i="1" s="1"/>
  <c r="I5" i="1"/>
  <c r="J5" i="1" s="1"/>
  <c r="I13" i="1"/>
  <c r="J13" i="1" s="1"/>
  <c r="U38" i="9"/>
  <c r="U50" i="9" s="1"/>
  <c r="T38" i="9"/>
  <c r="U37" i="9"/>
  <c r="T37" i="9"/>
  <c r="V38" i="9"/>
  <c r="V50" i="9" s="1"/>
  <c r="T36" i="9"/>
  <c r="U36" i="9"/>
  <c r="U48" i="9" s="1"/>
  <c r="W40" i="9"/>
  <c r="V36" i="9"/>
  <c r="V48" i="9" s="1"/>
  <c r="W39" i="9"/>
  <c r="D42" i="1"/>
  <c r="C39" i="1"/>
  <c r="C38" i="1"/>
  <c r="C36" i="1"/>
  <c r="C31" i="1"/>
  <c r="C40" i="1"/>
  <c r="L40" i="1" l="1"/>
  <c r="L37" i="1"/>
  <c r="J31" i="1"/>
  <c r="L38" i="1"/>
  <c r="L36" i="1"/>
  <c r="L31" i="1"/>
  <c r="X48" i="9"/>
  <c r="X24" i="9" s="1"/>
  <c r="W50" i="9"/>
  <c r="X52" i="9"/>
  <c r="W52" i="9"/>
  <c r="X49" i="9"/>
  <c r="W37" i="9"/>
  <c r="W49" i="9"/>
  <c r="W48" i="9"/>
  <c r="X51" i="9"/>
  <c r="W51" i="9"/>
  <c r="X50" i="9"/>
  <c r="J37" i="1"/>
  <c r="J38" i="1"/>
  <c r="J36" i="1"/>
  <c r="J40" i="1"/>
  <c r="X36" i="9"/>
  <c r="X38" i="9"/>
  <c r="W38" i="9"/>
  <c r="K35" i="9"/>
  <c r="X37" i="9"/>
  <c r="W36" i="9"/>
  <c r="C42" i="1"/>
  <c r="E42" i="1"/>
  <c r="L42" i="1" l="1"/>
  <c r="X4" i="9"/>
  <c r="X26" i="9"/>
  <c r="X13" i="9"/>
  <c r="X7" i="9"/>
  <c r="X27" i="9"/>
  <c r="X28" i="9"/>
  <c r="X5" i="9"/>
  <c r="X29" i="9"/>
  <c r="X18" i="9"/>
  <c r="X9" i="9"/>
  <c r="U4" i="1"/>
  <c r="V4" i="1" s="1"/>
  <c r="O4" i="1"/>
  <c r="S4" i="1"/>
  <c r="T4" i="1" s="1"/>
  <c r="Q4" i="1"/>
  <c r="R4" i="1" s="1"/>
  <c r="AF4" i="1" s="1"/>
  <c r="AF36" i="1" s="1"/>
  <c r="U24" i="1"/>
  <c r="V24" i="1" s="1"/>
  <c r="AH24" i="1" s="1"/>
  <c r="O24" i="1"/>
  <c r="S24" i="1"/>
  <c r="T24" i="1" s="1"/>
  <c r="AG24" i="1" s="1"/>
  <c r="Q24" i="1"/>
  <c r="R24" i="1" s="1"/>
  <c r="AF24" i="1" s="1"/>
  <c r="J42" i="1"/>
  <c r="N35" i="9"/>
  <c r="Q35" i="9" s="1"/>
  <c r="N42" i="9"/>
  <c r="Q42" i="9" s="1"/>
  <c r="T42" i="9" s="1"/>
  <c r="S18" i="1" l="1"/>
  <c r="T18" i="1" s="1"/>
  <c r="AG18" i="1" s="1"/>
  <c r="U18" i="1"/>
  <c r="V18" i="1" s="1"/>
  <c r="AH18" i="1" s="1"/>
  <c r="Q18" i="1"/>
  <c r="R18" i="1" s="1"/>
  <c r="AF18" i="1" s="1"/>
  <c r="O18" i="1"/>
  <c r="P18" i="1" s="1"/>
  <c r="AE18" i="1" s="1"/>
  <c r="U29" i="1"/>
  <c r="V29" i="1" s="1"/>
  <c r="AH29" i="1" s="1"/>
  <c r="S29" i="1"/>
  <c r="T29" i="1" s="1"/>
  <c r="AG29" i="1" s="1"/>
  <c r="Q29" i="1"/>
  <c r="R29" i="1" s="1"/>
  <c r="AF29" i="1" s="1"/>
  <c r="O29" i="1"/>
  <c r="P29" i="1" s="1"/>
  <c r="AE29" i="1" s="1"/>
  <c r="R36" i="1"/>
  <c r="AG4" i="1"/>
  <c r="AG36" i="1" s="1"/>
  <c r="T36" i="1"/>
  <c r="O5" i="1"/>
  <c r="P5" i="1" s="1"/>
  <c r="U5" i="1"/>
  <c r="V5" i="1" s="1"/>
  <c r="Q5" i="1"/>
  <c r="R5" i="1" s="1"/>
  <c r="S5" i="1"/>
  <c r="T5" i="1" s="1"/>
  <c r="S28" i="1"/>
  <c r="T28" i="1" s="1"/>
  <c r="AG28" i="1" s="1"/>
  <c r="Q28" i="1"/>
  <c r="R28" i="1" s="1"/>
  <c r="AF28" i="1" s="1"/>
  <c r="O28" i="1"/>
  <c r="P28" i="1" s="1"/>
  <c r="AE28" i="1" s="1"/>
  <c r="U28" i="1"/>
  <c r="V28" i="1" s="1"/>
  <c r="AH28" i="1" s="1"/>
  <c r="O27" i="1"/>
  <c r="P27" i="1" s="1"/>
  <c r="AE27" i="1" s="1"/>
  <c r="U27" i="1"/>
  <c r="V27" i="1" s="1"/>
  <c r="AH27" i="1" s="1"/>
  <c r="S27" i="1"/>
  <c r="T27" i="1" s="1"/>
  <c r="AG27" i="1" s="1"/>
  <c r="Q27" i="1"/>
  <c r="R27" i="1" s="1"/>
  <c r="AF27" i="1" s="1"/>
  <c r="U7" i="1"/>
  <c r="V7" i="1" s="1"/>
  <c r="AH7" i="1" s="1"/>
  <c r="S7" i="1"/>
  <c r="T7" i="1" s="1"/>
  <c r="AG7" i="1" s="1"/>
  <c r="Q7" i="1"/>
  <c r="R7" i="1" s="1"/>
  <c r="AF7" i="1" s="1"/>
  <c r="O7" i="1"/>
  <c r="P7" i="1" s="1"/>
  <c r="AE7" i="1" s="1"/>
  <c r="U6" i="1"/>
  <c r="V6" i="1" s="1"/>
  <c r="O6" i="1"/>
  <c r="P6" i="1" s="1"/>
  <c r="S6" i="1"/>
  <c r="T6" i="1" s="1"/>
  <c r="Q6" i="1"/>
  <c r="R6" i="1" s="1"/>
  <c r="S13" i="1"/>
  <c r="T13" i="1" s="1"/>
  <c r="AG13" i="1" s="1"/>
  <c r="O13" i="1"/>
  <c r="P13" i="1" s="1"/>
  <c r="AE13" i="1" s="1"/>
  <c r="Q13" i="1"/>
  <c r="R13" i="1" s="1"/>
  <c r="AF13" i="1" s="1"/>
  <c r="U13" i="1"/>
  <c r="V13" i="1" s="1"/>
  <c r="AH13" i="1" s="1"/>
  <c r="AH4" i="1"/>
  <c r="AH36" i="1" s="1"/>
  <c r="V36" i="1"/>
  <c r="S9" i="1"/>
  <c r="T9" i="1" s="1"/>
  <c r="AG9" i="1" s="1"/>
  <c r="O9" i="1"/>
  <c r="P9" i="1" s="1"/>
  <c r="AE9" i="1" s="1"/>
  <c r="U9" i="1"/>
  <c r="V9" i="1" s="1"/>
  <c r="AH9" i="1" s="1"/>
  <c r="Q9" i="1"/>
  <c r="R9" i="1" s="1"/>
  <c r="AF9" i="1" s="1"/>
  <c r="U26" i="1"/>
  <c r="V26" i="1" s="1"/>
  <c r="AH26" i="1" s="1"/>
  <c r="Q26" i="1"/>
  <c r="R26" i="1" s="1"/>
  <c r="AF26" i="1" s="1"/>
  <c r="O26" i="1"/>
  <c r="P26" i="1" s="1"/>
  <c r="AE26" i="1" s="1"/>
  <c r="S26" i="1"/>
  <c r="T26" i="1" s="1"/>
  <c r="AG26" i="1" s="1"/>
  <c r="T35" i="9"/>
  <c r="U35" i="9"/>
  <c r="U47" i="9" s="1"/>
  <c r="V35" i="9"/>
  <c r="V47" i="9" s="1"/>
  <c r="AI26" i="1" l="1"/>
  <c r="AL26" i="1" s="1"/>
  <c r="AI28" i="1"/>
  <c r="AJ28" i="1" s="1"/>
  <c r="AJ37" i="1" s="1"/>
  <c r="AI18" i="1"/>
  <c r="AL18" i="1" s="1"/>
  <c r="AI27" i="1"/>
  <c r="AL27" i="1" s="1"/>
  <c r="AH5" i="1"/>
  <c r="AH37" i="1" s="1"/>
  <c r="V37" i="1"/>
  <c r="AI7" i="1"/>
  <c r="AL7" i="1" s="1"/>
  <c r="P37" i="1"/>
  <c r="AE5" i="1"/>
  <c r="AF6" i="1"/>
  <c r="AF38" i="1" s="1"/>
  <c r="R38" i="1"/>
  <c r="AH6" i="1"/>
  <c r="AH38" i="1" s="1"/>
  <c r="V38" i="1"/>
  <c r="AG5" i="1"/>
  <c r="AG37" i="1" s="1"/>
  <c r="T37" i="1"/>
  <c r="AG6" i="1"/>
  <c r="AG38" i="1" s="1"/>
  <c r="T38" i="1"/>
  <c r="AE6" i="1"/>
  <c r="P38" i="1"/>
  <c r="AI9" i="1"/>
  <c r="AL9" i="1" s="1"/>
  <c r="AI13" i="1"/>
  <c r="AL13" i="1" s="1"/>
  <c r="AF5" i="1"/>
  <c r="AF37" i="1" s="1"/>
  <c r="R37" i="1"/>
  <c r="AI29" i="1"/>
  <c r="AL29" i="1" s="1"/>
  <c r="U54" i="9"/>
  <c r="X47" i="9"/>
  <c r="V54" i="9"/>
  <c r="W47" i="9"/>
  <c r="W54" i="9" s="1"/>
  <c r="X35" i="9"/>
  <c r="U42" i="9"/>
  <c r="W35" i="9"/>
  <c r="W42" i="9" s="1"/>
  <c r="V42" i="9"/>
  <c r="E7" i="7"/>
  <c r="G24" i="1" s="1"/>
  <c r="H24" i="1" s="1"/>
  <c r="P24" i="1" s="1"/>
  <c r="AE24" i="1" s="1"/>
  <c r="AI24" i="1" s="1"/>
  <c r="AL24" i="1" s="1"/>
  <c r="G4" i="1" l="1"/>
  <c r="H4" i="1" s="1"/>
  <c r="H31" i="1" s="1"/>
  <c r="AL28" i="1"/>
  <c r="AE37" i="1"/>
  <c r="AI5" i="1"/>
  <c r="AE38" i="1"/>
  <c r="AI6" i="1"/>
  <c r="X19" i="9"/>
  <c r="X8" i="9"/>
  <c r="X16" i="9"/>
  <c r="X14" i="9"/>
  <c r="X23" i="9"/>
  <c r="X20" i="9"/>
  <c r="X17" i="9"/>
  <c r="X15" i="9"/>
  <c r="X12" i="9"/>
  <c r="X11" i="9"/>
  <c r="X10" i="9"/>
  <c r="X3" i="9"/>
  <c r="X42" i="9"/>
  <c r="X54" i="9"/>
  <c r="H36" i="1"/>
  <c r="H42" i="1" s="1"/>
  <c r="P4" i="1"/>
  <c r="AL6" i="1" l="1"/>
  <c r="AL38" i="1" s="1"/>
  <c r="AI38" i="1"/>
  <c r="AI37" i="1"/>
  <c r="AL5" i="1"/>
  <c r="AL37" i="1" s="1"/>
  <c r="X25" i="9"/>
  <c r="X22" i="9"/>
  <c r="X21" i="9"/>
  <c r="U20" i="1"/>
  <c r="V20" i="1" s="1"/>
  <c r="AH20" i="1" s="1"/>
  <c r="O20" i="1"/>
  <c r="P20" i="1" s="1"/>
  <c r="AE20" i="1" s="1"/>
  <c r="Q20" i="1"/>
  <c r="R20" i="1" s="1"/>
  <c r="AF20" i="1" s="1"/>
  <c r="S20" i="1"/>
  <c r="T20" i="1" s="1"/>
  <c r="AG20" i="1" s="1"/>
  <c r="U23" i="1"/>
  <c r="V23" i="1" s="1"/>
  <c r="AH23" i="1" s="1"/>
  <c r="Q23" i="1"/>
  <c r="R23" i="1" s="1"/>
  <c r="AF23" i="1" s="1"/>
  <c r="S23" i="1"/>
  <c r="T23" i="1" s="1"/>
  <c r="AG23" i="1" s="1"/>
  <c r="O23" i="1"/>
  <c r="P23" i="1" s="1"/>
  <c r="AE23" i="1" s="1"/>
  <c r="Q3" i="1"/>
  <c r="R3" i="1" s="1"/>
  <c r="S3" i="1"/>
  <c r="T3" i="1" s="1"/>
  <c r="O3" i="1"/>
  <c r="P3" i="1" s="1"/>
  <c r="U3" i="1"/>
  <c r="V3" i="1" s="1"/>
  <c r="U10" i="1"/>
  <c r="V10" i="1" s="1"/>
  <c r="AH10" i="1" s="1"/>
  <c r="S10" i="1"/>
  <c r="T10" i="1" s="1"/>
  <c r="AG10" i="1" s="1"/>
  <c r="Q10" i="1"/>
  <c r="R10" i="1" s="1"/>
  <c r="AF10" i="1" s="1"/>
  <c r="O10" i="1"/>
  <c r="P10" i="1" s="1"/>
  <c r="AE10" i="1" s="1"/>
  <c r="U8" i="1"/>
  <c r="V8" i="1" s="1"/>
  <c r="AH8" i="1" s="1"/>
  <c r="O8" i="1"/>
  <c r="P8" i="1" s="1"/>
  <c r="AE8" i="1" s="1"/>
  <c r="S8" i="1"/>
  <c r="T8" i="1" s="1"/>
  <c r="AG8" i="1" s="1"/>
  <c r="Q8" i="1"/>
  <c r="R8" i="1" s="1"/>
  <c r="AF8" i="1" s="1"/>
  <c r="S15" i="1"/>
  <c r="T15" i="1" s="1"/>
  <c r="AG15" i="1" s="1"/>
  <c r="Q15" i="1"/>
  <c r="R15" i="1" s="1"/>
  <c r="AF15" i="1" s="1"/>
  <c r="U15" i="1"/>
  <c r="V15" i="1" s="1"/>
  <c r="AH15" i="1" s="1"/>
  <c r="O15" i="1"/>
  <c r="P15" i="1" s="1"/>
  <c r="AE15" i="1" s="1"/>
  <c r="O17" i="1"/>
  <c r="P17" i="1" s="1"/>
  <c r="AE17" i="1" s="1"/>
  <c r="S17" i="1"/>
  <c r="T17" i="1" s="1"/>
  <c r="AG17" i="1" s="1"/>
  <c r="U17" i="1"/>
  <c r="V17" i="1" s="1"/>
  <c r="AH17" i="1" s="1"/>
  <c r="Q17" i="1"/>
  <c r="R17" i="1" s="1"/>
  <c r="AF17" i="1" s="1"/>
  <c r="S14" i="1"/>
  <c r="T14" i="1" s="1"/>
  <c r="AG14" i="1" s="1"/>
  <c r="Q14" i="1"/>
  <c r="R14" i="1" s="1"/>
  <c r="AF14" i="1" s="1"/>
  <c r="U14" i="1"/>
  <c r="V14" i="1" s="1"/>
  <c r="AH14" i="1" s="1"/>
  <c r="O14" i="1"/>
  <c r="P14" i="1" s="1"/>
  <c r="AE14" i="1" s="1"/>
  <c r="S16" i="1"/>
  <c r="T16" i="1" s="1"/>
  <c r="AG16" i="1" s="1"/>
  <c r="Q16" i="1"/>
  <c r="R16" i="1" s="1"/>
  <c r="AF16" i="1" s="1"/>
  <c r="O16" i="1"/>
  <c r="P16" i="1" s="1"/>
  <c r="AE16" i="1" s="1"/>
  <c r="U16" i="1"/>
  <c r="V16" i="1" s="1"/>
  <c r="AH16" i="1" s="1"/>
  <c r="S11" i="1"/>
  <c r="T11" i="1" s="1"/>
  <c r="AG11" i="1" s="1"/>
  <c r="U11" i="1"/>
  <c r="V11" i="1" s="1"/>
  <c r="AH11" i="1" s="1"/>
  <c r="Q11" i="1"/>
  <c r="R11" i="1" s="1"/>
  <c r="AF11" i="1" s="1"/>
  <c r="O11" i="1"/>
  <c r="P11" i="1" s="1"/>
  <c r="AE11" i="1" s="1"/>
  <c r="U12" i="1"/>
  <c r="V12" i="1" s="1"/>
  <c r="AH12" i="1" s="1"/>
  <c r="S12" i="1"/>
  <c r="T12" i="1" s="1"/>
  <c r="AG12" i="1" s="1"/>
  <c r="Q12" i="1"/>
  <c r="R12" i="1" s="1"/>
  <c r="AF12" i="1" s="1"/>
  <c r="O12" i="1"/>
  <c r="P12" i="1" s="1"/>
  <c r="AE12" i="1" s="1"/>
  <c r="U19" i="1"/>
  <c r="V19" i="1" s="1"/>
  <c r="AH19" i="1" s="1"/>
  <c r="Q19" i="1"/>
  <c r="R19" i="1" s="1"/>
  <c r="AF19" i="1" s="1"/>
  <c r="O19" i="1"/>
  <c r="P19" i="1" s="1"/>
  <c r="AE19" i="1" s="1"/>
  <c r="S19" i="1"/>
  <c r="T19" i="1" s="1"/>
  <c r="AG19" i="1" s="1"/>
  <c r="P36" i="1"/>
  <c r="AE4" i="1"/>
  <c r="AI19" i="1" l="1"/>
  <c r="AL19" i="1" s="1"/>
  <c r="AI16" i="1"/>
  <c r="AL16" i="1" s="1"/>
  <c r="AI10" i="1"/>
  <c r="AL10" i="1" s="1"/>
  <c r="AI23" i="1"/>
  <c r="AL23" i="1" s="1"/>
  <c r="AI14" i="1"/>
  <c r="AL14" i="1" s="1"/>
  <c r="AG3" i="1"/>
  <c r="T35" i="1"/>
  <c r="AI12" i="1"/>
  <c r="AL12" i="1" s="1"/>
  <c r="R35" i="1"/>
  <c r="AF3" i="1"/>
  <c r="AI20" i="1"/>
  <c r="AL20" i="1" s="1"/>
  <c r="AI17" i="1"/>
  <c r="AL17" i="1" s="1"/>
  <c r="AI8" i="1"/>
  <c r="AL8" i="1" s="1"/>
  <c r="Q21" i="1"/>
  <c r="R21" i="1" s="1"/>
  <c r="R31" i="1" s="1"/>
  <c r="O21" i="1"/>
  <c r="P21" i="1" s="1"/>
  <c r="S21" i="1"/>
  <c r="T21" i="1" s="1"/>
  <c r="T31" i="1" s="1"/>
  <c r="U21" i="1"/>
  <c r="V21" i="1" s="1"/>
  <c r="AH3" i="1"/>
  <c r="V35" i="1"/>
  <c r="U22" i="1"/>
  <c r="V22" i="1" s="1"/>
  <c r="AH22" i="1" s="1"/>
  <c r="S22" i="1"/>
  <c r="T22" i="1" s="1"/>
  <c r="AG22" i="1" s="1"/>
  <c r="Q22" i="1"/>
  <c r="R22" i="1" s="1"/>
  <c r="AF22" i="1" s="1"/>
  <c r="O22" i="1"/>
  <c r="P22" i="1" s="1"/>
  <c r="AE22" i="1" s="1"/>
  <c r="AI11" i="1"/>
  <c r="AL11" i="1" s="1"/>
  <c r="AI15" i="1"/>
  <c r="AL15" i="1" s="1"/>
  <c r="AE3" i="1"/>
  <c r="P35" i="1"/>
  <c r="Q25" i="1"/>
  <c r="R25" i="1" s="1"/>
  <c r="S25" i="1"/>
  <c r="T25" i="1" s="1"/>
  <c r="O25" i="1"/>
  <c r="P25" i="1" s="1"/>
  <c r="U25" i="1"/>
  <c r="V25" i="1" s="1"/>
  <c r="AE36" i="1"/>
  <c r="AI4" i="1"/>
  <c r="V31" i="1" l="1"/>
  <c r="P31" i="1"/>
  <c r="AH35" i="1"/>
  <c r="AG35" i="1"/>
  <c r="AF35" i="1"/>
  <c r="AI22" i="1"/>
  <c r="AL22" i="1" s="1"/>
  <c r="T40" i="1"/>
  <c r="AG21" i="1"/>
  <c r="AG40" i="1" s="1"/>
  <c r="P40" i="1"/>
  <c r="AE21" i="1"/>
  <c r="AE31" i="1" s="1"/>
  <c r="T39" i="1"/>
  <c r="AG25" i="1"/>
  <c r="AG39" i="1" s="1"/>
  <c r="AF25" i="1"/>
  <c r="AF39" i="1" s="1"/>
  <c r="R39" i="1"/>
  <c r="AF21" i="1"/>
  <c r="AF40" i="1" s="1"/>
  <c r="R40" i="1"/>
  <c r="AE35" i="1"/>
  <c r="AI3" i="1"/>
  <c r="AH25" i="1"/>
  <c r="AH39" i="1" s="1"/>
  <c r="V39" i="1"/>
  <c r="AE25" i="1"/>
  <c r="P39" i="1"/>
  <c r="AH21" i="1"/>
  <c r="AH40" i="1" s="1"/>
  <c r="V40" i="1"/>
  <c r="AI36" i="1"/>
  <c r="AL4" i="1"/>
  <c r="AF31" i="1" l="1"/>
  <c r="AH31" i="1"/>
  <c r="V42" i="1"/>
  <c r="AG31" i="1"/>
  <c r="R42" i="1"/>
  <c r="AF42" i="1"/>
  <c r="P42" i="1"/>
  <c r="T42" i="1"/>
  <c r="AG42" i="1"/>
  <c r="AE39" i="1"/>
  <c r="AI25" i="1"/>
  <c r="AE40" i="1"/>
  <c r="AI21" i="1"/>
  <c r="AJ3" i="1"/>
  <c r="AJ35" i="1" s="1"/>
  <c r="AJ42" i="1" s="1"/>
  <c r="AI35" i="1"/>
  <c r="AH42" i="1"/>
  <c r="AL36" i="1"/>
  <c r="AE42" i="1" l="1"/>
  <c r="AI31" i="1"/>
  <c r="AL25" i="1"/>
  <c r="AL39" i="1" s="1"/>
  <c r="AI39" i="1"/>
  <c r="AL21" i="1"/>
  <c r="AL40" i="1" s="1"/>
  <c r="AI40" i="1"/>
  <c r="AL3" i="1"/>
  <c r="AI42" i="1" l="1"/>
  <c r="AL35" i="1"/>
  <c r="AL31" i="1"/>
  <c r="AL42" i="1"/>
</calcChain>
</file>

<file path=xl/sharedStrings.xml><?xml version="1.0" encoding="utf-8"?>
<sst xmlns="http://schemas.openxmlformats.org/spreadsheetml/2006/main" count="514" uniqueCount="76">
  <si>
    <t>Entry Point</t>
  </si>
  <si>
    <t>Entry Point Type</t>
  </si>
  <si>
    <t>BIOMETHANE PLANT</t>
  </si>
  <si>
    <t>STORAGE SITE</t>
  </si>
  <si>
    <t>INTERCONNECTION POINT</t>
  </si>
  <si>
    <t>BEACH TERMINAL</t>
  </si>
  <si>
    <t>ONSHORE FIELD</t>
  </si>
  <si>
    <t>LNG IMPORTATION TERMINAL</t>
  </si>
  <si>
    <t xml:space="preserve"> </t>
  </si>
  <si>
    <t>Actual Capacity</t>
  </si>
  <si>
    <t>Flow</t>
  </si>
  <si>
    <t>TOTAL</t>
  </si>
  <si>
    <t>1) Historic Flows</t>
  </si>
  <si>
    <t>Q4</t>
  </si>
  <si>
    <t>Q1</t>
  </si>
  <si>
    <t>Q2</t>
  </si>
  <si>
    <t>Q3</t>
  </si>
  <si>
    <t>2) Normalisation Factor</t>
  </si>
  <si>
    <t>3) Utilisation Factor</t>
  </si>
  <si>
    <t>4) Future Sold (inc EC)</t>
  </si>
  <si>
    <t>5) PARCA</t>
  </si>
  <si>
    <t>MAX</t>
  </si>
  <si>
    <t>Y</t>
  </si>
  <si>
    <t>6) Zero Forecast Flow</t>
  </si>
  <si>
    <t>FCC Oct 2021 kWh/d</t>
  </si>
  <si>
    <t>Y-6 (2015/16)</t>
  </si>
  <si>
    <t>Y-5 (2016/17)</t>
  </si>
  <si>
    <t>Y-4 (2017/18)</t>
  </si>
  <si>
    <t>Y-3 (2018/19)</t>
  </si>
  <si>
    <t>Y-2 (2019/20)</t>
  </si>
  <si>
    <t>5 yr Average</t>
  </si>
  <si>
    <t>kWh/d</t>
  </si>
  <si>
    <t>5 Yr Average</t>
  </si>
  <si>
    <t>Forecast Flow (21/22)</t>
  </si>
  <si>
    <t>Normalisation Factor</t>
  </si>
  <si>
    <t>Utilisation</t>
  </si>
  <si>
    <t>Correction Factor</t>
  </si>
  <si>
    <t>EC</t>
  </si>
  <si>
    <t>Other LT</t>
  </si>
  <si>
    <t xml:space="preserve">Total </t>
  </si>
  <si>
    <t>1) Historic Flows (5 Yr Av kWh/d)</t>
  </si>
  <si>
    <t>4) Future Sold (inc EC)- kWh/d</t>
  </si>
  <si>
    <t>Total / d</t>
  </si>
  <si>
    <t>total / d</t>
  </si>
  <si>
    <t>PARCA</t>
  </si>
  <si>
    <t>Y (21/22)</t>
  </si>
  <si>
    <t>Y+1 (22/23)</t>
  </si>
  <si>
    <t>Y+2 (23/24)</t>
  </si>
  <si>
    <t>Y+3 (24/25)</t>
  </si>
  <si>
    <t>Y+4 (25/26)</t>
  </si>
  <si>
    <t>Start Date</t>
  </si>
  <si>
    <t>Next Gas Yr</t>
  </si>
  <si>
    <t>Days till NGY</t>
  </si>
  <si>
    <t>Capacity in GY</t>
  </si>
  <si>
    <t>&gt;91</t>
  </si>
  <si>
    <t>&gt;183</t>
  </si>
  <si>
    <t>&gt;273</t>
  </si>
  <si>
    <t>National Grid</t>
  </si>
  <si>
    <t>Contact for any questions: box.gsoconsultations@nationalgrid.com</t>
  </si>
  <si>
    <t>Comments</t>
  </si>
  <si>
    <t>Version</t>
  </si>
  <si>
    <t>Date</t>
  </si>
  <si>
    <t>Produced by</t>
  </si>
  <si>
    <t>Description</t>
  </si>
  <si>
    <t>1.0</t>
  </si>
  <si>
    <t>FCC Entry Methodology Model - Proof of concept</t>
  </si>
  <si>
    <t>FCC Methodology Entry v2 Ex1</t>
  </si>
  <si>
    <t>This is a copy of a NTS Forecasted Contracted Capacity (FCC) Entry Methodology that takes a number of inputs and calculates an indicative FCC for Entry Capacity. This tool is being used in the development work associated to the FCC for October 2021. This version is published to provide Users with the information to test the proof of concept and enable feedback on the methodology under development and to be used alongside the FCC development workshops hosted and facilitated by National Grid. This model should not be used as any indication of actual FCC values or charges.  
A supporting document (FCC Methodology Entry Overview v2 Ex1.doc) has been drafted to provide additional information on the model and should be read in conjunction with the model. 
This model and associated documentation and details of the FCC workshop development is available here: https://www.nationalgrid.com/uk/gas-transmission/charging/gas-charging-discussion-gcd-papers under the heading "2021 Forecasted Contracted Capacity Methodology Consultation"</t>
  </si>
  <si>
    <t>Capacity Includes EC</t>
  </si>
  <si>
    <t>REVISED INDUSTRY AVERAGE TOTALS (excluding Siginifcant EC)</t>
  </si>
  <si>
    <t>Other QSEC</t>
  </si>
  <si>
    <t>Applicable Value</t>
  </si>
  <si>
    <r>
      <rPr>
        <u/>
        <sz val="11"/>
        <color indexed="9"/>
        <rFont val="Arial"/>
        <family val="2"/>
      </rPr>
      <t>Disclaimer:</t>
    </r>
    <r>
      <rPr>
        <sz val="11"/>
        <color indexed="9"/>
        <rFont val="Arial"/>
        <family val="2"/>
      </rPr>
      <t xml:space="preserve"> This NTS Forecasted Contracted Capacity (FCC) Entry Methodology is provided to you by National Grid Gas plc (“NGG”) solely for the purposes of study in connection with the FCC Development process and is not to be used for any commercial purpose.  The information that it contains is for guidance purposes only and is given in good faith.  However, no warranty or representation or other obligation or commitment of any kind is given by NGG, its employees or advisors as to the accuracy or completeness of any such information. Neither NGG nor its employees or advisors shall be under any liability for any error or misstatement in the information provided. While certain precautions have been taken to detect computer viruses, we cannot guarantee that the Tariff Model is virus-free and NGG shall not be liable for any loss or damage which occurs as a result of any virus.  Your use of this FCC Model shall constitute your acceptance of the above.
</t>
    </r>
  </si>
  <si>
    <t>FCC Entry Methodology Model - Proof of concept - Change History</t>
  </si>
  <si>
    <t>FCC Methodology Entryv3 Ext 1
Revised:
 - Entry Historic flows revised to reflect non-operational sites, and remove values to prevent impact on Forecast normalisation process (no further amendments made to any values in the summary tab).
- Forcast normalisation tab revised to exclude historic storage flows from normalisation calculation.</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</si>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</sst>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_ ;\-#,##0\ "/>
    <numFmt numFmtId="165" formatCode="_-* #,##0_-;\-* #,##0_-;_-* &quot;-&quot;??_-;_-@_-"/>
    <numFmt numFmtId="166" formatCode="#,##0.00_ ;\-#,##0.00\ "/>
    <numFmt numFmtId="167" formatCode="[$-F800]dddd\,\ mmmm\ dd\,\ yyyy"/>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color indexed="8"/>
      <name val="Arial"/>
      <family val="2"/>
    </font>
    <font>
      <sz val="10"/>
      <color indexed="8"/>
      <name val="Arial"/>
      <family val="2"/>
    </font>
    <font>
      <b/>
      <sz val="11"/>
      <color theme="0"/>
      <name val="Calibri"/>
      <family val="2"/>
      <scheme val="minor"/>
    </font>
    <font>
      <b/>
      <sz val="11"/>
      <name val="Calibri"/>
      <family val="2"/>
      <scheme val="minor"/>
    </font>
    <font>
      <sz val="12"/>
      <name val="Arial"/>
      <family val="2"/>
    </font>
    <font>
      <sz val="11"/>
      <name val="Arial"/>
      <family val="2"/>
    </font>
    <font>
      <b/>
      <sz val="11"/>
      <color indexed="48"/>
      <name val="Arial"/>
      <family val="2"/>
    </font>
    <font>
      <sz val="11"/>
      <color indexed="9"/>
      <name val="Arial"/>
      <family val="2"/>
    </font>
    <font>
      <b/>
      <sz val="11"/>
      <color indexed="9"/>
      <name val="Arial"/>
      <family val="2"/>
    </font>
    <font>
      <b/>
      <i/>
      <sz val="11"/>
      <color indexed="9"/>
      <name val="Arial"/>
      <family val="2"/>
    </font>
    <font>
      <u/>
      <sz val="11"/>
      <color indexed="9"/>
      <name val="Arial"/>
      <family val="2"/>
    </font>
    <font>
      <sz val="11"/>
      <color rgb="FFFF0000"/>
      <name val="Arial"/>
      <family val="2"/>
    </font>
    <font>
      <b/>
      <sz val="11"/>
      <color rgb="FFFF0000"/>
      <name val="Arial"/>
      <family val="2"/>
    </font>
    <font>
      <b/>
      <i/>
      <sz val="11"/>
      <color rgb="FFFF0000"/>
      <name val="Arial"/>
      <family val="2"/>
    </font>
  </fonts>
  <fills count="12">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48"/>
        <bgColor indexed="64"/>
      </patternFill>
    </fill>
    <fill>
      <patternFill patternType="solid">
        <fgColor theme="5"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5">
    <xf numFmtId="0" fontId="0" fillId="0" borderId="0"/>
    <xf numFmtId="43" fontId="1" fillId="0" borderId="0" applyFont="0" applyFill="0" applyBorder="0" applyAlignment="0" applyProtection="0"/>
    <xf numFmtId="0" fontId="3" fillId="0" borderId="0"/>
    <xf numFmtId="0" fontId="8" fillId="0" borderId="0" applyFont="0" applyFill="0" applyBorder="0" applyAlignment="0" applyProtection="0"/>
    <xf numFmtId="44" fontId="3" fillId="0" borderId="0" applyFont="0" applyFill="0" applyBorder="0" applyAlignment="0" applyProtection="0"/>
  </cellStyleXfs>
  <cellXfs count="375">
    <xf numFmtId="0" fontId="0" fillId="0" borderId="0" xfId="0"/>
    <xf numFmtId="0" fontId="0" fillId="0" borderId="0" xfId="0" applyAlignment="1">
      <alignment horizontal="center" vertical="center" wrapText="1"/>
    </xf>
    <xf numFmtId="3" fontId="3" fillId="0" borderId="3" xfId="2" applyNumberFormat="1" applyFont="1" applyBorder="1" applyAlignment="1">
      <alignment horizontal="center" vertical="center" wrapText="1"/>
    </xf>
    <xf numFmtId="164" fontId="1" fillId="0" borderId="1" xfId="1"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5" fillId="0" borderId="13" xfId="2" applyFont="1" applyBorder="1" applyAlignment="1">
      <alignment horizontal="center" vertical="center" wrapText="1"/>
    </xf>
    <xf numFmtId="3" fontId="3" fillId="0" borderId="13" xfId="2" applyNumberFormat="1" applyFont="1" applyBorder="1" applyAlignment="1">
      <alignment horizontal="center" vertical="center" wrapText="1"/>
    </xf>
    <xf numFmtId="0" fontId="5" fillId="0" borderId="14" xfId="2" applyFont="1" applyBorder="1" applyAlignment="1">
      <alignment horizontal="center" vertical="center" wrapText="1"/>
    </xf>
    <xf numFmtId="3" fontId="3" fillId="0" borderId="15" xfId="2" applyNumberFormat="1" applyFont="1" applyBorder="1" applyAlignment="1">
      <alignment horizontal="center" vertical="center" wrapText="1"/>
    </xf>
    <xf numFmtId="164" fontId="1" fillId="0" borderId="16" xfId="1" applyNumberFormat="1" applyFont="1" applyBorder="1" applyAlignment="1">
      <alignment horizontal="center" vertical="center" wrapText="1"/>
    </xf>
    <xf numFmtId="164" fontId="1" fillId="0" borderId="10" xfId="1" applyNumberFormat="1" applyFont="1" applyBorder="1" applyAlignment="1">
      <alignment horizontal="center" vertical="center" wrapText="1"/>
    </xf>
    <xf numFmtId="164" fontId="1" fillId="0" borderId="21" xfId="1" applyNumberFormat="1" applyFont="1" applyBorder="1" applyAlignment="1">
      <alignment horizontal="center" vertical="center" wrapText="1"/>
    </xf>
    <xf numFmtId="3" fontId="3" fillId="0" borderId="8" xfId="2" applyNumberFormat="1" applyFont="1" applyBorder="1" applyAlignment="1">
      <alignment horizontal="center" vertical="center" wrapText="1"/>
    </xf>
    <xf numFmtId="3" fontId="3" fillId="0" borderId="10" xfId="2" applyNumberFormat="1" applyFont="1" applyBorder="1" applyAlignment="1">
      <alignment horizontal="center" vertical="center" wrapText="1"/>
    </xf>
    <xf numFmtId="3" fontId="3" fillId="0" borderId="21" xfId="2" applyNumberFormat="1" applyFont="1" applyBorder="1" applyAlignment="1">
      <alignment horizontal="center" vertical="center" wrapText="1"/>
    </xf>
    <xf numFmtId="0" fontId="0" fillId="0" borderId="23" xfId="0" applyBorder="1" applyAlignment="1">
      <alignment horizontal="center" vertical="center" wrapText="1"/>
    </xf>
    <xf numFmtId="164" fontId="0" fillId="0" borderId="9" xfId="0" applyNumberFormat="1" applyBorder="1" applyAlignment="1">
      <alignment horizontal="center" vertical="center" wrapText="1"/>
    </xf>
    <xf numFmtId="164" fontId="0" fillId="0" borderId="24" xfId="0" applyNumberFormat="1" applyBorder="1" applyAlignment="1">
      <alignment horizontal="center" vertical="center" wrapText="1"/>
    </xf>
    <xf numFmtId="164" fontId="0" fillId="0" borderId="16" xfId="0" applyNumberFormat="1" applyBorder="1" applyAlignment="1">
      <alignment horizontal="center" vertical="center" wrapText="1"/>
    </xf>
    <xf numFmtId="3" fontId="3" fillId="0" borderId="26" xfId="2" applyNumberFormat="1" applyFont="1" applyBorder="1" applyAlignment="1">
      <alignment horizontal="center" vertical="center" wrapText="1"/>
    </xf>
    <xf numFmtId="164" fontId="0" fillId="0" borderId="28"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0" fillId="0" borderId="29" xfId="0" applyNumberFormat="1" applyBorder="1" applyAlignment="1">
      <alignment horizontal="center" vertical="center" wrapText="1"/>
    </xf>
    <xf numFmtId="0" fontId="2" fillId="4" borderId="2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7" xfId="0" applyFont="1" applyFill="1" applyBorder="1" applyAlignment="1">
      <alignment horizontal="center" vertical="center" wrapText="1"/>
    </xf>
    <xf numFmtId="164" fontId="0" fillId="0" borderId="8"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21" xfId="0" applyNumberFormat="1" applyBorder="1" applyAlignment="1">
      <alignment horizontal="center" vertical="center" wrapText="1"/>
    </xf>
    <xf numFmtId="164" fontId="0" fillId="0" borderId="31" xfId="0" applyNumberFormat="1" applyBorder="1" applyAlignment="1">
      <alignment horizontal="center" vertical="center" wrapText="1"/>
    </xf>
    <xf numFmtId="164" fontId="0" fillId="0" borderId="23" xfId="0" applyNumberFormat="1" applyBorder="1" applyAlignment="1">
      <alignment horizontal="center" vertical="center" wrapText="1"/>
    </xf>
    <xf numFmtId="164" fontId="1" fillId="0" borderId="2" xfId="1" applyNumberFormat="1" applyFont="1" applyBorder="1" applyAlignment="1">
      <alignment horizontal="center" vertical="center" wrapText="1"/>
    </xf>
    <xf numFmtId="164" fontId="1" fillId="0" borderId="32" xfId="1" applyNumberFormat="1" applyFont="1" applyBorder="1" applyAlignment="1">
      <alignment horizontal="center" vertical="center" wrapText="1"/>
    </xf>
    <xf numFmtId="0" fontId="2" fillId="4" borderId="2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165" fontId="0" fillId="0" borderId="1" xfId="1" applyNumberFormat="1" applyFont="1" applyFill="1" applyBorder="1" applyAlignment="1">
      <alignment horizontal="center" vertical="center" wrapText="1"/>
    </xf>
    <xf numFmtId="3" fontId="3" fillId="0" borderId="18" xfId="2" applyNumberFormat="1" applyFont="1" applyBorder="1" applyAlignment="1">
      <alignment horizontal="center" vertical="center" wrapText="1"/>
    </xf>
    <xf numFmtId="3" fontId="3" fillId="0" borderId="28" xfId="2" applyNumberFormat="1" applyFont="1" applyBorder="1" applyAlignment="1">
      <alignment horizontal="center" vertical="center" wrapText="1"/>
    </xf>
    <xf numFmtId="164" fontId="1" fillId="0" borderId="6" xfId="1" applyNumberFormat="1" applyFont="1" applyBorder="1" applyAlignment="1">
      <alignment horizontal="center" vertical="center" wrapText="1"/>
    </xf>
    <xf numFmtId="17" fontId="2" fillId="4" borderId="20"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7" fillId="2" borderId="16" xfId="0" applyFont="1" applyFill="1" applyBorder="1" applyAlignment="1">
      <alignment horizontal="center" vertical="center" wrapText="1"/>
    </xf>
    <xf numFmtId="17" fontId="2" fillId="4" borderId="39" xfId="0" applyNumberFormat="1" applyFont="1" applyFill="1" applyBorder="1" applyAlignment="1">
      <alignment horizontal="center" vertical="center" wrapText="1"/>
    </xf>
    <xf numFmtId="3" fontId="3" fillId="0" borderId="42" xfId="2"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4" borderId="41" xfId="0" applyFont="1" applyFill="1" applyBorder="1" applyAlignment="1">
      <alignment horizontal="center" vertical="center" wrapText="1"/>
    </xf>
    <xf numFmtId="164" fontId="1" fillId="0" borderId="34" xfId="1" applyNumberFormat="1" applyFont="1" applyBorder="1" applyAlignment="1">
      <alignment horizontal="center" vertical="center" wrapText="1"/>
    </xf>
    <xf numFmtId="164" fontId="1" fillId="0" borderId="7" xfId="1" applyNumberFormat="1" applyFont="1" applyBorder="1" applyAlignment="1">
      <alignment horizontal="center" vertical="center" wrapText="1"/>
    </xf>
    <xf numFmtId="164" fontId="1" fillId="0" borderId="35" xfId="1" applyNumberFormat="1" applyFont="1" applyBorder="1" applyAlignment="1">
      <alignment horizontal="center" vertical="center" wrapText="1"/>
    </xf>
    <xf numFmtId="164" fontId="1" fillId="0" borderId="11" xfId="1" applyNumberFormat="1" applyFont="1" applyBorder="1" applyAlignment="1">
      <alignment horizontal="center" vertical="center" wrapText="1"/>
    </xf>
    <xf numFmtId="164" fontId="1" fillId="0" borderId="12" xfId="1" applyNumberFormat="1" applyFont="1" applyBorder="1" applyAlignment="1">
      <alignment horizontal="center" vertical="center" wrapText="1"/>
    </xf>
    <xf numFmtId="164" fontId="0" fillId="0" borderId="12" xfId="1" applyNumberFormat="1" applyFont="1" applyBorder="1" applyAlignment="1">
      <alignment horizontal="center" vertical="center" wrapText="1"/>
    </xf>
    <xf numFmtId="165" fontId="0" fillId="0" borderId="45" xfId="1" applyNumberFormat="1" applyFont="1" applyBorder="1"/>
    <xf numFmtId="164" fontId="1" fillId="0" borderId="17" xfId="1" applyNumberFormat="1" applyFont="1" applyBorder="1" applyAlignment="1">
      <alignment horizontal="center" vertical="center" wrapText="1"/>
    </xf>
    <xf numFmtId="164" fontId="0" fillId="0" borderId="44"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0" fillId="0" borderId="35" xfId="0" applyNumberFormat="1" applyBorder="1" applyAlignment="1">
      <alignment horizontal="center" vertical="center" wrapText="1"/>
    </xf>
    <xf numFmtId="164" fontId="0" fillId="0" borderId="22" xfId="0" applyNumberFormat="1" applyBorder="1" applyAlignment="1">
      <alignment horizontal="center" vertical="center" wrapText="1"/>
    </xf>
    <xf numFmtId="164" fontId="0" fillId="0" borderId="12" xfId="0" applyNumberFormat="1" applyBorder="1" applyAlignment="1">
      <alignment horizontal="center" vertical="center" wrapText="1"/>
    </xf>
    <xf numFmtId="164" fontId="0" fillId="0" borderId="17" xfId="0" applyNumberFormat="1" applyBorder="1" applyAlignment="1">
      <alignment horizontal="center" vertical="center" wrapText="1"/>
    </xf>
    <xf numFmtId="0" fontId="2" fillId="2" borderId="1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2" fillId="4" borderId="46" xfId="0" applyFont="1" applyFill="1" applyBorder="1" applyAlignment="1">
      <alignment horizontal="center" vertical="center" wrapText="1"/>
    </xf>
    <xf numFmtId="17" fontId="6" fillId="5" borderId="39" xfId="0" applyNumberFormat="1" applyFont="1" applyFill="1" applyBorder="1" applyAlignment="1">
      <alignment horizontal="center" vertical="center" wrapText="1"/>
    </xf>
    <xf numFmtId="0" fontId="6" fillId="5" borderId="41" xfId="0" applyFont="1" applyFill="1" applyBorder="1" applyAlignment="1">
      <alignment horizontal="center" vertical="center" wrapText="1"/>
    </xf>
    <xf numFmtId="164" fontId="0" fillId="0" borderId="39" xfId="0" applyNumberFormat="1" applyBorder="1" applyAlignment="1">
      <alignment horizontal="center" vertical="center" wrapText="1"/>
    </xf>
    <xf numFmtId="164" fontId="0" fillId="0" borderId="40" xfId="0" applyNumberFormat="1" applyBorder="1" applyAlignment="1">
      <alignment horizontal="center" vertical="center" wrapText="1"/>
    </xf>
    <xf numFmtId="164" fontId="0" fillId="0" borderId="41" xfId="0" applyNumberFormat="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164" fontId="0" fillId="0" borderId="25" xfId="0" applyNumberFormat="1" applyBorder="1" applyAlignment="1">
      <alignment horizontal="center" vertical="center" wrapText="1"/>
    </xf>
    <xf numFmtId="43" fontId="0" fillId="0" borderId="9" xfId="1" applyNumberFormat="1" applyFont="1" applyFill="1" applyBorder="1" applyAlignment="1">
      <alignment horizontal="center" vertical="center" wrapText="1"/>
    </xf>
    <xf numFmtId="165" fontId="0" fillId="0" borderId="50" xfId="1" applyNumberFormat="1" applyFont="1" applyFill="1" applyBorder="1" applyAlignment="1">
      <alignment horizontal="center" vertical="center" wrapText="1"/>
    </xf>
    <xf numFmtId="165" fontId="0" fillId="0" borderId="9" xfId="1" applyNumberFormat="1" applyFont="1" applyFill="1" applyBorder="1" applyAlignment="1">
      <alignment horizontal="center" vertical="center" wrapText="1"/>
    </xf>
    <xf numFmtId="43" fontId="0" fillId="0" borderId="28" xfId="1" applyNumberFormat="1" applyFont="1" applyFill="1" applyBorder="1" applyAlignment="1">
      <alignment horizontal="center" vertical="center" wrapText="1"/>
    </xf>
    <xf numFmtId="43" fontId="0" fillId="0" borderId="1" xfId="1" applyNumberFormat="1" applyFont="1" applyFill="1" applyBorder="1" applyAlignment="1">
      <alignment horizontal="center" vertical="center" wrapText="1"/>
    </xf>
    <xf numFmtId="165" fontId="0" fillId="0" borderId="10" xfId="1" applyNumberFormat="1" applyFont="1" applyFill="1" applyBorder="1" applyAlignment="1">
      <alignment horizontal="center" vertical="center" wrapText="1"/>
    </xf>
    <xf numFmtId="43" fontId="0" fillId="0" borderId="4" xfId="1" applyNumberFormat="1" applyFont="1" applyFill="1" applyBorder="1" applyAlignment="1">
      <alignment horizontal="center" vertical="center" wrapText="1"/>
    </xf>
    <xf numFmtId="165" fontId="0" fillId="6" borderId="8" xfId="1" applyNumberFormat="1" applyFont="1" applyFill="1" applyBorder="1" applyAlignment="1">
      <alignment horizontal="center" vertical="center" wrapText="1"/>
    </xf>
    <xf numFmtId="165" fontId="0" fillId="6" borderId="9" xfId="1" applyNumberFormat="1" applyFont="1" applyFill="1" applyBorder="1" applyAlignment="1">
      <alignment horizontal="center" vertical="center" wrapText="1"/>
    </xf>
    <xf numFmtId="165" fontId="0" fillId="6" borderId="10" xfId="1" applyNumberFormat="1" applyFont="1" applyFill="1" applyBorder="1" applyAlignment="1">
      <alignment horizontal="center" vertical="center" wrapText="1"/>
    </xf>
    <xf numFmtId="165" fontId="0" fillId="6" borderId="1" xfId="1" applyNumberFormat="1" applyFont="1" applyFill="1" applyBorder="1" applyAlignment="1">
      <alignment horizontal="center" vertical="center" wrapText="1"/>
    </xf>
    <xf numFmtId="165" fontId="2" fillId="4" borderId="21" xfId="1" applyNumberFormat="1" applyFont="1" applyFill="1" applyBorder="1" applyAlignment="1">
      <alignment horizontal="center" vertical="center" wrapText="1"/>
    </xf>
    <xf numFmtId="165" fontId="2" fillId="4" borderId="16" xfId="1" applyNumberFormat="1" applyFont="1" applyFill="1" applyBorder="1" applyAlignment="1">
      <alignment horizontal="center" vertical="center" wrapText="1"/>
    </xf>
    <xf numFmtId="165" fontId="2" fillId="2" borderId="21" xfId="1" applyNumberFormat="1" applyFont="1" applyFill="1" applyBorder="1" applyAlignment="1">
      <alignment horizontal="center" vertical="center" wrapText="1"/>
    </xf>
    <xf numFmtId="165" fontId="2" fillId="2" borderId="16" xfId="1" applyNumberFormat="1" applyFont="1" applyFill="1" applyBorder="1" applyAlignment="1">
      <alignment horizontal="center" vertical="center" wrapText="1"/>
    </xf>
    <xf numFmtId="164" fontId="1" fillId="0" borderId="22" xfId="1" applyNumberFormat="1" applyFont="1" applyBorder="1" applyAlignment="1">
      <alignment horizontal="center" vertical="center" wrapText="1"/>
    </xf>
    <xf numFmtId="164" fontId="1" fillId="0" borderId="33" xfId="1" applyNumberFormat="1" applyFont="1" applyBorder="1" applyAlignment="1">
      <alignment horizontal="center" vertical="center" wrapText="1"/>
    </xf>
    <xf numFmtId="164" fontId="1" fillId="3" borderId="8" xfId="1" applyNumberFormat="1" applyFont="1" applyFill="1" applyBorder="1" applyAlignment="1">
      <alignment horizontal="center" vertical="center" wrapText="1"/>
    </xf>
    <xf numFmtId="164" fontId="1" fillId="3" borderId="9" xfId="1" applyNumberFormat="1" applyFont="1" applyFill="1" applyBorder="1" applyAlignment="1">
      <alignment horizontal="center" vertical="center" wrapText="1"/>
    </xf>
    <xf numFmtId="164" fontId="1" fillId="3" borderId="10" xfId="1" applyNumberFormat="1" applyFont="1" applyFill="1" applyBorder="1" applyAlignment="1">
      <alignment horizontal="center" vertical="center" wrapText="1"/>
    </xf>
    <xf numFmtId="164" fontId="1" fillId="3" borderId="1" xfId="1" applyNumberFormat="1" applyFont="1" applyFill="1" applyBorder="1" applyAlignment="1">
      <alignment horizontal="center" vertical="center" wrapText="1"/>
    </xf>
    <xf numFmtId="164" fontId="1" fillId="3" borderId="21" xfId="1" applyNumberFormat="1" applyFont="1" applyFill="1" applyBorder="1" applyAlignment="1">
      <alignment horizontal="center" vertical="center" wrapText="1"/>
    </xf>
    <xf numFmtId="164" fontId="1" fillId="3" borderId="16" xfId="1" applyNumberFormat="1" applyFont="1" applyFill="1" applyBorder="1" applyAlignment="1">
      <alignment horizontal="center" vertical="center" wrapText="1"/>
    </xf>
    <xf numFmtId="164" fontId="0" fillId="0" borderId="52" xfId="0" applyNumberFormat="1" applyBorder="1" applyAlignment="1">
      <alignment horizontal="center" vertical="center" wrapText="1"/>
    </xf>
    <xf numFmtId="164" fontId="0" fillId="0" borderId="30" xfId="0" applyNumberFormat="1" applyBorder="1" applyAlignment="1">
      <alignment horizontal="center" vertical="center" wrapText="1"/>
    </xf>
    <xf numFmtId="164" fontId="0" fillId="0" borderId="0" xfId="0" applyNumberFormat="1" applyBorder="1" applyAlignment="1">
      <alignment horizontal="center" vertical="center" wrapText="1"/>
    </xf>
    <xf numFmtId="165" fontId="0" fillId="4" borderId="41" xfId="1" applyNumberFormat="1" applyFont="1" applyFill="1" applyBorder="1" applyAlignment="1">
      <alignment horizontal="center" vertical="center" wrapText="1"/>
    </xf>
    <xf numFmtId="165" fontId="0" fillId="3" borderId="39" xfId="1" applyNumberFormat="1" applyFont="1" applyFill="1" applyBorder="1" applyAlignment="1">
      <alignment horizontal="center" vertical="center" wrapText="1"/>
    </xf>
    <xf numFmtId="165" fontId="0" fillId="3" borderId="40" xfId="1" applyNumberFormat="1" applyFont="1" applyFill="1" applyBorder="1" applyAlignment="1">
      <alignment horizontal="center" vertical="center" wrapText="1"/>
    </xf>
    <xf numFmtId="165" fontId="0" fillId="3" borderId="41" xfId="1" applyNumberFormat="1" applyFont="1" applyFill="1" applyBorder="1" applyAlignment="1">
      <alignment horizontal="center" vertical="center" wrapText="1"/>
    </xf>
    <xf numFmtId="164" fontId="1" fillId="0" borderId="40" xfId="1" applyNumberFormat="1" applyFont="1" applyBorder="1" applyAlignment="1">
      <alignment horizontal="center" vertical="center" wrapText="1"/>
    </xf>
    <xf numFmtId="164" fontId="1" fillId="0" borderId="41" xfId="1" applyNumberFormat="1" applyFont="1" applyBorder="1" applyAlignment="1">
      <alignment horizontal="center" vertical="center" wrapText="1"/>
    </xf>
    <xf numFmtId="0" fontId="7" fillId="2" borderId="29" xfId="0" applyFont="1" applyFill="1" applyBorder="1" applyAlignment="1">
      <alignment horizontal="center" vertical="center" wrapText="1"/>
    </xf>
    <xf numFmtId="164" fontId="1" fillId="0" borderId="43" xfId="1" applyNumberFormat="1" applyFont="1" applyBorder="1" applyAlignment="1">
      <alignment horizontal="center" vertical="center" wrapText="1"/>
    </xf>
    <xf numFmtId="164" fontId="0" fillId="0" borderId="38" xfId="0" applyNumberFormat="1" applyBorder="1" applyAlignment="1">
      <alignment horizontal="center" vertical="center" wrapText="1"/>
    </xf>
    <xf numFmtId="164" fontId="1" fillId="3" borderId="2" xfId="1" applyNumberFormat="1" applyFont="1" applyFill="1" applyBorder="1" applyAlignment="1">
      <alignment horizontal="center" vertical="center" wrapText="1"/>
    </xf>
    <xf numFmtId="164" fontId="0" fillId="3" borderId="1" xfId="1" applyNumberFormat="1" applyFont="1" applyFill="1" applyBorder="1" applyAlignment="1">
      <alignment horizontal="center" vertical="center" wrapText="1"/>
    </xf>
    <xf numFmtId="165" fontId="0" fillId="3" borderId="0" xfId="1" applyNumberFormat="1" applyFont="1" applyFill="1" applyBorder="1"/>
    <xf numFmtId="164" fontId="1" fillId="3" borderId="6" xfId="1" applyNumberFormat="1" applyFont="1" applyFill="1" applyBorder="1" applyAlignment="1">
      <alignment horizontal="center" vertical="center" wrapText="1"/>
    </xf>
    <xf numFmtId="3" fontId="3" fillId="0" borderId="54" xfId="2" applyNumberFormat="1" applyFont="1" applyBorder="1" applyAlignment="1">
      <alignment horizontal="center" vertical="center" wrapText="1"/>
    </xf>
    <xf numFmtId="3" fontId="3" fillId="0" borderId="14" xfId="2" applyNumberFormat="1" applyFont="1" applyBorder="1" applyAlignment="1">
      <alignment horizontal="center" vertical="center" wrapText="1"/>
    </xf>
    <xf numFmtId="165" fontId="2" fillId="4" borderId="17" xfId="1" applyNumberFormat="1" applyFont="1" applyFill="1" applyBorder="1" applyAlignment="1">
      <alignment horizontal="center" vertical="center" wrapText="1"/>
    </xf>
    <xf numFmtId="165" fontId="2" fillId="2" borderId="17" xfId="1" applyNumberFormat="1" applyFont="1" applyFill="1" applyBorder="1" applyAlignment="1">
      <alignment horizontal="center" vertical="center" wrapText="1"/>
    </xf>
    <xf numFmtId="164" fontId="0" fillId="0" borderId="13" xfId="0" applyNumberFormat="1" applyBorder="1" applyAlignment="1">
      <alignment horizontal="center" vertical="center" wrapText="1"/>
    </xf>
    <xf numFmtId="166" fontId="0" fillId="0" borderId="22" xfId="0" applyNumberFormat="1" applyBorder="1" applyAlignment="1">
      <alignment horizontal="center" vertical="center" wrapText="1"/>
    </xf>
    <xf numFmtId="166" fontId="0" fillId="0" borderId="12" xfId="0" applyNumberFormat="1" applyBorder="1" applyAlignment="1">
      <alignment horizontal="center" vertical="center" wrapText="1"/>
    </xf>
    <xf numFmtId="166" fontId="0" fillId="0" borderId="17" xfId="0" applyNumberFormat="1" applyBorder="1" applyAlignment="1">
      <alignment horizontal="center" vertical="center" wrapText="1"/>
    </xf>
    <xf numFmtId="166" fontId="0" fillId="0" borderId="25" xfId="0" applyNumberFormat="1" applyBorder="1" applyAlignment="1">
      <alignment horizontal="center" vertical="center" wrapText="1"/>
    </xf>
    <xf numFmtId="166" fontId="0" fillId="0" borderId="9" xfId="0" applyNumberFormat="1" applyBorder="1" applyAlignment="1">
      <alignment horizontal="center" vertical="center" wrapText="1"/>
    </xf>
    <xf numFmtId="166" fontId="0" fillId="0" borderId="1" xfId="0" applyNumberFormat="1" applyBorder="1" applyAlignment="1">
      <alignment horizontal="center" vertical="center" wrapText="1"/>
    </xf>
    <xf numFmtId="166" fontId="0" fillId="0" borderId="16" xfId="0" applyNumberFormat="1" applyBorder="1" applyAlignment="1">
      <alignment horizontal="center" vertical="center" wrapText="1"/>
    </xf>
    <xf numFmtId="166" fontId="0" fillId="0" borderId="31" xfId="0" applyNumberFormat="1" applyBorder="1" applyAlignment="1">
      <alignment horizontal="center" vertical="center" wrapText="1"/>
    </xf>
    <xf numFmtId="166" fontId="0" fillId="0" borderId="24" xfId="0" applyNumberFormat="1" applyBorder="1" applyAlignment="1">
      <alignment horizontal="center" vertical="center" wrapText="1"/>
    </xf>
    <xf numFmtId="4" fontId="0" fillId="0" borderId="22" xfId="0" applyNumberFormat="1" applyBorder="1" applyAlignment="1">
      <alignment horizontal="center" vertical="center" wrapText="1"/>
    </xf>
    <xf numFmtId="4" fontId="0" fillId="0" borderId="12" xfId="0" applyNumberFormat="1" applyBorder="1" applyAlignment="1">
      <alignment horizontal="center" vertical="center" wrapText="1"/>
    </xf>
    <xf numFmtId="4" fontId="0" fillId="0" borderId="17" xfId="0" applyNumberFormat="1" applyBorder="1" applyAlignment="1">
      <alignment horizontal="center" vertical="center" wrapText="1"/>
    </xf>
    <xf numFmtId="4" fontId="0" fillId="0" borderId="0" xfId="0" applyNumberFormat="1" applyAlignment="1">
      <alignment horizontal="center" vertical="center" wrapText="1"/>
    </xf>
    <xf numFmtId="4" fontId="0" fillId="0" borderId="25" xfId="0" applyNumberFormat="1" applyBorder="1" applyAlignment="1">
      <alignment horizontal="center" vertical="center" wrapText="1"/>
    </xf>
    <xf numFmtId="164" fontId="0" fillId="0" borderId="55" xfId="0" applyNumberFormat="1" applyBorder="1" applyAlignment="1">
      <alignment horizontal="center" vertical="center" wrapText="1"/>
    </xf>
    <xf numFmtId="165" fontId="2" fillId="0" borderId="0" xfId="1" applyNumberFormat="1" applyFont="1" applyFill="1" applyBorder="1" applyAlignment="1">
      <alignment horizontal="center" vertical="center" wrapText="1"/>
    </xf>
    <xf numFmtId="164" fontId="0" fillId="0" borderId="0" xfId="0" applyNumberFormat="1" applyFill="1" applyBorder="1" applyAlignment="1">
      <alignment horizontal="center" vertical="center" wrapText="1"/>
    </xf>
    <xf numFmtId="166" fontId="0" fillId="0" borderId="0" xfId="0" applyNumberFormat="1" applyFill="1" applyBorder="1" applyAlignment="1">
      <alignment horizontal="center" vertical="center" wrapText="1"/>
    </xf>
    <xf numFmtId="17" fontId="2" fillId="0" borderId="0" xfId="0" applyNumberFormat="1" applyFont="1" applyFill="1" applyBorder="1" applyAlignment="1">
      <alignment vertical="center" wrapText="1"/>
    </xf>
    <xf numFmtId="0" fontId="0" fillId="0" borderId="38" xfId="0" applyBorder="1" applyAlignment="1">
      <alignment horizontal="center" vertical="center" wrapText="1"/>
    </xf>
    <xf numFmtId="0" fontId="0" fillId="0" borderId="0" xfId="0" applyAlignment="1">
      <alignment horizontal="left" vertical="center" wrapText="1"/>
    </xf>
    <xf numFmtId="2" fontId="0" fillId="7" borderId="12" xfId="0" applyNumberFormat="1" applyFill="1" applyBorder="1" applyAlignment="1">
      <alignment horizontal="center" vertical="center" wrapText="1"/>
    </xf>
    <xf numFmtId="166" fontId="1" fillId="0" borderId="2" xfId="1" applyNumberFormat="1" applyFont="1" applyBorder="1" applyAlignment="1">
      <alignment horizontal="center" vertical="center" wrapText="1"/>
    </xf>
    <xf numFmtId="166" fontId="1" fillId="0" borderId="1" xfId="1" applyNumberFormat="1" applyFont="1" applyBorder="1" applyAlignment="1">
      <alignment horizontal="center" vertical="center" wrapText="1"/>
    </xf>
    <xf numFmtId="166" fontId="1" fillId="0" borderId="16" xfId="1" applyNumberFormat="1" applyFont="1" applyBorder="1" applyAlignment="1">
      <alignment horizontal="center" vertical="center" wrapText="1"/>
    </xf>
    <xf numFmtId="166" fontId="1" fillId="0" borderId="6" xfId="1" applyNumberFormat="1" applyFont="1" applyBorder="1" applyAlignment="1">
      <alignment horizontal="center" vertical="center" wrapText="1"/>
    </xf>
    <xf numFmtId="3" fontId="1" fillId="0" borderId="1" xfId="1" applyNumberFormat="1" applyFont="1" applyBorder="1" applyAlignment="1">
      <alignment horizontal="center" vertical="center" wrapText="1"/>
    </xf>
    <xf numFmtId="3" fontId="1" fillId="0" borderId="16" xfId="1" applyNumberFormat="1" applyFont="1" applyBorder="1" applyAlignment="1">
      <alignment horizontal="center" vertical="center" wrapText="1"/>
    </xf>
    <xf numFmtId="165" fontId="0" fillId="0" borderId="1" xfId="1" applyNumberFormat="1" applyFont="1" applyBorder="1" applyAlignment="1">
      <alignment horizontal="center" vertical="center" wrapText="1"/>
    </xf>
    <xf numFmtId="3" fontId="0" fillId="0" borderId="9"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6" xfId="0" applyNumberFormat="1" applyBorder="1" applyAlignment="1">
      <alignment horizontal="center" vertical="center" wrapText="1"/>
    </xf>
    <xf numFmtId="3" fontId="0" fillId="0" borderId="0" xfId="0" applyNumberFormat="1" applyAlignment="1">
      <alignment horizontal="center" vertical="center" wrapText="1"/>
    </xf>
    <xf numFmtId="3" fontId="0" fillId="0" borderId="24" xfId="0" applyNumberFormat="1" applyBorder="1" applyAlignment="1">
      <alignment horizontal="center" vertical="center" wrapText="1"/>
    </xf>
    <xf numFmtId="164" fontId="0" fillId="0" borderId="9"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6" xfId="0" applyNumberFormat="1" applyFill="1" applyBorder="1" applyAlignment="1">
      <alignment horizontal="center" vertical="center" wrapText="1"/>
    </xf>
    <xf numFmtId="164" fontId="0" fillId="6" borderId="24" xfId="0" applyNumberFormat="1" applyFill="1" applyBorder="1" applyAlignment="1">
      <alignment horizontal="center" vertical="center" wrapText="1"/>
    </xf>
    <xf numFmtId="3" fontId="1" fillId="0" borderId="2" xfId="1" applyNumberFormat="1" applyFont="1" applyBorder="1" applyAlignment="1">
      <alignment horizontal="center" vertical="center" wrapText="1"/>
    </xf>
    <xf numFmtId="3" fontId="0" fillId="0" borderId="22" xfId="0" applyNumberFormat="1" applyBorder="1" applyAlignment="1">
      <alignment horizontal="center" vertical="center" wrapText="1"/>
    </xf>
    <xf numFmtId="3" fontId="0" fillId="0" borderId="12" xfId="0" applyNumberFormat="1" applyBorder="1" applyAlignment="1">
      <alignment horizontal="center" vertical="center" wrapText="1"/>
    </xf>
    <xf numFmtId="3" fontId="0" fillId="0" borderId="17" xfId="0" applyNumberFormat="1" applyBorder="1" applyAlignment="1">
      <alignment horizontal="center" vertical="center" wrapText="1"/>
    </xf>
    <xf numFmtId="3" fontId="0" fillId="0" borderId="25" xfId="0" applyNumberFormat="1" applyBorder="1" applyAlignment="1">
      <alignment horizontal="center" vertical="center" wrapText="1"/>
    </xf>
    <xf numFmtId="3" fontId="0" fillId="0" borderId="3" xfId="0" applyNumberFormat="1" applyBorder="1" applyAlignment="1">
      <alignment horizontal="center" vertical="center" wrapText="1"/>
    </xf>
    <xf numFmtId="3" fontId="0" fillId="0" borderId="4" xfId="0" applyNumberFormat="1" applyBorder="1" applyAlignment="1">
      <alignment horizontal="center" vertical="center" wrapText="1"/>
    </xf>
    <xf numFmtId="3" fontId="0" fillId="0" borderId="29" xfId="0" applyNumberFormat="1" applyBorder="1" applyAlignment="1">
      <alignment horizontal="center" vertical="center" wrapText="1"/>
    </xf>
    <xf numFmtId="166" fontId="0" fillId="7" borderId="28" xfId="0" applyNumberFormat="1" applyFill="1" applyBorder="1" applyAlignment="1">
      <alignment horizontal="center" vertical="center" wrapText="1"/>
    </xf>
    <xf numFmtId="166" fontId="0" fillId="0" borderId="4" xfId="0" applyNumberFormat="1" applyBorder="1" applyAlignment="1">
      <alignment horizontal="center" vertical="center" wrapText="1"/>
    </xf>
    <xf numFmtId="166" fontId="0" fillId="0" borderId="29" xfId="0" applyNumberFormat="1" applyBorder="1" applyAlignment="1">
      <alignment horizontal="center" vertical="center" wrapText="1"/>
    </xf>
    <xf numFmtId="166" fontId="0" fillId="7" borderId="9" xfId="0" applyNumberFormat="1" applyFill="1" applyBorder="1" applyAlignment="1">
      <alignment horizontal="center" vertical="center" wrapText="1"/>
    </xf>
    <xf numFmtId="166" fontId="0" fillId="7" borderId="22" xfId="0" applyNumberFormat="1" applyFill="1" applyBorder="1" applyAlignment="1">
      <alignment horizontal="center" vertical="center" wrapText="1"/>
    </xf>
    <xf numFmtId="164" fontId="0" fillId="0" borderId="0" xfId="0" applyNumberFormat="1" applyAlignment="1">
      <alignment horizontal="center" vertical="center" wrapText="1"/>
    </xf>
    <xf numFmtId="2" fontId="0" fillId="0" borderId="0" xfId="0" applyNumberFormat="1" applyAlignment="1">
      <alignment horizontal="center" vertical="center" wrapText="1"/>
    </xf>
    <xf numFmtId="164" fontId="1" fillId="0" borderId="39" xfId="1" applyNumberFormat="1" applyFont="1" applyBorder="1" applyAlignment="1">
      <alignment horizontal="center" vertical="center" wrapText="1"/>
    </xf>
    <xf numFmtId="3" fontId="1" fillId="0" borderId="3" xfId="1" applyNumberFormat="1" applyFont="1" applyBorder="1" applyAlignment="1">
      <alignment horizontal="center" vertical="center" wrapText="1"/>
    </xf>
    <xf numFmtId="3" fontId="1" fillId="0" borderId="4" xfId="1" applyNumberFormat="1" applyFont="1" applyBorder="1" applyAlignment="1">
      <alignment horizontal="center" vertical="center" wrapText="1"/>
    </xf>
    <xf numFmtId="3" fontId="1" fillId="0" borderId="29" xfId="1" applyNumberFormat="1" applyFont="1" applyBorder="1" applyAlignment="1">
      <alignment horizontal="center" vertical="center" wrapText="1"/>
    </xf>
    <xf numFmtId="3" fontId="0" fillId="0" borderId="30" xfId="0" applyNumberFormat="1" applyBorder="1" applyAlignment="1">
      <alignment horizontal="center" vertical="center" wrapText="1"/>
    </xf>
    <xf numFmtId="3" fontId="0" fillId="0" borderId="40" xfId="0" applyNumberFormat="1" applyBorder="1" applyAlignment="1">
      <alignment horizontal="center" vertical="center" wrapText="1"/>
    </xf>
    <xf numFmtId="3" fontId="0" fillId="0" borderId="41" xfId="0" applyNumberFormat="1" applyBorder="1" applyAlignment="1">
      <alignment horizontal="center" vertical="center" wrapText="1"/>
    </xf>
    <xf numFmtId="1" fontId="0" fillId="0" borderId="0" xfId="0" applyNumberFormat="1" applyAlignment="1">
      <alignment horizontal="center" vertical="center" wrapText="1"/>
    </xf>
    <xf numFmtId="164" fontId="0" fillId="3" borderId="39" xfId="1" applyNumberFormat="1" applyFont="1" applyFill="1" applyBorder="1" applyAlignment="1">
      <alignment horizontal="center" vertical="center" wrapText="1"/>
    </xf>
    <xf numFmtId="164" fontId="0" fillId="0" borderId="39" xfId="1" applyNumberFormat="1" applyFont="1" applyFill="1" applyBorder="1" applyAlignment="1">
      <alignment horizontal="center" vertical="center" wrapText="1"/>
    </xf>
    <xf numFmtId="164" fontId="0" fillId="3" borderId="40" xfId="1" applyNumberFormat="1" applyFont="1" applyFill="1" applyBorder="1" applyAlignment="1">
      <alignment horizontal="center" vertical="center" wrapText="1"/>
    </xf>
    <xf numFmtId="164" fontId="0" fillId="0" borderId="40" xfId="1" applyNumberFormat="1" applyFont="1" applyFill="1" applyBorder="1" applyAlignment="1">
      <alignment horizontal="center" vertical="center" wrapText="1"/>
    </xf>
    <xf numFmtId="164" fontId="0" fillId="3" borderId="41" xfId="1" applyNumberFormat="1" applyFont="1" applyFill="1" applyBorder="1" applyAlignment="1">
      <alignment horizontal="center" vertical="center" wrapText="1"/>
    </xf>
    <xf numFmtId="164" fontId="0" fillId="0" borderId="41" xfId="1" applyNumberFormat="1" applyFont="1" applyFill="1" applyBorder="1" applyAlignment="1">
      <alignment horizontal="center" vertical="center" wrapText="1"/>
    </xf>
    <xf numFmtId="3" fontId="0" fillId="8" borderId="43" xfId="0" applyNumberFormat="1" applyFill="1" applyBorder="1" applyAlignment="1">
      <alignment horizontal="center" vertical="center" wrapText="1"/>
    </xf>
    <xf numFmtId="3" fontId="0" fillId="0" borderId="20" xfId="0" applyNumberFormat="1" applyBorder="1" applyAlignment="1">
      <alignment horizontal="center" vertical="center" wrapText="1"/>
    </xf>
    <xf numFmtId="3" fontId="0" fillId="0" borderId="47" xfId="0" applyNumberFormat="1" applyBorder="1" applyAlignment="1">
      <alignment horizontal="center" vertical="center" wrapText="1"/>
    </xf>
    <xf numFmtId="3" fontId="0" fillId="0" borderId="46" xfId="0" applyNumberFormat="1" applyBorder="1" applyAlignment="1">
      <alignment horizontal="center" vertical="center" wrapText="1"/>
    </xf>
    <xf numFmtId="164" fontId="0" fillId="0" borderId="53" xfId="1" applyNumberFormat="1" applyFont="1" applyBorder="1" applyAlignment="1">
      <alignment horizontal="center" vertical="center" wrapText="1"/>
    </xf>
    <xf numFmtId="3" fontId="0" fillId="8" borderId="40" xfId="0" applyNumberFormat="1" applyFill="1" applyBorder="1" applyAlignment="1">
      <alignment horizontal="center" vertical="center" wrapText="1"/>
    </xf>
    <xf numFmtId="166" fontId="1" fillId="0" borderId="32" xfId="1" applyNumberFormat="1" applyFont="1" applyBorder="1" applyAlignment="1">
      <alignment horizontal="center" vertical="center" wrapText="1"/>
    </xf>
    <xf numFmtId="166" fontId="1" fillId="0" borderId="10" xfId="1" applyNumberFormat="1" applyFont="1" applyBorder="1" applyAlignment="1">
      <alignment horizontal="center" vertical="center" wrapText="1"/>
    </xf>
    <xf numFmtId="0" fontId="0" fillId="0" borderId="45" xfId="0" applyBorder="1" applyAlignment="1">
      <alignment horizontal="center" vertical="center" wrapText="1"/>
    </xf>
    <xf numFmtId="166" fontId="1" fillId="0" borderId="21" xfId="1" applyNumberFormat="1" applyFont="1" applyBorder="1" applyAlignment="1">
      <alignment horizontal="center" vertical="center" wrapText="1"/>
    </xf>
    <xf numFmtId="3" fontId="1" fillId="0" borderId="11" xfId="1" applyNumberFormat="1" applyFont="1" applyBorder="1" applyAlignment="1">
      <alignment horizontal="center" vertical="center" wrapText="1"/>
    </xf>
    <xf numFmtId="3" fontId="1" fillId="0" borderId="12" xfId="1" applyNumberFormat="1" applyFont="1" applyBorder="1" applyAlignment="1">
      <alignment horizontal="center" vertical="center" wrapText="1"/>
    </xf>
    <xf numFmtId="3" fontId="1" fillId="0" borderId="17" xfId="1" applyNumberFormat="1" applyFont="1" applyBorder="1" applyAlignment="1">
      <alignment horizontal="center" vertical="center" wrapText="1"/>
    </xf>
    <xf numFmtId="3" fontId="0" fillId="0" borderId="45" xfId="1" applyNumberFormat="1" applyFont="1" applyBorder="1" applyAlignment="1">
      <alignment horizontal="center"/>
    </xf>
    <xf numFmtId="3" fontId="1" fillId="0" borderId="12" xfId="1" applyNumberFormat="1" applyFont="1" applyBorder="1" applyAlignment="1">
      <alignment horizontal="center"/>
    </xf>
    <xf numFmtId="3" fontId="0" fillId="0" borderId="28" xfId="0" applyNumberFormat="1" applyBorder="1" applyAlignment="1">
      <alignment horizontal="center" vertical="center" wrapText="1"/>
    </xf>
    <xf numFmtId="3" fontId="0" fillId="0" borderId="31" xfId="0" applyNumberFormat="1" applyBorder="1" applyAlignment="1">
      <alignment horizontal="center" vertical="center" wrapText="1"/>
    </xf>
    <xf numFmtId="164" fontId="1" fillId="8" borderId="1" xfId="1" applyNumberFormat="1" applyFont="1" applyFill="1" applyBorder="1" applyAlignment="1">
      <alignment horizontal="center" vertical="center" wrapText="1"/>
    </xf>
    <xf numFmtId="164" fontId="0" fillId="9" borderId="39" xfId="1" applyNumberFormat="1" applyFont="1" applyFill="1" applyBorder="1" applyAlignment="1">
      <alignment horizontal="center" vertical="center" wrapText="1"/>
    </xf>
    <xf numFmtId="164" fontId="0" fillId="9" borderId="40" xfId="1" applyNumberFormat="1" applyFont="1" applyFill="1" applyBorder="1" applyAlignment="1">
      <alignment horizontal="center" vertical="center" wrapText="1"/>
    </xf>
    <xf numFmtId="164" fontId="0" fillId="9" borderId="41" xfId="1" applyNumberFormat="1" applyFont="1" applyFill="1" applyBorder="1" applyAlignment="1">
      <alignment horizontal="center" vertical="center" wrapText="1"/>
    </xf>
    <xf numFmtId="1" fontId="2" fillId="4" borderId="39" xfId="0" applyNumberFormat="1" applyFont="1" applyFill="1" applyBorder="1" applyAlignment="1">
      <alignment horizontal="center" vertical="center" wrapText="1"/>
    </xf>
    <xf numFmtId="165" fontId="2" fillId="4" borderId="41" xfId="1" applyNumberFormat="1" applyFont="1" applyFill="1" applyBorder="1" applyAlignment="1">
      <alignment horizontal="center" vertical="center" wrapText="1"/>
    </xf>
    <xf numFmtId="0" fontId="9" fillId="0" borderId="0" xfId="3" applyFont="1"/>
    <xf numFmtId="49" fontId="10" fillId="0" borderId="0" xfId="3" applyNumberFormat="1" applyFont="1" applyAlignment="1">
      <alignment horizontal="left"/>
    </xf>
    <xf numFmtId="0" fontId="1" fillId="0" borderId="0" xfId="0" applyFont="1"/>
    <xf numFmtId="49" fontId="9" fillId="0" borderId="0" xfId="3" applyNumberFormat="1" applyFont="1" applyAlignment="1">
      <alignment horizontal="left"/>
    </xf>
    <xf numFmtId="49" fontId="11" fillId="10" borderId="50" xfId="3" applyNumberFormat="1" applyFont="1" applyFill="1" applyBorder="1"/>
    <xf numFmtId="49" fontId="11" fillId="10" borderId="36" xfId="3" applyNumberFormat="1" applyFont="1" applyFill="1" applyBorder="1"/>
    <xf numFmtId="49" fontId="11" fillId="10" borderId="36" xfId="3" applyNumberFormat="1" applyFont="1" applyFill="1" applyBorder="1" applyAlignment="1">
      <alignment horizontal="left"/>
    </xf>
    <xf numFmtId="49" fontId="9" fillId="10" borderId="36" xfId="3" applyNumberFormat="1" applyFont="1" applyFill="1" applyBorder="1"/>
    <xf numFmtId="49" fontId="9" fillId="10" borderId="51" xfId="3" applyNumberFormat="1" applyFont="1" applyFill="1" applyBorder="1"/>
    <xf numFmtId="49" fontId="10" fillId="0" borderId="0" xfId="3" applyNumberFormat="1" applyFont="1"/>
    <xf numFmtId="49" fontId="11" fillId="10" borderId="56" xfId="3" applyNumberFormat="1" applyFont="1" applyFill="1" applyBorder="1" applyAlignment="1">
      <alignment horizontal="left"/>
    </xf>
    <xf numFmtId="49" fontId="11" fillId="10" borderId="0" xfId="3" applyNumberFormat="1" applyFont="1" applyFill="1" applyAlignment="1">
      <alignment horizontal="left"/>
    </xf>
    <xf numFmtId="49" fontId="12" fillId="10" borderId="0" xfId="3" applyNumberFormat="1" applyFont="1" applyFill="1" applyAlignment="1">
      <alignment horizontal="left"/>
    </xf>
    <xf numFmtId="49" fontId="10" fillId="10" borderId="0" xfId="3" applyNumberFormat="1" applyFont="1" applyFill="1" applyAlignment="1">
      <alignment horizontal="center"/>
    </xf>
    <xf numFmtId="49" fontId="9" fillId="10" borderId="0" xfId="3" applyNumberFormat="1" applyFont="1" applyFill="1"/>
    <xf numFmtId="49" fontId="9" fillId="10" borderId="45" xfId="3" applyNumberFormat="1" applyFont="1" applyFill="1" applyBorder="1"/>
    <xf numFmtId="49" fontId="11" fillId="10" borderId="56" xfId="3" applyNumberFormat="1" applyFont="1" applyFill="1" applyBorder="1"/>
    <xf numFmtId="49" fontId="11" fillId="10" borderId="0" xfId="3" applyNumberFormat="1" applyFont="1" applyFill="1"/>
    <xf numFmtId="49" fontId="11" fillId="10" borderId="65" xfId="3" applyNumberFormat="1" applyFont="1" applyFill="1" applyBorder="1"/>
    <xf numFmtId="49" fontId="12" fillId="10" borderId="66" xfId="3" applyNumberFormat="1" applyFont="1" applyFill="1" applyBorder="1" applyAlignment="1">
      <alignment horizontal="left"/>
    </xf>
    <xf numFmtId="49" fontId="13" fillId="10" borderId="66" xfId="3" applyNumberFormat="1" applyFont="1" applyFill="1" applyBorder="1" applyAlignment="1">
      <alignment horizontal="left" vertical="center"/>
    </xf>
    <xf numFmtId="49" fontId="11" fillId="10" borderId="66" xfId="3" applyNumberFormat="1" applyFont="1" applyFill="1" applyBorder="1"/>
    <xf numFmtId="49" fontId="9" fillId="10" borderId="66" xfId="3" applyNumberFormat="1" applyFont="1" applyFill="1" applyBorder="1"/>
    <xf numFmtId="49" fontId="9" fillId="10" borderId="67" xfId="3" applyNumberFormat="1" applyFont="1" applyFill="1" applyBorder="1"/>
    <xf numFmtId="49" fontId="9" fillId="0" borderId="0" xfId="3" applyNumberFormat="1" applyFont="1"/>
    <xf numFmtId="49" fontId="11" fillId="0" borderId="0" xfId="3" applyNumberFormat="1" applyFont="1"/>
    <xf numFmtId="49" fontId="12" fillId="0" borderId="0" xfId="3" applyNumberFormat="1" applyFont="1" applyAlignment="1">
      <alignment horizontal="left"/>
    </xf>
    <xf numFmtId="49" fontId="13" fillId="0" borderId="0" xfId="3" applyNumberFormat="1" applyFont="1" applyAlignment="1">
      <alignment horizontal="left" vertical="center"/>
    </xf>
    <xf numFmtId="49" fontId="12" fillId="10" borderId="36" xfId="3" applyNumberFormat="1" applyFont="1" applyFill="1" applyBorder="1" applyAlignment="1">
      <alignment horizontal="left"/>
    </xf>
    <xf numFmtId="49" fontId="13" fillId="10" borderId="36" xfId="3" applyNumberFormat="1" applyFont="1" applyFill="1" applyBorder="1" applyAlignment="1">
      <alignment horizontal="left" vertical="center"/>
    </xf>
    <xf numFmtId="49" fontId="11" fillId="10" borderId="68" xfId="3" applyNumberFormat="1" applyFont="1" applyFill="1" applyBorder="1"/>
    <xf numFmtId="49" fontId="15" fillId="0" borderId="0" xfId="3" applyNumberFormat="1" applyFont="1"/>
    <xf numFmtId="49" fontId="16" fillId="0" borderId="0" xfId="3" applyNumberFormat="1" applyFont="1" applyAlignment="1">
      <alignment horizontal="left"/>
    </xf>
    <xf numFmtId="49" fontId="17" fillId="0" borderId="0" xfId="3" applyNumberFormat="1" applyFont="1" applyAlignment="1">
      <alignment horizontal="left" vertical="center"/>
    </xf>
    <xf numFmtId="49" fontId="11" fillId="10" borderId="51" xfId="3" applyNumberFormat="1" applyFont="1" applyFill="1" applyBorder="1"/>
    <xf numFmtId="49" fontId="12" fillId="10" borderId="56" xfId="3" applyNumberFormat="1" applyFont="1" applyFill="1" applyBorder="1" applyAlignment="1">
      <alignment horizontal="center" wrapText="1"/>
    </xf>
    <xf numFmtId="49" fontId="12" fillId="10" borderId="0" xfId="3" applyNumberFormat="1" applyFont="1" applyFill="1" applyAlignment="1">
      <alignment horizontal="center" wrapText="1"/>
    </xf>
    <xf numFmtId="49" fontId="12" fillId="10" borderId="45" xfId="3" applyNumberFormat="1" applyFont="1" applyFill="1" applyBorder="1" applyAlignment="1">
      <alignment horizontal="center" wrapText="1"/>
    </xf>
    <xf numFmtId="49" fontId="13" fillId="10" borderId="74" xfId="3" applyNumberFormat="1" applyFont="1" applyFill="1" applyBorder="1" applyAlignment="1">
      <alignment horizontal="left" vertical="center"/>
    </xf>
    <xf numFmtId="49" fontId="11" fillId="10" borderId="45" xfId="3" applyNumberFormat="1" applyFont="1" applyFill="1" applyBorder="1"/>
    <xf numFmtId="49" fontId="11" fillId="10" borderId="74" xfId="3" applyNumberFormat="1" applyFont="1" applyFill="1" applyBorder="1" applyAlignment="1">
      <alignment vertical="center"/>
    </xf>
    <xf numFmtId="49" fontId="11" fillId="10" borderId="0" xfId="3" applyNumberFormat="1" applyFont="1" applyFill="1" applyAlignment="1">
      <alignment horizontal="left" vertical="center"/>
    </xf>
    <xf numFmtId="49" fontId="11" fillId="10" borderId="67" xfId="3" applyNumberFormat="1" applyFont="1" applyFill="1" applyBorder="1"/>
    <xf numFmtId="165" fontId="0" fillId="3" borderId="13" xfId="1" applyNumberFormat="1" applyFont="1" applyFill="1" applyBorder="1" applyAlignment="1">
      <alignment horizontal="center" vertical="center" wrapText="1"/>
    </xf>
    <xf numFmtId="165" fontId="0" fillId="3" borderId="1" xfId="1" applyNumberFormat="1" applyFont="1" applyFill="1" applyBorder="1" applyAlignment="1">
      <alignment horizontal="center" vertical="center" wrapText="1"/>
    </xf>
    <xf numFmtId="165" fontId="0" fillId="3" borderId="10" xfId="1" applyNumberFormat="1" applyFont="1" applyFill="1" applyBorder="1" applyAlignment="1">
      <alignment horizontal="center" vertical="center" wrapText="1"/>
    </xf>
    <xf numFmtId="43" fontId="0" fillId="0" borderId="22" xfId="1" applyNumberFormat="1" applyFont="1" applyFill="1" applyBorder="1" applyAlignment="1">
      <alignment horizontal="center" vertical="center" wrapText="1"/>
    </xf>
    <xf numFmtId="43" fontId="0" fillId="0" borderId="12" xfId="1" applyNumberFormat="1" applyFont="1" applyFill="1" applyBorder="1" applyAlignment="1">
      <alignment horizontal="center" vertical="center" wrapText="1"/>
    </xf>
    <xf numFmtId="165" fontId="0" fillId="3" borderId="14" xfId="1" applyNumberFormat="1" applyFont="1" applyFill="1" applyBorder="1" applyAlignment="1">
      <alignment horizontal="center" vertical="center" wrapText="1"/>
    </xf>
    <xf numFmtId="165" fontId="0" fillId="3" borderId="16" xfId="1" applyNumberFormat="1" applyFont="1" applyFill="1" applyBorder="1" applyAlignment="1">
      <alignment horizontal="center" vertical="center" wrapText="1"/>
    </xf>
    <xf numFmtId="43" fontId="0" fillId="0" borderId="17" xfId="1" applyNumberFormat="1" applyFont="1" applyFill="1" applyBorder="1" applyAlignment="1">
      <alignment horizontal="center" vertical="center" wrapText="1"/>
    </xf>
    <xf numFmtId="0" fontId="0" fillId="0" borderId="0" xfId="0" applyBorder="1" applyAlignment="1">
      <alignment horizontal="center" vertical="center" wrapText="1"/>
    </xf>
    <xf numFmtId="3" fontId="3" fillId="0" borderId="0" xfId="2"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2" fillId="4" borderId="37" xfId="0" applyFont="1" applyFill="1" applyBorder="1" applyAlignment="1">
      <alignment horizontal="center" vertical="center" wrapText="1"/>
    </xf>
    <xf numFmtId="165" fontId="2" fillId="4" borderId="26" xfId="1" applyNumberFormat="1" applyFont="1" applyFill="1" applyBorder="1" applyAlignment="1">
      <alignment horizontal="center" vertical="center" wrapText="1"/>
    </xf>
    <xf numFmtId="165" fontId="2" fillId="4" borderId="5" xfId="1" applyNumberFormat="1" applyFont="1" applyFill="1" applyBorder="1" applyAlignment="1">
      <alignment horizontal="center" vertical="center" wrapText="1"/>
    </xf>
    <xf numFmtId="165" fontId="2" fillId="4" borderId="27" xfId="1" applyNumberFormat="1" applyFont="1" applyFill="1" applyBorder="1" applyAlignment="1">
      <alignment horizontal="center" vertical="center" wrapText="1"/>
    </xf>
    <xf numFmtId="165" fontId="2" fillId="2" borderId="26" xfId="1" applyNumberFormat="1" applyFont="1" applyFill="1" applyBorder="1" applyAlignment="1">
      <alignment horizontal="center" vertical="center" wrapText="1"/>
    </xf>
    <xf numFmtId="165" fontId="2" fillId="2" borderId="5" xfId="1" applyNumberFormat="1" applyFont="1" applyFill="1" applyBorder="1" applyAlignment="1">
      <alignment horizontal="center" vertical="center" wrapText="1"/>
    </xf>
    <xf numFmtId="165" fontId="0" fillId="6" borderId="21" xfId="1" applyNumberFormat="1" applyFont="1" applyFill="1" applyBorder="1" applyAlignment="1">
      <alignment horizontal="center" vertical="center" wrapText="1"/>
    </xf>
    <xf numFmtId="165" fontId="0" fillId="6" borderId="16" xfId="1" applyNumberFormat="1" applyFont="1" applyFill="1" applyBorder="1" applyAlignment="1">
      <alignment horizontal="center" vertical="center" wrapText="1"/>
    </xf>
    <xf numFmtId="43" fontId="0" fillId="0" borderId="16" xfId="1" applyNumberFormat="1" applyFont="1" applyFill="1" applyBorder="1" applyAlignment="1">
      <alignment horizontal="center" vertical="center" wrapText="1"/>
    </xf>
    <xf numFmtId="165" fontId="0" fillId="0" borderId="21" xfId="1" applyNumberFormat="1" applyFont="1" applyFill="1" applyBorder="1" applyAlignment="1">
      <alignment horizontal="center" vertical="center" wrapText="1"/>
    </xf>
    <xf numFmtId="165" fontId="0" fillId="0" borderId="16" xfId="1" applyNumberFormat="1" applyFont="1" applyFill="1" applyBorder="1" applyAlignment="1">
      <alignment horizontal="center" vertical="center" wrapText="1"/>
    </xf>
    <xf numFmtId="43" fontId="0" fillId="0" borderId="29" xfId="1" applyNumberFormat="1" applyFont="1" applyFill="1" applyBorder="1" applyAlignment="1">
      <alignment horizontal="center" vertical="center" wrapText="1"/>
    </xf>
    <xf numFmtId="3" fontId="3" fillId="0" borderId="3" xfId="2" applyNumberFormat="1" applyFont="1" applyFill="1" applyBorder="1" applyAlignment="1">
      <alignment horizontal="center" vertical="center" wrapText="1"/>
    </xf>
    <xf numFmtId="165" fontId="0" fillId="11" borderId="10" xfId="1" applyNumberFormat="1" applyFont="1" applyFill="1" applyBorder="1" applyAlignment="1">
      <alignment horizontal="center" vertical="center" wrapText="1"/>
    </xf>
    <xf numFmtId="0" fontId="0" fillId="11" borderId="0" xfId="0" applyFill="1" applyAlignment="1">
      <alignment horizontal="center" vertical="center" wrapText="1"/>
    </xf>
    <xf numFmtId="3" fontId="3" fillId="0" borderId="22" xfId="2" applyNumberFormat="1" applyFont="1" applyBorder="1" applyAlignment="1">
      <alignment horizontal="center" vertical="center" wrapText="1"/>
    </xf>
    <xf numFmtId="3" fontId="3" fillId="0" borderId="11" xfId="2" applyNumberFormat="1" applyFont="1" applyBorder="1" applyAlignment="1">
      <alignment horizontal="center" vertical="center" wrapText="1"/>
    </xf>
    <xf numFmtId="3" fontId="3" fillId="0" borderId="33" xfId="2" applyNumberFormat="1" applyFont="1" applyBorder="1" applyAlignment="1">
      <alignment horizontal="center" vertical="center" wrapText="1"/>
    </xf>
    <xf numFmtId="2" fontId="0" fillId="0" borderId="22" xfId="0" applyNumberFormat="1" applyFill="1" applyBorder="1" applyAlignment="1">
      <alignment horizontal="center" vertical="center" wrapText="1"/>
    </xf>
    <xf numFmtId="2" fontId="0" fillId="0" borderId="12" xfId="0" applyNumberFormat="1" applyFill="1" applyBorder="1" applyAlignment="1">
      <alignment horizontal="center" vertical="center" wrapText="1"/>
    </xf>
    <xf numFmtId="2" fontId="0" fillId="0" borderId="17" xfId="0" applyNumberFormat="1" applyFill="1" applyBorder="1" applyAlignment="1">
      <alignment horizontal="center" vertical="center" wrapText="1"/>
    </xf>
    <xf numFmtId="3" fontId="3" fillId="8" borderId="42" xfId="2" applyNumberFormat="1" applyFont="1" applyFill="1" applyBorder="1" applyAlignment="1">
      <alignment horizontal="center" vertical="center" wrapText="1"/>
    </xf>
    <xf numFmtId="3" fontId="3" fillId="8" borderId="3" xfId="2" applyNumberFormat="1" applyFont="1" applyFill="1" applyBorder="1" applyAlignment="1">
      <alignment horizontal="center" vertical="center" wrapText="1"/>
    </xf>
    <xf numFmtId="0" fontId="5" fillId="8" borderId="13" xfId="2" applyFont="1" applyFill="1" applyBorder="1" applyAlignment="1">
      <alignment horizontal="center" vertical="center" wrapText="1"/>
    </xf>
    <xf numFmtId="3" fontId="3" fillId="8" borderId="18" xfId="2" applyNumberFormat="1" applyFont="1" applyFill="1" applyBorder="1" applyAlignment="1">
      <alignment horizontal="center" vertical="center" wrapText="1"/>
    </xf>
    <xf numFmtId="3" fontId="3" fillId="8" borderId="22" xfId="2" applyNumberFormat="1" applyFont="1" applyFill="1" applyBorder="1" applyAlignment="1">
      <alignment horizontal="center" vertical="center" wrapText="1"/>
    </xf>
    <xf numFmtId="3" fontId="3" fillId="8" borderId="11" xfId="2" applyNumberFormat="1" applyFont="1" applyFill="1" applyBorder="1" applyAlignment="1">
      <alignment horizontal="center" vertical="center" wrapText="1"/>
    </xf>
    <xf numFmtId="3" fontId="1" fillId="8" borderId="9" xfId="1" applyNumberFormat="1" applyFont="1" applyFill="1" applyBorder="1" applyAlignment="1">
      <alignment horizontal="center" vertical="center" wrapText="1"/>
    </xf>
    <xf numFmtId="164" fontId="1" fillId="8" borderId="9" xfId="1" applyNumberFormat="1" applyFont="1" applyFill="1" applyBorder="1" applyAlignment="1">
      <alignment horizontal="center" vertical="center" wrapText="1"/>
    </xf>
    <xf numFmtId="3" fontId="1" fillId="8" borderId="1" xfId="1" applyNumberFormat="1" applyFont="1" applyFill="1" applyBorder="1" applyAlignment="1">
      <alignment horizontal="center" vertical="center" wrapText="1"/>
    </xf>
    <xf numFmtId="167" fontId="11" fillId="10" borderId="74" xfId="3" applyNumberFormat="1" applyFont="1" applyFill="1" applyBorder="1" applyAlignment="1">
      <alignment horizontal="left" vertical="center"/>
    </xf>
    <xf numFmtId="0" fontId="11" fillId="10" borderId="74" xfId="3" applyFont="1" applyFill="1" applyBorder="1"/>
    <xf numFmtId="49" fontId="11" fillId="10" borderId="74" xfId="3" applyNumberFormat="1" applyFont="1" applyFill="1" applyBorder="1" applyAlignment="1">
      <alignment horizontal="left" vertical="center"/>
    </xf>
    <xf numFmtId="49" fontId="11" fillId="10" borderId="75" xfId="3" applyNumberFormat="1" applyFont="1" applyFill="1" applyBorder="1" applyAlignment="1">
      <alignment horizontal="center" vertical="center" wrapText="1"/>
    </xf>
    <xf numFmtId="49" fontId="11" fillId="10" borderId="76" xfId="3" applyNumberFormat="1" applyFont="1" applyFill="1" applyBorder="1" applyAlignment="1">
      <alignment horizontal="center" vertical="center" wrapText="1"/>
    </xf>
    <xf numFmtId="49" fontId="11" fillId="10" borderId="77" xfId="3" applyNumberFormat="1" applyFont="1" applyFill="1" applyBorder="1" applyAlignment="1">
      <alignment horizontal="center" vertical="center" wrapText="1"/>
    </xf>
    <xf numFmtId="49" fontId="11" fillId="10" borderId="75" xfId="3" applyNumberFormat="1" applyFont="1" applyFill="1" applyBorder="1" applyAlignment="1">
      <alignment horizontal="left" vertical="center" wrapText="1"/>
    </xf>
    <xf numFmtId="49" fontId="11" fillId="10" borderId="76" xfId="3" applyNumberFormat="1" applyFont="1" applyFill="1" applyBorder="1" applyAlignment="1">
      <alignment horizontal="left" vertical="center" wrapText="1"/>
    </xf>
    <xf numFmtId="49" fontId="11" fillId="10" borderId="77" xfId="3" applyNumberFormat="1" applyFont="1" applyFill="1" applyBorder="1" applyAlignment="1">
      <alignment horizontal="left" vertical="center" wrapText="1"/>
    </xf>
    <xf numFmtId="49" fontId="12" fillId="10" borderId="56" xfId="3" applyNumberFormat="1" applyFont="1" applyFill="1" applyBorder="1" applyAlignment="1">
      <alignment horizontal="center"/>
    </xf>
    <xf numFmtId="49" fontId="12" fillId="10" borderId="0" xfId="3" applyNumberFormat="1" applyFont="1" applyFill="1" applyAlignment="1">
      <alignment horizontal="center"/>
    </xf>
    <xf numFmtId="49" fontId="12" fillId="10" borderId="45" xfId="3" applyNumberFormat="1" applyFont="1" applyFill="1" applyBorder="1" applyAlignment="1">
      <alignment horizontal="center"/>
    </xf>
    <xf numFmtId="49" fontId="11" fillId="10" borderId="56" xfId="3" applyNumberFormat="1" applyFont="1" applyFill="1" applyBorder="1" applyAlignment="1">
      <alignment horizontal="center"/>
    </xf>
    <xf numFmtId="49" fontId="11" fillId="10" borderId="0" xfId="3" applyNumberFormat="1" applyFont="1" applyFill="1" applyAlignment="1">
      <alignment horizontal="center"/>
    </xf>
    <xf numFmtId="49" fontId="11" fillId="10" borderId="45" xfId="3" applyNumberFormat="1" applyFont="1" applyFill="1" applyBorder="1" applyAlignment="1">
      <alignment horizontal="center"/>
    </xf>
    <xf numFmtId="49" fontId="13" fillId="10" borderId="57" xfId="3" applyNumberFormat="1" applyFont="1" applyFill="1" applyBorder="1" applyAlignment="1">
      <alignment vertical="center" wrapText="1"/>
    </xf>
    <xf numFmtId="49" fontId="13" fillId="10" borderId="58" xfId="3" applyNumberFormat="1" applyFont="1" applyFill="1" applyBorder="1" applyAlignment="1">
      <alignment vertical="center" wrapText="1"/>
    </xf>
    <xf numFmtId="49" fontId="13" fillId="10" borderId="59" xfId="3" applyNumberFormat="1" applyFont="1" applyFill="1" applyBorder="1" applyAlignment="1">
      <alignment vertical="center" wrapText="1"/>
    </xf>
    <xf numFmtId="49" fontId="13" fillId="10" borderId="60" xfId="3" applyNumberFormat="1" applyFont="1" applyFill="1" applyBorder="1" applyAlignment="1">
      <alignment vertical="center" wrapText="1"/>
    </xf>
    <xf numFmtId="49" fontId="13" fillId="10" borderId="0" xfId="3" applyNumberFormat="1" applyFont="1" applyFill="1" applyAlignment="1">
      <alignment vertical="center" wrapText="1"/>
    </xf>
    <xf numFmtId="49" fontId="13" fillId="10" borderId="61" xfId="3" applyNumberFormat="1" applyFont="1" applyFill="1" applyBorder="1" applyAlignment="1">
      <alignment vertical="center" wrapText="1"/>
    </xf>
    <xf numFmtId="49" fontId="13" fillId="10" borderId="62" xfId="3" applyNumberFormat="1" applyFont="1" applyFill="1" applyBorder="1" applyAlignment="1">
      <alignment vertical="center" wrapText="1"/>
    </xf>
    <xf numFmtId="49" fontId="13" fillId="10" borderId="63" xfId="3" applyNumberFormat="1" applyFont="1" applyFill="1" applyBorder="1" applyAlignment="1">
      <alignment vertical="center" wrapText="1"/>
    </xf>
    <xf numFmtId="49" fontId="13" fillId="10" borderId="64" xfId="3" applyNumberFormat="1" applyFont="1" applyFill="1" applyBorder="1" applyAlignment="1">
      <alignment vertical="center" wrapText="1"/>
    </xf>
    <xf numFmtId="49" fontId="11" fillId="10" borderId="57" xfId="3" applyNumberFormat="1" applyFont="1" applyFill="1" applyBorder="1" applyAlignment="1">
      <alignment horizontal="left" vertical="center" wrapText="1"/>
    </xf>
    <xf numFmtId="49" fontId="11" fillId="10" borderId="58" xfId="3" applyNumberFormat="1" applyFont="1" applyFill="1" applyBorder="1" applyAlignment="1">
      <alignment horizontal="left" vertical="center" wrapText="1"/>
    </xf>
    <xf numFmtId="49" fontId="11" fillId="10" borderId="59" xfId="3" applyNumberFormat="1" applyFont="1" applyFill="1" applyBorder="1" applyAlignment="1">
      <alignment horizontal="left" vertical="center" wrapText="1"/>
    </xf>
    <xf numFmtId="49" fontId="11" fillId="10" borderId="60" xfId="3" applyNumberFormat="1" applyFont="1" applyFill="1" applyBorder="1" applyAlignment="1">
      <alignment horizontal="left" vertical="center" wrapText="1"/>
    </xf>
    <xf numFmtId="49" fontId="11" fillId="10" borderId="0" xfId="3" applyNumberFormat="1" applyFont="1" applyFill="1" applyAlignment="1">
      <alignment horizontal="left" vertical="center" wrapText="1"/>
    </xf>
    <xf numFmtId="49" fontId="11" fillId="10" borderId="61" xfId="3" applyNumberFormat="1" applyFont="1" applyFill="1" applyBorder="1" applyAlignment="1">
      <alignment horizontal="left" vertical="center" wrapText="1"/>
    </xf>
    <xf numFmtId="49" fontId="11" fillId="10" borderId="62" xfId="3" applyNumberFormat="1" applyFont="1" applyFill="1" applyBorder="1" applyAlignment="1">
      <alignment horizontal="left" vertical="center" wrapText="1"/>
    </xf>
    <xf numFmtId="49" fontId="11" fillId="10" borderId="63" xfId="3" applyNumberFormat="1" applyFont="1" applyFill="1" applyBorder="1" applyAlignment="1">
      <alignment horizontal="left" vertical="center" wrapText="1"/>
    </xf>
    <xf numFmtId="49" fontId="11" fillId="10" borderId="64" xfId="3" applyNumberFormat="1" applyFont="1" applyFill="1" applyBorder="1" applyAlignment="1">
      <alignment horizontal="left" vertical="center" wrapText="1"/>
    </xf>
    <xf numFmtId="49" fontId="11" fillId="10" borderId="69" xfId="4" applyNumberFormat="1" applyFont="1" applyFill="1" applyBorder="1" applyAlignment="1">
      <alignment wrapText="1"/>
    </xf>
    <xf numFmtId="49" fontId="9" fillId="0" borderId="69" xfId="3" applyNumberFormat="1" applyFont="1" applyBorder="1" applyAlignment="1">
      <alignment wrapText="1"/>
    </xf>
    <xf numFmtId="49" fontId="9" fillId="0" borderId="70" xfId="3" applyNumberFormat="1" applyFont="1" applyBorder="1" applyAlignment="1">
      <alignment wrapText="1"/>
    </xf>
    <xf numFmtId="49" fontId="9" fillId="0" borderId="0" xfId="3" applyNumberFormat="1" applyFont="1" applyAlignment="1">
      <alignment wrapText="1"/>
    </xf>
    <xf numFmtId="49" fontId="9" fillId="0" borderId="71" xfId="3" applyNumberFormat="1" applyFont="1" applyBorder="1" applyAlignment="1">
      <alignment wrapText="1"/>
    </xf>
    <xf numFmtId="49" fontId="9" fillId="0" borderId="72" xfId="3" applyNumberFormat="1" applyFont="1" applyBorder="1" applyAlignment="1">
      <alignment wrapText="1"/>
    </xf>
    <xf numFmtId="49" fontId="9" fillId="0" borderId="73" xfId="3" applyNumberFormat="1" applyFont="1" applyBorder="1" applyAlignment="1">
      <alignment wrapText="1"/>
    </xf>
    <xf numFmtId="49" fontId="12" fillId="10" borderId="56" xfId="3" applyNumberFormat="1" applyFont="1" applyFill="1" applyBorder="1" applyAlignment="1">
      <alignment horizontal="center" wrapText="1"/>
    </xf>
    <xf numFmtId="49" fontId="12" fillId="10" borderId="0" xfId="3" applyNumberFormat="1" applyFont="1" applyFill="1" applyAlignment="1">
      <alignment horizontal="center" wrapText="1"/>
    </xf>
    <xf numFmtId="49" fontId="12" fillId="10" borderId="45" xfId="3" applyNumberFormat="1" applyFont="1" applyFill="1" applyBorder="1" applyAlignment="1">
      <alignment horizontal="center" wrapText="1"/>
    </xf>
    <xf numFmtId="49" fontId="13" fillId="10" borderId="74" xfId="3" applyNumberFormat="1" applyFont="1" applyFill="1" applyBorder="1" applyAlignment="1">
      <alignment horizontal="left" vertical="center"/>
    </xf>
    <xf numFmtId="49" fontId="13" fillId="10" borderId="75" xfId="3" applyNumberFormat="1" applyFont="1" applyFill="1" applyBorder="1" applyAlignment="1">
      <alignment horizontal="center" vertical="center"/>
    </xf>
    <xf numFmtId="49" fontId="13" fillId="10" borderId="76" xfId="3" applyNumberFormat="1" applyFont="1" applyFill="1" applyBorder="1" applyAlignment="1">
      <alignment horizontal="center" vertical="center"/>
    </xf>
    <xf numFmtId="49" fontId="13" fillId="10" borderId="77" xfId="3" applyNumberFormat="1" applyFont="1" applyFill="1" applyBorder="1" applyAlignment="1">
      <alignment horizontal="center" vertical="center"/>
    </xf>
    <xf numFmtId="17" fontId="2" fillId="4" borderId="18" xfId="0" applyNumberFormat="1" applyFont="1" applyFill="1" applyBorder="1" applyAlignment="1">
      <alignment horizontal="center" vertical="center" wrapText="1"/>
    </xf>
    <xf numFmtId="17" fontId="2" fillId="4" borderId="19" xfId="0" applyNumberFormat="1" applyFont="1" applyFill="1" applyBorder="1" applyAlignment="1">
      <alignment horizontal="center" vertical="center" wrapText="1"/>
    </xf>
    <xf numFmtId="17" fontId="2" fillId="2" borderId="18" xfId="0" applyNumberFormat="1" applyFont="1" applyFill="1" applyBorder="1" applyAlignment="1">
      <alignment horizontal="center" vertical="center" wrapText="1"/>
    </xf>
    <xf numFmtId="17" fontId="2" fillId="2" borderId="19" xfId="0" applyNumberFormat="1"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26"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5" xfId="2" applyFont="1" applyFill="1" applyBorder="1" applyAlignment="1">
      <alignment horizontal="center" vertical="center" wrapText="1"/>
    </xf>
    <xf numFmtId="17" fontId="2" fillId="2" borderId="20" xfId="0" applyNumberFormat="1" applyFont="1" applyFill="1" applyBorder="1" applyAlignment="1">
      <alignment horizontal="center" vertical="center" wrapText="1"/>
    </xf>
    <xf numFmtId="0" fontId="4" fillId="2" borderId="21" xfId="2" applyFont="1" applyFill="1" applyBorder="1" applyAlignment="1">
      <alignment horizontal="center" vertical="center" wrapText="1"/>
    </xf>
    <xf numFmtId="0" fontId="4" fillId="2" borderId="16" xfId="2" applyFont="1" applyFill="1" applyBorder="1" applyAlignment="1">
      <alignment horizontal="center" vertical="center" wrapText="1"/>
    </xf>
    <xf numFmtId="17" fontId="2" fillId="4" borderId="8" xfId="0" applyNumberFormat="1" applyFont="1" applyFill="1" applyBorder="1" applyAlignment="1">
      <alignment horizontal="center" vertical="center" wrapText="1"/>
    </xf>
    <xf numFmtId="17" fontId="2" fillId="4" borderId="9" xfId="0" applyNumberFormat="1" applyFont="1" applyFill="1" applyBorder="1" applyAlignment="1">
      <alignment horizontal="center" vertical="center" wrapText="1"/>
    </xf>
    <xf numFmtId="17" fontId="2" fillId="2" borderId="8" xfId="0" applyNumberFormat="1" applyFont="1" applyFill="1" applyBorder="1" applyAlignment="1">
      <alignment horizontal="center" vertical="center" wrapText="1"/>
    </xf>
    <xf numFmtId="17" fontId="2" fillId="2" borderId="9" xfId="0" applyNumberFormat="1" applyFont="1" applyFill="1" applyBorder="1" applyAlignment="1">
      <alignment horizontal="center" vertical="center" wrapText="1"/>
    </xf>
    <xf numFmtId="17" fontId="2" fillId="4" borderId="50" xfId="0" applyNumberFormat="1" applyFont="1" applyFill="1" applyBorder="1" applyAlignment="1">
      <alignment horizontal="center" vertical="center" wrapText="1"/>
    </xf>
    <xf numFmtId="17" fontId="2" fillId="4" borderId="36" xfId="0" applyNumberFormat="1" applyFont="1" applyFill="1" applyBorder="1" applyAlignment="1">
      <alignment horizontal="center" vertical="center" wrapText="1"/>
    </xf>
    <xf numFmtId="17" fontId="2" fillId="4" borderId="51" xfId="0" applyNumberFormat="1"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13" xfId="2" applyFont="1" applyFill="1" applyBorder="1" applyAlignment="1">
      <alignment horizontal="center" vertical="center" wrapText="1"/>
    </xf>
    <xf numFmtId="17" fontId="2" fillId="4" borderId="22" xfId="0" applyNumberFormat="1" applyFont="1" applyFill="1" applyBorder="1" applyAlignment="1">
      <alignment horizontal="center" vertical="center" wrapText="1"/>
    </xf>
    <xf numFmtId="17" fontId="2" fillId="2" borderId="22" xfId="0" applyNumberFormat="1"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17" fontId="2" fillId="4" borderId="20" xfId="0" applyNumberFormat="1" applyFont="1" applyFill="1" applyBorder="1" applyAlignment="1">
      <alignment horizontal="center" vertical="center" wrapText="1"/>
    </xf>
    <xf numFmtId="17" fontId="7" fillId="2" borderId="19" xfId="0" applyNumberFormat="1" applyFont="1" applyFill="1" applyBorder="1" applyAlignment="1">
      <alignment horizontal="center" vertical="center" wrapText="1"/>
    </xf>
    <xf numFmtId="17" fontId="6" fillId="5" borderId="48" xfId="0" applyNumberFormat="1" applyFont="1" applyFill="1" applyBorder="1" applyAlignment="1">
      <alignment horizontal="center" vertical="center" wrapText="1"/>
    </xf>
    <xf numFmtId="17" fontId="6" fillId="5" borderId="49" xfId="0" applyNumberFormat="1" applyFont="1" applyFill="1" applyBorder="1" applyAlignment="1">
      <alignment horizontal="center" vertical="center" wrapText="1"/>
    </xf>
    <xf numFmtId="17" fontId="7" fillId="2" borderId="18" xfId="0" applyNumberFormat="1" applyFont="1" applyFill="1" applyBorder="1" applyAlignment="1">
      <alignment horizontal="center" vertical="center" wrapText="1"/>
    </xf>
    <xf numFmtId="17" fontId="7" fillId="2" borderId="20" xfId="0" applyNumberFormat="1" applyFont="1" applyFill="1" applyBorder="1" applyAlignment="1">
      <alignment horizontal="center" vertical="center" wrapText="1"/>
    </xf>
    <xf numFmtId="0" fontId="4" fillId="2" borderId="28" xfId="2" applyFont="1" applyFill="1" applyBorder="1" applyAlignment="1">
      <alignment horizontal="center" vertical="center" wrapText="1"/>
    </xf>
    <xf numFmtId="0" fontId="4" fillId="2" borderId="29" xfId="2" applyFont="1" applyFill="1" applyBorder="1" applyAlignment="1">
      <alignment horizontal="center" vertical="center" wrapText="1"/>
    </xf>
  </cellXfs>
  <cellStyles count="5">
    <cellStyle name="Comma" xfId="1" builtinId="3"/>
    <cellStyle name="Currency 10 2 2" xfId="4" xr:uid="{FEDC4057-BCA9-450C-82CB-BAABCBBBDB71}"/>
    <cellStyle name="Normal" xfId="0" builtinId="0"/>
    <cellStyle name="Normal 330" xfId="3" xr:uid="{769C03DF-3592-48CB-AD1A-847EF0749B4A}"/>
    <cellStyle name="Normal 7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04D0E-79A6-45B2-AD4A-5BF16B98698F}">
  <dimension ref="A1:R33"/>
  <sheetViews>
    <sheetView tabSelected="1" topLeftCell="A22" workbookViewId="0">
      <selection activeCell="F30" sqref="F30:H30"/>
    </sheetView>
  </sheetViews>
  <sheetFormatPr defaultColWidth="8.85546875" defaultRowHeight="15" x14ac:dyDescent="0.25"/>
  <cols>
    <col min="1" max="4" width="8.85546875" style="213"/>
    <col min="5" max="5" width="14.7109375" style="213" customWidth="1"/>
    <col min="6" max="15" width="8.85546875" style="213"/>
    <col min="16" max="16" width="26.85546875" style="213" customWidth="1"/>
    <col min="17" max="17" width="10.42578125" style="213" customWidth="1"/>
    <col min="18" max="16384" width="8.85546875" style="213"/>
  </cols>
  <sheetData>
    <row r="1" spans="1:18" ht="15.75" thickBot="1" x14ac:dyDescent="0.3">
      <c r="A1" s="211"/>
      <c r="B1" s="211"/>
      <c r="C1" s="211"/>
      <c r="D1" s="211"/>
      <c r="E1" s="211"/>
      <c r="F1" s="212"/>
      <c r="G1" s="212"/>
      <c r="H1" s="211"/>
      <c r="I1" s="211"/>
      <c r="J1" s="211"/>
      <c r="K1" s="211"/>
      <c r="L1" s="211"/>
      <c r="M1" s="211"/>
      <c r="N1" s="211"/>
      <c r="O1" s="211"/>
      <c r="P1" s="211"/>
      <c r="Q1" s="211"/>
      <c r="R1" s="211"/>
    </row>
    <row r="2" spans="1:18" x14ac:dyDescent="0.25">
      <c r="A2" s="214"/>
      <c r="B2" s="215"/>
      <c r="C2" s="216"/>
      <c r="D2" s="216"/>
      <c r="E2" s="216"/>
      <c r="F2" s="217"/>
      <c r="G2" s="217"/>
      <c r="H2" s="218"/>
      <c r="I2" s="218"/>
      <c r="J2" s="218"/>
      <c r="K2" s="218"/>
      <c r="L2" s="218"/>
      <c r="M2" s="218"/>
      <c r="N2" s="218"/>
      <c r="O2" s="218"/>
      <c r="P2" s="218"/>
      <c r="Q2" s="219"/>
      <c r="R2" s="211"/>
    </row>
    <row r="3" spans="1:18" x14ac:dyDescent="0.25">
      <c r="A3" s="220"/>
      <c r="B3" s="304" t="s">
        <v>57</v>
      </c>
      <c r="C3" s="305"/>
      <c r="D3" s="305"/>
      <c r="E3" s="305"/>
      <c r="F3" s="305"/>
      <c r="G3" s="305"/>
      <c r="H3" s="305"/>
      <c r="I3" s="305"/>
      <c r="J3" s="305"/>
      <c r="K3" s="305"/>
      <c r="L3" s="305"/>
      <c r="M3" s="305"/>
      <c r="N3" s="305"/>
      <c r="O3" s="305"/>
      <c r="P3" s="305"/>
      <c r="Q3" s="306"/>
      <c r="R3" s="211"/>
    </row>
    <row r="4" spans="1:18" x14ac:dyDescent="0.25">
      <c r="A4" s="212"/>
      <c r="B4" s="221"/>
      <c r="C4" s="222"/>
      <c r="D4" s="222"/>
      <c r="E4" s="222"/>
      <c r="F4" s="223"/>
      <c r="G4" s="223"/>
      <c r="H4" s="224"/>
      <c r="I4" s="225"/>
      <c r="J4" s="225"/>
      <c r="K4" s="225"/>
      <c r="L4" s="225"/>
      <c r="M4" s="225"/>
      <c r="N4" s="225"/>
      <c r="O4" s="225"/>
      <c r="P4" s="225"/>
      <c r="Q4" s="226"/>
      <c r="R4" s="211"/>
    </row>
    <row r="5" spans="1:18" x14ac:dyDescent="0.25">
      <c r="A5" s="212"/>
      <c r="B5" s="304" t="s">
        <v>65</v>
      </c>
      <c r="C5" s="305"/>
      <c r="D5" s="305"/>
      <c r="E5" s="305"/>
      <c r="F5" s="305"/>
      <c r="G5" s="305"/>
      <c r="H5" s="305"/>
      <c r="I5" s="305"/>
      <c r="J5" s="305"/>
      <c r="K5" s="305"/>
      <c r="L5" s="305"/>
      <c r="M5" s="305"/>
      <c r="N5" s="305"/>
      <c r="O5" s="305"/>
      <c r="P5" s="305"/>
      <c r="Q5" s="306"/>
      <c r="R5" s="211"/>
    </row>
    <row r="6" spans="1:18" x14ac:dyDescent="0.25">
      <c r="A6" s="212"/>
      <c r="B6" s="307"/>
      <c r="C6" s="308"/>
      <c r="D6" s="308"/>
      <c r="E6" s="308"/>
      <c r="F6" s="308"/>
      <c r="G6" s="308"/>
      <c r="H6" s="308"/>
      <c r="I6" s="308"/>
      <c r="J6" s="308"/>
      <c r="K6" s="308"/>
      <c r="L6" s="308"/>
      <c r="M6" s="308"/>
      <c r="N6" s="308"/>
      <c r="O6" s="308"/>
      <c r="P6" s="308"/>
      <c r="Q6" s="309"/>
      <c r="R6" s="211"/>
    </row>
    <row r="7" spans="1:18" x14ac:dyDescent="0.25">
      <c r="A7" s="212"/>
      <c r="B7" s="307" t="s">
        <v>58</v>
      </c>
      <c r="C7" s="308"/>
      <c r="D7" s="308"/>
      <c r="E7" s="308"/>
      <c r="F7" s="308"/>
      <c r="G7" s="308"/>
      <c r="H7" s="308"/>
      <c r="I7" s="308"/>
      <c r="J7" s="308"/>
      <c r="K7" s="308"/>
      <c r="L7" s="308"/>
      <c r="M7" s="308"/>
      <c r="N7" s="308"/>
      <c r="O7" s="308"/>
      <c r="P7" s="308"/>
      <c r="Q7" s="309"/>
      <c r="R7" s="211"/>
    </row>
    <row r="8" spans="1:18" x14ac:dyDescent="0.25">
      <c r="A8" s="212"/>
      <c r="B8" s="227"/>
      <c r="C8" s="228"/>
      <c r="D8" s="228"/>
      <c r="E8" s="228"/>
      <c r="F8" s="222"/>
      <c r="G8" s="223"/>
      <c r="H8" s="224"/>
      <c r="I8" s="225"/>
      <c r="J8" s="225"/>
      <c r="K8" s="225"/>
      <c r="L8" s="225"/>
      <c r="M8" s="225"/>
      <c r="N8" s="225"/>
      <c r="O8" s="225"/>
      <c r="P8" s="225"/>
      <c r="Q8" s="226"/>
      <c r="R8" s="211"/>
    </row>
    <row r="9" spans="1:18" ht="89.1" customHeight="1" x14ac:dyDescent="0.25">
      <c r="A9" s="211"/>
      <c r="B9" s="221"/>
      <c r="C9" s="310" t="s">
        <v>59</v>
      </c>
      <c r="D9" s="311"/>
      <c r="E9" s="312"/>
      <c r="F9" s="319" t="s">
        <v>67</v>
      </c>
      <c r="G9" s="320"/>
      <c r="H9" s="320"/>
      <c r="I9" s="320"/>
      <c r="J9" s="320"/>
      <c r="K9" s="320"/>
      <c r="L9" s="320"/>
      <c r="M9" s="320"/>
      <c r="N9" s="320"/>
      <c r="O9" s="321"/>
      <c r="P9" s="225"/>
      <c r="Q9" s="226"/>
      <c r="R9" s="211"/>
    </row>
    <row r="10" spans="1:18" ht="30.6" customHeight="1" x14ac:dyDescent="0.25">
      <c r="A10" s="211"/>
      <c r="B10" s="221"/>
      <c r="C10" s="313"/>
      <c r="D10" s="314"/>
      <c r="E10" s="315"/>
      <c r="F10" s="322"/>
      <c r="G10" s="323"/>
      <c r="H10" s="323"/>
      <c r="I10" s="323"/>
      <c r="J10" s="323"/>
      <c r="K10" s="323"/>
      <c r="L10" s="323"/>
      <c r="M10" s="323"/>
      <c r="N10" s="323"/>
      <c r="O10" s="324"/>
      <c r="P10" s="225"/>
      <c r="Q10" s="226"/>
      <c r="R10" s="211"/>
    </row>
    <row r="11" spans="1:18" ht="32.1" customHeight="1" x14ac:dyDescent="0.25">
      <c r="A11" s="211"/>
      <c r="B11" s="227"/>
      <c r="C11" s="313"/>
      <c r="D11" s="314"/>
      <c r="E11" s="315"/>
      <c r="F11" s="322"/>
      <c r="G11" s="323"/>
      <c r="H11" s="323"/>
      <c r="I11" s="323"/>
      <c r="J11" s="323"/>
      <c r="K11" s="323"/>
      <c r="L11" s="323"/>
      <c r="M11" s="323"/>
      <c r="N11" s="323"/>
      <c r="O11" s="324"/>
      <c r="P11" s="225"/>
      <c r="Q11" s="226"/>
      <c r="R11" s="211"/>
    </row>
    <row r="12" spans="1:18" x14ac:dyDescent="0.25">
      <c r="A12" s="211"/>
      <c r="B12" s="227"/>
      <c r="C12" s="313"/>
      <c r="D12" s="314"/>
      <c r="E12" s="315"/>
      <c r="F12" s="322"/>
      <c r="G12" s="323"/>
      <c r="H12" s="323"/>
      <c r="I12" s="323"/>
      <c r="J12" s="323"/>
      <c r="K12" s="323"/>
      <c r="L12" s="323"/>
      <c r="M12" s="323"/>
      <c r="N12" s="323"/>
      <c r="O12" s="324"/>
      <c r="P12" s="225"/>
      <c r="Q12" s="226"/>
      <c r="R12" s="211"/>
    </row>
    <row r="13" spans="1:18" ht="34.5" customHeight="1" x14ac:dyDescent="0.25">
      <c r="A13" s="211"/>
      <c r="B13" s="227"/>
      <c r="C13" s="316"/>
      <c r="D13" s="317"/>
      <c r="E13" s="318"/>
      <c r="F13" s="325"/>
      <c r="G13" s="326"/>
      <c r="H13" s="326"/>
      <c r="I13" s="326"/>
      <c r="J13" s="326"/>
      <c r="K13" s="326"/>
      <c r="L13" s="326"/>
      <c r="M13" s="326"/>
      <c r="N13" s="326"/>
      <c r="O13" s="327"/>
      <c r="P13" s="225"/>
      <c r="Q13" s="226"/>
      <c r="R13" s="211"/>
    </row>
    <row r="14" spans="1:18" ht="15.75" thickBot="1" x14ac:dyDescent="0.3">
      <c r="A14" s="211"/>
      <c r="B14" s="229"/>
      <c r="C14" s="230"/>
      <c r="D14" s="231"/>
      <c r="E14" s="231"/>
      <c r="F14" s="232"/>
      <c r="G14" s="232"/>
      <c r="H14" s="233"/>
      <c r="I14" s="233"/>
      <c r="J14" s="233"/>
      <c r="K14" s="233"/>
      <c r="L14" s="233"/>
      <c r="M14" s="233"/>
      <c r="N14" s="233"/>
      <c r="O14" s="233"/>
      <c r="P14" s="233"/>
      <c r="Q14" s="234"/>
      <c r="R14" s="211"/>
    </row>
    <row r="15" spans="1:18" ht="15.75" thickBot="1" x14ac:dyDescent="0.3">
      <c r="A15" s="235"/>
      <c r="B15" s="236"/>
      <c r="C15" s="237"/>
      <c r="D15" s="238"/>
      <c r="E15" s="238"/>
      <c r="F15" s="236"/>
      <c r="G15" s="236"/>
      <c r="H15" s="235"/>
      <c r="I15" s="235"/>
      <c r="J15" s="235"/>
      <c r="K15" s="235"/>
      <c r="L15" s="235"/>
      <c r="M15" s="235"/>
      <c r="N15" s="235"/>
      <c r="O15" s="235"/>
      <c r="P15" s="235"/>
      <c r="Q15" s="235"/>
      <c r="R15" s="235"/>
    </row>
    <row r="16" spans="1:18" x14ac:dyDescent="0.25">
      <c r="A16" s="211"/>
      <c r="B16" s="215"/>
      <c r="C16" s="239"/>
      <c r="D16" s="240"/>
      <c r="E16" s="240"/>
      <c r="F16" s="216"/>
      <c r="G16" s="216"/>
      <c r="H16" s="218"/>
      <c r="I16" s="218"/>
      <c r="J16" s="218"/>
      <c r="K16" s="218"/>
      <c r="L16" s="218"/>
      <c r="M16" s="218"/>
      <c r="N16" s="218"/>
      <c r="O16" s="218"/>
      <c r="P16" s="218"/>
      <c r="Q16" s="219"/>
      <c r="R16" s="211"/>
    </row>
    <row r="17" spans="1:18" ht="15" customHeight="1" x14ac:dyDescent="0.25">
      <c r="A17" s="211"/>
      <c r="B17" s="241"/>
      <c r="C17" s="328" t="s">
        <v>72</v>
      </c>
      <c r="D17" s="329"/>
      <c r="E17" s="329"/>
      <c r="F17" s="329"/>
      <c r="G17" s="329"/>
      <c r="H17" s="329"/>
      <c r="I17" s="329"/>
      <c r="J17" s="329"/>
      <c r="K17" s="329"/>
      <c r="L17" s="329"/>
      <c r="M17" s="329"/>
      <c r="N17" s="329"/>
      <c r="O17" s="329"/>
      <c r="P17" s="330"/>
      <c r="Q17" s="226"/>
      <c r="R17" s="211"/>
    </row>
    <row r="18" spans="1:18" x14ac:dyDescent="0.25">
      <c r="A18" s="211"/>
      <c r="B18" s="241"/>
      <c r="C18" s="331"/>
      <c r="D18" s="331"/>
      <c r="E18" s="331"/>
      <c r="F18" s="331"/>
      <c r="G18" s="331"/>
      <c r="H18" s="331"/>
      <c r="I18" s="331"/>
      <c r="J18" s="331"/>
      <c r="K18" s="331"/>
      <c r="L18" s="331"/>
      <c r="M18" s="331"/>
      <c r="N18" s="331"/>
      <c r="O18" s="331"/>
      <c r="P18" s="332"/>
      <c r="Q18" s="226"/>
      <c r="R18" s="211"/>
    </row>
    <row r="19" spans="1:18" ht="117" customHeight="1" x14ac:dyDescent="0.25">
      <c r="A19" s="211"/>
      <c r="B19" s="241"/>
      <c r="C19" s="333"/>
      <c r="D19" s="333"/>
      <c r="E19" s="333"/>
      <c r="F19" s="333"/>
      <c r="G19" s="333"/>
      <c r="H19" s="333"/>
      <c r="I19" s="333"/>
      <c r="J19" s="333"/>
      <c r="K19" s="333"/>
      <c r="L19" s="333"/>
      <c r="M19" s="333"/>
      <c r="N19" s="333"/>
      <c r="O19" s="333"/>
      <c r="P19" s="334"/>
      <c r="Q19" s="226"/>
      <c r="R19" s="211"/>
    </row>
    <row r="20" spans="1:18" ht="15.75" thickBot="1" x14ac:dyDescent="0.3">
      <c r="A20" s="211"/>
      <c r="B20" s="229"/>
      <c r="C20" s="230"/>
      <c r="D20" s="231"/>
      <c r="E20" s="231"/>
      <c r="F20" s="232"/>
      <c r="G20" s="232"/>
      <c r="H20" s="233"/>
      <c r="I20" s="233"/>
      <c r="J20" s="233"/>
      <c r="K20" s="233"/>
      <c r="L20" s="233"/>
      <c r="M20" s="233"/>
      <c r="N20" s="233"/>
      <c r="O20" s="233"/>
      <c r="P20" s="233"/>
      <c r="Q20" s="234"/>
      <c r="R20" s="211"/>
    </row>
    <row r="21" spans="1:18" x14ac:dyDescent="0.25">
      <c r="A21" s="242"/>
      <c r="B21" s="242"/>
      <c r="C21" s="243"/>
      <c r="D21" s="244"/>
      <c r="E21" s="244"/>
      <c r="F21" s="242"/>
      <c r="G21" s="242"/>
      <c r="H21" s="242"/>
      <c r="I21" s="242"/>
      <c r="J21" s="242"/>
      <c r="K21" s="242"/>
      <c r="L21" s="242"/>
      <c r="M21" s="242"/>
      <c r="N21" s="242"/>
      <c r="O21" s="242"/>
      <c r="P21" s="242"/>
      <c r="Q21" s="242"/>
      <c r="R21" s="242"/>
    </row>
    <row r="22" spans="1:18" ht="15.75" thickBot="1" x14ac:dyDescent="0.3">
      <c r="A22" s="235"/>
      <c r="B22" s="236"/>
      <c r="C22" s="237"/>
      <c r="D22" s="238"/>
      <c r="E22" s="238"/>
      <c r="F22" s="236"/>
      <c r="G22" s="236"/>
      <c r="H22" s="235"/>
      <c r="I22" s="235"/>
      <c r="J22" s="235"/>
      <c r="K22" s="235"/>
      <c r="L22" s="235"/>
      <c r="M22" s="235"/>
      <c r="N22" s="235"/>
      <c r="O22" s="235"/>
      <c r="P22" s="235"/>
      <c r="Q22" s="235"/>
      <c r="R22" s="235"/>
    </row>
    <row r="23" spans="1:18" x14ac:dyDescent="0.25">
      <c r="A23" s="235"/>
      <c r="B23" s="215"/>
      <c r="C23" s="239"/>
      <c r="D23" s="240"/>
      <c r="E23" s="240"/>
      <c r="F23" s="216"/>
      <c r="G23" s="216"/>
      <c r="H23" s="216"/>
      <c r="I23" s="216"/>
      <c r="J23" s="216"/>
      <c r="K23" s="216"/>
      <c r="L23" s="216"/>
      <c r="M23" s="216"/>
      <c r="N23" s="216"/>
      <c r="O23" s="216"/>
      <c r="P23" s="216"/>
      <c r="Q23" s="245"/>
      <c r="R23" s="235"/>
    </row>
    <row r="24" spans="1:18" ht="22.5" customHeight="1" x14ac:dyDescent="0.25">
      <c r="A24" s="235"/>
      <c r="B24" s="335" t="s">
        <v>73</v>
      </c>
      <c r="C24" s="336"/>
      <c r="D24" s="336"/>
      <c r="E24" s="336"/>
      <c r="F24" s="336"/>
      <c r="G24" s="336"/>
      <c r="H24" s="336"/>
      <c r="I24" s="336"/>
      <c r="J24" s="336"/>
      <c r="K24" s="336"/>
      <c r="L24" s="336"/>
      <c r="M24" s="336"/>
      <c r="N24" s="336"/>
      <c r="O24" s="336"/>
      <c r="P24" s="336"/>
      <c r="Q24" s="337"/>
      <c r="R24" s="211"/>
    </row>
    <row r="25" spans="1:18" ht="15" customHeight="1" x14ac:dyDescent="0.25">
      <c r="A25" s="235"/>
      <c r="B25" s="335"/>
      <c r="C25" s="336"/>
      <c r="D25" s="336"/>
      <c r="E25" s="336"/>
      <c r="F25" s="336"/>
      <c r="G25" s="336"/>
      <c r="H25" s="336"/>
      <c r="I25" s="336"/>
      <c r="J25" s="336"/>
      <c r="K25" s="336"/>
      <c r="L25" s="336"/>
      <c r="M25" s="336"/>
      <c r="N25" s="336"/>
      <c r="O25" s="336"/>
      <c r="P25" s="336"/>
      <c r="Q25" s="337"/>
      <c r="R25" s="211"/>
    </row>
    <row r="26" spans="1:18" x14ac:dyDescent="0.25">
      <c r="A26" s="235"/>
      <c r="B26" s="246"/>
      <c r="C26" s="247"/>
      <c r="D26" s="247"/>
      <c r="E26" s="247"/>
      <c r="F26" s="247"/>
      <c r="G26" s="247"/>
      <c r="H26" s="247"/>
      <c r="I26" s="247"/>
      <c r="J26" s="247"/>
      <c r="K26" s="247"/>
      <c r="L26" s="247"/>
      <c r="M26" s="247"/>
      <c r="N26" s="247"/>
      <c r="O26" s="247"/>
      <c r="P26" s="247"/>
      <c r="Q26" s="248"/>
      <c r="R26" s="211"/>
    </row>
    <row r="27" spans="1:18" x14ac:dyDescent="0.25">
      <c r="A27" s="235"/>
      <c r="B27" s="227"/>
      <c r="C27" s="228"/>
      <c r="D27" s="228"/>
      <c r="E27" s="249" t="s">
        <v>60</v>
      </c>
      <c r="F27" s="338" t="s">
        <v>61</v>
      </c>
      <c r="G27" s="296"/>
      <c r="H27" s="296"/>
      <c r="I27" s="338" t="s">
        <v>62</v>
      </c>
      <c r="J27" s="296"/>
      <c r="K27" s="339" t="s">
        <v>63</v>
      </c>
      <c r="L27" s="340"/>
      <c r="M27" s="340"/>
      <c r="N27" s="340"/>
      <c r="O27" s="340"/>
      <c r="P27" s="341"/>
      <c r="Q27" s="250"/>
      <c r="R27" s="211"/>
    </row>
    <row r="28" spans="1:18" ht="69" customHeight="1" x14ac:dyDescent="0.25">
      <c r="A28" s="235"/>
      <c r="B28" s="227"/>
      <c r="C28" s="228"/>
      <c r="D28" s="228"/>
      <c r="E28" s="251" t="s">
        <v>64</v>
      </c>
      <c r="F28" s="295">
        <v>44257</v>
      </c>
      <c r="G28" s="296"/>
      <c r="H28" s="296"/>
      <c r="I28" s="297" t="s">
        <v>57</v>
      </c>
      <c r="J28" s="296"/>
      <c r="K28" s="298" t="s">
        <v>66</v>
      </c>
      <c r="L28" s="299"/>
      <c r="M28" s="299"/>
      <c r="N28" s="299"/>
      <c r="O28" s="299"/>
      <c r="P28" s="300"/>
      <c r="Q28" s="250"/>
      <c r="R28" s="211"/>
    </row>
    <row r="29" spans="1:18" ht="96.6" customHeight="1" x14ac:dyDescent="0.25">
      <c r="A29" s="235"/>
      <c r="B29" s="227"/>
      <c r="C29" s="228"/>
      <c r="D29" s="228"/>
      <c r="E29" s="251" t="s">
        <v>75</v>
      </c>
      <c r="F29" s="295">
        <v>44263</v>
      </c>
      <c r="G29" s="296"/>
      <c r="H29" s="296"/>
      <c r="I29" s="297" t="s">
        <v>57</v>
      </c>
      <c r="J29" s="296"/>
      <c r="K29" s="301" t="s">
        <v>74</v>
      </c>
      <c r="L29" s="302"/>
      <c r="M29" s="302"/>
      <c r="N29" s="302"/>
      <c r="O29" s="302"/>
      <c r="P29" s="303"/>
      <c r="Q29" s="250"/>
      <c r="R29" s="211"/>
    </row>
    <row r="30" spans="1:18" ht="65.25" customHeight="1" x14ac:dyDescent="0.25">
      <c r="A30" s="235"/>
      <c r="B30" s="227"/>
      <c r="C30" s="228"/>
      <c r="D30" s="252"/>
      <c r="E30" s="251"/>
      <c r="F30" s="295"/>
      <c r="G30" s="296"/>
      <c r="H30" s="296"/>
      <c r="I30" s="297"/>
      <c r="J30" s="296"/>
      <c r="K30" s="298"/>
      <c r="L30" s="299"/>
      <c r="M30" s="299"/>
      <c r="N30" s="299"/>
      <c r="O30" s="299"/>
      <c r="P30" s="300"/>
      <c r="Q30" s="250"/>
      <c r="R30" s="211"/>
    </row>
    <row r="31" spans="1:18" ht="65.25" customHeight="1" x14ac:dyDescent="0.25">
      <c r="A31" s="235"/>
      <c r="B31" s="227"/>
      <c r="C31" s="228"/>
      <c r="D31" s="252"/>
      <c r="E31" s="251"/>
      <c r="F31" s="295"/>
      <c r="G31" s="296"/>
      <c r="H31" s="296"/>
      <c r="I31" s="297"/>
      <c r="J31" s="296"/>
      <c r="K31" s="298"/>
      <c r="L31" s="299"/>
      <c r="M31" s="299"/>
      <c r="N31" s="299"/>
      <c r="O31" s="299"/>
      <c r="P31" s="300"/>
      <c r="Q31" s="250"/>
      <c r="R31" s="211"/>
    </row>
    <row r="32" spans="1:18" ht="65.25" customHeight="1" x14ac:dyDescent="0.25">
      <c r="A32" s="235"/>
      <c r="B32" s="227"/>
      <c r="C32" s="228"/>
      <c r="D32" s="252"/>
      <c r="E32" s="251"/>
      <c r="F32" s="295"/>
      <c r="G32" s="296"/>
      <c r="H32" s="296"/>
      <c r="I32" s="297"/>
      <c r="J32" s="296"/>
      <c r="K32" s="298"/>
      <c r="L32" s="299"/>
      <c r="M32" s="299"/>
      <c r="N32" s="299"/>
      <c r="O32" s="299"/>
      <c r="P32" s="300"/>
      <c r="Q32" s="250"/>
      <c r="R32" s="211"/>
    </row>
    <row r="33" spans="1:18" ht="15.75" thickBot="1" x14ac:dyDescent="0.3">
      <c r="A33" s="235"/>
      <c r="B33" s="229"/>
      <c r="C33" s="232"/>
      <c r="D33" s="232"/>
      <c r="E33" s="232"/>
      <c r="F33" s="232"/>
      <c r="G33" s="232"/>
      <c r="H33" s="232"/>
      <c r="I33" s="232"/>
      <c r="J33" s="232"/>
      <c r="K33" s="232"/>
      <c r="L33" s="232"/>
      <c r="M33" s="232"/>
      <c r="N33" s="232"/>
      <c r="O33" s="232"/>
      <c r="P33" s="232"/>
      <c r="Q33" s="253"/>
      <c r="R33" s="211"/>
    </row>
  </sheetData>
  <mergeCells count="26">
    <mergeCell ref="F28:H28"/>
    <mergeCell ref="I28:J28"/>
    <mergeCell ref="K28:P28"/>
    <mergeCell ref="B3:Q3"/>
    <mergeCell ref="B5:Q5"/>
    <mergeCell ref="B6:Q6"/>
    <mergeCell ref="B7:Q7"/>
    <mergeCell ref="C9:E13"/>
    <mergeCell ref="F9:O13"/>
    <mergeCell ref="C17:P19"/>
    <mergeCell ref="B24:Q25"/>
    <mergeCell ref="F27:H27"/>
    <mergeCell ref="I27:J27"/>
    <mergeCell ref="K27:P27"/>
    <mergeCell ref="F29:H29"/>
    <mergeCell ref="I29:J29"/>
    <mergeCell ref="K29:P29"/>
    <mergeCell ref="F30:H30"/>
    <mergeCell ref="I30:J30"/>
    <mergeCell ref="K30:P30"/>
    <mergeCell ref="F31:H31"/>
    <mergeCell ref="I31:J31"/>
    <mergeCell ref="K31:P31"/>
    <mergeCell ref="F32:H32"/>
    <mergeCell ref="I32:J32"/>
    <mergeCell ref="K32:P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902F5-E472-4917-8038-0AF6DE06FF4F}">
  <dimension ref="A1:AD46"/>
  <sheetViews>
    <sheetView zoomScale="85" zoomScaleNormal="85" workbookViewId="0">
      <pane xSplit="1" topLeftCell="B1" activePane="topRight" state="frozen"/>
      <selection activeCell="A36" sqref="A36"/>
      <selection pane="topRight" activeCell="AE3" sqref="AE3"/>
    </sheetView>
  </sheetViews>
  <sheetFormatPr defaultColWidth="8.7109375" defaultRowHeight="18" customHeight="1" x14ac:dyDescent="0.25"/>
  <cols>
    <col min="1" max="2" width="25.5703125" style="1" customWidth="1"/>
    <col min="3" max="7" width="16.42578125" style="1" bestFit="1" customWidth="1"/>
    <col min="8" max="8" width="17.5703125" style="1" bestFit="1" customWidth="1"/>
    <col min="9" max="9" width="15.5703125" style="1" customWidth="1"/>
    <col min="10" max="14" width="16.42578125" style="1" bestFit="1" customWidth="1"/>
    <col min="15" max="15" width="17.5703125" style="1" bestFit="1" customWidth="1"/>
    <col min="16" max="30" width="15.5703125" style="1" customWidth="1"/>
    <col min="31" max="16384" width="8.7109375" style="1"/>
  </cols>
  <sheetData>
    <row r="1" spans="1:30" ht="15" x14ac:dyDescent="0.25">
      <c r="A1" s="347" t="s">
        <v>0</v>
      </c>
      <c r="B1" s="350" t="s">
        <v>1</v>
      </c>
      <c r="C1" s="342" t="s">
        <v>13</v>
      </c>
      <c r="D1" s="343"/>
      <c r="E1" s="343"/>
      <c r="F1" s="343"/>
      <c r="G1" s="343"/>
      <c r="H1" s="343"/>
      <c r="I1" s="343"/>
      <c r="J1" s="344" t="s">
        <v>14</v>
      </c>
      <c r="K1" s="345"/>
      <c r="L1" s="345"/>
      <c r="M1" s="345"/>
      <c r="N1" s="345"/>
      <c r="O1" s="345"/>
      <c r="P1" s="345"/>
      <c r="Q1" s="342" t="s">
        <v>15</v>
      </c>
      <c r="R1" s="343"/>
      <c r="S1" s="343"/>
      <c r="T1" s="343"/>
      <c r="U1" s="343"/>
      <c r="V1" s="343"/>
      <c r="W1" s="343"/>
      <c r="X1" s="344" t="s">
        <v>16</v>
      </c>
      <c r="Y1" s="345"/>
      <c r="Z1" s="345"/>
      <c r="AA1" s="345"/>
      <c r="AB1" s="345"/>
      <c r="AC1" s="345"/>
      <c r="AD1" s="345"/>
    </row>
    <row r="2" spans="1:30" ht="15.75" thickBot="1" x14ac:dyDescent="0.3">
      <c r="A2" s="349"/>
      <c r="B2" s="351"/>
      <c r="C2" s="23" t="s">
        <v>25</v>
      </c>
      <c r="D2" s="24" t="s">
        <v>26</v>
      </c>
      <c r="E2" s="24" t="s">
        <v>27</v>
      </c>
      <c r="F2" s="24" t="s">
        <v>28</v>
      </c>
      <c r="G2" s="24" t="s">
        <v>29</v>
      </c>
      <c r="H2" s="24" t="s">
        <v>30</v>
      </c>
      <c r="I2" s="24" t="s">
        <v>31</v>
      </c>
      <c r="J2" s="74" t="s">
        <v>25</v>
      </c>
      <c r="K2" s="41" t="s">
        <v>26</v>
      </c>
      <c r="L2" s="41" t="s">
        <v>27</v>
      </c>
      <c r="M2" s="41" t="s">
        <v>28</v>
      </c>
      <c r="N2" s="41" t="s">
        <v>29</v>
      </c>
      <c r="O2" s="41" t="s">
        <v>30</v>
      </c>
      <c r="P2" s="41" t="s">
        <v>31</v>
      </c>
      <c r="Q2" s="23" t="s">
        <v>25</v>
      </c>
      <c r="R2" s="24" t="s">
        <v>26</v>
      </c>
      <c r="S2" s="24" t="s">
        <v>27</v>
      </c>
      <c r="T2" s="24" t="s">
        <v>28</v>
      </c>
      <c r="U2" s="24" t="s">
        <v>29</v>
      </c>
      <c r="V2" s="24" t="s">
        <v>30</v>
      </c>
      <c r="W2" s="24" t="s">
        <v>31</v>
      </c>
      <c r="X2" s="74" t="s">
        <v>25</v>
      </c>
      <c r="Y2" s="41" t="s">
        <v>26</v>
      </c>
      <c r="Z2" s="41" t="s">
        <v>27</v>
      </c>
      <c r="AA2" s="41" t="s">
        <v>28</v>
      </c>
      <c r="AB2" s="41" t="s">
        <v>29</v>
      </c>
      <c r="AC2" s="41" t="s">
        <v>30</v>
      </c>
      <c r="AD2" s="41" t="s">
        <v>31</v>
      </c>
    </row>
    <row r="3" spans="1:30" ht="18" customHeight="1" x14ac:dyDescent="0.25">
      <c r="A3" s="289">
        <v>1</v>
      </c>
      <c r="B3" s="290" t="s">
        <v>3</v>
      </c>
      <c r="C3" s="94">
        <v>39103570</v>
      </c>
      <c r="D3" s="95">
        <v>0</v>
      </c>
      <c r="E3" s="95">
        <v>0</v>
      </c>
      <c r="F3" s="95">
        <v>0</v>
      </c>
      <c r="G3" s="95">
        <v>0</v>
      </c>
      <c r="H3" s="292"/>
      <c r="I3" s="293"/>
      <c r="J3" s="94">
        <v>117156820</v>
      </c>
      <c r="K3" s="95">
        <v>0</v>
      </c>
      <c r="L3" s="95">
        <v>0</v>
      </c>
      <c r="M3" s="95">
        <v>0</v>
      </c>
      <c r="N3" s="95">
        <v>0</v>
      </c>
      <c r="O3" s="292"/>
      <c r="P3" s="293"/>
      <c r="Q3" s="94">
        <v>308985380</v>
      </c>
      <c r="R3" s="95">
        <v>0</v>
      </c>
      <c r="S3" s="95">
        <v>0</v>
      </c>
      <c r="T3" s="95">
        <v>0</v>
      </c>
      <c r="U3" s="95">
        <v>0</v>
      </c>
      <c r="V3" s="292"/>
      <c r="W3" s="293"/>
      <c r="X3" s="94">
        <v>0</v>
      </c>
      <c r="Y3" s="95">
        <v>0</v>
      </c>
      <c r="Z3" s="95">
        <v>0</v>
      </c>
      <c r="AA3" s="95">
        <v>0</v>
      </c>
      <c r="AB3" s="95">
        <v>0</v>
      </c>
      <c r="AC3" s="292"/>
      <c r="AD3" s="293"/>
    </row>
    <row r="4" spans="1:30" ht="18" customHeight="1" x14ac:dyDescent="0.25">
      <c r="A4" s="5">
        <v>2</v>
      </c>
      <c r="B4" s="281" t="s">
        <v>4</v>
      </c>
      <c r="C4" s="96">
        <v>9864074880</v>
      </c>
      <c r="D4" s="97">
        <v>34695723226.999985</v>
      </c>
      <c r="E4" s="112">
        <v>28695235349.912994</v>
      </c>
      <c r="F4" s="97">
        <v>7785018535.8990002</v>
      </c>
      <c r="G4" s="97">
        <v>2008415860.0000005</v>
      </c>
      <c r="H4" s="147">
        <f t="shared" ref="H4:H29" si="0">AVERAGE(C4:G4)</f>
        <v>16609693570.562397</v>
      </c>
      <c r="I4" s="3">
        <f t="shared" ref="I4:I29" si="1">H4/92</f>
        <v>180540147.50611302</v>
      </c>
      <c r="J4" s="96">
        <v>24031426540</v>
      </c>
      <c r="K4" s="97">
        <v>22586242767</v>
      </c>
      <c r="L4" s="112">
        <v>58189739320.218002</v>
      </c>
      <c r="M4" s="97">
        <v>17701615550.28904</v>
      </c>
      <c r="N4" s="97">
        <v>1469143500</v>
      </c>
      <c r="O4" s="147">
        <f t="shared" ref="O4:O29" si="2">AVERAGE(J4:N4)</f>
        <v>24795633535.501411</v>
      </c>
      <c r="P4" s="3">
        <f t="shared" ref="P4:P29" si="3">O4/90</f>
        <v>275507039.28334904</v>
      </c>
      <c r="Q4" s="96">
        <v>5673712990.000001</v>
      </c>
      <c r="R4" s="97">
        <v>96836959.999999985</v>
      </c>
      <c r="S4" s="112">
        <v>1341295134.3000007</v>
      </c>
      <c r="T4" s="97">
        <v>27751570.000000004</v>
      </c>
      <c r="U4" s="97">
        <v>0</v>
      </c>
      <c r="V4" s="147">
        <f t="shared" ref="V4:V29" si="4">AVERAGE(Q4:U4)</f>
        <v>1427919330.8600001</v>
      </c>
      <c r="W4" s="3">
        <f t="shared" ref="W4:W29" si="5">V4/91</f>
        <v>15691421.218241761</v>
      </c>
      <c r="X4" s="96">
        <v>308472889.99999994</v>
      </c>
      <c r="Y4" s="97">
        <v>56374560.000000007</v>
      </c>
      <c r="Z4" s="112">
        <v>236444560</v>
      </c>
      <c r="AA4" s="97">
        <v>485120141.55000001</v>
      </c>
      <c r="AB4" s="97">
        <v>0</v>
      </c>
      <c r="AC4" s="147">
        <f t="shared" ref="AC4:AC29" si="6">AVERAGE(X4:AB4)</f>
        <v>217282430.31</v>
      </c>
      <c r="AD4" s="3">
        <f t="shared" ref="AD4:AD29" si="7">AC4/92</f>
        <v>2361765.5468478263</v>
      </c>
    </row>
    <row r="5" spans="1:30" ht="18" customHeight="1" x14ac:dyDescent="0.25">
      <c r="A5" s="6">
        <v>3</v>
      </c>
      <c r="B5" s="281" t="s">
        <v>5</v>
      </c>
      <c r="C5" s="96">
        <v>30855740959.999992</v>
      </c>
      <c r="D5" s="97">
        <v>28319040530</v>
      </c>
      <c r="E5" s="112">
        <v>32503164540.000008</v>
      </c>
      <c r="F5" s="97">
        <v>33648911230.000015</v>
      </c>
      <c r="G5" s="97">
        <v>31834743820</v>
      </c>
      <c r="H5" s="147">
        <f t="shared" si="0"/>
        <v>31432320216</v>
      </c>
      <c r="I5" s="3">
        <f t="shared" si="1"/>
        <v>341655654.52173913</v>
      </c>
      <c r="J5" s="96">
        <v>30088114100</v>
      </c>
      <c r="K5" s="97">
        <v>35087208750.000008</v>
      </c>
      <c r="L5" s="112">
        <v>33431962630</v>
      </c>
      <c r="M5" s="97">
        <v>34725687260</v>
      </c>
      <c r="N5" s="97">
        <v>35332644930</v>
      </c>
      <c r="O5" s="147">
        <f t="shared" si="2"/>
        <v>33733123534</v>
      </c>
      <c r="P5" s="3">
        <f t="shared" si="3"/>
        <v>374812483.71111113</v>
      </c>
      <c r="Q5" s="96">
        <v>27935848049.999996</v>
      </c>
      <c r="R5" s="97">
        <v>34802839720</v>
      </c>
      <c r="S5" s="112">
        <v>33971212440.000011</v>
      </c>
      <c r="T5" s="97">
        <v>33291161310</v>
      </c>
      <c r="U5" s="97">
        <v>33877098420.000008</v>
      </c>
      <c r="V5" s="147">
        <f t="shared" si="4"/>
        <v>32775631988.000008</v>
      </c>
      <c r="W5" s="3">
        <f t="shared" si="5"/>
        <v>360171780.08791214</v>
      </c>
      <c r="X5" s="96">
        <v>29464341830</v>
      </c>
      <c r="Y5" s="97">
        <v>25316911950</v>
      </c>
      <c r="Z5" s="112">
        <v>31537840620</v>
      </c>
      <c r="AA5" s="97">
        <v>27166483850.000008</v>
      </c>
      <c r="AB5" s="97">
        <v>28666327470</v>
      </c>
      <c r="AC5" s="147">
        <f t="shared" si="6"/>
        <v>28430381144</v>
      </c>
      <c r="AD5" s="3">
        <f t="shared" si="7"/>
        <v>309025882</v>
      </c>
    </row>
    <row r="6" spans="1:30" ht="18" customHeight="1" x14ac:dyDescent="0.25">
      <c r="A6" s="5">
        <v>4</v>
      </c>
      <c r="B6" s="281" t="s">
        <v>6</v>
      </c>
      <c r="C6" s="96">
        <v>1615900000.0000007</v>
      </c>
      <c r="D6" s="97">
        <v>1774267000.0000005</v>
      </c>
      <c r="E6" s="112">
        <v>1078721380.0000005</v>
      </c>
      <c r="F6" s="97">
        <v>1257153699.9999998</v>
      </c>
      <c r="G6" s="97">
        <v>840270969.99999964</v>
      </c>
      <c r="H6" s="147">
        <f t="shared" si="0"/>
        <v>1313262610.0000005</v>
      </c>
      <c r="I6" s="3">
        <f t="shared" si="1"/>
        <v>14274593.586956527</v>
      </c>
      <c r="J6" s="96">
        <v>755395960.00000036</v>
      </c>
      <c r="K6" s="97">
        <v>1591601000</v>
      </c>
      <c r="L6" s="112">
        <v>1191779600.0000007</v>
      </c>
      <c r="M6" s="97">
        <v>1219130440.0000002</v>
      </c>
      <c r="N6" s="97">
        <v>710704939.99999976</v>
      </c>
      <c r="O6" s="147">
        <f t="shared" si="2"/>
        <v>1093722388.0000002</v>
      </c>
      <c r="P6" s="3">
        <f t="shared" si="3"/>
        <v>12152470.977777781</v>
      </c>
      <c r="Q6" s="96">
        <v>533870700.00000006</v>
      </c>
      <c r="R6" s="97">
        <v>1605151899.999999</v>
      </c>
      <c r="S6" s="112">
        <v>1094700420.0000002</v>
      </c>
      <c r="T6" s="97">
        <v>928032600.00000036</v>
      </c>
      <c r="U6" s="97">
        <v>585333429.99999988</v>
      </c>
      <c r="V6" s="147">
        <f t="shared" si="4"/>
        <v>949417809.99999976</v>
      </c>
      <c r="W6" s="3">
        <f t="shared" si="5"/>
        <v>10433162.747252746</v>
      </c>
      <c r="X6" s="96">
        <v>360544800</v>
      </c>
      <c r="Y6" s="97">
        <v>1216154500.0000002</v>
      </c>
      <c r="Z6" s="112">
        <v>1450520169.9999998</v>
      </c>
      <c r="AA6" s="97">
        <v>1064399489.9999995</v>
      </c>
      <c r="AB6" s="97">
        <v>504391139.99999994</v>
      </c>
      <c r="AC6" s="147">
        <f t="shared" si="6"/>
        <v>919202019.99999976</v>
      </c>
      <c r="AD6" s="3">
        <f t="shared" si="7"/>
        <v>9991326.3043478243</v>
      </c>
    </row>
    <row r="7" spans="1:30" ht="18" customHeight="1" x14ac:dyDescent="0.25">
      <c r="A7" s="5">
        <v>5</v>
      </c>
      <c r="B7" s="281" t="s">
        <v>5</v>
      </c>
      <c r="C7" s="96">
        <v>3707610719.9999995</v>
      </c>
      <c r="D7" s="97">
        <v>1970578577.0000005</v>
      </c>
      <c r="E7" s="112">
        <v>2003969990.0000007</v>
      </c>
      <c r="F7" s="97">
        <v>2053142300.0000005</v>
      </c>
      <c r="G7" s="97">
        <v>4266132640</v>
      </c>
      <c r="H7" s="147">
        <f t="shared" si="0"/>
        <v>2800286845.4000006</v>
      </c>
      <c r="I7" s="3">
        <f t="shared" si="1"/>
        <v>30437900.493478268</v>
      </c>
      <c r="J7" s="96">
        <v>5319286169.999999</v>
      </c>
      <c r="K7" s="97">
        <v>1798138528.999999</v>
      </c>
      <c r="L7" s="112">
        <v>3038997939.9999995</v>
      </c>
      <c r="M7" s="97">
        <v>5962669789.999999</v>
      </c>
      <c r="N7" s="97">
        <v>3898223559.9999995</v>
      </c>
      <c r="O7" s="147">
        <f t="shared" si="2"/>
        <v>4003463197.7999992</v>
      </c>
      <c r="P7" s="3">
        <f t="shared" si="3"/>
        <v>44482924.419999994</v>
      </c>
      <c r="Q7" s="96">
        <v>4882835430</v>
      </c>
      <c r="R7" s="97">
        <v>0</v>
      </c>
      <c r="S7" s="112">
        <v>2750132330.0000005</v>
      </c>
      <c r="T7" s="97">
        <v>5234546239.999999</v>
      </c>
      <c r="U7" s="97">
        <v>3733162290.000001</v>
      </c>
      <c r="V7" s="147">
        <f t="shared" si="4"/>
        <v>3320135258</v>
      </c>
      <c r="W7" s="3">
        <f t="shared" si="5"/>
        <v>36485002.835164838</v>
      </c>
      <c r="X7" s="96">
        <v>818907210.00000012</v>
      </c>
      <c r="Y7" s="97">
        <v>0</v>
      </c>
      <c r="Z7" s="112">
        <v>599700970.00000012</v>
      </c>
      <c r="AA7" s="97">
        <v>3653949640</v>
      </c>
      <c r="AB7" s="97">
        <v>1475936660.0000005</v>
      </c>
      <c r="AC7" s="147">
        <f t="shared" si="6"/>
        <v>1309698896</v>
      </c>
      <c r="AD7" s="3">
        <f t="shared" si="7"/>
        <v>14235857.565217391</v>
      </c>
    </row>
    <row r="8" spans="1:30" ht="18" customHeight="1" x14ac:dyDescent="0.25">
      <c r="A8" s="5">
        <v>6</v>
      </c>
      <c r="B8" s="281" t="s">
        <v>3</v>
      </c>
      <c r="C8" s="96">
        <v>786636509.99999988</v>
      </c>
      <c r="D8" s="97">
        <v>852106309.99999988</v>
      </c>
      <c r="E8" s="112">
        <v>1277993090.0000002</v>
      </c>
      <c r="F8" s="97">
        <v>41218100</v>
      </c>
      <c r="G8" s="97">
        <v>232697959.99999997</v>
      </c>
      <c r="H8" s="147">
        <f t="shared" si="0"/>
        <v>638130394</v>
      </c>
      <c r="I8" s="3">
        <f t="shared" si="1"/>
        <v>6936199.9347826084</v>
      </c>
      <c r="J8" s="96">
        <v>2440108880</v>
      </c>
      <c r="K8" s="97">
        <v>2007571610</v>
      </c>
      <c r="L8" s="112">
        <v>1958989889.9999995</v>
      </c>
      <c r="M8" s="97">
        <v>1757926940.0000005</v>
      </c>
      <c r="N8" s="97">
        <v>2463352650.0000005</v>
      </c>
      <c r="O8" s="147">
        <f t="shared" si="2"/>
        <v>2125589994</v>
      </c>
      <c r="P8" s="3">
        <f t="shared" si="3"/>
        <v>23617666.600000001</v>
      </c>
      <c r="Q8" s="96">
        <v>421283170.00000006</v>
      </c>
      <c r="R8" s="97">
        <v>519867920.00000012</v>
      </c>
      <c r="S8" s="112">
        <v>116534220</v>
      </c>
      <c r="T8" s="97">
        <v>451210649.99999994</v>
      </c>
      <c r="U8" s="97">
        <v>0</v>
      </c>
      <c r="V8" s="147">
        <f t="shared" si="4"/>
        <v>301779192.00000006</v>
      </c>
      <c r="W8" s="3">
        <f t="shared" si="5"/>
        <v>3316254.8571428577</v>
      </c>
      <c r="X8" s="96">
        <v>28575030.000000004</v>
      </c>
      <c r="Y8" s="97">
        <v>289132580</v>
      </c>
      <c r="Z8" s="112">
        <v>0</v>
      </c>
      <c r="AA8" s="97">
        <v>110817520.00000001</v>
      </c>
      <c r="AB8" s="97">
        <v>0</v>
      </c>
      <c r="AC8" s="147">
        <f t="shared" si="6"/>
        <v>85705026</v>
      </c>
      <c r="AD8" s="3">
        <f t="shared" si="7"/>
        <v>931576.36956521741</v>
      </c>
    </row>
    <row r="9" spans="1:30" ht="18" customHeight="1" x14ac:dyDescent="0.25">
      <c r="A9" s="6">
        <v>7</v>
      </c>
      <c r="B9" s="281" t="s">
        <v>6</v>
      </c>
      <c r="C9" s="96">
        <v>0</v>
      </c>
      <c r="D9" s="97">
        <v>0</v>
      </c>
      <c r="E9" s="112">
        <v>0</v>
      </c>
      <c r="F9" s="97">
        <v>0</v>
      </c>
      <c r="G9" s="97">
        <v>0</v>
      </c>
      <c r="H9" s="147">
        <f t="shared" si="0"/>
        <v>0</v>
      </c>
      <c r="I9" s="3">
        <f t="shared" si="1"/>
        <v>0</v>
      </c>
      <c r="J9" s="96">
        <v>0</v>
      </c>
      <c r="K9" s="97">
        <v>0</v>
      </c>
      <c r="L9" s="112">
        <v>0</v>
      </c>
      <c r="M9" s="97">
        <v>0</v>
      </c>
      <c r="N9" s="97">
        <v>0</v>
      </c>
      <c r="O9" s="147">
        <f t="shared" si="2"/>
        <v>0</v>
      </c>
      <c r="P9" s="3">
        <f t="shared" si="3"/>
        <v>0</v>
      </c>
      <c r="Q9" s="96">
        <v>0</v>
      </c>
      <c r="R9" s="97">
        <v>0</v>
      </c>
      <c r="S9" s="112">
        <v>0</v>
      </c>
      <c r="T9" s="97">
        <v>0</v>
      </c>
      <c r="U9" s="97">
        <v>0</v>
      </c>
      <c r="V9" s="147">
        <f t="shared" si="4"/>
        <v>0</v>
      </c>
      <c r="W9" s="3">
        <f t="shared" si="5"/>
        <v>0</v>
      </c>
      <c r="X9" s="96">
        <v>0</v>
      </c>
      <c r="Y9" s="97">
        <v>0</v>
      </c>
      <c r="Z9" s="112">
        <v>0</v>
      </c>
      <c r="AA9" s="97">
        <v>0</v>
      </c>
      <c r="AB9" s="97">
        <v>0</v>
      </c>
      <c r="AC9" s="147">
        <f t="shared" si="6"/>
        <v>0</v>
      </c>
      <c r="AD9" s="3">
        <f t="shared" si="7"/>
        <v>0</v>
      </c>
    </row>
    <row r="10" spans="1:30" ht="18" customHeight="1" x14ac:dyDescent="0.25">
      <c r="A10" s="5">
        <v>8</v>
      </c>
      <c r="B10" s="281" t="s">
        <v>3</v>
      </c>
      <c r="C10" s="96">
        <v>2433560470</v>
      </c>
      <c r="D10" s="97">
        <v>4924047149.999999</v>
      </c>
      <c r="E10" s="112">
        <v>6468095040.000001</v>
      </c>
      <c r="F10" s="97">
        <v>3603710000.0000005</v>
      </c>
      <c r="G10" s="97">
        <v>5820469490</v>
      </c>
      <c r="H10" s="147">
        <f t="shared" si="0"/>
        <v>4649976430</v>
      </c>
      <c r="I10" s="3">
        <f t="shared" si="1"/>
        <v>50543222.065217391</v>
      </c>
      <c r="J10" s="96">
        <v>4945285070</v>
      </c>
      <c r="K10" s="97">
        <v>7116462870</v>
      </c>
      <c r="L10" s="112">
        <v>9471456610</v>
      </c>
      <c r="M10" s="97">
        <v>7505829320</v>
      </c>
      <c r="N10" s="97">
        <v>9593336829.9999981</v>
      </c>
      <c r="O10" s="147">
        <f t="shared" si="2"/>
        <v>7726474140</v>
      </c>
      <c r="P10" s="3">
        <f t="shared" si="3"/>
        <v>85849712.666666672</v>
      </c>
      <c r="Q10" s="96">
        <v>2653833050</v>
      </c>
      <c r="R10" s="97">
        <v>4436664430.000001</v>
      </c>
      <c r="S10" s="112">
        <v>4449087939.999999</v>
      </c>
      <c r="T10" s="97">
        <v>5688911029.999999</v>
      </c>
      <c r="U10" s="97">
        <v>3684215039.999999</v>
      </c>
      <c r="V10" s="147">
        <f t="shared" si="4"/>
        <v>4182542298</v>
      </c>
      <c r="W10" s="3">
        <f t="shared" si="5"/>
        <v>45962003.274725273</v>
      </c>
      <c r="X10" s="96">
        <v>3184385160</v>
      </c>
      <c r="Y10" s="97">
        <v>4687658140</v>
      </c>
      <c r="Z10" s="112">
        <v>4063344890</v>
      </c>
      <c r="AA10" s="97">
        <v>2227935490.0000005</v>
      </c>
      <c r="AB10" s="97">
        <v>5104037400</v>
      </c>
      <c r="AC10" s="147">
        <f t="shared" si="6"/>
        <v>3853472216</v>
      </c>
      <c r="AD10" s="3">
        <f t="shared" si="7"/>
        <v>41885567.565217391</v>
      </c>
    </row>
    <row r="11" spans="1:30" ht="18" customHeight="1" x14ac:dyDescent="0.25">
      <c r="A11" s="5">
        <v>9</v>
      </c>
      <c r="B11" s="281" t="s">
        <v>3</v>
      </c>
      <c r="C11" s="96">
        <v>0</v>
      </c>
      <c r="D11" s="97">
        <v>0</v>
      </c>
      <c r="E11" s="112">
        <v>0</v>
      </c>
      <c r="F11" s="97">
        <v>0</v>
      </c>
      <c r="G11" s="97">
        <v>0</v>
      </c>
      <c r="H11" s="147">
        <f t="shared" si="0"/>
        <v>0</v>
      </c>
      <c r="I11" s="3">
        <f t="shared" si="1"/>
        <v>0</v>
      </c>
      <c r="J11" s="96">
        <v>0</v>
      </c>
      <c r="K11" s="97">
        <v>0</v>
      </c>
      <c r="L11" s="112">
        <v>0</v>
      </c>
      <c r="M11" s="97">
        <v>0</v>
      </c>
      <c r="N11" s="97">
        <v>0</v>
      </c>
      <c r="O11" s="147">
        <f t="shared" si="2"/>
        <v>0</v>
      </c>
      <c r="P11" s="3">
        <f t="shared" si="3"/>
        <v>0</v>
      </c>
      <c r="Q11" s="96">
        <v>0</v>
      </c>
      <c r="R11" s="97">
        <v>0</v>
      </c>
      <c r="S11" s="112">
        <v>0</v>
      </c>
      <c r="T11" s="97">
        <v>0</v>
      </c>
      <c r="U11" s="97">
        <v>0</v>
      </c>
      <c r="V11" s="147">
        <f t="shared" si="4"/>
        <v>0</v>
      </c>
      <c r="W11" s="3">
        <f t="shared" si="5"/>
        <v>0</v>
      </c>
      <c r="X11" s="96">
        <v>0</v>
      </c>
      <c r="Y11" s="97">
        <v>0</v>
      </c>
      <c r="Z11" s="112">
        <v>0</v>
      </c>
      <c r="AA11" s="97">
        <v>0</v>
      </c>
      <c r="AB11" s="97">
        <v>0</v>
      </c>
      <c r="AC11" s="147">
        <f t="shared" si="6"/>
        <v>0</v>
      </c>
      <c r="AD11" s="3">
        <f t="shared" si="7"/>
        <v>0</v>
      </c>
    </row>
    <row r="12" spans="1:30" ht="18" customHeight="1" x14ac:dyDescent="0.25">
      <c r="A12" s="5">
        <v>10</v>
      </c>
      <c r="B12" s="281" t="s">
        <v>3</v>
      </c>
      <c r="C12" s="96">
        <v>0</v>
      </c>
      <c r="D12" s="97">
        <v>0</v>
      </c>
      <c r="E12" s="112">
        <v>0</v>
      </c>
      <c r="F12" s="97">
        <v>0</v>
      </c>
      <c r="G12" s="97">
        <v>0</v>
      </c>
      <c r="H12" s="147">
        <f t="shared" si="0"/>
        <v>0</v>
      </c>
      <c r="I12" s="3">
        <f t="shared" si="1"/>
        <v>0</v>
      </c>
      <c r="J12" s="96">
        <v>0</v>
      </c>
      <c r="K12" s="97">
        <v>0</v>
      </c>
      <c r="L12" s="112">
        <v>0</v>
      </c>
      <c r="M12" s="97">
        <v>0</v>
      </c>
      <c r="N12" s="97">
        <v>0</v>
      </c>
      <c r="O12" s="147">
        <f t="shared" si="2"/>
        <v>0</v>
      </c>
      <c r="P12" s="3">
        <f t="shared" si="3"/>
        <v>0</v>
      </c>
      <c r="Q12" s="96">
        <v>0</v>
      </c>
      <c r="R12" s="97">
        <v>0</v>
      </c>
      <c r="S12" s="112">
        <v>0</v>
      </c>
      <c r="T12" s="97">
        <v>0</v>
      </c>
      <c r="U12" s="97">
        <v>0</v>
      </c>
      <c r="V12" s="147">
        <f t="shared" si="4"/>
        <v>0</v>
      </c>
      <c r="W12" s="3">
        <f t="shared" si="5"/>
        <v>0</v>
      </c>
      <c r="X12" s="96">
        <v>0</v>
      </c>
      <c r="Y12" s="97">
        <v>0</v>
      </c>
      <c r="Z12" s="112">
        <v>0</v>
      </c>
      <c r="AA12" s="97">
        <v>0</v>
      </c>
      <c r="AB12" s="97">
        <v>0</v>
      </c>
      <c r="AC12" s="147">
        <f t="shared" si="6"/>
        <v>0</v>
      </c>
      <c r="AD12" s="3">
        <f t="shared" si="7"/>
        <v>0</v>
      </c>
    </row>
    <row r="13" spans="1:30" ht="18" customHeight="1" x14ac:dyDescent="0.25">
      <c r="A13" s="6">
        <v>11</v>
      </c>
      <c r="B13" s="281" t="s">
        <v>5</v>
      </c>
      <c r="C13" s="96">
        <v>62550879489.999985</v>
      </c>
      <c r="D13" s="97">
        <v>75185551760</v>
      </c>
      <c r="E13" s="112">
        <v>80570941329.999969</v>
      </c>
      <c r="F13" s="97">
        <v>76534132069.999985</v>
      </c>
      <c r="G13" s="97">
        <v>63446070820</v>
      </c>
      <c r="H13" s="147">
        <f t="shared" si="0"/>
        <v>71657515093.999985</v>
      </c>
      <c r="I13" s="3">
        <f t="shared" si="1"/>
        <v>778886033.63043463</v>
      </c>
      <c r="J13" s="96">
        <v>95038151010.000015</v>
      </c>
      <c r="K13" s="97">
        <v>85767347930.000015</v>
      </c>
      <c r="L13" s="112">
        <v>86316015830.000015</v>
      </c>
      <c r="M13" s="97">
        <v>77556411020</v>
      </c>
      <c r="N13" s="97">
        <v>67558374399.999985</v>
      </c>
      <c r="O13" s="147">
        <f t="shared" si="2"/>
        <v>82447260038.000015</v>
      </c>
      <c r="P13" s="3">
        <f t="shared" si="3"/>
        <v>916080667.088889</v>
      </c>
      <c r="Q13" s="96">
        <v>45244076460</v>
      </c>
      <c r="R13" s="97">
        <v>41429642320.000031</v>
      </c>
      <c r="S13" s="112">
        <v>51777084480.000015</v>
      </c>
      <c r="T13" s="97">
        <v>49102191709.999992</v>
      </c>
      <c r="U13" s="97">
        <v>22921941900.000008</v>
      </c>
      <c r="V13" s="147">
        <f t="shared" si="4"/>
        <v>42094987374.000015</v>
      </c>
      <c r="W13" s="3">
        <f t="shared" si="5"/>
        <v>462582278.83516502</v>
      </c>
      <c r="X13" s="96">
        <v>19445903510.000004</v>
      </c>
      <c r="Y13" s="97">
        <v>47460654229.999992</v>
      </c>
      <c r="Z13" s="112">
        <v>45336384499.999985</v>
      </c>
      <c r="AA13" s="97">
        <v>28661839799.999981</v>
      </c>
      <c r="AB13" s="97">
        <v>34552376100</v>
      </c>
      <c r="AC13" s="147">
        <f t="shared" si="6"/>
        <v>35091431627.999992</v>
      </c>
      <c r="AD13" s="3">
        <f t="shared" si="7"/>
        <v>381428604.65217382</v>
      </c>
    </row>
    <row r="14" spans="1:30" ht="18" customHeight="1" x14ac:dyDescent="0.25">
      <c r="A14" s="5">
        <v>12</v>
      </c>
      <c r="B14" s="281" t="s">
        <v>3</v>
      </c>
      <c r="C14" s="96">
        <v>0</v>
      </c>
      <c r="D14" s="97">
        <v>0</v>
      </c>
      <c r="E14" s="112">
        <v>0</v>
      </c>
      <c r="F14" s="113">
        <v>0</v>
      </c>
      <c r="G14" s="97">
        <v>0</v>
      </c>
      <c r="H14" s="147">
        <f t="shared" si="0"/>
        <v>0</v>
      </c>
      <c r="I14" s="3">
        <f t="shared" si="1"/>
        <v>0</v>
      </c>
      <c r="J14" s="96">
        <v>0</v>
      </c>
      <c r="K14" s="97">
        <v>0</v>
      </c>
      <c r="L14" s="112">
        <v>0</v>
      </c>
      <c r="M14" s="113">
        <v>0</v>
      </c>
      <c r="N14" s="97">
        <v>0</v>
      </c>
      <c r="O14" s="147">
        <f t="shared" si="2"/>
        <v>0</v>
      </c>
      <c r="P14" s="3">
        <f t="shared" si="3"/>
        <v>0</v>
      </c>
      <c r="Q14" s="96">
        <v>0</v>
      </c>
      <c r="R14" s="97">
        <v>0</v>
      </c>
      <c r="S14" s="112">
        <v>0</v>
      </c>
      <c r="T14" s="113">
        <v>0</v>
      </c>
      <c r="U14" s="97">
        <v>0</v>
      </c>
      <c r="V14" s="147">
        <f t="shared" si="4"/>
        <v>0</v>
      </c>
      <c r="W14" s="3">
        <f t="shared" si="5"/>
        <v>0</v>
      </c>
      <c r="X14" s="96">
        <v>0</v>
      </c>
      <c r="Y14" s="97">
        <v>0</v>
      </c>
      <c r="Z14" s="112">
        <v>0</v>
      </c>
      <c r="AA14" s="113">
        <v>0</v>
      </c>
      <c r="AB14" s="97">
        <v>0</v>
      </c>
      <c r="AC14" s="147">
        <f t="shared" si="6"/>
        <v>0</v>
      </c>
      <c r="AD14" s="3">
        <f t="shared" si="7"/>
        <v>0</v>
      </c>
    </row>
    <row r="15" spans="1:30" ht="18" customHeight="1" x14ac:dyDescent="0.25">
      <c r="A15" s="5">
        <v>13</v>
      </c>
      <c r="B15" s="281" t="s">
        <v>3</v>
      </c>
      <c r="C15" s="96">
        <v>0</v>
      </c>
      <c r="D15" s="97">
        <v>0</v>
      </c>
      <c r="E15" s="112">
        <v>0</v>
      </c>
      <c r="F15" s="113">
        <v>0</v>
      </c>
      <c r="G15" s="97">
        <v>0</v>
      </c>
      <c r="H15" s="147">
        <f t="shared" si="0"/>
        <v>0</v>
      </c>
      <c r="I15" s="3">
        <f t="shared" si="1"/>
        <v>0</v>
      </c>
      <c r="J15" s="96">
        <v>0</v>
      </c>
      <c r="K15" s="97">
        <v>0</v>
      </c>
      <c r="L15" s="112">
        <v>0</v>
      </c>
      <c r="M15" s="113">
        <v>0</v>
      </c>
      <c r="N15" s="97">
        <v>0</v>
      </c>
      <c r="O15" s="147">
        <f t="shared" si="2"/>
        <v>0</v>
      </c>
      <c r="P15" s="3">
        <f t="shared" si="3"/>
        <v>0</v>
      </c>
      <c r="Q15" s="96">
        <v>0</v>
      </c>
      <c r="R15" s="97">
        <v>0</v>
      </c>
      <c r="S15" s="112">
        <v>0</v>
      </c>
      <c r="T15" s="113">
        <v>0</v>
      </c>
      <c r="U15" s="97">
        <v>0</v>
      </c>
      <c r="V15" s="147">
        <f t="shared" si="4"/>
        <v>0</v>
      </c>
      <c r="W15" s="3">
        <f t="shared" si="5"/>
        <v>0</v>
      </c>
      <c r="X15" s="96">
        <v>0</v>
      </c>
      <c r="Y15" s="97">
        <v>0</v>
      </c>
      <c r="Z15" s="112">
        <v>0</v>
      </c>
      <c r="AA15" s="113">
        <v>0</v>
      </c>
      <c r="AB15" s="97">
        <v>0</v>
      </c>
      <c r="AC15" s="147">
        <f t="shared" si="6"/>
        <v>0</v>
      </c>
      <c r="AD15" s="3">
        <f t="shared" si="7"/>
        <v>0</v>
      </c>
    </row>
    <row r="16" spans="1:30" ht="18" customHeight="1" x14ac:dyDescent="0.25">
      <c r="A16" s="5">
        <v>14</v>
      </c>
      <c r="B16" s="281" t="s">
        <v>3</v>
      </c>
      <c r="C16" s="96">
        <v>1442210219.9999998</v>
      </c>
      <c r="D16" s="97">
        <v>2987447869.9999986</v>
      </c>
      <c r="E16" s="112">
        <v>2437737390</v>
      </c>
      <c r="F16" s="97">
        <v>1614543150</v>
      </c>
      <c r="G16" s="97">
        <v>2183943960</v>
      </c>
      <c r="H16" s="147">
        <f t="shared" si="0"/>
        <v>2133176517.9999995</v>
      </c>
      <c r="I16" s="3">
        <f t="shared" si="1"/>
        <v>23186701.282608692</v>
      </c>
      <c r="J16" s="96">
        <v>3028914680.0000005</v>
      </c>
      <c r="K16" s="97">
        <v>2723222700</v>
      </c>
      <c r="L16" s="112">
        <v>3559939570.0000005</v>
      </c>
      <c r="M16" s="97">
        <v>1988112719.9999998</v>
      </c>
      <c r="N16" s="97">
        <v>2470896009.9999995</v>
      </c>
      <c r="O16" s="147">
        <f t="shared" si="2"/>
        <v>2754217136</v>
      </c>
      <c r="P16" s="3">
        <f t="shared" si="3"/>
        <v>30602412.622222222</v>
      </c>
      <c r="Q16" s="96">
        <v>1925053350.0000002</v>
      </c>
      <c r="R16" s="97">
        <v>2808547170.000001</v>
      </c>
      <c r="S16" s="112">
        <v>1031816720</v>
      </c>
      <c r="T16" s="97">
        <v>2639038379.9999995</v>
      </c>
      <c r="U16" s="97">
        <v>1750199219.9999998</v>
      </c>
      <c r="V16" s="147">
        <f t="shared" si="4"/>
        <v>2030930968</v>
      </c>
      <c r="W16" s="3">
        <f t="shared" si="5"/>
        <v>22317922.725274727</v>
      </c>
      <c r="X16" s="96">
        <v>1345642539.9999998</v>
      </c>
      <c r="Y16" s="97">
        <v>2868147040.0000005</v>
      </c>
      <c r="Z16" s="112">
        <v>2311620520</v>
      </c>
      <c r="AA16" s="97">
        <v>1444362039.9999998</v>
      </c>
      <c r="AB16" s="97">
        <v>1664004320.0000002</v>
      </c>
      <c r="AC16" s="147">
        <f t="shared" si="6"/>
        <v>1926755292</v>
      </c>
      <c r="AD16" s="3">
        <f t="shared" si="7"/>
        <v>20942992.304347824</v>
      </c>
    </row>
    <row r="17" spans="1:30" ht="18" customHeight="1" x14ac:dyDescent="0.25">
      <c r="A17" s="6">
        <v>15</v>
      </c>
      <c r="B17" s="281" t="s">
        <v>3</v>
      </c>
      <c r="C17" s="96">
        <v>1119178720</v>
      </c>
      <c r="D17" s="97">
        <v>957421080</v>
      </c>
      <c r="E17" s="112">
        <v>296373880</v>
      </c>
      <c r="F17" s="97">
        <v>403143950.00000006</v>
      </c>
      <c r="G17" s="97">
        <v>373831920</v>
      </c>
      <c r="H17" s="147">
        <f t="shared" si="0"/>
        <v>629989910</v>
      </c>
      <c r="I17" s="3">
        <f t="shared" si="1"/>
        <v>6847716.4130434785</v>
      </c>
      <c r="J17" s="96">
        <v>1075749180</v>
      </c>
      <c r="K17" s="97">
        <v>1296225590</v>
      </c>
      <c r="L17" s="112">
        <v>767318970.00000024</v>
      </c>
      <c r="M17" s="97">
        <v>558429740</v>
      </c>
      <c r="N17" s="97">
        <v>792989449.99999988</v>
      </c>
      <c r="O17" s="147">
        <f t="shared" si="2"/>
        <v>898142586</v>
      </c>
      <c r="P17" s="3">
        <f t="shared" si="3"/>
        <v>9979362.0666666664</v>
      </c>
      <c r="Q17" s="96">
        <v>954769200</v>
      </c>
      <c r="R17" s="97">
        <v>338049800</v>
      </c>
      <c r="S17" s="112">
        <v>403719799.99999988</v>
      </c>
      <c r="T17" s="97">
        <v>410633740</v>
      </c>
      <c r="U17" s="97">
        <v>461491140.00000006</v>
      </c>
      <c r="V17" s="147">
        <f t="shared" si="4"/>
        <v>513732736</v>
      </c>
      <c r="W17" s="3">
        <f t="shared" si="5"/>
        <v>5645414.6813186817</v>
      </c>
      <c r="X17" s="96">
        <v>474962180</v>
      </c>
      <c r="Y17" s="97">
        <v>500889950.00000006</v>
      </c>
      <c r="Z17" s="112">
        <v>391697570</v>
      </c>
      <c r="AA17" s="97">
        <v>931258240.00000012</v>
      </c>
      <c r="AB17" s="97">
        <v>942285960</v>
      </c>
      <c r="AC17" s="147">
        <f t="shared" si="6"/>
        <v>648218780</v>
      </c>
      <c r="AD17" s="3">
        <f t="shared" si="7"/>
        <v>7045856.3043478262</v>
      </c>
    </row>
    <row r="18" spans="1:30" ht="18" customHeight="1" x14ac:dyDescent="0.25">
      <c r="A18" s="5">
        <v>16</v>
      </c>
      <c r="B18" s="281" t="s">
        <v>6</v>
      </c>
      <c r="C18" s="96">
        <v>0</v>
      </c>
      <c r="D18" s="97">
        <v>0</v>
      </c>
      <c r="E18" s="112">
        <v>0</v>
      </c>
      <c r="F18" s="97">
        <v>0</v>
      </c>
      <c r="G18" s="97">
        <v>0</v>
      </c>
      <c r="H18" s="147">
        <f t="shared" si="0"/>
        <v>0</v>
      </c>
      <c r="I18" s="3">
        <f t="shared" si="1"/>
        <v>0</v>
      </c>
      <c r="J18" s="96">
        <v>0</v>
      </c>
      <c r="K18" s="97">
        <v>0</v>
      </c>
      <c r="L18" s="112">
        <v>0</v>
      </c>
      <c r="M18" s="97">
        <v>0</v>
      </c>
      <c r="N18" s="97">
        <v>0</v>
      </c>
      <c r="O18" s="147">
        <f t="shared" si="2"/>
        <v>0</v>
      </c>
      <c r="P18" s="3">
        <f t="shared" si="3"/>
        <v>0</v>
      </c>
      <c r="Q18" s="96">
        <v>0</v>
      </c>
      <c r="R18" s="97">
        <v>0</v>
      </c>
      <c r="S18" s="112">
        <v>0</v>
      </c>
      <c r="T18" s="97">
        <v>0</v>
      </c>
      <c r="U18" s="97">
        <v>0</v>
      </c>
      <c r="V18" s="147">
        <f t="shared" si="4"/>
        <v>0</v>
      </c>
      <c r="W18" s="3">
        <f t="shared" si="5"/>
        <v>0</v>
      </c>
      <c r="X18" s="96">
        <v>0</v>
      </c>
      <c r="Y18" s="97">
        <v>0</v>
      </c>
      <c r="Z18" s="112">
        <v>0</v>
      </c>
      <c r="AA18" s="97">
        <v>0</v>
      </c>
      <c r="AB18" s="97">
        <v>0</v>
      </c>
      <c r="AC18" s="147">
        <f t="shared" si="6"/>
        <v>0</v>
      </c>
      <c r="AD18" s="3">
        <f t="shared" si="7"/>
        <v>0</v>
      </c>
    </row>
    <row r="19" spans="1:30" ht="18" customHeight="1" x14ac:dyDescent="0.25">
      <c r="A19" s="5">
        <v>17</v>
      </c>
      <c r="B19" s="281" t="s">
        <v>3</v>
      </c>
      <c r="C19" s="96">
        <v>0</v>
      </c>
      <c r="D19" s="97">
        <v>757985360</v>
      </c>
      <c r="E19" s="112">
        <v>1205753010</v>
      </c>
      <c r="F19" s="114">
        <v>434349189.99999994</v>
      </c>
      <c r="G19" s="97">
        <v>245149520.00000006</v>
      </c>
      <c r="H19" s="147">
        <f t="shared" si="0"/>
        <v>528647416</v>
      </c>
      <c r="I19" s="3">
        <f t="shared" si="1"/>
        <v>5746167.5652173916</v>
      </c>
      <c r="J19" s="96">
        <v>0</v>
      </c>
      <c r="K19" s="97">
        <v>2313986267.9999995</v>
      </c>
      <c r="L19" s="112">
        <v>2561105470.000001</v>
      </c>
      <c r="M19" s="114">
        <v>1755291229.9999998</v>
      </c>
      <c r="N19" s="97">
        <v>1818114760.0000005</v>
      </c>
      <c r="O19" s="147">
        <f t="shared" si="2"/>
        <v>1689699545.5999999</v>
      </c>
      <c r="P19" s="3">
        <f t="shared" si="3"/>
        <v>18774439.395555556</v>
      </c>
      <c r="Q19" s="96">
        <v>13851420.000000002</v>
      </c>
      <c r="R19" s="97">
        <v>812827290</v>
      </c>
      <c r="S19" s="112">
        <v>539358160</v>
      </c>
      <c r="T19" s="114">
        <v>948021360.00000024</v>
      </c>
      <c r="U19" s="97">
        <v>91485349.999999985</v>
      </c>
      <c r="V19" s="147">
        <f t="shared" si="4"/>
        <v>481108716</v>
      </c>
      <c r="W19" s="3">
        <f t="shared" si="5"/>
        <v>5286908.9670329671</v>
      </c>
      <c r="X19" s="96">
        <v>431697529.99999994</v>
      </c>
      <c r="Y19" s="97">
        <v>313496369.99999994</v>
      </c>
      <c r="Z19" s="112">
        <v>328983710</v>
      </c>
      <c r="AA19" s="114">
        <v>162659200.00000003</v>
      </c>
      <c r="AB19" s="97">
        <v>386767480</v>
      </c>
      <c r="AC19" s="147">
        <f t="shared" si="6"/>
        <v>324720858</v>
      </c>
      <c r="AD19" s="3">
        <f t="shared" si="7"/>
        <v>3529574.5434782607</v>
      </c>
    </row>
    <row r="20" spans="1:30" ht="18" customHeight="1" x14ac:dyDescent="0.25">
      <c r="A20" s="5">
        <v>18</v>
      </c>
      <c r="B20" s="281" t="s">
        <v>3</v>
      </c>
      <c r="C20" s="96">
        <v>121211200</v>
      </c>
      <c r="D20" s="97">
        <v>264280500.00000003</v>
      </c>
      <c r="E20" s="112">
        <v>182126009.99999997</v>
      </c>
      <c r="F20" s="97">
        <v>24533299.999999996</v>
      </c>
      <c r="G20" s="97">
        <v>23081300.000000004</v>
      </c>
      <c r="H20" s="147">
        <f t="shared" si="0"/>
        <v>123046462</v>
      </c>
      <c r="I20" s="3">
        <f t="shared" si="1"/>
        <v>1337461.543478261</v>
      </c>
      <c r="J20" s="96">
        <v>643139200.00000024</v>
      </c>
      <c r="K20" s="97">
        <v>574106610</v>
      </c>
      <c r="L20" s="112">
        <v>635560200.00000024</v>
      </c>
      <c r="M20" s="97">
        <v>580428200.00000024</v>
      </c>
      <c r="N20" s="97">
        <v>683898600</v>
      </c>
      <c r="O20" s="147">
        <f t="shared" si="2"/>
        <v>623426562.00000024</v>
      </c>
      <c r="P20" s="3">
        <f t="shared" si="3"/>
        <v>6926961.8000000026</v>
      </c>
      <c r="Q20" s="96">
        <v>198801900</v>
      </c>
      <c r="R20" s="97">
        <v>167251699.99999997</v>
      </c>
      <c r="S20" s="112">
        <v>140179600.00000003</v>
      </c>
      <c r="T20" s="97">
        <v>219932900</v>
      </c>
      <c r="U20" s="97">
        <v>55332199.999999993</v>
      </c>
      <c r="V20" s="147">
        <f t="shared" si="4"/>
        <v>156299660</v>
      </c>
      <c r="W20" s="3">
        <f t="shared" si="5"/>
        <v>1717578.6813186812</v>
      </c>
      <c r="X20" s="96">
        <v>63908899.999999993</v>
      </c>
      <c r="Y20" s="97">
        <v>161394199.99999997</v>
      </c>
      <c r="Z20" s="112">
        <v>83443800</v>
      </c>
      <c r="AA20" s="97">
        <v>19590999.999999996</v>
      </c>
      <c r="AB20" s="97">
        <v>2200</v>
      </c>
      <c r="AC20" s="147">
        <f t="shared" si="6"/>
        <v>65668020</v>
      </c>
      <c r="AD20" s="3">
        <f t="shared" si="7"/>
        <v>713782.82608695654</v>
      </c>
    </row>
    <row r="21" spans="1:30" ht="25.5" x14ac:dyDescent="0.25">
      <c r="A21" s="6">
        <v>19</v>
      </c>
      <c r="B21" s="281" t="s">
        <v>7</v>
      </c>
      <c r="C21" s="96">
        <v>2823040</v>
      </c>
      <c r="D21" s="97">
        <v>1868460</v>
      </c>
      <c r="E21" s="112">
        <v>134995190</v>
      </c>
      <c r="F21" s="97">
        <v>14456086920.000004</v>
      </c>
      <c r="G21" s="97">
        <v>26934003580.000008</v>
      </c>
      <c r="H21" s="147">
        <f t="shared" si="0"/>
        <v>8305955438.0000029</v>
      </c>
      <c r="I21" s="3">
        <f t="shared" si="1"/>
        <v>90282124.326086983</v>
      </c>
      <c r="J21" s="96">
        <v>187761750</v>
      </c>
      <c r="K21" s="97">
        <v>183281119.99999997</v>
      </c>
      <c r="L21" s="112">
        <v>2063188270.0000002</v>
      </c>
      <c r="M21" s="97">
        <v>17297029640.000004</v>
      </c>
      <c r="N21" s="97">
        <v>26013624780</v>
      </c>
      <c r="O21" s="147">
        <f t="shared" si="2"/>
        <v>9148977112</v>
      </c>
      <c r="P21" s="3">
        <f t="shared" si="3"/>
        <v>101655301.24444444</v>
      </c>
      <c r="Q21" s="96">
        <v>3226850.0000000005</v>
      </c>
      <c r="R21" s="97">
        <v>4012139.9999999995</v>
      </c>
      <c r="S21" s="112">
        <v>1626440969.9999995</v>
      </c>
      <c r="T21" s="97">
        <v>6503917640.0000019</v>
      </c>
      <c r="U21" s="97">
        <v>3076975770.0000005</v>
      </c>
      <c r="V21" s="147">
        <f t="shared" si="4"/>
        <v>2242914674.0000005</v>
      </c>
      <c r="W21" s="3">
        <f t="shared" si="5"/>
        <v>24647414.000000004</v>
      </c>
      <c r="X21" s="96">
        <v>3039630</v>
      </c>
      <c r="Y21" s="97">
        <v>5325210</v>
      </c>
      <c r="Z21" s="112">
        <v>34459150</v>
      </c>
      <c r="AA21" s="97">
        <v>2461043420</v>
      </c>
      <c r="AB21" s="97">
        <v>673544080</v>
      </c>
      <c r="AC21" s="147">
        <f t="shared" si="6"/>
        <v>635482298</v>
      </c>
      <c r="AD21" s="3">
        <f t="shared" si="7"/>
        <v>6907416.2826086953</v>
      </c>
    </row>
    <row r="22" spans="1:30" ht="25.5" x14ac:dyDescent="0.25">
      <c r="A22" s="5">
        <v>20</v>
      </c>
      <c r="B22" s="281" t="s">
        <v>7</v>
      </c>
      <c r="C22" s="96">
        <v>37808397329.999992</v>
      </c>
      <c r="D22" s="97">
        <v>8024157900.000001</v>
      </c>
      <c r="E22" s="112">
        <v>8990581930.0000038</v>
      </c>
      <c r="F22" s="97">
        <v>22578884900.000004</v>
      </c>
      <c r="G22" s="97">
        <v>45806290749.999969</v>
      </c>
      <c r="H22" s="147">
        <f t="shared" si="0"/>
        <v>24641662561.999992</v>
      </c>
      <c r="I22" s="3">
        <f t="shared" si="1"/>
        <v>267844158.2826086</v>
      </c>
      <c r="J22" s="96">
        <v>32854960820.000019</v>
      </c>
      <c r="K22" s="97">
        <v>13035558799.999996</v>
      </c>
      <c r="L22" s="112">
        <v>8800682000</v>
      </c>
      <c r="M22" s="97">
        <v>31658575300</v>
      </c>
      <c r="N22" s="97">
        <v>48566586199.999977</v>
      </c>
      <c r="O22" s="147">
        <f t="shared" si="2"/>
        <v>26983272624</v>
      </c>
      <c r="P22" s="3">
        <f t="shared" si="3"/>
        <v>299814140.26666665</v>
      </c>
      <c r="Q22" s="96">
        <v>29598778000.000011</v>
      </c>
      <c r="R22" s="97">
        <v>21291933299.999992</v>
      </c>
      <c r="S22" s="112">
        <v>7889291299.9999981</v>
      </c>
      <c r="T22" s="97">
        <v>42008592999.999992</v>
      </c>
      <c r="U22" s="97">
        <v>50536459600</v>
      </c>
      <c r="V22" s="147">
        <f t="shared" si="4"/>
        <v>30265011040</v>
      </c>
      <c r="W22" s="3">
        <f t="shared" si="5"/>
        <v>332582538.90109891</v>
      </c>
      <c r="X22" s="96">
        <v>28863883950.000004</v>
      </c>
      <c r="Y22" s="97">
        <v>14454299199.999996</v>
      </c>
      <c r="Z22" s="112">
        <v>5361759700.0000019</v>
      </c>
      <c r="AA22" s="97">
        <v>14662996699.999996</v>
      </c>
      <c r="AB22" s="97">
        <v>24301264900</v>
      </c>
      <c r="AC22" s="147">
        <f t="shared" si="6"/>
        <v>17528840890</v>
      </c>
      <c r="AD22" s="3">
        <f t="shared" si="7"/>
        <v>190530879.23913044</v>
      </c>
    </row>
    <row r="23" spans="1:30" ht="18" customHeight="1" x14ac:dyDescent="0.25">
      <c r="A23" s="5">
        <v>21</v>
      </c>
      <c r="B23" s="281" t="s">
        <v>3</v>
      </c>
      <c r="C23" s="96">
        <v>0</v>
      </c>
      <c r="D23" s="97">
        <v>0</v>
      </c>
      <c r="E23" s="112">
        <v>0</v>
      </c>
      <c r="F23" s="112">
        <v>0</v>
      </c>
      <c r="G23" s="97">
        <v>0</v>
      </c>
      <c r="H23" s="147">
        <f t="shared" si="0"/>
        <v>0</v>
      </c>
      <c r="I23" s="3">
        <f t="shared" si="1"/>
        <v>0</v>
      </c>
      <c r="J23" s="96">
        <v>0</v>
      </c>
      <c r="K23" s="97">
        <v>0</v>
      </c>
      <c r="L23" s="112">
        <v>0</v>
      </c>
      <c r="M23" s="97">
        <v>0</v>
      </c>
      <c r="N23" s="97">
        <v>0</v>
      </c>
      <c r="O23" s="147">
        <f t="shared" si="2"/>
        <v>0</v>
      </c>
      <c r="P23" s="3">
        <f t="shared" si="3"/>
        <v>0</v>
      </c>
      <c r="Q23" s="96">
        <v>0</v>
      </c>
      <c r="R23" s="97">
        <v>0</v>
      </c>
      <c r="S23" s="112">
        <v>0</v>
      </c>
      <c r="T23" s="97">
        <v>0</v>
      </c>
      <c r="U23" s="97">
        <v>0</v>
      </c>
      <c r="V23" s="147">
        <f t="shared" si="4"/>
        <v>0</v>
      </c>
      <c r="W23" s="3">
        <f t="shared" si="5"/>
        <v>0</v>
      </c>
      <c r="X23" s="96">
        <v>0</v>
      </c>
      <c r="Y23" s="97">
        <v>0</v>
      </c>
      <c r="Z23" s="112">
        <v>0</v>
      </c>
      <c r="AA23" s="97">
        <v>0</v>
      </c>
      <c r="AB23" s="97">
        <v>0</v>
      </c>
      <c r="AC23" s="147">
        <f t="shared" si="6"/>
        <v>0</v>
      </c>
      <c r="AD23" s="3">
        <f t="shared" si="7"/>
        <v>0</v>
      </c>
    </row>
    <row r="24" spans="1:30" ht="18" customHeight="1" x14ac:dyDescent="0.25">
      <c r="A24" s="5">
        <v>22</v>
      </c>
      <c r="B24" s="281" t="s">
        <v>4</v>
      </c>
      <c r="C24" s="96">
        <v>0</v>
      </c>
      <c r="D24" s="97">
        <v>0</v>
      </c>
      <c r="E24" s="112">
        <v>0</v>
      </c>
      <c r="F24" s="112">
        <v>0</v>
      </c>
      <c r="G24" s="97">
        <v>0</v>
      </c>
      <c r="H24" s="147">
        <f t="shared" si="0"/>
        <v>0</v>
      </c>
      <c r="I24" s="3">
        <f t="shared" si="1"/>
        <v>0</v>
      </c>
      <c r="J24" s="96">
        <v>0</v>
      </c>
      <c r="K24" s="97">
        <v>0</v>
      </c>
      <c r="L24" s="112">
        <v>0</v>
      </c>
      <c r="M24" s="112">
        <v>0</v>
      </c>
      <c r="N24" s="97">
        <v>0</v>
      </c>
      <c r="O24" s="147">
        <f t="shared" si="2"/>
        <v>0</v>
      </c>
      <c r="P24" s="3">
        <f t="shared" si="3"/>
        <v>0</v>
      </c>
      <c r="Q24" s="96">
        <v>0</v>
      </c>
      <c r="R24" s="97">
        <v>0</v>
      </c>
      <c r="S24" s="112">
        <v>0</v>
      </c>
      <c r="T24" s="112">
        <v>0</v>
      </c>
      <c r="U24" s="97">
        <v>0</v>
      </c>
      <c r="V24" s="147">
        <f t="shared" si="4"/>
        <v>0</v>
      </c>
      <c r="W24" s="3">
        <f t="shared" si="5"/>
        <v>0</v>
      </c>
      <c r="X24" s="96">
        <v>0</v>
      </c>
      <c r="Y24" s="97">
        <v>0</v>
      </c>
      <c r="Z24" s="112">
        <v>0</v>
      </c>
      <c r="AA24" s="112">
        <v>0</v>
      </c>
      <c r="AB24" s="97">
        <v>0</v>
      </c>
      <c r="AC24" s="147">
        <f t="shared" si="6"/>
        <v>0</v>
      </c>
      <c r="AD24" s="3">
        <f t="shared" si="7"/>
        <v>0</v>
      </c>
    </row>
    <row r="25" spans="1:30" ht="18" customHeight="1" x14ac:dyDescent="0.25">
      <c r="A25" s="6">
        <v>23</v>
      </c>
      <c r="B25" s="281" t="s">
        <v>2</v>
      </c>
      <c r="C25" s="96">
        <v>0</v>
      </c>
      <c r="D25" s="97">
        <v>0</v>
      </c>
      <c r="E25" s="112">
        <v>0</v>
      </c>
      <c r="F25" s="112">
        <v>0</v>
      </c>
      <c r="G25" s="97">
        <v>0</v>
      </c>
      <c r="H25" s="147">
        <f t="shared" si="0"/>
        <v>0</v>
      </c>
      <c r="I25" s="3">
        <f t="shared" si="1"/>
        <v>0</v>
      </c>
      <c r="J25" s="96">
        <v>0</v>
      </c>
      <c r="K25" s="97">
        <v>0</v>
      </c>
      <c r="L25" s="112">
        <v>0</v>
      </c>
      <c r="M25" s="97">
        <v>0</v>
      </c>
      <c r="N25" s="97">
        <v>0</v>
      </c>
      <c r="O25" s="147">
        <f t="shared" si="2"/>
        <v>0</v>
      </c>
      <c r="P25" s="3">
        <f t="shared" si="3"/>
        <v>0</v>
      </c>
      <c r="Q25" s="96">
        <v>0</v>
      </c>
      <c r="R25" s="97">
        <v>0</v>
      </c>
      <c r="S25" s="112">
        <v>0</v>
      </c>
      <c r="T25" s="97">
        <v>0</v>
      </c>
      <c r="U25" s="97">
        <v>0</v>
      </c>
      <c r="V25" s="147">
        <f t="shared" si="4"/>
        <v>0</v>
      </c>
      <c r="W25" s="3">
        <f t="shared" si="5"/>
        <v>0</v>
      </c>
      <c r="X25" s="96">
        <v>0</v>
      </c>
      <c r="Y25" s="97">
        <v>0</v>
      </c>
      <c r="Z25" s="112">
        <v>0</v>
      </c>
      <c r="AA25" s="97">
        <v>0</v>
      </c>
      <c r="AB25" s="97">
        <v>0</v>
      </c>
      <c r="AC25" s="147">
        <f t="shared" si="6"/>
        <v>0</v>
      </c>
      <c r="AD25" s="3">
        <f t="shared" si="7"/>
        <v>0</v>
      </c>
    </row>
    <row r="26" spans="1:30" ht="18" customHeight="1" x14ac:dyDescent="0.25">
      <c r="A26" s="5">
        <v>24</v>
      </c>
      <c r="B26" s="281" t="s">
        <v>5</v>
      </c>
      <c r="C26" s="96">
        <v>71383869040</v>
      </c>
      <c r="D26" s="97">
        <v>92582432283</v>
      </c>
      <c r="E26" s="112">
        <v>88860128940</v>
      </c>
      <c r="F26" s="97">
        <v>73683042620</v>
      </c>
      <c r="G26" s="97">
        <v>60895047950</v>
      </c>
      <c r="H26" s="147">
        <f t="shared" si="0"/>
        <v>77480904166.600006</v>
      </c>
      <c r="I26" s="3">
        <f t="shared" si="1"/>
        <v>842183740.94130445</v>
      </c>
      <c r="J26" s="96">
        <v>70173736820</v>
      </c>
      <c r="K26" s="97">
        <v>95049353047.000015</v>
      </c>
      <c r="L26" s="112">
        <v>90490598990</v>
      </c>
      <c r="M26" s="97">
        <v>69239959909.999985</v>
      </c>
      <c r="N26" s="97">
        <v>55476519560</v>
      </c>
      <c r="O26" s="147">
        <f t="shared" si="2"/>
        <v>76086033665.399994</v>
      </c>
      <c r="P26" s="3">
        <f t="shared" si="3"/>
        <v>845400374.05999994</v>
      </c>
      <c r="Q26" s="96">
        <v>73254372510</v>
      </c>
      <c r="R26" s="97">
        <v>74870888565.000015</v>
      </c>
      <c r="S26" s="112">
        <v>62410014809.999985</v>
      </c>
      <c r="T26" s="97">
        <v>57684745030</v>
      </c>
      <c r="U26" s="97">
        <v>50038599820</v>
      </c>
      <c r="V26" s="147">
        <f t="shared" si="4"/>
        <v>63651724147</v>
      </c>
      <c r="W26" s="3">
        <f t="shared" si="5"/>
        <v>699469496.12087917</v>
      </c>
      <c r="X26" s="96">
        <v>77381073722.535004</v>
      </c>
      <c r="Y26" s="97">
        <v>69518096343.62999</v>
      </c>
      <c r="Z26" s="112">
        <v>67003164689.999969</v>
      </c>
      <c r="AA26" s="97">
        <v>52299903930.999985</v>
      </c>
      <c r="AB26" s="97">
        <v>46564167980</v>
      </c>
      <c r="AC26" s="147">
        <f t="shared" si="6"/>
        <v>62553281333.432983</v>
      </c>
      <c r="AD26" s="3">
        <f t="shared" si="7"/>
        <v>679926971.01557589</v>
      </c>
    </row>
    <row r="27" spans="1:30" ht="18" customHeight="1" x14ac:dyDescent="0.25">
      <c r="A27" s="5">
        <v>25</v>
      </c>
      <c r="B27" s="281" t="s">
        <v>5</v>
      </c>
      <c r="C27" s="96">
        <v>18249440330</v>
      </c>
      <c r="D27" s="97">
        <v>17937981688</v>
      </c>
      <c r="E27" s="112">
        <v>15865898939</v>
      </c>
      <c r="F27" s="97">
        <v>16913083418</v>
      </c>
      <c r="G27" s="97">
        <v>26798584230</v>
      </c>
      <c r="H27" s="147">
        <f t="shared" si="0"/>
        <v>19152997721</v>
      </c>
      <c r="I27" s="3">
        <f t="shared" si="1"/>
        <v>208184757.83695653</v>
      </c>
      <c r="J27" s="96">
        <v>17110911290</v>
      </c>
      <c r="K27" s="97">
        <v>15938143913.999996</v>
      </c>
      <c r="L27" s="112">
        <v>15138498870</v>
      </c>
      <c r="M27" s="97">
        <v>17101025766</v>
      </c>
      <c r="N27" s="97">
        <v>24448310040.000008</v>
      </c>
      <c r="O27" s="147">
        <f t="shared" si="2"/>
        <v>17947377976</v>
      </c>
      <c r="P27" s="3">
        <f t="shared" si="3"/>
        <v>199415310.84444445</v>
      </c>
      <c r="Q27" s="96">
        <v>11065656469.999998</v>
      </c>
      <c r="R27" s="97">
        <v>15989916062.999996</v>
      </c>
      <c r="S27" s="112">
        <v>13000299884.000004</v>
      </c>
      <c r="T27" s="97">
        <v>14641390572.688005</v>
      </c>
      <c r="U27" s="97">
        <v>26532162690</v>
      </c>
      <c r="V27" s="147">
        <f t="shared" si="4"/>
        <v>16245885135.937601</v>
      </c>
      <c r="W27" s="3">
        <f t="shared" si="5"/>
        <v>178526210.28502858</v>
      </c>
      <c r="X27" s="96">
        <v>13002311300</v>
      </c>
      <c r="Y27" s="97">
        <v>15667264469.999998</v>
      </c>
      <c r="Z27" s="112">
        <v>13943575690</v>
      </c>
      <c r="AA27" s="97">
        <v>20679557393.879997</v>
      </c>
      <c r="AB27" s="97">
        <v>22333779490</v>
      </c>
      <c r="AC27" s="147">
        <f t="shared" si="6"/>
        <v>17125297668.776001</v>
      </c>
      <c r="AD27" s="3">
        <f t="shared" si="7"/>
        <v>186144539.87800002</v>
      </c>
    </row>
    <row r="28" spans="1:30" ht="18" customHeight="1" x14ac:dyDescent="0.25">
      <c r="A28" s="288">
        <v>26</v>
      </c>
      <c r="B28" s="291" t="s">
        <v>5</v>
      </c>
      <c r="C28" s="96">
        <v>6786046739.999999</v>
      </c>
      <c r="D28" s="97">
        <v>6857587000.0000029</v>
      </c>
      <c r="E28" s="112">
        <v>5761221399.999999</v>
      </c>
      <c r="F28" s="114">
        <v>10978000</v>
      </c>
      <c r="G28" s="97">
        <v>0</v>
      </c>
      <c r="H28" s="294"/>
      <c r="I28" s="205"/>
      <c r="J28" s="96">
        <v>7066186050</v>
      </c>
      <c r="K28" s="97">
        <v>6415007939.9999981</v>
      </c>
      <c r="L28" s="112">
        <v>4027417900.000001</v>
      </c>
      <c r="M28" s="97">
        <v>0</v>
      </c>
      <c r="N28" s="97">
        <v>0</v>
      </c>
      <c r="O28" s="294"/>
      <c r="P28" s="205"/>
      <c r="Q28" s="96">
        <v>6327600069.999999</v>
      </c>
      <c r="R28" s="97">
        <v>5489659999.999999</v>
      </c>
      <c r="S28" s="112">
        <v>4452458999.9999971</v>
      </c>
      <c r="T28" s="112">
        <v>0</v>
      </c>
      <c r="U28" s="97">
        <v>0</v>
      </c>
      <c r="V28" s="294"/>
      <c r="W28" s="205"/>
      <c r="X28" s="96">
        <v>5012598800.000001</v>
      </c>
      <c r="Y28" s="97">
        <v>5232501999.999999</v>
      </c>
      <c r="Z28" s="112">
        <v>1542900700</v>
      </c>
      <c r="AA28" s="97">
        <v>0</v>
      </c>
      <c r="AB28" s="97">
        <v>0</v>
      </c>
      <c r="AC28" s="294"/>
      <c r="AD28" s="205"/>
    </row>
    <row r="29" spans="1:30" ht="18" customHeight="1" thickBot="1" x14ac:dyDescent="0.3">
      <c r="A29" s="7">
        <v>27</v>
      </c>
      <c r="B29" s="282" t="s">
        <v>6</v>
      </c>
      <c r="C29" s="98">
        <v>0</v>
      </c>
      <c r="D29" s="99">
        <v>0</v>
      </c>
      <c r="E29" s="115">
        <v>0</v>
      </c>
      <c r="F29" s="99">
        <v>0</v>
      </c>
      <c r="G29" s="99">
        <v>0</v>
      </c>
      <c r="H29" s="148">
        <f t="shared" si="0"/>
        <v>0</v>
      </c>
      <c r="I29" s="9">
        <f t="shared" si="1"/>
        <v>0</v>
      </c>
      <c r="J29" s="98">
        <v>0</v>
      </c>
      <c r="K29" s="99">
        <v>0</v>
      </c>
      <c r="L29" s="115">
        <v>0</v>
      </c>
      <c r="M29" s="99">
        <v>0</v>
      </c>
      <c r="N29" s="99">
        <v>0</v>
      </c>
      <c r="O29" s="148">
        <f t="shared" si="2"/>
        <v>0</v>
      </c>
      <c r="P29" s="9">
        <f t="shared" si="3"/>
        <v>0</v>
      </c>
      <c r="Q29" s="98">
        <v>0</v>
      </c>
      <c r="R29" s="99">
        <v>0</v>
      </c>
      <c r="S29" s="115">
        <v>0</v>
      </c>
      <c r="T29" s="99">
        <v>0</v>
      </c>
      <c r="U29" s="99">
        <v>0</v>
      </c>
      <c r="V29" s="148">
        <f t="shared" si="4"/>
        <v>0</v>
      </c>
      <c r="W29" s="9">
        <f t="shared" si="5"/>
        <v>0</v>
      </c>
      <c r="X29" s="98">
        <v>0</v>
      </c>
      <c r="Y29" s="99">
        <v>0</v>
      </c>
      <c r="Z29" s="115">
        <v>0</v>
      </c>
      <c r="AA29" s="99">
        <v>0</v>
      </c>
      <c r="AB29" s="99">
        <v>0</v>
      </c>
      <c r="AC29" s="148">
        <f t="shared" si="6"/>
        <v>0</v>
      </c>
      <c r="AD29" s="9">
        <f t="shared" si="7"/>
        <v>0</v>
      </c>
    </row>
    <row r="30" spans="1:30" ht="18" customHeight="1" x14ac:dyDescent="0.25">
      <c r="K30" s="1" t="s">
        <v>8</v>
      </c>
    </row>
    <row r="31" spans="1:30" ht="18" customHeight="1" x14ac:dyDescent="0.25">
      <c r="C31" s="149">
        <f t="shared" ref="C31:P31" si="8">SUM(C3:C30)</f>
        <v>248766683219.99997</v>
      </c>
      <c r="D31" s="149">
        <f t="shared" si="8"/>
        <v>278092476695</v>
      </c>
      <c r="E31" s="149">
        <f t="shared" si="8"/>
        <v>276332937408.91296</v>
      </c>
      <c r="F31" s="149">
        <f t="shared" si="8"/>
        <v>255041931383.89902</v>
      </c>
      <c r="G31" s="149">
        <f t="shared" si="8"/>
        <v>271708734769.99997</v>
      </c>
      <c r="H31" s="149">
        <f t="shared" si="8"/>
        <v>262097565353.56238</v>
      </c>
      <c r="I31" s="149">
        <f t="shared" si="8"/>
        <v>2848886579.9300261</v>
      </c>
      <c r="J31" s="149">
        <f t="shared" si="8"/>
        <v>294876284340</v>
      </c>
      <c r="K31" s="149">
        <f t="shared" si="8"/>
        <v>293483459445</v>
      </c>
      <c r="L31" s="149">
        <f t="shared" si="8"/>
        <v>321643252060.21802</v>
      </c>
      <c r="M31" s="149">
        <f t="shared" si="8"/>
        <v>286608122826.289</v>
      </c>
      <c r="N31" s="149">
        <f t="shared" si="8"/>
        <v>281296720210</v>
      </c>
      <c r="O31" s="149">
        <f t="shared" si="8"/>
        <v>292056414034.30139</v>
      </c>
      <c r="P31" s="149">
        <f t="shared" si="8"/>
        <v>3245071267.0477929</v>
      </c>
      <c r="Q31" s="4">
        <f>SUM(Q3:Q30)</f>
        <v>210996555000</v>
      </c>
      <c r="R31" s="4">
        <f>SUM(R3:R30)</f>
        <v>204664089278.00006</v>
      </c>
      <c r="T31" s="1" t="s">
        <v>8</v>
      </c>
      <c r="X31" s="4">
        <f>SUM(X3:X30)</f>
        <v>180190248982.535</v>
      </c>
    </row>
    <row r="32" spans="1:30" ht="18" customHeight="1" thickBot="1" x14ac:dyDescent="0.3"/>
    <row r="33" spans="1:30" ht="15" x14ac:dyDescent="0.25">
      <c r="A33" s="346"/>
      <c r="B33" s="347" t="s">
        <v>1</v>
      </c>
      <c r="C33" s="342" t="s">
        <v>13</v>
      </c>
      <c r="D33" s="343"/>
      <c r="E33" s="343"/>
      <c r="F33" s="343"/>
      <c r="G33" s="343"/>
      <c r="H33" s="343"/>
      <c r="I33" s="343"/>
      <c r="J33" s="344" t="s">
        <v>14</v>
      </c>
      <c r="K33" s="345"/>
      <c r="L33" s="345"/>
      <c r="M33" s="345"/>
      <c r="N33" s="345"/>
      <c r="O33" s="345"/>
      <c r="P33" s="345"/>
      <c r="Q33" s="342" t="s">
        <v>15</v>
      </c>
      <c r="R33" s="343"/>
      <c r="S33" s="343"/>
      <c r="T33" s="343"/>
      <c r="U33" s="343"/>
      <c r="V33" s="343"/>
      <c r="W33" s="343"/>
      <c r="X33" s="344" t="s">
        <v>16</v>
      </c>
      <c r="Y33" s="345"/>
      <c r="Z33" s="345"/>
      <c r="AA33" s="345"/>
      <c r="AB33" s="345"/>
      <c r="AC33" s="345"/>
      <c r="AD33" s="345"/>
    </row>
    <row r="34" spans="1:30" ht="15.75" thickBot="1" x14ac:dyDescent="0.3">
      <c r="A34" s="346"/>
      <c r="B34" s="348"/>
      <c r="C34" s="23" t="s">
        <v>25</v>
      </c>
      <c r="D34" s="24" t="s">
        <v>26</v>
      </c>
      <c r="E34" s="24" t="s">
        <v>27</v>
      </c>
      <c r="F34" s="24" t="s">
        <v>28</v>
      </c>
      <c r="G34" s="24" t="s">
        <v>29</v>
      </c>
      <c r="H34" s="24" t="s">
        <v>30</v>
      </c>
      <c r="I34" s="24" t="s">
        <v>31</v>
      </c>
      <c r="J34" s="74" t="s">
        <v>25</v>
      </c>
      <c r="K34" s="41" t="s">
        <v>26</v>
      </c>
      <c r="L34" s="41" t="s">
        <v>27</v>
      </c>
      <c r="M34" s="41" t="s">
        <v>28</v>
      </c>
      <c r="N34" s="41" t="s">
        <v>29</v>
      </c>
      <c r="O34" s="41" t="s">
        <v>30</v>
      </c>
      <c r="P34" s="41" t="s">
        <v>31</v>
      </c>
      <c r="Q34" s="23" t="s">
        <v>25</v>
      </c>
      <c r="R34" s="24" t="s">
        <v>26</v>
      </c>
      <c r="S34" s="24" t="s">
        <v>27</v>
      </c>
      <c r="T34" s="24" t="s">
        <v>28</v>
      </c>
      <c r="U34" s="24" t="s">
        <v>29</v>
      </c>
      <c r="V34" s="24" t="s">
        <v>30</v>
      </c>
      <c r="W34" s="24" t="s">
        <v>31</v>
      </c>
      <c r="X34" s="74" t="s">
        <v>25</v>
      </c>
      <c r="Y34" s="41" t="s">
        <v>26</v>
      </c>
      <c r="Z34" s="41" t="s">
        <v>27</v>
      </c>
      <c r="AA34" s="41" t="s">
        <v>28</v>
      </c>
      <c r="AB34" s="41" t="s">
        <v>29</v>
      </c>
      <c r="AC34" s="41" t="s">
        <v>30</v>
      </c>
      <c r="AD34" s="41" t="s">
        <v>31</v>
      </c>
    </row>
    <row r="35" spans="1:30" ht="18" customHeight="1" x14ac:dyDescent="0.25">
      <c r="B35" s="12" t="s">
        <v>3</v>
      </c>
      <c r="C35" s="26">
        <f>C3+C8+C10+C11+C12+C14+C15+C16+C17+C19+C20+C23</f>
        <v>5941900690</v>
      </c>
      <c r="D35" s="16">
        <f t="shared" ref="D35:AB35" si="9">D3+D8+D10+D11+D12+D14+D15+D16+D17+D19+D20+D23</f>
        <v>10743288269.999998</v>
      </c>
      <c r="E35" s="20">
        <f t="shared" si="9"/>
        <v>11868078420</v>
      </c>
      <c r="F35" s="20">
        <f t="shared" si="9"/>
        <v>6121497690</v>
      </c>
      <c r="G35" s="16">
        <f t="shared" si="9"/>
        <v>8879174150</v>
      </c>
      <c r="H35" s="150">
        <f t="shared" si="9"/>
        <v>8702967130</v>
      </c>
      <c r="I35" s="16">
        <f t="shared" si="9"/>
        <v>94597468.804347828</v>
      </c>
      <c r="J35" s="26">
        <f t="shared" si="9"/>
        <v>12250353830</v>
      </c>
      <c r="K35" s="16">
        <f t="shared" si="9"/>
        <v>16031575648</v>
      </c>
      <c r="L35" s="16">
        <f t="shared" si="9"/>
        <v>18954370710</v>
      </c>
      <c r="M35" s="16">
        <f t="shared" si="9"/>
        <v>14146018150</v>
      </c>
      <c r="N35" s="16">
        <f t="shared" si="9"/>
        <v>17822588300</v>
      </c>
      <c r="O35" s="150">
        <f t="shared" ref="O35:P35" si="10">O3+O8+O10+O11+O12+O14+O15+O16+O17+O19+O20+O23</f>
        <v>15817549963.6</v>
      </c>
      <c r="P35" s="16">
        <f t="shared" si="10"/>
        <v>175750555.15111113</v>
      </c>
      <c r="Q35" s="26">
        <f t="shared" si="9"/>
        <v>6476577470</v>
      </c>
      <c r="R35" s="16">
        <f t="shared" si="9"/>
        <v>9083208310.0000019</v>
      </c>
      <c r="S35" s="16">
        <f t="shared" si="9"/>
        <v>6680696439.999999</v>
      </c>
      <c r="T35" s="16">
        <f t="shared" si="9"/>
        <v>10357748059.999998</v>
      </c>
      <c r="U35" s="16">
        <f t="shared" si="9"/>
        <v>6042722949.999999</v>
      </c>
      <c r="V35" s="150">
        <f t="shared" si="9"/>
        <v>7666393570</v>
      </c>
      <c r="W35" s="16">
        <f t="shared" si="9"/>
        <v>84246083.186813205</v>
      </c>
      <c r="X35" s="26">
        <f t="shared" si="9"/>
        <v>5529171340</v>
      </c>
      <c r="Y35" s="16">
        <f t="shared" si="9"/>
        <v>8820718280</v>
      </c>
      <c r="Z35" s="16">
        <f t="shared" si="9"/>
        <v>7179090490</v>
      </c>
      <c r="AA35" s="16">
        <f t="shared" si="9"/>
        <v>4896623490</v>
      </c>
      <c r="AB35" s="16">
        <f t="shared" si="9"/>
        <v>8097097360</v>
      </c>
      <c r="AC35" s="150">
        <f t="shared" ref="AC35:AD35" si="11">AC3+AC8+AC10+AC11+AC12+AC14+AC15+AC16+AC17+AC19+AC20+AC23</f>
        <v>6904540192</v>
      </c>
      <c r="AD35" s="16">
        <f t="shared" si="11"/>
        <v>75049349.913043484</v>
      </c>
    </row>
    <row r="36" spans="1:30" ht="18" customHeight="1" x14ac:dyDescent="0.25">
      <c r="B36" s="13" t="s">
        <v>4</v>
      </c>
      <c r="C36" s="27">
        <f>C4+C24</f>
        <v>9864074880</v>
      </c>
      <c r="D36" s="4">
        <f t="shared" ref="D36:AB36" si="12">D4+D24</f>
        <v>34695723226.999985</v>
      </c>
      <c r="E36" s="21">
        <f t="shared" si="12"/>
        <v>28695235349.912994</v>
      </c>
      <c r="F36" s="21">
        <f t="shared" si="12"/>
        <v>7785018535.8990002</v>
      </c>
      <c r="G36" s="4">
        <f t="shared" si="12"/>
        <v>2008415860.0000005</v>
      </c>
      <c r="H36" s="151">
        <f t="shared" si="12"/>
        <v>16609693570.562397</v>
      </c>
      <c r="I36" s="4">
        <f t="shared" si="12"/>
        <v>180540147.50611302</v>
      </c>
      <c r="J36" s="27">
        <f t="shared" si="12"/>
        <v>24031426540</v>
      </c>
      <c r="K36" s="4">
        <f t="shared" si="12"/>
        <v>22586242767</v>
      </c>
      <c r="L36" s="4">
        <f t="shared" si="12"/>
        <v>58189739320.218002</v>
      </c>
      <c r="M36" s="4">
        <f t="shared" si="12"/>
        <v>17701615550.28904</v>
      </c>
      <c r="N36" s="4">
        <f t="shared" si="12"/>
        <v>1469143500</v>
      </c>
      <c r="O36" s="151">
        <f t="shared" ref="O36:P36" si="13">O4+O24</f>
        <v>24795633535.501411</v>
      </c>
      <c r="P36" s="4">
        <f t="shared" si="13"/>
        <v>275507039.28334904</v>
      </c>
      <c r="Q36" s="27">
        <f t="shared" si="12"/>
        <v>5673712990.000001</v>
      </c>
      <c r="R36" s="4">
        <f t="shared" si="12"/>
        <v>96836959.999999985</v>
      </c>
      <c r="S36" s="4">
        <f t="shared" si="12"/>
        <v>1341295134.3000007</v>
      </c>
      <c r="T36" s="4">
        <f t="shared" si="12"/>
        <v>27751570.000000004</v>
      </c>
      <c r="U36" s="4">
        <f t="shared" si="12"/>
        <v>0</v>
      </c>
      <c r="V36" s="151">
        <f t="shared" si="12"/>
        <v>1427919330.8600001</v>
      </c>
      <c r="W36" s="4">
        <f t="shared" si="12"/>
        <v>15691421.218241761</v>
      </c>
      <c r="X36" s="27">
        <f t="shared" si="12"/>
        <v>308472889.99999994</v>
      </c>
      <c r="Y36" s="4">
        <f t="shared" si="12"/>
        <v>56374560.000000007</v>
      </c>
      <c r="Z36" s="4">
        <f t="shared" si="12"/>
        <v>236444560</v>
      </c>
      <c r="AA36" s="4">
        <f t="shared" si="12"/>
        <v>485120141.55000001</v>
      </c>
      <c r="AB36" s="4">
        <f t="shared" si="12"/>
        <v>0</v>
      </c>
      <c r="AC36" s="151">
        <f t="shared" ref="AC36:AD36" si="14">AC4+AC24</f>
        <v>217282430.31</v>
      </c>
      <c r="AD36" s="4">
        <f t="shared" si="14"/>
        <v>2361765.5468478263</v>
      </c>
    </row>
    <row r="37" spans="1:30" ht="18" customHeight="1" x14ac:dyDescent="0.25">
      <c r="B37" s="13" t="s">
        <v>5</v>
      </c>
      <c r="C37" s="27">
        <f>C5+C7+C13+C26+C27+C28</f>
        <v>193533587279.99997</v>
      </c>
      <c r="D37" s="4">
        <f t="shared" ref="D37:AB37" si="15">D5+D7+D13+D26+D27+D28</f>
        <v>222853171838</v>
      </c>
      <c r="E37" s="21">
        <f t="shared" si="15"/>
        <v>225565325138.99997</v>
      </c>
      <c r="F37" s="21">
        <f t="shared" si="15"/>
        <v>202843289638</v>
      </c>
      <c r="G37" s="4">
        <f t="shared" si="15"/>
        <v>187240579460</v>
      </c>
      <c r="H37" s="151">
        <f t="shared" si="15"/>
        <v>202524024043</v>
      </c>
      <c r="I37" s="4">
        <f t="shared" si="15"/>
        <v>2201348087.423913</v>
      </c>
      <c r="J37" s="27">
        <f t="shared" si="15"/>
        <v>224796385440</v>
      </c>
      <c r="K37" s="4">
        <f t="shared" si="15"/>
        <v>240055200110.00006</v>
      </c>
      <c r="L37" s="4">
        <f t="shared" si="15"/>
        <v>232443492160</v>
      </c>
      <c r="M37" s="4">
        <f t="shared" si="15"/>
        <v>204585753746</v>
      </c>
      <c r="N37" s="4">
        <f t="shared" si="15"/>
        <v>186714072490</v>
      </c>
      <c r="O37" s="151">
        <f t="shared" ref="O37:P37" si="16">O5+O7+O13+O26+O27+O28</f>
        <v>214217258411.20001</v>
      </c>
      <c r="P37" s="4">
        <f t="shared" si="16"/>
        <v>2380191760.1244445</v>
      </c>
      <c r="Q37" s="27">
        <f t="shared" si="15"/>
        <v>168710388990</v>
      </c>
      <c r="R37" s="4">
        <f t="shared" si="15"/>
        <v>172582946668.00006</v>
      </c>
      <c r="S37" s="4">
        <f t="shared" si="15"/>
        <v>168361202944</v>
      </c>
      <c r="T37" s="4">
        <f t="shared" si="15"/>
        <v>159954034862.68802</v>
      </c>
      <c r="U37" s="4">
        <f t="shared" si="15"/>
        <v>137102965120.00002</v>
      </c>
      <c r="V37" s="151">
        <f t="shared" si="15"/>
        <v>158088363902.93762</v>
      </c>
      <c r="W37" s="4">
        <f t="shared" si="15"/>
        <v>1737234768.1641498</v>
      </c>
      <c r="X37" s="27">
        <f t="shared" si="15"/>
        <v>145125136372.535</v>
      </c>
      <c r="Y37" s="4">
        <f t="shared" si="15"/>
        <v>163195428993.63</v>
      </c>
      <c r="Z37" s="4">
        <f t="shared" si="15"/>
        <v>159963567169.99994</v>
      </c>
      <c r="AA37" s="4">
        <f t="shared" si="15"/>
        <v>132461734614.87997</v>
      </c>
      <c r="AB37" s="4">
        <f t="shared" si="15"/>
        <v>133592587700</v>
      </c>
      <c r="AC37" s="151">
        <f t="shared" ref="AC37:AD37" si="17">AC5+AC7+AC13+AC26+AC27+AC28</f>
        <v>144510090670.20898</v>
      </c>
      <c r="AD37" s="4">
        <f t="shared" si="17"/>
        <v>1570761855.1109672</v>
      </c>
    </row>
    <row r="38" spans="1:30" ht="18" customHeight="1" x14ac:dyDescent="0.25">
      <c r="B38" s="13" t="s">
        <v>6</v>
      </c>
      <c r="C38" s="27">
        <f>C6+C9+C18+C29</f>
        <v>1615900000.0000007</v>
      </c>
      <c r="D38" s="4">
        <f t="shared" ref="D38:AB38" si="18">D6+D9+D18+D29</f>
        <v>1774267000.0000005</v>
      </c>
      <c r="E38" s="21">
        <f t="shared" si="18"/>
        <v>1078721380.0000005</v>
      </c>
      <c r="F38" s="21">
        <f t="shared" si="18"/>
        <v>1257153699.9999998</v>
      </c>
      <c r="G38" s="4">
        <f t="shared" si="18"/>
        <v>840270969.99999964</v>
      </c>
      <c r="H38" s="151">
        <f t="shared" si="18"/>
        <v>1313262610.0000005</v>
      </c>
      <c r="I38" s="4">
        <f t="shared" si="18"/>
        <v>14274593.586956527</v>
      </c>
      <c r="J38" s="27">
        <f t="shared" si="18"/>
        <v>755395960.00000036</v>
      </c>
      <c r="K38" s="4">
        <f t="shared" si="18"/>
        <v>1591601000</v>
      </c>
      <c r="L38" s="4">
        <f t="shared" si="18"/>
        <v>1191779600.0000007</v>
      </c>
      <c r="M38" s="4">
        <f t="shared" si="18"/>
        <v>1219130440.0000002</v>
      </c>
      <c r="N38" s="4">
        <f t="shared" si="18"/>
        <v>710704939.99999976</v>
      </c>
      <c r="O38" s="151">
        <f t="shared" ref="O38:P38" si="19">O6+O9+O18+O29</f>
        <v>1093722388.0000002</v>
      </c>
      <c r="P38" s="4">
        <f t="shared" si="19"/>
        <v>12152470.977777781</v>
      </c>
      <c r="Q38" s="27">
        <f t="shared" si="18"/>
        <v>533870700.00000006</v>
      </c>
      <c r="R38" s="4">
        <f t="shared" si="18"/>
        <v>1605151899.999999</v>
      </c>
      <c r="S38" s="4">
        <f t="shared" si="18"/>
        <v>1094700420.0000002</v>
      </c>
      <c r="T38" s="4">
        <f t="shared" si="18"/>
        <v>928032600.00000036</v>
      </c>
      <c r="U38" s="4">
        <f t="shared" si="18"/>
        <v>585333429.99999988</v>
      </c>
      <c r="V38" s="151">
        <f t="shared" si="18"/>
        <v>949417809.99999976</v>
      </c>
      <c r="W38" s="4">
        <f t="shared" si="18"/>
        <v>10433162.747252746</v>
      </c>
      <c r="X38" s="27">
        <f t="shared" si="18"/>
        <v>360544800</v>
      </c>
      <c r="Y38" s="4">
        <f t="shared" si="18"/>
        <v>1216154500.0000002</v>
      </c>
      <c r="Z38" s="4">
        <f t="shared" si="18"/>
        <v>1450520169.9999998</v>
      </c>
      <c r="AA38" s="4">
        <f t="shared" si="18"/>
        <v>1064399489.9999995</v>
      </c>
      <c r="AB38" s="4">
        <f t="shared" si="18"/>
        <v>504391139.99999994</v>
      </c>
      <c r="AC38" s="151">
        <f t="shared" ref="AC38:AD38" si="20">AC6+AC9+AC18+AC29</f>
        <v>919202019.99999976</v>
      </c>
      <c r="AD38" s="4">
        <f t="shared" si="20"/>
        <v>9991326.3043478243</v>
      </c>
    </row>
    <row r="39" spans="1:30" ht="18" customHeight="1" x14ac:dyDescent="0.25">
      <c r="B39" s="19" t="s">
        <v>2</v>
      </c>
      <c r="C39" s="27">
        <f>C25</f>
        <v>0</v>
      </c>
      <c r="D39" s="4">
        <f t="shared" ref="D39:AB39" si="21">D25</f>
        <v>0</v>
      </c>
      <c r="E39" s="21">
        <f t="shared" si="21"/>
        <v>0</v>
      </c>
      <c r="F39" s="21">
        <f t="shared" si="21"/>
        <v>0</v>
      </c>
      <c r="G39" s="4">
        <f t="shared" si="21"/>
        <v>0</v>
      </c>
      <c r="H39" s="151">
        <f t="shared" si="21"/>
        <v>0</v>
      </c>
      <c r="I39" s="4">
        <f t="shared" si="21"/>
        <v>0</v>
      </c>
      <c r="J39" s="27">
        <f t="shared" si="21"/>
        <v>0</v>
      </c>
      <c r="K39" s="4">
        <f t="shared" si="21"/>
        <v>0</v>
      </c>
      <c r="L39" s="4">
        <f t="shared" si="21"/>
        <v>0</v>
      </c>
      <c r="M39" s="4">
        <f t="shared" si="21"/>
        <v>0</v>
      </c>
      <c r="N39" s="4">
        <f t="shared" si="21"/>
        <v>0</v>
      </c>
      <c r="O39" s="151">
        <f t="shared" ref="O39:P39" si="22">O25</f>
        <v>0</v>
      </c>
      <c r="P39" s="4">
        <f t="shared" si="22"/>
        <v>0</v>
      </c>
      <c r="Q39" s="27">
        <f t="shared" si="21"/>
        <v>0</v>
      </c>
      <c r="R39" s="4">
        <f t="shared" si="21"/>
        <v>0</v>
      </c>
      <c r="S39" s="4">
        <f t="shared" si="21"/>
        <v>0</v>
      </c>
      <c r="T39" s="4">
        <f t="shared" si="21"/>
        <v>0</v>
      </c>
      <c r="U39" s="4">
        <f t="shared" si="21"/>
        <v>0</v>
      </c>
      <c r="V39" s="151">
        <f t="shared" si="21"/>
        <v>0</v>
      </c>
      <c r="W39" s="4">
        <f t="shared" si="21"/>
        <v>0</v>
      </c>
      <c r="X39" s="27">
        <f t="shared" si="21"/>
        <v>0</v>
      </c>
      <c r="Y39" s="4">
        <f t="shared" si="21"/>
        <v>0</v>
      </c>
      <c r="Z39" s="4">
        <f t="shared" si="21"/>
        <v>0</v>
      </c>
      <c r="AA39" s="4">
        <f t="shared" si="21"/>
        <v>0</v>
      </c>
      <c r="AB39" s="4">
        <f t="shared" si="21"/>
        <v>0</v>
      </c>
      <c r="AC39" s="151">
        <f t="shared" ref="AC39:AD39" si="23">AC25</f>
        <v>0</v>
      </c>
      <c r="AD39" s="4">
        <f t="shared" si="23"/>
        <v>0</v>
      </c>
    </row>
    <row r="40" spans="1:30" ht="26.25" thickBot="1" x14ac:dyDescent="0.3">
      <c r="B40" s="14" t="s">
        <v>7</v>
      </c>
      <c r="C40" s="28">
        <f>C21+C22</f>
        <v>37811220369.999992</v>
      </c>
      <c r="D40" s="18">
        <f t="shared" ref="D40:AB40" si="24">D21+D22</f>
        <v>8026026360.000001</v>
      </c>
      <c r="E40" s="22">
        <f t="shared" si="24"/>
        <v>9125577120.0000038</v>
      </c>
      <c r="F40" s="22">
        <f t="shared" si="24"/>
        <v>37034971820.000008</v>
      </c>
      <c r="G40" s="18">
        <f t="shared" si="24"/>
        <v>72740294329.999969</v>
      </c>
      <c r="H40" s="152">
        <f t="shared" si="24"/>
        <v>32947617999.999996</v>
      </c>
      <c r="I40" s="18">
        <f t="shared" si="24"/>
        <v>358126282.60869557</v>
      </c>
      <c r="J40" s="28">
        <f t="shared" si="24"/>
        <v>33042722570.000019</v>
      </c>
      <c r="K40" s="18">
        <f t="shared" si="24"/>
        <v>13218839919.999996</v>
      </c>
      <c r="L40" s="18">
        <f t="shared" si="24"/>
        <v>10863870270</v>
      </c>
      <c r="M40" s="18">
        <f t="shared" si="24"/>
        <v>48955604940</v>
      </c>
      <c r="N40" s="18">
        <f t="shared" si="24"/>
        <v>74580210979.999969</v>
      </c>
      <c r="O40" s="152">
        <f t="shared" ref="O40:P40" si="25">O21+O22</f>
        <v>36132249736</v>
      </c>
      <c r="P40" s="18">
        <f t="shared" si="25"/>
        <v>401469441.51111108</v>
      </c>
      <c r="Q40" s="28">
        <f t="shared" si="24"/>
        <v>29602004850.000011</v>
      </c>
      <c r="R40" s="18">
        <f t="shared" si="24"/>
        <v>21295945439.999992</v>
      </c>
      <c r="S40" s="18">
        <f t="shared" si="24"/>
        <v>9515732269.9999981</v>
      </c>
      <c r="T40" s="18">
        <f t="shared" si="24"/>
        <v>48512510639.999992</v>
      </c>
      <c r="U40" s="18">
        <f t="shared" si="24"/>
        <v>53613435370</v>
      </c>
      <c r="V40" s="152">
        <f t="shared" si="24"/>
        <v>32507925714</v>
      </c>
      <c r="W40" s="18">
        <f t="shared" si="24"/>
        <v>357229952.90109891</v>
      </c>
      <c r="X40" s="28">
        <f t="shared" si="24"/>
        <v>28866923580.000004</v>
      </c>
      <c r="Y40" s="18">
        <f t="shared" si="24"/>
        <v>14459624409.999996</v>
      </c>
      <c r="Z40" s="18">
        <f t="shared" si="24"/>
        <v>5396218850.0000019</v>
      </c>
      <c r="AA40" s="18">
        <f t="shared" si="24"/>
        <v>17124040119.999996</v>
      </c>
      <c r="AB40" s="18">
        <f t="shared" si="24"/>
        <v>24974808980</v>
      </c>
      <c r="AC40" s="152">
        <f t="shared" ref="AC40:AD40" si="26">AC21+AC22</f>
        <v>18164323188</v>
      </c>
      <c r="AD40" s="18">
        <f t="shared" si="26"/>
        <v>197438295.52173913</v>
      </c>
    </row>
    <row r="41" spans="1:30" ht="18" customHeight="1" thickBot="1" x14ac:dyDescent="0.3">
      <c r="C41" s="29"/>
      <c r="D41" s="29"/>
      <c r="E41" s="29"/>
      <c r="F41" s="29"/>
      <c r="G41" s="29"/>
      <c r="H41" s="153"/>
      <c r="I41" s="29"/>
      <c r="J41" s="29"/>
      <c r="K41" s="29"/>
      <c r="L41" s="29"/>
      <c r="M41" s="29"/>
      <c r="N41" s="29"/>
      <c r="O41" s="153"/>
      <c r="P41" s="29"/>
      <c r="Q41" s="29"/>
      <c r="R41" s="29"/>
      <c r="S41" s="29"/>
      <c r="T41" s="29"/>
      <c r="U41" s="29"/>
      <c r="V41" s="153"/>
      <c r="W41" s="29"/>
      <c r="X41" s="29"/>
      <c r="Y41" s="29"/>
      <c r="Z41" s="29"/>
      <c r="AA41" s="29"/>
      <c r="AB41" s="29"/>
      <c r="AC41" s="153"/>
      <c r="AD41" s="29"/>
    </row>
    <row r="42" spans="1:30" ht="18" customHeight="1" thickBot="1" x14ac:dyDescent="0.3">
      <c r="B42" s="15" t="s">
        <v>11</v>
      </c>
      <c r="C42" s="30">
        <f t="shared" ref="C42:I42" si="27">C35+C36+C37+C38+C40+C39</f>
        <v>248766683219.99997</v>
      </c>
      <c r="D42" s="17">
        <f t="shared" si="27"/>
        <v>278092476695</v>
      </c>
      <c r="E42" s="17">
        <f t="shared" si="27"/>
        <v>276332937408.91296</v>
      </c>
      <c r="F42" s="17">
        <f t="shared" si="27"/>
        <v>255041931383.89899</v>
      </c>
      <c r="G42" s="17">
        <f t="shared" si="27"/>
        <v>271708734769.99997</v>
      </c>
      <c r="H42" s="17">
        <f t="shared" si="27"/>
        <v>262097565353.56241</v>
      </c>
      <c r="I42" s="17">
        <f t="shared" si="27"/>
        <v>2848886579.9300261</v>
      </c>
      <c r="J42" s="30">
        <f>J35+J36+J37+J38+J40+J39</f>
        <v>294876284340</v>
      </c>
      <c r="K42" s="17">
        <f>K35+K36+K37+K38+K40+K39</f>
        <v>293483459445.00006</v>
      </c>
      <c r="L42" s="17">
        <f>L35+L36+L37+L38+L40+L39</f>
        <v>321643252060.21802</v>
      </c>
      <c r="M42" s="17">
        <f>M35+M36+M37+M38+M40+M39</f>
        <v>286608122826.28906</v>
      </c>
      <c r="N42" s="17">
        <f>N35+N36+N37+N38+N40+N39</f>
        <v>281296720210</v>
      </c>
      <c r="O42" s="154">
        <f t="shared" ref="O42:P42" si="28">O35+O36+O37+O38+O40+O39</f>
        <v>292056414034.30139</v>
      </c>
      <c r="P42" s="17">
        <f t="shared" si="28"/>
        <v>3245071267.0477939</v>
      </c>
      <c r="Q42" s="30">
        <f>Q35+Q36+Q37+Q38+Q40+Q39</f>
        <v>210996555000</v>
      </c>
      <c r="R42" s="17">
        <f>R35+R36+R37+R38+R40+R39</f>
        <v>204664089278.00006</v>
      </c>
      <c r="S42" s="17">
        <f>S35+S36+S37+S38+S40+S39</f>
        <v>186993627208.29999</v>
      </c>
      <c r="T42" s="17">
        <f>T35+T36+T37+T38+T40+T39</f>
        <v>219780077732.68802</v>
      </c>
      <c r="U42" s="17">
        <f>U35+U36+U37+U38+U40+U39</f>
        <v>197344456870</v>
      </c>
      <c r="V42" s="154">
        <f t="shared" ref="V42:W42" si="29">V35+V36+V37+V38+V40+V39</f>
        <v>200640020327.79761</v>
      </c>
      <c r="W42" s="17">
        <f t="shared" si="29"/>
        <v>2204835388.2175565</v>
      </c>
      <c r="X42" s="30">
        <f>X35+X36+X37+X38+X40+X39</f>
        <v>180190248982.535</v>
      </c>
      <c r="Y42" s="17">
        <f>Y35+Y36+Y37+Y38+Y40+Y39</f>
        <v>187748300743.63</v>
      </c>
      <c r="Z42" s="17">
        <f>Z35+Z36+Z37+Z38+Z40+Z39</f>
        <v>174225841239.99994</v>
      </c>
      <c r="AA42" s="17">
        <f>AA35+AA36+AA37+AA38+AA40+AA39</f>
        <v>156031917856.42996</v>
      </c>
      <c r="AB42" s="17">
        <f>AB35+AB36+AB37+AB38+AB40+AB39</f>
        <v>167168885180</v>
      </c>
      <c r="AC42" s="154">
        <f t="shared" ref="AC42:AD42" si="30">AC35+AC36+AC37+AC38+AC40+AC39</f>
        <v>170715438500.51898</v>
      </c>
      <c r="AD42" s="17">
        <f t="shared" si="30"/>
        <v>1855602592.3969455</v>
      </c>
    </row>
    <row r="46" spans="1:30" ht="18" customHeight="1" x14ac:dyDescent="0.25">
      <c r="C46" s="1" t="s">
        <v>8</v>
      </c>
    </row>
  </sheetData>
  <mergeCells count="12">
    <mergeCell ref="Q1:W1"/>
    <mergeCell ref="X1:AD1"/>
    <mergeCell ref="A33:A34"/>
    <mergeCell ref="B33:B34"/>
    <mergeCell ref="C33:I33"/>
    <mergeCell ref="J33:P33"/>
    <mergeCell ref="Q33:W33"/>
    <mergeCell ref="X33:AD33"/>
    <mergeCell ref="A1:A2"/>
    <mergeCell ref="B1:B2"/>
    <mergeCell ref="C1:I1"/>
    <mergeCell ref="J1:P1"/>
  </mergeCells>
  <pageMargins left="0.7" right="0.7" top="0.75" bottom="0.75" header="0.3" footer="0.3"/>
  <pageSetup orientation="portrait" r:id="rId1"/>
  <ignoredErrors>
    <ignoredError sqref="H6:I6 H35:N41 H4:I4 O4:P4 H29:I29 O29:P29 V29:W29 AC29:AD29 J42:N42 H5:I5 O5:P5 H10:I10 H7:I7 O7:P7 H8:I8 O8:P8 O6:P6 H9:I9 O9:P9 H15:I15 H11:I11 O11:P11 O10:P10 H12:I12 O12:P12 H13:I13 O13:P13 H14:I14 O14:P14 H17:I17 H16:I16 O16:P16 O15:P15 H19:I19 H18:I18 O18:P18 H23:I23 H20:I20 O20:P20 O17:P17 O19:P19 H21:I21 O21:P21 H24:I24 O24:P24 H22:I22 O22:P22 O23:P23 H25:I25 O25:P25 H26:I26 O26:P26 H27:I27 O27:P27 Q35:U41 Q42:U42 X35:AB41 X42:AB42 V4:W4 V5:W5 V7:W7 V8:W8 V6:W6 V9:W9 V11:W11 V10:W10 V12:W12 V13:W13 V14:W14 V16:W16 V15:W15 V18:W18 V17:W17 V19:W19 V20:W20 V21:W21 V24:W24 V22:W22 V25:W25 V23:W23 V26:W26 V27:W27 AC4:AD4 AC5:AD5 AC7:AD7 AC8:AD8 AC6:AD6 AC9:AD9 AC11:AD11 AC10:AD10 AC12:AD12 AC13:AD13 AC14:AD14 AC16:AD16 AC15:AD15 AC18:AD18 AC20:AD20 AC17:AD17 AC19:AD19 AC21:AD21 AC24:AD24 AC22:AD22 AC25:AD25 AC23:AD23 AC26:AD26 AC27:AD2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8E63-DE2A-4172-9411-2DB2A7318A46}">
  <dimension ref="A1:P18"/>
  <sheetViews>
    <sheetView zoomScale="85" zoomScaleNormal="85" workbookViewId="0">
      <pane xSplit="1" topLeftCell="E1" activePane="topRight" state="frozen"/>
      <selection activeCell="A36" sqref="A36"/>
      <selection pane="topRight" activeCell="I15" sqref="I15"/>
    </sheetView>
  </sheetViews>
  <sheetFormatPr defaultColWidth="8.7109375" defaultRowHeight="18" customHeight="1" x14ac:dyDescent="0.25"/>
  <cols>
    <col min="1" max="2" width="25.5703125" style="1" customWidth="1"/>
    <col min="3" max="14" width="15.5703125" style="1" customWidth="1"/>
    <col min="15" max="16384" width="8.7109375" style="1"/>
  </cols>
  <sheetData>
    <row r="1" spans="1:16" ht="15" x14ac:dyDescent="0.25">
      <c r="A1" s="347" t="s">
        <v>0</v>
      </c>
      <c r="B1" s="350" t="s">
        <v>1</v>
      </c>
      <c r="C1" s="342" t="s">
        <v>13</v>
      </c>
      <c r="D1" s="343"/>
      <c r="E1" s="343"/>
      <c r="F1" s="344" t="s">
        <v>14</v>
      </c>
      <c r="G1" s="345"/>
      <c r="H1" s="345"/>
      <c r="I1" s="342" t="s">
        <v>15</v>
      </c>
      <c r="J1" s="343"/>
      <c r="K1" s="343"/>
      <c r="L1" s="344" t="s">
        <v>16</v>
      </c>
      <c r="M1" s="345"/>
      <c r="N1" s="345"/>
    </row>
    <row r="2" spans="1:16" ht="15.75" thickBot="1" x14ac:dyDescent="0.3">
      <c r="A2" s="353"/>
      <c r="B2" s="354"/>
      <c r="C2" s="33" t="s">
        <v>25</v>
      </c>
      <c r="D2" s="34" t="s">
        <v>26</v>
      </c>
      <c r="E2" s="34" t="s">
        <v>27</v>
      </c>
      <c r="F2" s="42" t="s">
        <v>25</v>
      </c>
      <c r="G2" s="43" t="s">
        <v>26</v>
      </c>
      <c r="H2" s="43" t="s">
        <v>27</v>
      </c>
      <c r="I2" s="33" t="s">
        <v>25</v>
      </c>
      <c r="J2" s="34" t="s">
        <v>26</v>
      </c>
      <c r="K2" s="34" t="s">
        <v>27</v>
      </c>
      <c r="L2" s="42" t="s">
        <v>25</v>
      </c>
      <c r="M2" s="43" t="s">
        <v>26</v>
      </c>
      <c r="N2" s="43" t="s">
        <v>27</v>
      </c>
    </row>
    <row r="3" spans="1:16" ht="18" customHeight="1" thickBot="1" x14ac:dyDescent="0.3"/>
    <row r="4" spans="1:16" ht="15" x14ac:dyDescent="0.25">
      <c r="A4" s="346"/>
      <c r="B4" s="347" t="s">
        <v>1</v>
      </c>
      <c r="C4" s="342" t="s">
        <v>13</v>
      </c>
      <c r="D4" s="343"/>
      <c r="E4" s="343"/>
      <c r="F4" s="344" t="s">
        <v>14</v>
      </c>
      <c r="G4" s="345"/>
      <c r="H4" s="345"/>
      <c r="I4" s="342" t="s">
        <v>15</v>
      </c>
      <c r="J4" s="343"/>
      <c r="K4" s="343"/>
      <c r="L4" s="344" t="s">
        <v>16</v>
      </c>
      <c r="M4" s="345"/>
      <c r="N4" s="352"/>
    </row>
    <row r="5" spans="1:16" ht="30.75" thickBot="1" x14ac:dyDescent="0.3">
      <c r="A5" s="346"/>
      <c r="B5" s="348"/>
      <c r="C5" s="23" t="s">
        <v>32</v>
      </c>
      <c r="D5" s="24" t="s">
        <v>33</v>
      </c>
      <c r="E5" s="24" t="s">
        <v>34</v>
      </c>
      <c r="F5" s="74" t="s">
        <v>32</v>
      </c>
      <c r="G5" s="41" t="s">
        <v>33</v>
      </c>
      <c r="H5" s="41" t="s">
        <v>34</v>
      </c>
      <c r="I5" s="23" t="s">
        <v>32</v>
      </c>
      <c r="J5" s="24" t="s">
        <v>33</v>
      </c>
      <c r="K5" s="24" t="s">
        <v>34</v>
      </c>
      <c r="L5" s="74" t="s">
        <v>32</v>
      </c>
      <c r="M5" s="41" t="s">
        <v>33</v>
      </c>
      <c r="N5" s="75" t="s">
        <v>34</v>
      </c>
    </row>
    <row r="6" spans="1:16" ht="18" customHeight="1" x14ac:dyDescent="0.25">
      <c r="B6" s="12" t="s">
        <v>3</v>
      </c>
      <c r="C6" s="26">
        <f>'1 Entry Historic Flows'!H35/1000000</f>
        <v>8702.9671300000009</v>
      </c>
      <c r="D6" s="155"/>
      <c r="E6" s="167">
        <v>1</v>
      </c>
      <c r="F6" s="26">
        <f>'1 Entry Historic Flows'!O35/1000000</f>
        <v>15817.5499636</v>
      </c>
      <c r="G6" s="155"/>
      <c r="H6" s="170">
        <v>1</v>
      </c>
      <c r="I6" s="26">
        <f>'1 Entry Historic Flows'!V35/1000000</f>
        <v>7666.3935700000002</v>
      </c>
      <c r="J6" s="155"/>
      <c r="K6" s="170">
        <v>1</v>
      </c>
      <c r="L6" s="26">
        <f>'1 Entry Historic Flows'!AC35/1000000</f>
        <v>6904.5401920000004</v>
      </c>
      <c r="M6" s="155"/>
      <c r="N6" s="171">
        <v>1</v>
      </c>
    </row>
    <row r="7" spans="1:16" ht="18" customHeight="1" x14ac:dyDescent="0.25">
      <c r="B7" s="13" t="s">
        <v>4</v>
      </c>
      <c r="C7" s="27">
        <f>'1 Entry Historic Flows'!H36/1000000</f>
        <v>16609.693570562398</v>
      </c>
      <c r="D7" s="156"/>
      <c r="E7" s="168">
        <f>E13</f>
        <v>0.99409069120798177</v>
      </c>
      <c r="F7" s="27">
        <f>'1 Entry Historic Flows'!O36/1000000</f>
        <v>24795.633535501413</v>
      </c>
      <c r="G7" s="156"/>
      <c r="H7" s="126">
        <f>H13</f>
        <v>1.0268424833119456</v>
      </c>
      <c r="I7" s="27">
        <f>'1 Entry Historic Flows'!V36/1000000</f>
        <v>1427.9193308600002</v>
      </c>
      <c r="J7" s="156"/>
      <c r="K7" s="126">
        <f>K13</f>
        <v>0.90915468404239208</v>
      </c>
      <c r="L7" s="27">
        <f>'1 Entry Historic Flows'!AC36/1000000</f>
        <v>217.28243031</v>
      </c>
      <c r="M7" s="156"/>
      <c r="N7" s="122">
        <f>N13</f>
        <v>0.94136274071626025</v>
      </c>
    </row>
    <row r="8" spans="1:16" ht="18" customHeight="1" x14ac:dyDescent="0.25">
      <c r="B8" s="13" t="s">
        <v>5</v>
      </c>
      <c r="C8" s="27">
        <f>'1 Entry Historic Flows'!H37/1000000</f>
        <v>202524.02404300001</v>
      </c>
      <c r="D8" s="156"/>
      <c r="E8" s="168">
        <f>E13</f>
        <v>0.99409069120798177</v>
      </c>
      <c r="F8" s="27">
        <f>'1 Entry Historic Flows'!O37/1000000</f>
        <v>214217.25841120002</v>
      </c>
      <c r="G8" s="156"/>
      <c r="H8" s="126">
        <f>H13</f>
        <v>1.0268424833119456</v>
      </c>
      <c r="I8" s="27">
        <f>'1 Entry Historic Flows'!V37/1000000</f>
        <v>158088.36390293762</v>
      </c>
      <c r="J8" s="156"/>
      <c r="K8" s="126">
        <f>K13</f>
        <v>0.90915468404239208</v>
      </c>
      <c r="L8" s="27">
        <f>'1 Entry Historic Flows'!AC37/1000000</f>
        <v>144510.09067020897</v>
      </c>
      <c r="M8" s="156"/>
      <c r="N8" s="122">
        <f>N13</f>
        <v>0.94136274071626025</v>
      </c>
      <c r="P8" s="1" t="s">
        <v>8</v>
      </c>
    </row>
    <row r="9" spans="1:16" ht="18" customHeight="1" x14ac:dyDescent="0.25">
      <c r="B9" s="13" t="s">
        <v>6</v>
      </c>
      <c r="C9" s="27">
        <f>'1 Entry Historic Flows'!H38/1000000</f>
        <v>1313.2626100000004</v>
      </c>
      <c r="D9" s="156"/>
      <c r="E9" s="168">
        <f>E13</f>
        <v>0.99409069120798177</v>
      </c>
      <c r="F9" s="27">
        <f>'1 Entry Historic Flows'!O38/1000000</f>
        <v>1093.7223880000001</v>
      </c>
      <c r="G9" s="156"/>
      <c r="H9" s="126">
        <f>H13</f>
        <v>1.0268424833119456</v>
      </c>
      <c r="I9" s="27">
        <f>'1 Entry Historic Flows'!V38/1000000</f>
        <v>949.4178099999998</v>
      </c>
      <c r="J9" s="156"/>
      <c r="K9" s="126">
        <f>K13</f>
        <v>0.90915468404239208</v>
      </c>
      <c r="L9" s="27">
        <f>'1 Entry Historic Flows'!AC38/1000000</f>
        <v>919.20201999999972</v>
      </c>
      <c r="M9" s="156"/>
      <c r="N9" s="122">
        <f>N13</f>
        <v>0.94136274071626025</v>
      </c>
    </row>
    <row r="10" spans="1:16" ht="18" customHeight="1" x14ac:dyDescent="0.25">
      <c r="B10" s="19" t="s">
        <v>2</v>
      </c>
      <c r="C10" s="27">
        <f>'1 Entry Historic Flows'!H39/1000000</f>
        <v>0</v>
      </c>
      <c r="D10" s="156"/>
      <c r="E10" s="168">
        <f>E13</f>
        <v>0.99409069120798177</v>
      </c>
      <c r="F10" s="27">
        <f>'1 Entry Historic Flows'!O39/1000000</f>
        <v>0</v>
      </c>
      <c r="G10" s="156"/>
      <c r="H10" s="126">
        <f>H13</f>
        <v>1.0268424833119456</v>
      </c>
      <c r="I10" s="27">
        <f>'1 Entry Historic Flows'!V39/1000000</f>
        <v>0</v>
      </c>
      <c r="J10" s="156"/>
      <c r="K10" s="126">
        <f>K13</f>
        <v>0.90915468404239208</v>
      </c>
      <c r="L10" s="27">
        <f>'1 Entry Historic Flows'!AC39/1000000</f>
        <v>0</v>
      </c>
      <c r="M10" s="156"/>
      <c r="N10" s="122">
        <f>N13</f>
        <v>0.94136274071626025</v>
      </c>
    </row>
    <row r="11" spans="1:16" ht="26.25" thickBot="1" x14ac:dyDescent="0.3">
      <c r="B11" s="14" t="s">
        <v>7</v>
      </c>
      <c r="C11" s="28">
        <f>'1 Entry Historic Flows'!H40/1000000</f>
        <v>32947.617999999995</v>
      </c>
      <c r="D11" s="157"/>
      <c r="E11" s="169">
        <f>E13</f>
        <v>0.99409069120798177</v>
      </c>
      <c r="F11" s="28">
        <f>'1 Entry Historic Flows'!O40/1000000</f>
        <v>36132.249735999998</v>
      </c>
      <c r="G11" s="157"/>
      <c r="H11" s="127">
        <f>H13</f>
        <v>1.0268424833119456</v>
      </c>
      <c r="I11" s="28">
        <f>'1 Entry Historic Flows'!V40/1000000</f>
        <v>32507.925714000001</v>
      </c>
      <c r="J11" s="157"/>
      <c r="K11" s="127">
        <f>K13</f>
        <v>0.90915468404239208</v>
      </c>
      <c r="L11" s="28">
        <f>'1 Entry Historic Flows'!AC40/1000000</f>
        <v>18164.323187999998</v>
      </c>
      <c r="M11" s="157"/>
      <c r="N11" s="123">
        <f>N13</f>
        <v>0.94136274071626025</v>
      </c>
    </row>
    <row r="12" spans="1:16" ht="18" customHeight="1" thickBot="1" x14ac:dyDescent="0.3">
      <c r="C12" s="29"/>
      <c r="D12" s="29"/>
      <c r="E12" s="128"/>
      <c r="F12" s="29"/>
      <c r="G12" s="29"/>
      <c r="H12" s="128"/>
      <c r="I12" s="29"/>
      <c r="J12" s="29"/>
      <c r="K12" s="128"/>
      <c r="L12" s="29"/>
      <c r="M12" s="29"/>
      <c r="N12" s="128"/>
    </row>
    <row r="13" spans="1:16" ht="18" customHeight="1" thickBot="1" x14ac:dyDescent="0.3">
      <c r="B13" s="15" t="s">
        <v>11</v>
      </c>
      <c r="C13" s="30">
        <f>C7+C8+C9+C11+C10</f>
        <v>253394.59822356241</v>
      </c>
      <c r="D13" s="158">
        <v>251897.21129642997</v>
      </c>
      <c r="E13" s="129">
        <f>D13/C13</f>
        <v>0.99409069120798177</v>
      </c>
      <c r="F13" s="30">
        <f>F7+F8+F9+F11+F10</f>
        <v>276238.86407070141</v>
      </c>
      <c r="G13" s="158">
        <v>283653.80116963002</v>
      </c>
      <c r="H13" s="129">
        <f>G13/F13</f>
        <v>1.0268424833119456</v>
      </c>
      <c r="I13" s="30">
        <f>I7+I8+I9+I11+I10</f>
        <v>192973.62675779764</v>
      </c>
      <c r="J13" s="158">
        <v>175442.87666350001</v>
      </c>
      <c r="K13" s="129">
        <f>J13/I13</f>
        <v>0.90915468404239208</v>
      </c>
      <c r="L13" s="30">
        <f>L7+L8+L9+L11+L10</f>
        <v>163810.89830851898</v>
      </c>
      <c r="M13" s="158">
        <v>154205.47619090002</v>
      </c>
      <c r="N13" s="124">
        <f>M13/L13</f>
        <v>0.94136274071626025</v>
      </c>
      <c r="P13" s="172"/>
    </row>
    <row r="16" spans="1:16" ht="18" customHeight="1" x14ac:dyDescent="0.25">
      <c r="C16" s="172"/>
    </row>
    <row r="17" spans="3:3" ht="18" customHeight="1" x14ac:dyDescent="0.25">
      <c r="C17" s="172"/>
    </row>
    <row r="18" spans="3:3" ht="18" customHeight="1" x14ac:dyDescent="0.25">
      <c r="C18" s="173"/>
    </row>
  </sheetData>
  <mergeCells count="12">
    <mergeCell ref="C1:E1"/>
    <mergeCell ref="F1:H1"/>
    <mergeCell ref="I1:K1"/>
    <mergeCell ref="L1:N1"/>
    <mergeCell ref="A4:A5"/>
    <mergeCell ref="B4:B5"/>
    <mergeCell ref="C4:E4"/>
    <mergeCell ref="F4:H4"/>
    <mergeCell ref="I4:K4"/>
    <mergeCell ref="L4:N4"/>
    <mergeCell ref="A1:A2"/>
    <mergeCell ref="B1:B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EDF3-F40D-4FB2-B301-E2C9400B3110}">
  <dimension ref="A1:Z54"/>
  <sheetViews>
    <sheetView zoomScale="85" zoomScaleNormal="85" workbookViewId="0">
      <pane xSplit="2" ySplit="2" topLeftCell="C3" activePane="bottomRight" state="frozen"/>
      <selection pane="topRight" activeCell="C1" sqref="C1"/>
      <selection pane="bottomLeft" activeCell="A3" sqref="A3"/>
      <selection pane="bottomRight" activeCell="V38" sqref="V38"/>
    </sheetView>
  </sheetViews>
  <sheetFormatPr defaultColWidth="8.7109375" defaultRowHeight="18" customHeight="1" x14ac:dyDescent="0.25"/>
  <cols>
    <col min="1" max="2" width="25.5703125" style="1" customWidth="1"/>
    <col min="3" max="3" width="15.85546875" style="1" bestFit="1" customWidth="1"/>
    <col min="4" max="4" width="15.28515625" style="1" bestFit="1" customWidth="1"/>
    <col min="5" max="5" width="15.5703125" style="1" customWidth="1"/>
    <col min="6" max="6" width="15.85546875" style="1" bestFit="1" customWidth="1"/>
    <col min="7" max="8" width="15.5703125" style="1" customWidth="1"/>
    <col min="9" max="10" width="15.85546875" style="1" bestFit="1" customWidth="1"/>
    <col min="11" max="11" width="15.5703125" style="1" customWidth="1"/>
    <col min="12" max="13" width="15.85546875" style="1" bestFit="1" customWidth="1"/>
    <col min="14" max="20" width="15.5703125" style="1" customWidth="1"/>
    <col min="21" max="22" width="16.42578125" style="1" bestFit="1" customWidth="1"/>
    <col min="23" max="24" width="15.5703125" style="1" customWidth="1"/>
    <col min="25" max="25" width="52.140625" style="1" customWidth="1"/>
    <col min="26" max="26" width="10.5703125" style="1" customWidth="1"/>
    <col min="27" max="16384" width="8.7109375" style="1"/>
  </cols>
  <sheetData>
    <row r="1" spans="1:26" ht="15" x14ac:dyDescent="0.25">
      <c r="A1" s="347" t="s">
        <v>0</v>
      </c>
      <c r="B1" s="350" t="s">
        <v>1</v>
      </c>
      <c r="C1" s="355">
        <v>44105</v>
      </c>
      <c r="D1" s="356"/>
      <c r="E1" s="364"/>
      <c r="F1" s="357">
        <v>44136</v>
      </c>
      <c r="G1" s="358"/>
      <c r="H1" s="358"/>
      <c r="I1" s="355">
        <v>44166</v>
      </c>
      <c r="J1" s="356"/>
      <c r="K1" s="356"/>
      <c r="L1" s="357">
        <v>44197</v>
      </c>
      <c r="M1" s="358"/>
      <c r="N1" s="358"/>
      <c r="O1" s="355">
        <v>44228</v>
      </c>
      <c r="P1" s="356"/>
      <c r="Q1" s="356"/>
      <c r="R1" s="357">
        <v>44256</v>
      </c>
      <c r="S1" s="358"/>
      <c r="T1" s="358"/>
      <c r="U1" s="359" t="s">
        <v>11</v>
      </c>
      <c r="V1" s="360"/>
      <c r="W1" s="360"/>
      <c r="X1" s="361"/>
    </row>
    <row r="2" spans="1:26" ht="30.75" thickBot="1" x14ac:dyDescent="0.3">
      <c r="A2" s="349"/>
      <c r="B2" s="351"/>
      <c r="C2" s="266" t="s">
        <v>9</v>
      </c>
      <c r="D2" s="267" t="s">
        <v>10</v>
      </c>
      <c r="E2" s="268" t="s">
        <v>35</v>
      </c>
      <c r="F2" s="269" t="s">
        <v>9</v>
      </c>
      <c r="G2" s="270" t="s">
        <v>10</v>
      </c>
      <c r="H2" s="270" t="s">
        <v>35</v>
      </c>
      <c r="I2" s="266" t="s">
        <v>9</v>
      </c>
      <c r="J2" s="267" t="s">
        <v>10</v>
      </c>
      <c r="K2" s="267" t="s">
        <v>35</v>
      </c>
      <c r="L2" s="269" t="s">
        <v>9</v>
      </c>
      <c r="M2" s="270" t="s">
        <v>10</v>
      </c>
      <c r="N2" s="270" t="s">
        <v>35</v>
      </c>
      <c r="O2" s="266" t="s">
        <v>9</v>
      </c>
      <c r="P2" s="267" t="s">
        <v>10</v>
      </c>
      <c r="Q2" s="267" t="s">
        <v>35</v>
      </c>
      <c r="R2" s="269" t="s">
        <v>9</v>
      </c>
      <c r="S2" s="270" t="s">
        <v>10</v>
      </c>
      <c r="T2" s="270" t="s">
        <v>35</v>
      </c>
      <c r="U2" s="23" t="s">
        <v>9</v>
      </c>
      <c r="V2" s="24" t="s">
        <v>10</v>
      </c>
      <c r="W2" s="265" t="s">
        <v>35</v>
      </c>
      <c r="X2" s="25" t="s">
        <v>36</v>
      </c>
    </row>
    <row r="3" spans="1:26" ht="18" customHeight="1" x14ac:dyDescent="0.25">
      <c r="A3" s="37">
        <v>1</v>
      </c>
      <c r="B3" s="38" t="s">
        <v>3</v>
      </c>
      <c r="C3" s="84">
        <v>0</v>
      </c>
      <c r="D3" s="85">
        <v>0</v>
      </c>
      <c r="E3" s="257" t="e">
        <f>D3/C3</f>
        <v>#DIV/0!</v>
      </c>
      <c r="F3" s="84">
        <v>0</v>
      </c>
      <c r="G3" s="85">
        <v>0</v>
      </c>
      <c r="H3" s="77" t="e">
        <f>G3/F3</f>
        <v>#DIV/0!</v>
      </c>
      <c r="I3" s="84">
        <v>0</v>
      </c>
      <c r="J3" s="85">
        <v>0</v>
      </c>
      <c r="K3" s="77" t="e">
        <f>J3/I3</f>
        <v>#DIV/0!</v>
      </c>
      <c r="L3" s="84"/>
      <c r="M3" s="85"/>
      <c r="N3" s="77" t="e">
        <f>M3/L3</f>
        <v>#DIV/0!</v>
      </c>
      <c r="O3" s="84"/>
      <c r="P3" s="85"/>
      <c r="Q3" s="77" t="e">
        <f>P3/O3</f>
        <v>#DIV/0!</v>
      </c>
      <c r="R3" s="84"/>
      <c r="S3" s="85"/>
      <c r="T3" s="77" t="e">
        <f>S3/R3</f>
        <v>#DIV/0!</v>
      </c>
      <c r="U3" s="78">
        <f>SUM(C3+F3+I3+L3+O3+R3)</f>
        <v>0</v>
      </c>
      <c r="V3" s="79">
        <f>SUM(D3+G3+J3+M3+P3+S3)</f>
        <v>0</v>
      </c>
      <c r="W3" s="80" t="e">
        <f>V3/U3</f>
        <v>#DIV/0!</v>
      </c>
      <c r="X3" s="283">
        <f>$X$47</f>
        <v>1.0615144857669989</v>
      </c>
      <c r="Y3" s="173"/>
      <c r="Z3" s="173"/>
    </row>
    <row r="4" spans="1:26" ht="18" customHeight="1" x14ac:dyDescent="0.25">
      <c r="A4" s="5">
        <v>2</v>
      </c>
      <c r="B4" s="277" t="s">
        <v>4</v>
      </c>
      <c r="C4" s="278">
        <v>3738053357</v>
      </c>
      <c r="D4" s="87">
        <v>3162037121</v>
      </c>
      <c r="E4" s="258">
        <f t="shared" ref="E4:E29" si="0">D4/C4</f>
        <v>0.84590475817544619</v>
      </c>
      <c r="F4" s="278">
        <v>4342952241</v>
      </c>
      <c r="G4" s="87">
        <v>3150519846</v>
      </c>
      <c r="H4" s="81">
        <f t="shared" ref="H4:H29" si="1">G4/F4</f>
        <v>0.72543276351447217</v>
      </c>
      <c r="I4" s="278">
        <v>7338697326</v>
      </c>
      <c r="J4" s="87">
        <v>6963232875</v>
      </c>
      <c r="K4" s="81">
        <f t="shared" ref="K4:K29" si="2">J4/I4</f>
        <v>0.94883772496383234</v>
      </c>
      <c r="L4" s="278">
        <v>27793261785</v>
      </c>
      <c r="M4" s="87">
        <v>27480035711</v>
      </c>
      <c r="N4" s="81">
        <f t="shared" ref="N4:N29" si="3">M4/L4</f>
        <v>0.98873014342746024</v>
      </c>
      <c r="O4" s="86"/>
      <c r="P4" s="87"/>
      <c r="Q4" s="81" t="e">
        <f t="shared" ref="Q4:Q29" si="4">P4/O4</f>
        <v>#DIV/0!</v>
      </c>
      <c r="R4" s="86"/>
      <c r="S4" s="87"/>
      <c r="T4" s="81" t="e">
        <f t="shared" ref="T4:T29" si="5">S4/R4</f>
        <v>#DIV/0!</v>
      </c>
      <c r="U4" s="82">
        <f t="shared" ref="U4:V29" si="6">SUM(C4+F4+I4+L4+O4+R4)</f>
        <v>43212964709</v>
      </c>
      <c r="V4" s="36">
        <f t="shared" si="6"/>
        <v>40755825553</v>
      </c>
      <c r="W4" s="83">
        <f t="shared" ref="W4:W29" si="7">V4/U4</f>
        <v>0.94313884334142317</v>
      </c>
      <c r="X4" s="284">
        <f>$X$48</f>
        <v>1.0602892745432102</v>
      </c>
      <c r="Y4" s="173"/>
      <c r="Z4" s="173"/>
    </row>
    <row r="5" spans="1:26" ht="18" customHeight="1" x14ac:dyDescent="0.25">
      <c r="A5" s="6">
        <v>3</v>
      </c>
      <c r="B5" s="277" t="s">
        <v>5</v>
      </c>
      <c r="C5" s="278">
        <v>13293969503</v>
      </c>
      <c r="D5" s="87">
        <v>10499128876</v>
      </c>
      <c r="E5" s="258">
        <f t="shared" si="0"/>
        <v>0.7897662826464813</v>
      </c>
      <c r="F5" s="278">
        <v>12198991198</v>
      </c>
      <c r="G5" s="87">
        <v>8717379965</v>
      </c>
      <c r="H5" s="81">
        <f t="shared" si="1"/>
        <v>0.71459843060049066</v>
      </c>
      <c r="I5" s="278">
        <v>11726969181</v>
      </c>
      <c r="J5" s="87">
        <v>10148597118</v>
      </c>
      <c r="K5" s="81">
        <f t="shared" si="2"/>
        <v>0.86540665037669973</v>
      </c>
      <c r="L5" s="278">
        <v>15203397894</v>
      </c>
      <c r="M5" s="87">
        <v>9082493284</v>
      </c>
      <c r="N5" s="81">
        <f t="shared" si="3"/>
        <v>0.5973989069630542</v>
      </c>
      <c r="O5" s="86"/>
      <c r="P5" s="87"/>
      <c r="Q5" s="81" t="e">
        <f t="shared" si="4"/>
        <v>#DIV/0!</v>
      </c>
      <c r="R5" s="86"/>
      <c r="S5" s="87"/>
      <c r="T5" s="81" t="e">
        <f t="shared" si="5"/>
        <v>#DIV/0!</v>
      </c>
      <c r="U5" s="82">
        <f t="shared" si="6"/>
        <v>52423327776</v>
      </c>
      <c r="V5" s="36">
        <f t="shared" si="6"/>
        <v>38447599243</v>
      </c>
      <c r="W5" s="83">
        <f t="shared" si="7"/>
        <v>0.7334063073462832</v>
      </c>
      <c r="X5" s="284">
        <f>$X$49</f>
        <v>1.0206646549968539</v>
      </c>
      <c r="Y5" s="173"/>
      <c r="Z5" s="173"/>
    </row>
    <row r="6" spans="1:26" ht="18" customHeight="1" x14ac:dyDescent="0.25">
      <c r="A6" s="5">
        <v>4</v>
      </c>
      <c r="B6" s="277" t="s">
        <v>6</v>
      </c>
      <c r="C6" s="86">
        <v>259606338</v>
      </c>
      <c r="D6" s="87">
        <v>171506672</v>
      </c>
      <c r="E6" s="258">
        <f t="shared" si="0"/>
        <v>0.66064131300215023</v>
      </c>
      <c r="F6" s="86">
        <v>251231940</v>
      </c>
      <c r="G6" s="87">
        <v>133341571</v>
      </c>
      <c r="H6" s="81">
        <f t="shared" si="1"/>
        <v>0.53075087108748986</v>
      </c>
      <c r="I6" s="86">
        <v>259606338</v>
      </c>
      <c r="J6" s="87">
        <v>145921653</v>
      </c>
      <c r="K6" s="81">
        <f t="shared" si="2"/>
        <v>0.56208817598282212</v>
      </c>
      <c r="L6" s="86">
        <v>252863342</v>
      </c>
      <c r="M6" s="87">
        <v>154690569</v>
      </c>
      <c r="N6" s="81">
        <f t="shared" si="3"/>
        <v>0.61175561382875343</v>
      </c>
      <c r="O6" s="86"/>
      <c r="P6" s="87"/>
      <c r="Q6" s="81" t="e">
        <f t="shared" si="4"/>
        <v>#DIV/0!</v>
      </c>
      <c r="R6" s="86"/>
      <c r="S6" s="87"/>
      <c r="T6" s="81" t="e">
        <f t="shared" si="5"/>
        <v>#DIV/0!</v>
      </c>
      <c r="U6" s="82">
        <f t="shared" si="6"/>
        <v>1023307958</v>
      </c>
      <c r="V6" s="36">
        <f t="shared" si="6"/>
        <v>605460465</v>
      </c>
      <c r="W6" s="83">
        <f t="shared" si="7"/>
        <v>0.5916698490094221</v>
      </c>
      <c r="X6" s="284">
        <f>$X$50</f>
        <v>1.6901317545151358</v>
      </c>
      <c r="Y6" s="173"/>
      <c r="Z6" s="173"/>
    </row>
    <row r="7" spans="1:26" ht="18" customHeight="1" x14ac:dyDescent="0.25">
      <c r="A7" s="5">
        <v>5</v>
      </c>
      <c r="B7" s="277" t="s">
        <v>5</v>
      </c>
      <c r="C7" s="278">
        <v>888656480</v>
      </c>
      <c r="D7" s="87">
        <v>617566114</v>
      </c>
      <c r="E7" s="258">
        <f t="shared" si="0"/>
        <v>0.6949435781979556</v>
      </c>
      <c r="F7" s="278">
        <v>938416673</v>
      </c>
      <c r="G7" s="87">
        <v>701507707</v>
      </c>
      <c r="H7" s="81">
        <f t="shared" si="1"/>
        <v>0.74754395055382827</v>
      </c>
      <c r="I7" s="278">
        <v>1736136032</v>
      </c>
      <c r="J7" s="87">
        <v>1671321230</v>
      </c>
      <c r="K7" s="81">
        <f t="shared" si="2"/>
        <v>0.96266720993899635</v>
      </c>
      <c r="L7" s="278">
        <v>2297495715</v>
      </c>
      <c r="M7" s="87">
        <v>1037584336</v>
      </c>
      <c r="N7" s="81">
        <f t="shared" si="3"/>
        <v>0.45161535197901337</v>
      </c>
      <c r="O7" s="86"/>
      <c r="P7" s="87"/>
      <c r="Q7" s="81" t="e">
        <f t="shared" si="4"/>
        <v>#DIV/0!</v>
      </c>
      <c r="R7" s="86"/>
      <c r="S7" s="87"/>
      <c r="T7" s="81" t="e">
        <f t="shared" si="5"/>
        <v>#DIV/0!</v>
      </c>
      <c r="U7" s="82">
        <f t="shared" si="6"/>
        <v>5860704900</v>
      </c>
      <c r="V7" s="36">
        <f t="shared" si="6"/>
        <v>4027979387</v>
      </c>
      <c r="W7" s="83">
        <f t="shared" si="7"/>
        <v>0.68728582239313907</v>
      </c>
      <c r="X7" s="284">
        <f>$X$49</f>
        <v>1.0206646549968539</v>
      </c>
      <c r="Y7" s="173"/>
      <c r="Z7" s="173"/>
    </row>
    <row r="8" spans="1:26" ht="18" customHeight="1" x14ac:dyDescent="0.25">
      <c r="A8" s="5">
        <v>6</v>
      </c>
      <c r="B8" s="277" t="s">
        <v>3</v>
      </c>
      <c r="C8" s="278">
        <v>2790000000</v>
      </c>
      <c r="D8" s="87">
        <v>0</v>
      </c>
      <c r="E8" s="258">
        <f t="shared" si="0"/>
        <v>0</v>
      </c>
      <c r="F8" s="278">
        <v>2700000000</v>
      </c>
      <c r="G8" s="87">
        <v>135852225</v>
      </c>
      <c r="H8" s="81">
        <f t="shared" si="1"/>
        <v>5.0315638888888889E-2</v>
      </c>
      <c r="I8" s="278">
        <v>2790000000</v>
      </c>
      <c r="J8" s="87">
        <v>167049450</v>
      </c>
      <c r="K8" s="81">
        <f t="shared" si="2"/>
        <v>5.9874354838709676E-2</v>
      </c>
      <c r="L8" s="278">
        <v>2790000000</v>
      </c>
      <c r="M8" s="87">
        <v>1769528045</v>
      </c>
      <c r="N8" s="81">
        <f t="shared" si="3"/>
        <v>0.63423944265232979</v>
      </c>
      <c r="O8" s="86"/>
      <c r="P8" s="87"/>
      <c r="Q8" s="81" t="e">
        <f t="shared" si="4"/>
        <v>#DIV/0!</v>
      </c>
      <c r="R8" s="86"/>
      <c r="S8" s="87"/>
      <c r="T8" s="81" t="e">
        <f t="shared" si="5"/>
        <v>#DIV/0!</v>
      </c>
      <c r="U8" s="82">
        <f t="shared" si="6"/>
        <v>11070000000</v>
      </c>
      <c r="V8" s="36">
        <f t="shared" si="6"/>
        <v>2072429720</v>
      </c>
      <c r="W8" s="83">
        <f t="shared" si="7"/>
        <v>0.18721135682023488</v>
      </c>
      <c r="X8" s="284">
        <f>$X$47</f>
        <v>1.0615144857669989</v>
      </c>
      <c r="Y8" s="173"/>
      <c r="Z8" s="173"/>
    </row>
    <row r="9" spans="1:26" ht="18" customHeight="1" x14ac:dyDescent="0.25">
      <c r="A9" s="6">
        <v>7</v>
      </c>
      <c r="B9" s="277" t="s">
        <v>6</v>
      </c>
      <c r="C9" s="254">
        <v>0</v>
      </c>
      <c r="D9" s="255">
        <v>0</v>
      </c>
      <c r="E9" s="258" t="e">
        <f t="shared" si="0"/>
        <v>#DIV/0!</v>
      </c>
      <c r="F9" s="254">
        <v>0</v>
      </c>
      <c r="G9" s="87">
        <v>0</v>
      </c>
      <c r="H9" s="81" t="e">
        <f t="shared" si="1"/>
        <v>#DIV/0!</v>
      </c>
      <c r="I9" s="254">
        <v>0</v>
      </c>
      <c r="J9" s="87">
        <v>0</v>
      </c>
      <c r="K9" s="81" t="e">
        <f t="shared" si="2"/>
        <v>#DIV/0!</v>
      </c>
      <c r="L9" s="254">
        <v>0</v>
      </c>
      <c r="M9" s="87"/>
      <c r="N9" s="81" t="e">
        <f t="shared" si="3"/>
        <v>#DIV/0!</v>
      </c>
      <c r="O9" s="86"/>
      <c r="P9" s="87"/>
      <c r="Q9" s="81" t="e">
        <f t="shared" si="4"/>
        <v>#DIV/0!</v>
      </c>
      <c r="R9" s="86"/>
      <c r="S9" s="87"/>
      <c r="T9" s="81" t="e">
        <f t="shared" si="5"/>
        <v>#DIV/0!</v>
      </c>
      <c r="U9" s="82">
        <f t="shared" si="6"/>
        <v>0</v>
      </c>
      <c r="V9" s="36">
        <f t="shared" si="6"/>
        <v>0</v>
      </c>
      <c r="W9" s="83" t="e">
        <f t="shared" si="7"/>
        <v>#DIV/0!</v>
      </c>
      <c r="X9" s="284">
        <f>$X$50</f>
        <v>1.6901317545151358</v>
      </c>
      <c r="Y9" s="173"/>
      <c r="Z9" s="173"/>
    </row>
    <row r="10" spans="1:26" ht="18" customHeight="1" x14ac:dyDescent="0.25">
      <c r="A10" s="5">
        <v>8</v>
      </c>
      <c r="B10" s="277" t="s">
        <v>3</v>
      </c>
      <c r="C10" s="278">
        <v>16779427677</v>
      </c>
      <c r="D10" s="255">
        <v>572979015</v>
      </c>
      <c r="E10" s="258">
        <f t="shared" si="0"/>
        <v>3.4147709089350962E-2</v>
      </c>
      <c r="F10" s="278">
        <v>16237350000</v>
      </c>
      <c r="G10" s="87">
        <v>1509166146</v>
      </c>
      <c r="H10" s="81">
        <f t="shared" si="1"/>
        <v>9.2944116250496533E-2</v>
      </c>
      <c r="I10" s="278">
        <v>16791539226</v>
      </c>
      <c r="J10" s="87">
        <v>2051325082</v>
      </c>
      <c r="K10" s="81">
        <f t="shared" si="2"/>
        <v>0.1221642074851441</v>
      </c>
      <c r="L10" s="278">
        <v>16785262129</v>
      </c>
      <c r="M10" s="87">
        <v>3249688175</v>
      </c>
      <c r="N10" s="81">
        <f t="shared" si="3"/>
        <v>0.19360365956903908</v>
      </c>
      <c r="O10" s="86"/>
      <c r="P10" s="87"/>
      <c r="Q10" s="81" t="e">
        <f t="shared" si="4"/>
        <v>#DIV/0!</v>
      </c>
      <c r="R10" s="86"/>
      <c r="S10" s="87"/>
      <c r="T10" s="81" t="e">
        <f t="shared" si="5"/>
        <v>#DIV/0!</v>
      </c>
      <c r="U10" s="82">
        <f t="shared" si="6"/>
        <v>66593579032</v>
      </c>
      <c r="V10" s="36">
        <f t="shared" si="6"/>
        <v>7383158418</v>
      </c>
      <c r="W10" s="83">
        <f t="shared" si="7"/>
        <v>0.11086892348062859</v>
      </c>
      <c r="X10" s="284">
        <f>$X$47</f>
        <v>1.0615144857669989</v>
      </c>
      <c r="Y10" s="173"/>
      <c r="Z10" s="173"/>
    </row>
    <row r="11" spans="1:26" ht="18" customHeight="1" x14ac:dyDescent="0.25">
      <c r="A11" s="5">
        <v>9</v>
      </c>
      <c r="B11" s="277" t="s">
        <v>3</v>
      </c>
      <c r="C11" s="278">
        <v>2790000000</v>
      </c>
      <c r="D11" s="255">
        <v>0</v>
      </c>
      <c r="E11" s="258">
        <f t="shared" si="0"/>
        <v>0</v>
      </c>
      <c r="F11" s="278">
        <v>2700000000</v>
      </c>
      <c r="G11" s="87">
        <v>0</v>
      </c>
      <c r="H11" s="81">
        <f t="shared" si="1"/>
        <v>0</v>
      </c>
      <c r="I11" s="278">
        <v>2790000000</v>
      </c>
      <c r="J11" s="87">
        <v>0</v>
      </c>
      <c r="K11" s="81">
        <f t="shared" si="2"/>
        <v>0</v>
      </c>
      <c r="L11" s="278">
        <v>2790000000</v>
      </c>
      <c r="M11" s="87"/>
      <c r="N11" s="81">
        <f t="shared" si="3"/>
        <v>0</v>
      </c>
      <c r="O11" s="86"/>
      <c r="P11" s="87"/>
      <c r="Q11" s="81" t="e">
        <f t="shared" si="4"/>
        <v>#DIV/0!</v>
      </c>
      <c r="R11" s="86"/>
      <c r="S11" s="87"/>
      <c r="T11" s="81" t="e">
        <f t="shared" si="5"/>
        <v>#DIV/0!</v>
      </c>
      <c r="U11" s="82">
        <f t="shared" si="6"/>
        <v>11070000000</v>
      </c>
      <c r="V11" s="36">
        <f t="shared" si="6"/>
        <v>0</v>
      </c>
      <c r="W11" s="83">
        <f t="shared" si="7"/>
        <v>0</v>
      </c>
      <c r="X11" s="284">
        <f>$X$47</f>
        <v>1.0615144857669989</v>
      </c>
      <c r="Y11" s="173"/>
      <c r="Z11" s="173"/>
    </row>
    <row r="12" spans="1:26" ht="18" customHeight="1" x14ac:dyDescent="0.25">
      <c r="A12" s="5">
        <v>10</v>
      </c>
      <c r="B12" s="277" t="s">
        <v>3</v>
      </c>
      <c r="C12" s="256">
        <v>207859</v>
      </c>
      <c r="D12" s="255">
        <v>0</v>
      </c>
      <c r="E12" s="258">
        <f t="shared" si="0"/>
        <v>0</v>
      </c>
      <c r="F12" s="256">
        <v>0</v>
      </c>
      <c r="G12" s="87">
        <v>0</v>
      </c>
      <c r="H12" s="81" t="e">
        <f t="shared" si="1"/>
        <v>#DIV/0!</v>
      </c>
      <c r="I12" s="256">
        <v>0</v>
      </c>
      <c r="J12" s="87">
        <v>0</v>
      </c>
      <c r="K12" s="81" t="e">
        <f t="shared" si="2"/>
        <v>#DIV/0!</v>
      </c>
      <c r="L12" s="256">
        <v>0</v>
      </c>
      <c r="M12" s="87"/>
      <c r="N12" s="81" t="e">
        <f t="shared" si="3"/>
        <v>#DIV/0!</v>
      </c>
      <c r="O12" s="86"/>
      <c r="P12" s="87"/>
      <c r="Q12" s="81" t="e">
        <f t="shared" si="4"/>
        <v>#DIV/0!</v>
      </c>
      <c r="R12" s="86"/>
      <c r="S12" s="87"/>
      <c r="T12" s="81" t="e">
        <f t="shared" si="5"/>
        <v>#DIV/0!</v>
      </c>
      <c r="U12" s="82">
        <f t="shared" si="6"/>
        <v>207859</v>
      </c>
      <c r="V12" s="36">
        <f t="shared" si="6"/>
        <v>0</v>
      </c>
      <c r="W12" s="83">
        <f t="shared" si="7"/>
        <v>0</v>
      </c>
      <c r="X12" s="284">
        <f>$X$47</f>
        <v>1.0615144857669989</v>
      </c>
      <c r="Y12" s="173"/>
      <c r="Z12" s="173"/>
    </row>
    <row r="13" spans="1:26" ht="18" customHeight="1" x14ac:dyDescent="0.25">
      <c r="A13" s="6">
        <v>11</v>
      </c>
      <c r="B13" s="277" t="s">
        <v>5</v>
      </c>
      <c r="C13" s="278">
        <v>32174611295</v>
      </c>
      <c r="D13" s="255">
        <v>26893248034</v>
      </c>
      <c r="E13" s="258">
        <f t="shared" si="0"/>
        <v>0.83585308265027169</v>
      </c>
      <c r="F13" s="278">
        <v>30859041634</v>
      </c>
      <c r="G13" s="87">
        <v>26152830893</v>
      </c>
      <c r="H13" s="81">
        <f t="shared" si="1"/>
        <v>0.84749329558521447</v>
      </c>
      <c r="I13" s="278">
        <v>31990398774</v>
      </c>
      <c r="J13" s="87">
        <v>27735632967</v>
      </c>
      <c r="K13" s="81">
        <f t="shared" si="2"/>
        <v>0.86699866303454665</v>
      </c>
      <c r="L13" s="278">
        <v>40516733370</v>
      </c>
      <c r="M13" s="87">
        <v>27441569240</v>
      </c>
      <c r="N13" s="81">
        <f t="shared" si="3"/>
        <v>0.67728977529858547</v>
      </c>
      <c r="O13" s="86"/>
      <c r="P13" s="87"/>
      <c r="Q13" s="81" t="e">
        <f t="shared" si="4"/>
        <v>#DIV/0!</v>
      </c>
      <c r="R13" s="86"/>
      <c r="S13" s="87"/>
      <c r="T13" s="81" t="e">
        <f t="shared" si="5"/>
        <v>#DIV/0!</v>
      </c>
      <c r="U13" s="82">
        <f t="shared" si="6"/>
        <v>135540785073</v>
      </c>
      <c r="V13" s="36">
        <f t="shared" si="6"/>
        <v>108223281134</v>
      </c>
      <c r="W13" s="83">
        <f t="shared" si="7"/>
        <v>0.79845546914689003</v>
      </c>
      <c r="X13" s="284">
        <f>$X$49</f>
        <v>1.0206646549968539</v>
      </c>
      <c r="Y13" s="173"/>
      <c r="Z13" s="173"/>
    </row>
    <row r="14" spans="1:26" ht="18" customHeight="1" x14ac:dyDescent="0.25">
      <c r="A14" s="5">
        <v>12</v>
      </c>
      <c r="B14" s="277" t="s">
        <v>3</v>
      </c>
      <c r="C14" s="254">
        <v>0</v>
      </c>
      <c r="D14" s="255">
        <v>0</v>
      </c>
      <c r="E14" s="258" t="e">
        <f t="shared" si="0"/>
        <v>#DIV/0!</v>
      </c>
      <c r="F14" s="254">
        <v>0</v>
      </c>
      <c r="G14" s="87">
        <v>0</v>
      </c>
      <c r="H14" s="81" t="e">
        <f t="shared" si="1"/>
        <v>#DIV/0!</v>
      </c>
      <c r="I14" s="254">
        <v>0</v>
      </c>
      <c r="J14" s="87">
        <v>0</v>
      </c>
      <c r="K14" s="81" t="e">
        <f t="shared" si="2"/>
        <v>#DIV/0!</v>
      </c>
      <c r="L14" s="254">
        <v>0</v>
      </c>
      <c r="M14" s="87"/>
      <c r="N14" s="81" t="e">
        <f t="shared" si="3"/>
        <v>#DIV/0!</v>
      </c>
      <c r="O14" s="86"/>
      <c r="P14" s="87"/>
      <c r="Q14" s="81" t="e">
        <f t="shared" si="4"/>
        <v>#DIV/0!</v>
      </c>
      <c r="R14" s="86"/>
      <c r="S14" s="87"/>
      <c r="T14" s="81" t="e">
        <f t="shared" si="5"/>
        <v>#DIV/0!</v>
      </c>
      <c r="U14" s="82">
        <f t="shared" si="6"/>
        <v>0</v>
      </c>
      <c r="V14" s="36">
        <f t="shared" si="6"/>
        <v>0</v>
      </c>
      <c r="W14" s="83" t="e">
        <f t="shared" si="7"/>
        <v>#DIV/0!</v>
      </c>
      <c r="X14" s="284">
        <f>$X$47</f>
        <v>1.0615144857669989</v>
      </c>
      <c r="Y14" s="173"/>
      <c r="Z14" s="173"/>
    </row>
    <row r="15" spans="1:26" ht="18" customHeight="1" x14ac:dyDescent="0.25">
      <c r="A15" s="5">
        <v>13</v>
      </c>
      <c r="B15" s="277" t="s">
        <v>3</v>
      </c>
      <c r="C15" s="254">
        <v>0</v>
      </c>
      <c r="D15" s="255">
        <v>0</v>
      </c>
      <c r="E15" s="258" t="e">
        <f t="shared" si="0"/>
        <v>#DIV/0!</v>
      </c>
      <c r="F15" s="254">
        <v>0</v>
      </c>
      <c r="G15" s="87">
        <v>0</v>
      </c>
      <c r="H15" s="81" t="e">
        <f t="shared" si="1"/>
        <v>#DIV/0!</v>
      </c>
      <c r="I15" s="254">
        <v>0</v>
      </c>
      <c r="J15" s="87">
        <v>0</v>
      </c>
      <c r="K15" s="81" t="e">
        <f t="shared" si="2"/>
        <v>#DIV/0!</v>
      </c>
      <c r="L15" s="254">
        <v>0</v>
      </c>
      <c r="M15" s="87"/>
      <c r="N15" s="81" t="e">
        <f t="shared" si="3"/>
        <v>#DIV/0!</v>
      </c>
      <c r="O15" s="86"/>
      <c r="P15" s="87"/>
      <c r="Q15" s="81" t="e">
        <f t="shared" si="4"/>
        <v>#DIV/0!</v>
      </c>
      <c r="R15" s="86"/>
      <c r="S15" s="87"/>
      <c r="T15" s="81" t="e">
        <f t="shared" si="5"/>
        <v>#DIV/0!</v>
      </c>
      <c r="U15" s="82">
        <f t="shared" si="6"/>
        <v>0</v>
      </c>
      <c r="V15" s="36">
        <f t="shared" si="6"/>
        <v>0</v>
      </c>
      <c r="W15" s="83" t="e">
        <f t="shared" si="7"/>
        <v>#DIV/0!</v>
      </c>
      <c r="X15" s="284">
        <f>$X$47</f>
        <v>1.0615144857669989</v>
      </c>
      <c r="Y15" s="173"/>
      <c r="Z15" s="173"/>
    </row>
    <row r="16" spans="1:26" ht="18" customHeight="1" x14ac:dyDescent="0.25">
      <c r="A16" s="5">
        <v>14</v>
      </c>
      <c r="B16" s="277" t="s">
        <v>3</v>
      </c>
      <c r="C16" s="278">
        <v>13035000000</v>
      </c>
      <c r="D16" s="255">
        <v>319911899</v>
      </c>
      <c r="E16" s="258">
        <f t="shared" si="0"/>
        <v>2.4542531568853089E-2</v>
      </c>
      <c r="F16" s="278">
        <v>12600000000</v>
      </c>
      <c r="G16" s="87">
        <v>607757851</v>
      </c>
      <c r="H16" s="81">
        <f t="shared" si="1"/>
        <v>4.8234750079365077E-2</v>
      </c>
      <c r="I16" s="278">
        <v>13020000000</v>
      </c>
      <c r="J16" s="87">
        <v>584175523</v>
      </c>
      <c r="K16" s="81">
        <f t="shared" si="2"/>
        <v>4.4867551689708143E-2</v>
      </c>
      <c r="L16" s="278">
        <v>13020000000</v>
      </c>
      <c r="M16" s="87">
        <v>227911546</v>
      </c>
      <c r="N16" s="81">
        <f t="shared" si="3"/>
        <v>1.7504727035330261E-2</v>
      </c>
      <c r="O16" s="86"/>
      <c r="P16" s="87"/>
      <c r="Q16" s="81" t="e">
        <f t="shared" si="4"/>
        <v>#DIV/0!</v>
      </c>
      <c r="R16" s="86"/>
      <c r="S16" s="87"/>
      <c r="T16" s="81" t="e">
        <f t="shared" si="5"/>
        <v>#DIV/0!</v>
      </c>
      <c r="U16" s="82">
        <f t="shared" si="6"/>
        <v>51675000000</v>
      </c>
      <c r="V16" s="36">
        <f t="shared" si="6"/>
        <v>1739756819</v>
      </c>
      <c r="W16" s="83">
        <f t="shared" si="7"/>
        <v>3.3667282418964682E-2</v>
      </c>
      <c r="X16" s="284">
        <f>$X$47</f>
        <v>1.0615144857669989</v>
      </c>
      <c r="Y16" s="173"/>
      <c r="Z16" s="173"/>
    </row>
    <row r="17" spans="1:26" ht="18" customHeight="1" x14ac:dyDescent="0.25">
      <c r="A17" s="6">
        <v>15</v>
      </c>
      <c r="B17" s="277" t="s">
        <v>3</v>
      </c>
      <c r="C17" s="278">
        <v>8786640000</v>
      </c>
      <c r="D17" s="255">
        <v>191015206</v>
      </c>
      <c r="E17" s="258">
        <f t="shared" si="0"/>
        <v>2.1739277585060956E-2</v>
      </c>
      <c r="F17" s="278">
        <v>8503200000</v>
      </c>
      <c r="G17" s="87">
        <v>61285255</v>
      </c>
      <c r="H17" s="81">
        <f t="shared" si="1"/>
        <v>7.2073166572584439E-3</v>
      </c>
      <c r="I17" s="278">
        <v>8786640000</v>
      </c>
      <c r="J17" s="87">
        <v>263338235</v>
      </c>
      <c r="K17" s="81">
        <f t="shared" si="2"/>
        <v>2.997029979605401E-2</v>
      </c>
      <c r="L17" s="278">
        <v>8786640000</v>
      </c>
      <c r="M17" s="87">
        <v>113354956</v>
      </c>
      <c r="N17" s="81">
        <f t="shared" si="3"/>
        <v>1.2900830806770279E-2</v>
      </c>
      <c r="O17" s="86"/>
      <c r="P17" s="87"/>
      <c r="Q17" s="81" t="e">
        <f t="shared" si="4"/>
        <v>#DIV/0!</v>
      </c>
      <c r="R17" s="86"/>
      <c r="S17" s="87"/>
      <c r="T17" s="81" t="e">
        <f t="shared" si="5"/>
        <v>#DIV/0!</v>
      </c>
      <c r="U17" s="82">
        <f t="shared" si="6"/>
        <v>34863120000</v>
      </c>
      <c r="V17" s="36">
        <f t="shared" si="6"/>
        <v>628993652</v>
      </c>
      <c r="W17" s="83">
        <f t="shared" si="7"/>
        <v>1.8041806126359316E-2</v>
      </c>
      <c r="X17" s="284">
        <f>$X$47</f>
        <v>1.0615144857669989</v>
      </c>
      <c r="Y17" s="173"/>
      <c r="Z17" s="173"/>
    </row>
    <row r="18" spans="1:26" ht="18" customHeight="1" x14ac:dyDescent="0.25">
      <c r="A18" s="5">
        <v>16</v>
      </c>
      <c r="B18" s="277" t="s">
        <v>6</v>
      </c>
      <c r="C18" s="254">
        <v>0</v>
      </c>
      <c r="D18" s="255">
        <v>0</v>
      </c>
      <c r="E18" s="258" t="e">
        <f t="shared" si="0"/>
        <v>#DIV/0!</v>
      </c>
      <c r="F18" s="254">
        <v>0</v>
      </c>
      <c r="G18" s="87">
        <v>0</v>
      </c>
      <c r="H18" s="81" t="e">
        <f t="shared" si="1"/>
        <v>#DIV/0!</v>
      </c>
      <c r="I18" s="254">
        <v>0</v>
      </c>
      <c r="J18" s="87">
        <v>0</v>
      </c>
      <c r="K18" s="81" t="e">
        <f t="shared" si="2"/>
        <v>#DIV/0!</v>
      </c>
      <c r="L18" s="86">
        <v>0</v>
      </c>
      <c r="M18" s="87"/>
      <c r="N18" s="81" t="e">
        <f t="shared" si="3"/>
        <v>#DIV/0!</v>
      </c>
      <c r="O18" s="86"/>
      <c r="P18" s="87"/>
      <c r="Q18" s="81" t="e">
        <f t="shared" si="4"/>
        <v>#DIV/0!</v>
      </c>
      <c r="R18" s="86"/>
      <c r="S18" s="87"/>
      <c r="T18" s="81" t="e">
        <f t="shared" si="5"/>
        <v>#DIV/0!</v>
      </c>
      <c r="U18" s="82">
        <f t="shared" si="6"/>
        <v>0</v>
      </c>
      <c r="V18" s="36">
        <f t="shared" si="6"/>
        <v>0</v>
      </c>
      <c r="W18" s="83" t="e">
        <f t="shared" si="7"/>
        <v>#DIV/0!</v>
      </c>
      <c r="X18" s="284">
        <f>$X$50</f>
        <v>1.6901317545151358</v>
      </c>
      <c r="Y18" s="173"/>
      <c r="Z18" s="173"/>
    </row>
    <row r="19" spans="1:26" ht="18" customHeight="1" x14ac:dyDescent="0.25">
      <c r="A19" s="5">
        <v>17</v>
      </c>
      <c r="B19" s="2" t="s">
        <v>3</v>
      </c>
      <c r="C19" s="256">
        <v>27800000</v>
      </c>
      <c r="D19" s="255">
        <v>24040806</v>
      </c>
      <c r="E19" s="258">
        <f t="shared" si="0"/>
        <v>0.86477719424460431</v>
      </c>
      <c r="F19" s="256">
        <v>196717547</v>
      </c>
      <c r="G19" s="87">
        <v>180145067</v>
      </c>
      <c r="H19" s="81">
        <f t="shared" si="1"/>
        <v>0.91575494787966216</v>
      </c>
      <c r="I19" s="256">
        <v>109493890</v>
      </c>
      <c r="J19" s="87">
        <v>109031300</v>
      </c>
      <c r="K19" s="81">
        <f t="shared" si="2"/>
        <v>0.99577519804986381</v>
      </c>
      <c r="L19" s="278">
        <v>6379490000</v>
      </c>
      <c r="M19" s="87">
        <v>1157017080</v>
      </c>
      <c r="N19" s="81">
        <f t="shared" si="3"/>
        <v>0.18136513733856469</v>
      </c>
      <c r="O19" s="86"/>
      <c r="P19" s="87"/>
      <c r="Q19" s="81" t="e">
        <f t="shared" si="4"/>
        <v>#DIV/0!</v>
      </c>
      <c r="R19" s="86"/>
      <c r="S19" s="87"/>
      <c r="T19" s="81" t="e">
        <f t="shared" si="5"/>
        <v>#DIV/0!</v>
      </c>
      <c r="U19" s="82">
        <f t="shared" si="6"/>
        <v>6713501437</v>
      </c>
      <c r="V19" s="36">
        <f t="shared" si="6"/>
        <v>1470234253</v>
      </c>
      <c r="W19" s="83">
        <f t="shared" si="7"/>
        <v>0.21899663935381383</v>
      </c>
      <c r="X19" s="284">
        <f>$X$47</f>
        <v>1.0615144857669989</v>
      </c>
      <c r="Y19" s="173"/>
      <c r="Z19" s="173"/>
    </row>
    <row r="20" spans="1:26" ht="18" customHeight="1" x14ac:dyDescent="0.25">
      <c r="A20" s="5">
        <v>18</v>
      </c>
      <c r="B20" s="2" t="s">
        <v>3</v>
      </c>
      <c r="C20" s="256">
        <v>0</v>
      </c>
      <c r="D20" s="255">
        <v>0</v>
      </c>
      <c r="E20" s="258" t="e">
        <f t="shared" si="0"/>
        <v>#DIV/0!</v>
      </c>
      <c r="F20" s="256">
        <v>7732222</v>
      </c>
      <c r="G20" s="87">
        <v>7713501</v>
      </c>
      <c r="H20" s="81">
        <f t="shared" si="1"/>
        <v>0.99757883309610096</v>
      </c>
      <c r="I20" s="256">
        <v>14550000</v>
      </c>
      <c r="J20" s="87">
        <v>14715861</v>
      </c>
      <c r="K20" s="81">
        <f t="shared" si="2"/>
        <v>1.0113993814432989</v>
      </c>
      <c r="L20" s="278">
        <v>682000000</v>
      </c>
      <c r="M20" s="87">
        <v>401854710</v>
      </c>
      <c r="N20" s="81">
        <f t="shared" si="3"/>
        <v>0.58922978005865101</v>
      </c>
      <c r="O20" s="86"/>
      <c r="P20" s="87"/>
      <c r="Q20" s="81" t="e">
        <f t="shared" si="4"/>
        <v>#DIV/0!</v>
      </c>
      <c r="R20" s="86"/>
      <c r="S20" s="87"/>
      <c r="T20" s="81" t="e">
        <f t="shared" si="5"/>
        <v>#DIV/0!</v>
      </c>
      <c r="U20" s="82">
        <f t="shared" si="6"/>
        <v>704282222</v>
      </c>
      <c r="V20" s="36">
        <f t="shared" si="6"/>
        <v>424284072</v>
      </c>
      <c r="W20" s="83">
        <f t="shared" si="7"/>
        <v>0.60243473247859436</v>
      </c>
      <c r="X20" s="284">
        <f>$X$47</f>
        <v>1.0615144857669989</v>
      </c>
      <c r="Y20" s="173"/>
      <c r="Z20" s="173"/>
    </row>
    <row r="21" spans="1:26" ht="25.5" x14ac:dyDescent="0.25">
      <c r="A21" s="6">
        <v>19</v>
      </c>
      <c r="B21" s="2" t="s">
        <v>7</v>
      </c>
      <c r="C21" s="278">
        <v>20593630000</v>
      </c>
      <c r="D21" s="255">
        <v>3330891703</v>
      </c>
      <c r="E21" s="258">
        <f t="shared" si="0"/>
        <v>0.16174378693799976</v>
      </c>
      <c r="F21" s="278">
        <v>20602934000</v>
      </c>
      <c r="G21" s="87">
        <v>6965624460</v>
      </c>
      <c r="H21" s="81">
        <f t="shared" si="1"/>
        <v>0.33808895665054306</v>
      </c>
      <c r="I21" s="278">
        <v>20693400000</v>
      </c>
      <c r="J21" s="87">
        <v>9562184700</v>
      </c>
      <c r="K21" s="81">
        <f t="shared" si="2"/>
        <v>0.46208862245933485</v>
      </c>
      <c r="L21" s="278">
        <v>20593300000</v>
      </c>
      <c r="M21" s="87">
        <v>5097865500</v>
      </c>
      <c r="N21" s="81">
        <f t="shared" si="3"/>
        <v>0.24754971277065843</v>
      </c>
      <c r="O21" s="86"/>
      <c r="P21" s="87"/>
      <c r="Q21" s="81" t="e">
        <f t="shared" si="4"/>
        <v>#DIV/0!</v>
      </c>
      <c r="R21" s="86"/>
      <c r="S21" s="87"/>
      <c r="T21" s="81" t="e">
        <f t="shared" si="5"/>
        <v>#DIV/0!</v>
      </c>
      <c r="U21" s="82">
        <f t="shared" si="6"/>
        <v>82483264000</v>
      </c>
      <c r="V21" s="36">
        <f t="shared" si="6"/>
        <v>24956566363</v>
      </c>
      <c r="W21" s="83">
        <f t="shared" si="7"/>
        <v>0.30256521326556624</v>
      </c>
      <c r="X21" s="142">
        <f>X54</f>
        <v>1.033302855451115</v>
      </c>
      <c r="Y21" s="173"/>
      <c r="Z21" s="173"/>
    </row>
    <row r="22" spans="1:26" ht="25.5" x14ac:dyDescent="0.25">
      <c r="A22" s="5">
        <v>20</v>
      </c>
      <c r="B22" s="2" t="s">
        <v>7</v>
      </c>
      <c r="C22" s="278">
        <v>29450000000</v>
      </c>
      <c r="D22" s="255">
        <v>5155591734</v>
      </c>
      <c r="E22" s="258">
        <f t="shared" si="0"/>
        <v>0.17506253765704585</v>
      </c>
      <c r="F22" s="278">
        <v>28500000000</v>
      </c>
      <c r="G22" s="87">
        <v>8344996045</v>
      </c>
      <c r="H22" s="81">
        <f t="shared" si="1"/>
        <v>0.29280687877192985</v>
      </c>
      <c r="I22" s="278">
        <v>29450000000</v>
      </c>
      <c r="J22" s="87">
        <v>10418038022</v>
      </c>
      <c r="K22" s="81">
        <f t="shared" si="2"/>
        <v>0.3537534133106961</v>
      </c>
      <c r="L22" s="278">
        <v>29450000000</v>
      </c>
      <c r="M22" s="87">
        <v>5606613092</v>
      </c>
      <c r="N22" s="81">
        <f t="shared" si="3"/>
        <v>0.19037735456706281</v>
      </c>
      <c r="O22" s="86"/>
      <c r="P22" s="87"/>
      <c r="Q22" s="81" t="e">
        <f t="shared" si="4"/>
        <v>#DIV/0!</v>
      </c>
      <c r="R22" s="86"/>
      <c r="S22" s="87"/>
      <c r="T22" s="81" t="e">
        <f t="shared" si="5"/>
        <v>#DIV/0!</v>
      </c>
      <c r="U22" s="82">
        <f t="shared" si="6"/>
        <v>116850000000</v>
      </c>
      <c r="V22" s="36">
        <f t="shared" si="6"/>
        <v>29525238893</v>
      </c>
      <c r="W22" s="83">
        <f t="shared" si="7"/>
        <v>0.25267641329054341</v>
      </c>
      <c r="X22" s="142">
        <f>X54</f>
        <v>1.033302855451115</v>
      </c>
      <c r="Y22" s="173"/>
      <c r="Z22" s="173"/>
    </row>
    <row r="23" spans="1:26" ht="18" customHeight="1" x14ac:dyDescent="0.25">
      <c r="A23" s="5">
        <v>21</v>
      </c>
      <c r="B23" s="2" t="s">
        <v>3</v>
      </c>
      <c r="C23" s="254">
        <v>0</v>
      </c>
      <c r="D23" s="255">
        <v>0</v>
      </c>
      <c r="E23" s="258" t="e">
        <f t="shared" si="0"/>
        <v>#DIV/0!</v>
      </c>
      <c r="F23" s="254">
        <v>0</v>
      </c>
      <c r="G23" s="87">
        <v>0</v>
      </c>
      <c r="H23" s="81" t="e">
        <f t="shared" si="1"/>
        <v>#DIV/0!</v>
      </c>
      <c r="I23" s="254">
        <v>0</v>
      </c>
      <c r="J23" s="87">
        <v>0</v>
      </c>
      <c r="K23" s="81" t="e">
        <f t="shared" si="2"/>
        <v>#DIV/0!</v>
      </c>
      <c r="L23" s="86">
        <v>0</v>
      </c>
      <c r="M23" s="87"/>
      <c r="N23" s="81" t="e">
        <f t="shared" si="3"/>
        <v>#DIV/0!</v>
      </c>
      <c r="O23" s="86"/>
      <c r="P23" s="87"/>
      <c r="Q23" s="81" t="e">
        <f t="shared" si="4"/>
        <v>#DIV/0!</v>
      </c>
      <c r="R23" s="86"/>
      <c r="S23" s="87"/>
      <c r="T23" s="81" t="e">
        <f t="shared" si="5"/>
        <v>#DIV/0!</v>
      </c>
      <c r="U23" s="82">
        <f t="shared" si="6"/>
        <v>0</v>
      </c>
      <c r="V23" s="36">
        <f t="shared" si="6"/>
        <v>0</v>
      </c>
      <c r="W23" s="83" t="e">
        <f t="shared" si="7"/>
        <v>#DIV/0!</v>
      </c>
      <c r="X23" s="284">
        <f>$X$47</f>
        <v>1.0615144857669989</v>
      </c>
      <c r="Y23" s="173"/>
      <c r="Z23" s="173"/>
    </row>
    <row r="24" spans="1:26" ht="18" customHeight="1" x14ac:dyDescent="0.25">
      <c r="A24" s="5">
        <v>22</v>
      </c>
      <c r="B24" s="2" t="s">
        <v>4</v>
      </c>
      <c r="C24" s="256">
        <v>200000000</v>
      </c>
      <c r="D24" s="255">
        <v>5597792</v>
      </c>
      <c r="E24" s="258">
        <f t="shared" si="0"/>
        <v>2.798896E-2</v>
      </c>
      <c r="F24" s="256">
        <v>0</v>
      </c>
      <c r="G24" s="87">
        <v>0</v>
      </c>
      <c r="H24" s="81" t="e">
        <f t="shared" si="1"/>
        <v>#DIV/0!</v>
      </c>
      <c r="I24" s="256">
        <v>0</v>
      </c>
      <c r="J24" s="87">
        <v>0</v>
      </c>
      <c r="K24" s="81" t="e">
        <f t="shared" si="2"/>
        <v>#DIV/0!</v>
      </c>
      <c r="L24" s="86">
        <v>0</v>
      </c>
      <c r="M24" s="87"/>
      <c r="N24" s="81" t="e">
        <f t="shared" si="3"/>
        <v>#DIV/0!</v>
      </c>
      <c r="O24" s="86"/>
      <c r="P24" s="87"/>
      <c r="Q24" s="81" t="e">
        <f t="shared" si="4"/>
        <v>#DIV/0!</v>
      </c>
      <c r="R24" s="86"/>
      <c r="S24" s="87"/>
      <c r="T24" s="81" t="e">
        <f t="shared" si="5"/>
        <v>#DIV/0!</v>
      </c>
      <c r="U24" s="82">
        <f t="shared" si="6"/>
        <v>200000000</v>
      </c>
      <c r="V24" s="36">
        <f t="shared" si="6"/>
        <v>5597792</v>
      </c>
      <c r="W24" s="83">
        <f t="shared" si="7"/>
        <v>2.798896E-2</v>
      </c>
      <c r="X24" s="284">
        <f>$X$48</f>
        <v>1.0602892745432102</v>
      </c>
      <c r="Y24" s="173"/>
      <c r="Z24" s="173"/>
    </row>
    <row r="25" spans="1:26" ht="18" customHeight="1" x14ac:dyDescent="0.25">
      <c r="A25" s="6">
        <v>23</v>
      </c>
      <c r="B25" s="2" t="s">
        <v>2</v>
      </c>
      <c r="C25" s="256">
        <v>15500000</v>
      </c>
      <c r="D25" s="255">
        <v>4174945</v>
      </c>
      <c r="E25" s="258">
        <f t="shared" si="0"/>
        <v>0.26935129032258065</v>
      </c>
      <c r="F25" s="256">
        <v>15000000</v>
      </c>
      <c r="G25" s="87">
        <v>4188007</v>
      </c>
      <c r="H25" s="81">
        <f t="shared" si="1"/>
        <v>0.27920046666666665</v>
      </c>
      <c r="I25" s="256">
        <v>0</v>
      </c>
      <c r="J25" s="87">
        <v>3077474</v>
      </c>
      <c r="K25" s="81" t="e">
        <f t="shared" si="2"/>
        <v>#DIV/0!</v>
      </c>
      <c r="L25" s="86">
        <v>15500000</v>
      </c>
      <c r="M25" s="87">
        <v>2974676</v>
      </c>
      <c r="N25" s="81">
        <f t="shared" si="3"/>
        <v>0.19191458064516129</v>
      </c>
      <c r="O25" s="86"/>
      <c r="P25" s="87"/>
      <c r="Q25" s="81" t="e">
        <f t="shared" si="4"/>
        <v>#DIV/0!</v>
      </c>
      <c r="R25" s="86"/>
      <c r="S25" s="87"/>
      <c r="T25" s="81" t="e">
        <f t="shared" si="5"/>
        <v>#DIV/0!</v>
      </c>
      <c r="U25" s="82">
        <f t="shared" si="6"/>
        <v>46000000</v>
      </c>
      <c r="V25" s="36">
        <f t="shared" si="6"/>
        <v>14415102</v>
      </c>
      <c r="W25" s="83">
        <f t="shared" si="7"/>
        <v>0.31337178260869564</v>
      </c>
      <c r="X25" s="142">
        <f>X54</f>
        <v>1.033302855451115</v>
      </c>
      <c r="Y25" s="173"/>
      <c r="Z25" s="173"/>
    </row>
    <row r="26" spans="1:26" ht="18" customHeight="1" x14ac:dyDescent="0.25">
      <c r="A26" s="5">
        <v>24</v>
      </c>
      <c r="B26" s="2" t="s">
        <v>5</v>
      </c>
      <c r="C26" s="278">
        <v>18479991165</v>
      </c>
      <c r="D26" s="255">
        <v>17972063008</v>
      </c>
      <c r="E26" s="258">
        <f t="shared" si="0"/>
        <v>0.97251469697875259</v>
      </c>
      <c r="F26" s="278">
        <v>18136777540</v>
      </c>
      <c r="G26" s="87">
        <v>17906140137</v>
      </c>
      <c r="H26" s="81">
        <f t="shared" si="1"/>
        <v>0.98728344092596731</v>
      </c>
      <c r="I26" s="278">
        <v>23941375283</v>
      </c>
      <c r="J26" s="87">
        <v>23657122937</v>
      </c>
      <c r="K26" s="81">
        <f t="shared" si="2"/>
        <v>0.98812715048154154</v>
      </c>
      <c r="L26" s="278">
        <v>26673547217</v>
      </c>
      <c r="M26" s="87">
        <v>26197777336</v>
      </c>
      <c r="N26" s="81">
        <f t="shared" si="3"/>
        <v>0.9821632317168234</v>
      </c>
      <c r="O26" s="86"/>
      <c r="P26" s="87"/>
      <c r="Q26" s="81" t="e">
        <f t="shared" si="4"/>
        <v>#DIV/0!</v>
      </c>
      <c r="R26" s="86"/>
      <c r="S26" s="87"/>
      <c r="T26" s="81" t="e">
        <f t="shared" si="5"/>
        <v>#DIV/0!</v>
      </c>
      <c r="U26" s="82">
        <f t="shared" si="6"/>
        <v>87231691205</v>
      </c>
      <c r="V26" s="36">
        <f t="shared" si="6"/>
        <v>85733103418</v>
      </c>
      <c r="W26" s="83">
        <f t="shared" si="7"/>
        <v>0.98282060377027169</v>
      </c>
      <c r="X26" s="284">
        <f>$X$49</f>
        <v>1.0206646549968539</v>
      </c>
      <c r="Y26" s="173"/>
      <c r="Z26" s="173"/>
    </row>
    <row r="27" spans="1:26" ht="18" customHeight="1" x14ac:dyDescent="0.25">
      <c r="A27" s="5">
        <v>25</v>
      </c>
      <c r="B27" s="2" t="s">
        <v>5</v>
      </c>
      <c r="C27" s="278">
        <v>8766455965</v>
      </c>
      <c r="D27" s="255">
        <v>8368186352</v>
      </c>
      <c r="E27" s="258">
        <f t="shared" si="0"/>
        <v>0.95456891421230106</v>
      </c>
      <c r="F27" s="278">
        <v>8896157163</v>
      </c>
      <c r="G27" s="87">
        <v>8697630885</v>
      </c>
      <c r="H27" s="81">
        <f t="shared" si="1"/>
        <v>0.97768404105699813</v>
      </c>
      <c r="I27" s="278">
        <v>9952725040</v>
      </c>
      <c r="J27" s="87">
        <v>9729940959</v>
      </c>
      <c r="K27" s="81">
        <f t="shared" si="2"/>
        <v>0.97761577054478743</v>
      </c>
      <c r="L27" s="278">
        <v>9371307127</v>
      </c>
      <c r="M27" s="87">
        <v>9174516564</v>
      </c>
      <c r="N27" s="81">
        <f t="shared" si="3"/>
        <v>0.97900073486728234</v>
      </c>
      <c r="O27" s="86"/>
      <c r="P27" s="87"/>
      <c r="Q27" s="81" t="e">
        <f t="shared" si="4"/>
        <v>#DIV/0!</v>
      </c>
      <c r="R27" s="86"/>
      <c r="S27" s="87"/>
      <c r="T27" s="81" t="e">
        <f t="shared" si="5"/>
        <v>#DIV/0!</v>
      </c>
      <c r="U27" s="82">
        <f t="shared" si="6"/>
        <v>36986645295</v>
      </c>
      <c r="V27" s="36">
        <f t="shared" si="6"/>
        <v>35970274760</v>
      </c>
      <c r="W27" s="83">
        <f t="shared" si="7"/>
        <v>0.97252060772493476</v>
      </c>
      <c r="X27" s="284">
        <f>$X$49</f>
        <v>1.0206646549968539</v>
      </c>
      <c r="Y27" s="173"/>
      <c r="Z27" s="173"/>
    </row>
    <row r="28" spans="1:26" ht="18" customHeight="1" x14ac:dyDescent="0.25">
      <c r="A28" s="5">
        <v>26</v>
      </c>
      <c r="B28" s="2" t="s">
        <v>5</v>
      </c>
      <c r="C28" s="256">
        <v>5530000</v>
      </c>
      <c r="D28" s="255">
        <v>0</v>
      </c>
      <c r="E28" s="258">
        <f t="shared" si="0"/>
        <v>0</v>
      </c>
      <c r="F28" s="86">
        <v>45000000</v>
      </c>
      <c r="G28" s="87">
        <v>0</v>
      </c>
      <c r="H28" s="81">
        <f t="shared" si="1"/>
        <v>0</v>
      </c>
      <c r="I28" s="86">
        <v>0</v>
      </c>
      <c r="J28" s="87">
        <v>0</v>
      </c>
      <c r="K28" s="81" t="e">
        <f t="shared" si="2"/>
        <v>#DIV/0!</v>
      </c>
      <c r="L28" s="86">
        <v>0</v>
      </c>
      <c r="M28" s="87"/>
      <c r="N28" s="81" t="e">
        <f t="shared" si="3"/>
        <v>#DIV/0!</v>
      </c>
      <c r="O28" s="86"/>
      <c r="P28" s="87"/>
      <c r="Q28" s="81" t="e">
        <f t="shared" si="4"/>
        <v>#DIV/0!</v>
      </c>
      <c r="R28" s="86"/>
      <c r="S28" s="87"/>
      <c r="T28" s="81" t="e">
        <f t="shared" si="5"/>
        <v>#DIV/0!</v>
      </c>
      <c r="U28" s="82">
        <f t="shared" si="6"/>
        <v>50530000</v>
      </c>
      <c r="V28" s="36">
        <f t="shared" si="6"/>
        <v>0</v>
      </c>
      <c r="W28" s="83">
        <f t="shared" si="7"/>
        <v>0</v>
      </c>
      <c r="X28" s="284">
        <f>$X$49</f>
        <v>1.0206646549968539</v>
      </c>
      <c r="Y28" s="173"/>
      <c r="Z28" s="173"/>
    </row>
    <row r="29" spans="1:26" ht="18" customHeight="1" thickBot="1" x14ac:dyDescent="0.3">
      <c r="A29" s="7">
        <v>27</v>
      </c>
      <c r="B29" s="8" t="s">
        <v>6</v>
      </c>
      <c r="C29" s="259">
        <v>0</v>
      </c>
      <c r="D29" s="260">
        <v>0</v>
      </c>
      <c r="E29" s="261" t="e">
        <f t="shared" si="0"/>
        <v>#DIV/0!</v>
      </c>
      <c r="F29" s="271">
        <v>0</v>
      </c>
      <c r="G29" s="272">
        <v>0</v>
      </c>
      <c r="H29" s="273" t="e">
        <f t="shared" si="1"/>
        <v>#DIV/0!</v>
      </c>
      <c r="I29" s="271">
        <v>0</v>
      </c>
      <c r="J29" s="272">
        <v>0</v>
      </c>
      <c r="K29" s="273" t="e">
        <f t="shared" si="2"/>
        <v>#DIV/0!</v>
      </c>
      <c r="L29" s="271">
        <v>0</v>
      </c>
      <c r="M29" s="272"/>
      <c r="N29" s="273" t="e">
        <f t="shared" si="3"/>
        <v>#DIV/0!</v>
      </c>
      <c r="O29" s="271"/>
      <c r="P29" s="272"/>
      <c r="Q29" s="273" t="e">
        <f t="shared" si="4"/>
        <v>#DIV/0!</v>
      </c>
      <c r="R29" s="271"/>
      <c r="S29" s="272"/>
      <c r="T29" s="273" t="e">
        <f t="shared" si="5"/>
        <v>#DIV/0!</v>
      </c>
      <c r="U29" s="274">
        <f t="shared" si="6"/>
        <v>0</v>
      </c>
      <c r="V29" s="275">
        <f t="shared" si="6"/>
        <v>0</v>
      </c>
      <c r="W29" s="276" t="e">
        <f t="shared" si="7"/>
        <v>#DIV/0!</v>
      </c>
      <c r="X29" s="285">
        <f>$X$50</f>
        <v>1.6901317545151358</v>
      </c>
      <c r="Y29" s="173"/>
      <c r="Z29" s="173"/>
    </row>
    <row r="30" spans="1:26" ht="18" customHeight="1" x14ac:dyDescent="0.25">
      <c r="L30" s="1" t="s">
        <v>8</v>
      </c>
    </row>
    <row r="31" spans="1:26" ht="18" customHeight="1" x14ac:dyDescent="0.25">
      <c r="A31" s="279" t="s">
        <v>68</v>
      </c>
      <c r="C31" s="4">
        <f t="shared" ref="C31:V31" si="8">SUM(C3:C30)</f>
        <v>172075079639</v>
      </c>
      <c r="D31" s="4">
        <f t="shared" si="8"/>
        <v>77287939277</v>
      </c>
      <c r="F31" s="4">
        <f t="shared" si="8"/>
        <v>167731502158</v>
      </c>
      <c r="G31" s="4">
        <f t="shared" si="8"/>
        <v>83276079561</v>
      </c>
      <c r="I31" s="4">
        <f t="shared" si="8"/>
        <v>181391531090</v>
      </c>
      <c r="J31" s="4">
        <f t="shared" si="8"/>
        <v>103224705386</v>
      </c>
      <c r="K31" s="102"/>
      <c r="L31" s="4">
        <f t="shared" si="8"/>
        <v>223400798579</v>
      </c>
      <c r="M31" s="4">
        <f t="shared" si="8"/>
        <v>118195474820</v>
      </c>
      <c r="N31" s="262"/>
      <c r="O31" s="4">
        <f t="shared" si="8"/>
        <v>0</v>
      </c>
      <c r="P31" s="4">
        <f t="shared" si="8"/>
        <v>0</v>
      </c>
      <c r="Q31" s="262"/>
      <c r="R31" s="4">
        <f t="shared" si="8"/>
        <v>0</v>
      </c>
      <c r="S31" s="4">
        <f t="shared" si="8"/>
        <v>0</v>
      </c>
      <c r="T31" s="102"/>
      <c r="U31" s="4">
        <f t="shared" si="8"/>
        <v>744598911466</v>
      </c>
      <c r="V31" s="4">
        <f t="shared" si="8"/>
        <v>381984199044</v>
      </c>
      <c r="W31" s="262"/>
      <c r="X31" s="262"/>
    </row>
    <row r="32" spans="1:26" ht="18" customHeight="1" thickBot="1" x14ac:dyDescent="0.3"/>
    <row r="33" spans="1:25" ht="15" x14ac:dyDescent="0.25">
      <c r="A33" s="346"/>
      <c r="B33" s="362" t="s">
        <v>1</v>
      </c>
      <c r="C33" s="355">
        <v>44105</v>
      </c>
      <c r="D33" s="356"/>
      <c r="E33" s="364"/>
      <c r="F33" s="357">
        <v>44136</v>
      </c>
      <c r="G33" s="358"/>
      <c r="H33" s="365"/>
      <c r="I33" s="355">
        <v>44166</v>
      </c>
      <c r="J33" s="356"/>
      <c r="K33" s="364"/>
      <c r="L33" s="357">
        <v>44197</v>
      </c>
      <c r="M33" s="358"/>
      <c r="N33" s="365"/>
      <c r="O33" s="355">
        <v>44228</v>
      </c>
      <c r="P33" s="356"/>
      <c r="Q33" s="364"/>
      <c r="R33" s="357">
        <v>44256</v>
      </c>
      <c r="S33" s="358"/>
      <c r="T33" s="365"/>
      <c r="U33" s="359" t="s">
        <v>11</v>
      </c>
      <c r="V33" s="360"/>
      <c r="W33" s="360"/>
      <c r="X33" s="361"/>
    </row>
    <row r="34" spans="1:25" ht="30.75" thickBot="1" x14ac:dyDescent="0.3">
      <c r="A34" s="346"/>
      <c r="B34" s="363"/>
      <c r="C34" s="88" t="s">
        <v>9</v>
      </c>
      <c r="D34" s="89" t="s">
        <v>10</v>
      </c>
      <c r="E34" s="118" t="s">
        <v>35</v>
      </c>
      <c r="F34" s="90" t="s">
        <v>9</v>
      </c>
      <c r="G34" s="91" t="s">
        <v>10</v>
      </c>
      <c r="H34" s="119" t="s">
        <v>35</v>
      </c>
      <c r="I34" s="88" t="s">
        <v>9</v>
      </c>
      <c r="J34" s="89" t="s">
        <v>10</v>
      </c>
      <c r="K34" s="118" t="s">
        <v>35</v>
      </c>
      <c r="L34" s="90" t="s">
        <v>9</v>
      </c>
      <c r="M34" s="91" t="s">
        <v>10</v>
      </c>
      <c r="N34" s="119" t="s">
        <v>35</v>
      </c>
      <c r="O34" s="88" t="s">
        <v>9</v>
      </c>
      <c r="P34" s="89" t="s">
        <v>10</v>
      </c>
      <c r="Q34" s="118" t="s">
        <v>35</v>
      </c>
      <c r="R34" s="90" t="s">
        <v>9</v>
      </c>
      <c r="S34" s="91" t="s">
        <v>10</v>
      </c>
      <c r="T34" s="119" t="s">
        <v>35</v>
      </c>
      <c r="U34" s="33" t="s">
        <v>9</v>
      </c>
      <c r="V34" s="34" t="s">
        <v>10</v>
      </c>
      <c r="W34" s="44" t="s">
        <v>35</v>
      </c>
      <c r="X34" s="35" t="s">
        <v>36</v>
      </c>
    </row>
    <row r="35" spans="1:25" ht="18" customHeight="1" x14ac:dyDescent="0.25">
      <c r="B35" s="37" t="s">
        <v>3</v>
      </c>
      <c r="C35" s="26">
        <f>C3+C8+C10+C11+C12+C14+C15+C16+C17+C19+C20+C23</f>
        <v>44209075536</v>
      </c>
      <c r="D35" s="26">
        <f>D3+D8+D10+D11+D12+D14+D15+D16+D17+D19+D20+D23</f>
        <v>1107946926</v>
      </c>
      <c r="E35" s="121">
        <f t="shared" ref="E35:E42" si="9">D35/C35</f>
        <v>2.5061526679013794E-2</v>
      </c>
      <c r="F35" s="26">
        <f>F3+F8+F10+F11+F12+F14+F15+F16+F17+F19+F20+F23</f>
        <v>42944999769</v>
      </c>
      <c r="G35" s="26">
        <f>G3+G8+G10+G11+G12+G14+G15+G16+G17+G19+G20+G23</f>
        <v>2501920045</v>
      </c>
      <c r="H35" s="121">
        <f t="shared" ref="H35:H42" si="10">G35/F35</f>
        <v>5.825870435342323E-2</v>
      </c>
      <c r="I35" s="26">
        <f>I3+I8+I10+I11+I12+I14+I15+I16+I17+I19+I20+I23</f>
        <v>44302223116</v>
      </c>
      <c r="J35" s="26">
        <f>J3+J8+J10+J11+J12+J14+J15+J16+J17+J19+J20+J23</f>
        <v>3189635451</v>
      </c>
      <c r="K35" s="121">
        <f t="shared" ref="K35:K42" si="11">J35/I35</f>
        <v>7.1997187198672319E-2</v>
      </c>
      <c r="L35" s="26">
        <f>L3+L8+L10+L11+L12+L14+L15+L16+L17+L19+L20+L23</f>
        <v>51233392129</v>
      </c>
      <c r="M35" s="26">
        <f>M3+M8+M10+M11+M12+M14+M15+M16+M17+M19+M20+M23</f>
        <v>6919354512</v>
      </c>
      <c r="N35" s="121">
        <f t="shared" ref="N35:N42" si="12">M35/L35</f>
        <v>0.13505556092358345</v>
      </c>
      <c r="O35" s="26">
        <f>O3+O8+O10+O11+O12+O14+O15+O16+O17+O19+O20+O23</f>
        <v>0</v>
      </c>
      <c r="P35" s="26">
        <f>P3+P8+P10+P11+P12+P14+P15+P16+P17+P19+P20+P23</f>
        <v>0</v>
      </c>
      <c r="Q35" s="121" t="e">
        <f t="shared" ref="Q35:Q42" si="13">P35/O35</f>
        <v>#DIV/0!</v>
      </c>
      <c r="R35" s="26">
        <f>R3+R8+R10+R11+R12+R14+R15+R16+R17+R19+R20+R23</f>
        <v>0</v>
      </c>
      <c r="S35" s="26">
        <f>S3+S8+S10+S11+S12+S14+S15+S16+S17+S19+S20+S23</f>
        <v>0</v>
      </c>
      <c r="T35" s="121" t="e">
        <f t="shared" ref="T35:T42" si="14">S35/R35</f>
        <v>#DIV/0!</v>
      </c>
      <c r="U35" s="26">
        <f t="shared" ref="U35:V40" si="15">SUM(C35+F35+I35+L35+O35+R35)</f>
        <v>182689690550</v>
      </c>
      <c r="V35" s="16">
        <f t="shared" ref="V35:V40" si="16">SUM(D35+G35+J35+M35+P35+S35)</f>
        <v>13718856934</v>
      </c>
      <c r="W35" s="125">
        <f t="shared" ref="W35:W40" si="17">V35/U35</f>
        <v>7.5093766335135981E-2</v>
      </c>
      <c r="X35" s="130">
        <f t="shared" ref="X35:X42" si="18">U35/V35</f>
        <v>13.316684577213771</v>
      </c>
    </row>
    <row r="36" spans="1:25" ht="18" customHeight="1" x14ac:dyDescent="0.25">
      <c r="B36" s="6" t="s">
        <v>4</v>
      </c>
      <c r="C36" s="27">
        <f>C4+C24</f>
        <v>3938053357</v>
      </c>
      <c r="D36" s="27">
        <f>D4+D24</f>
        <v>3167634913</v>
      </c>
      <c r="E36" s="122">
        <f t="shared" si="9"/>
        <v>0.80436566644518426</v>
      </c>
      <c r="F36" s="27">
        <f>F4+F24</f>
        <v>4342952241</v>
      </c>
      <c r="G36" s="27">
        <f>G4+G24</f>
        <v>3150519846</v>
      </c>
      <c r="H36" s="122">
        <f t="shared" si="10"/>
        <v>0.72543276351447217</v>
      </c>
      <c r="I36" s="27">
        <f>I4+I24</f>
        <v>7338697326</v>
      </c>
      <c r="J36" s="27">
        <f>J4+J24</f>
        <v>6963232875</v>
      </c>
      <c r="K36" s="122">
        <f t="shared" si="11"/>
        <v>0.94883772496383234</v>
      </c>
      <c r="L36" s="27">
        <f>L4+L24</f>
        <v>27793261785</v>
      </c>
      <c r="M36" s="27">
        <f>M4+M24</f>
        <v>27480035711</v>
      </c>
      <c r="N36" s="122">
        <f t="shared" si="12"/>
        <v>0.98873014342746024</v>
      </c>
      <c r="O36" s="27">
        <f>O4+O24</f>
        <v>0</v>
      </c>
      <c r="P36" s="27">
        <f>P4+P24</f>
        <v>0</v>
      </c>
      <c r="Q36" s="122" t="e">
        <f t="shared" si="13"/>
        <v>#DIV/0!</v>
      </c>
      <c r="R36" s="27">
        <f>R4+R24</f>
        <v>0</v>
      </c>
      <c r="S36" s="27">
        <f>S4+S24</f>
        <v>0</v>
      </c>
      <c r="T36" s="122" t="e">
        <f t="shared" si="14"/>
        <v>#DIV/0!</v>
      </c>
      <c r="U36" s="27">
        <f t="shared" si="15"/>
        <v>43412964709</v>
      </c>
      <c r="V36" s="4">
        <f t="shared" si="16"/>
        <v>40761423345</v>
      </c>
      <c r="W36" s="126">
        <f t="shared" si="17"/>
        <v>0.93892282220821688</v>
      </c>
      <c r="X36" s="131">
        <f t="shared" si="18"/>
        <v>1.0650502643530786</v>
      </c>
    </row>
    <row r="37" spans="1:25" ht="18" customHeight="1" x14ac:dyDescent="0.25">
      <c r="B37" s="6" t="s">
        <v>5</v>
      </c>
      <c r="C37" s="27">
        <f>C5+C7+C13+C26+C27+C28</f>
        <v>73609214408</v>
      </c>
      <c r="D37" s="27">
        <f>D5+D7+D13+D26+D27+D28</f>
        <v>64350192384</v>
      </c>
      <c r="E37" s="122">
        <f t="shared" si="9"/>
        <v>0.8742138182228214</v>
      </c>
      <c r="F37" s="27">
        <f>F5+F7+F13+F26+F27+F28</f>
        <v>71074384208</v>
      </c>
      <c r="G37" s="27">
        <f>G5+G7+G13+G26+G27+G28</f>
        <v>62175489587</v>
      </c>
      <c r="H37" s="122">
        <f t="shared" si="10"/>
        <v>0.87479462931458851</v>
      </c>
      <c r="I37" s="27">
        <f>I5+I7+I13+I26+I27+I28</f>
        <v>79347604310</v>
      </c>
      <c r="J37" s="27">
        <f>J5+J7+J13+J26+J27+J28</f>
        <v>72942615211</v>
      </c>
      <c r="K37" s="122">
        <f t="shared" si="11"/>
        <v>0.91927936382330333</v>
      </c>
      <c r="L37" s="27">
        <f>L5+L7+L13+L26+L27+L28</f>
        <v>94062481323</v>
      </c>
      <c r="M37" s="27">
        <f>M5+M7+M13+M26+M27+M28</f>
        <v>72933940760</v>
      </c>
      <c r="N37" s="122">
        <f t="shared" si="12"/>
        <v>0.7753775972542446</v>
      </c>
      <c r="O37" s="27">
        <f>O5+O7+O13+O26+O27+O28</f>
        <v>0</v>
      </c>
      <c r="P37" s="27">
        <f>P5+P7+P13+P26+P27+P28</f>
        <v>0</v>
      </c>
      <c r="Q37" s="122" t="e">
        <f t="shared" si="13"/>
        <v>#DIV/0!</v>
      </c>
      <c r="R37" s="27">
        <f>R5+R7+R13+R26+R27+R28</f>
        <v>0</v>
      </c>
      <c r="S37" s="27">
        <f>S5+S7+S13+S26+S27+S28</f>
        <v>0</v>
      </c>
      <c r="T37" s="122" t="e">
        <f t="shared" si="14"/>
        <v>#DIV/0!</v>
      </c>
      <c r="U37" s="120">
        <f t="shared" si="15"/>
        <v>318093684249</v>
      </c>
      <c r="V37" s="4">
        <f t="shared" si="15"/>
        <v>272402237942</v>
      </c>
      <c r="W37" s="126">
        <f t="shared" si="17"/>
        <v>0.85635852401510348</v>
      </c>
      <c r="X37" s="131">
        <f t="shared" si="18"/>
        <v>1.1677352089769859</v>
      </c>
    </row>
    <row r="38" spans="1:25" ht="18" customHeight="1" x14ac:dyDescent="0.25">
      <c r="B38" s="6" t="s">
        <v>6</v>
      </c>
      <c r="C38" s="27">
        <f>C6+C9+C18+C29</f>
        <v>259606338</v>
      </c>
      <c r="D38" s="27">
        <f>D6+D9+D18+D29</f>
        <v>171506672</v>
      </c>
      <c r="E38" s="122">
        <f t="shared" si="9"/>
        <v>0.66064131300215023</v>
      </c>
      <c r="F38" s="27">
        <f>F6+F9+F18+F29</f>
        <v>251231940</v>
      </c>
      <c r="G38" s="27">
        <f>G6+G9+G18+G29</f>
        <v>133341571</v>
      </c>
      <c r="H38" s="122">
        <f t="shared" si="10"/>
        <v>0.53075087108748986</v>
      </c>
      <c r="I38" s="27">
        <f>I6+I9+I18+I29</f>
        <v>259606338</v>
      </c>
      <c r="J38" s="27">
        <f>J6+J9+J18+J29</f>
        <v>145921653</v>
      </c>
      <c r="K38" s="122">
        <f t="shared" si="11"/>
        <v>0.56208817598282212</v>
      </c>
      <c r="L38" s="27">
        <f>L6+L9+L18+L29</f>
        <v>252863342</v>
      </c>
      <c r="M38" s="27">
        <f>M6+M9+M18+M29</f>
        <v>154690569</v>
      </c>
      <c r="N38" s="122">
        <f t="shared" si="12"/>
        <v>0.61175561382875343</v>
      </c>
      <c r="O38" s="27">
        <f>O6+O9+O18+O29</f>
        <v>0</v>
      </c>
      <c r="P38" s="27">
        <f>P6+P9+P18+P29</f>
        <v>0</v>
      </c>
      <c r="Q38" s="122" t="e">
        <f t="shared" si="13"/>
        <v>#DIV/0!</v>
      </c>
      <c r="R38" s="27">
        <f>R6+R9+R18+R29</f>
        <v>0</v>
      </c>
      <c r="S38" s="27">
        <f>S6+S9+S18+S29</f>
        <v>0</v>
      </c>
      <c r="T38" s="122" t="e">
        <f t="shared" si="14"/>
        <v>#DIV/0!</v>
      </c>
      <c r="U38" s="27">
        <f t="shared" si="15"/>
        <v>1023307958</v>
      </c>
      <c r="V38" s="4">
        <f t="shared" si="16"/>
        <v>605460465</v>
      </c>
      <c r="W38" s="126">
        <f t="shared" si="17"/>
        <v>0.5916698490094221</v>
      </c>
      <c r="X38" s="131">
        <f t="shared" si="18"/>
        <v>1.6901317545151358</v>
      </c>
    </row>
    <row r="39" spans="1:25" ht="18" customHeight="1" x14ac:dyDescent="0.25">
      <c r="B39" s="116" t="s">
        <v>2</v>
      </c>
      <c r="C39" s="27">
        <f>C25</f>
        <v>15500000</v>
      </c>
      <c r="D39" s="27">
        <f>D25</f>
        <v>4174945</v>
      </c>
      <c r="E39" s="122">
        <f t="shared" si="9"/>
        <v>0.26935129032258065</v>
      </c>
      <c r="F39" s="27">
        <f>F25</f>
        <v>15000000</v>
      </c>
      <c r="G39" s="27">
        <f>G25</f>
        <v>4188007</v>
      </c>
      <c r="H39" s="122">
        <f t="shared" si="10"/>
        <v>0.27920046666666665</v>
      </c>
      <c r="I39" s="27">
        <f>I25</f>
        <v>0</v>
      </c>
      <c r="J39" s="27">
        <f>J25</f>
        <v>3077474</v>
      </c>
      <c r="K39" s="122" t="e">
        <f t="shared" si="11"/>
        <v>#DIV/0!</v>
      </c>
      <c r="L39" s="27">
        <f>L25</f>
        <v>15500000</v>
      </c>
      <c r="M39" s="27">
        <f>M25</f>
        <v>2974676</v>
      </c>
      <c r="N39" s="122">
        <f t="shared" si="12"/>
        <v>0.19191458064516129</v>
      </c>
      <c r="O39" s="27">
        <f>O25</f>
        <v>0</v>
      </c>
      <c r="P39" s="27">
        <f>P25</f>
        <v>0</v>
      </c>
      <c r="Q39" s="122" t="e">
        <f t="shared" si="13"/>
        <v>#DIV/0!</v>
      </c>
      <c r="R39" s="27">
        <f>R25</f>
        <v>0</v>
      </c>
      <c r="S39" s="27">
        <f>S25</f>
        <v>0</v>
      </c>
      <c r="T39" s="122" t="e">
        <f t="shared" si="14"/>
        <v>#DIV/0!</v>
      </c>
      <c r="U39" s="27">
        <f t="shared" si="15"/>
        <v>46000000</v>
      </c>
      <c r="V39" s="4">
        <f t="shared" si="16"/>
        <v>14415102</v>
      </c>
      <c r="W39" s="126">
        <f t="shared" si="17"/>
        <v>0.31337178260869564</v>
      </c>
      <c r="X39" s="131">
        <f t="shared" si="18"/>
        <v>3.1910977806469911</v>
      </c>
    </row>
    <row r="40" spans="1:25" ht="26.25" thickBot="1" x14ac:dyDescent="0.3">
      <c r="B40" s="117" t="s">
        <v>7</v>
      </c>
      <c r="C40" s="28">
        <f>C21+C22</f>
        <v>50043630000</v>
      </c>
      <c r="D40" s="28">
        <f>D21+D22</f>
        <v>8486483437</v>
      </c>
      <c r="E40" s="123">
        <f t="shared" si="9"/>
        <v>0.16958169175577392</v>
      </c>
      <c r="F40" s="28">
        <f>F21+F22</f>
        <v>49102934000</v>
      </c>
      <c r="G40" s="28">
        <f>G21+G22</f>
        <v>15310620505</v>
      </c>
      <c r="H40" s="123">
        <f t="shared" si="10"/>
        <v>0.31180663267494363</v>
      </c>
      <c r="I40" s="28">
        <f>I21+I22</f>
        <v>50143400000</v>
      </c>
      <c r="J40" s="28">
        <f>J21+J22</f>
        <v>19980222722</v>
      </c>
      <c r="K40" s="123">
        <f t="shared" si="11"/>
        <v>0.39846166638081981</v>
      </c>
      <c r="L40" s="28">
        <f>L21+L22</f>
        <v>50043300000</v>
      </c>
      <c r="M40" s="28">
        <f>M21+M22</f>
        <v>10704478592</v>
      </c>
      <c r="N40" s="123">
        <f t="shared" si="12"/>
        <v>0.21390433068962278</v>
      </c>
      <c r="O40" s="28">
        <f>O21+O22</f>
        <v>0</v>
      </c>
      <c r="P40" s="28">
        <f>P21+P22</f>
        <v>0</v>
      </c>
      <c r="Q40" s="123" t="e">
        <f t="shared" si="13"/>
        <v>#DIV/0!</v>
      </c>
      <c r="R40" s="28">
        <f>R21+R22</f>
        <v>0</v>
      </c>
      <c r="S40" s="28">
        <f>S21+S22</f>
        <v>0</v>
      </c>
      <c r="T40" s="123" t="e">
        <f t="shared" si="14"/>
        <v>#DIV/0!</v>
      </c>
      <c r="U40" s="28">
        <f t="shared" si="15"/>
        <v>199333264000</v>
      </c>
      <c r="V40" s="18">
        <f t="shared" si="16"/>
        <v>54481805256</v>
      </c>
      <c r="W40" s="127">
        <f t="shared" si="17"/>
        <v>0.27332018832541666</v>
      </c>
      <c r="X40" s="132">
        <f t="shared" si="18"/>
        <v>3.6587125383120034</v>
      </c>
    </row>
    <row r="41" spans="1:25" ht="18" customHeight="1" thickBot="1" x14ac:dyDescent="0.3">
      <c r="C41" s="29"/>
      <c r="D41" s="29"/>
      <c r="E41" s="29"/>
      <c r="F41" s="29"/>
      <c r="G41" s="29"/>
      <c r="H41" s="29"/>
      <c r="I41" s="29"/>
      <c r="J41" s="29"/>
      <c r="K41" s="29"/>
      <c r="L41" s="29"/>
      <c r="M41" s="29"/>
      <c r="N41" s="29"/>
      <c r="O41" s="29"/>
      <c r="P41" s="29"/>
      <c r="Q41" s="29"/>
      <c r="R41" s="29"/>
      <c r="S41" s="29"/>
      <c r="T41" s="29"/>
      <c r="U41" s="29"/>
      <c r="V41" s="29"/>
      <c r="W41" s="128"/>
      <c r="X41" s="133"/>
    </row>
    <row r="42" spans="1:25" ht="18" customHeight="1" thickBot="1" x14ac:dyDescent="0.3">
      <c r="B42" s="15" t="s">
        <v>11</v>
      </c>
      <c r="C42" s="30">
        <f t="shared" ref="C42" si="19">C35+C36+C37+C38+C40+C39</f>
        <v>172075079639</v>
      </c>
      <c r="D42" s="30">
        <f t="shared" ref="D42" si="20">D35+D36+D37+D38+D40+D39</f>
        <v>77287939277</v>
      </c>
      <c r="E42" s="124">
        <f t="shared" si="9"/>
        <v>0.44915242485515061</v>
      </c>
      <c r="F42" s="30">
        <f t="shared" ref="F42:G42" si="21">F35+F36+F37+F38+F40+F39</f>
        <v>167731502158</v>
      </c>
      <c r="G42" s="30">
        <f t="shared" si="21"/>
        <v>83276079561</v>
      </c>
      <c r="H42" s="124">
        <f t="shared" si="10"/>
        <v>0.49648443190209707</v>
      </c>
      <c r="I42" s="30">
        <f t="shared" ref="I42:J42" si="22">I35+I36+I37+I38+I40+I39</f>
        <v>181391531090</v>
      </c>
      <c r="J42" s="30">
        <f t="shared" si="22"/>
        <v>103224705386</v>
      </c>
      <c r="K42" s="124">
        <f t="shared" si="11"/>
        <v>0.56907125027123562</v>
      </c>
      <c r="L42" s="30">
        <f t="shared" ref="L42:M42" si="23">L35+L36+L37+L38+L40+L39</f>
        <v>223400798579</v>
      </c>
      <c r="M42" s="30">
        <f t="shared" si="23"/>
        <v>118195474820</v>
      </c>
      <c r="N42" s="124">
        <f t="shared" si="12"/>
        <v>0.52907364508906707</v>
      </c>
      <c r="O42" s="30">
        <f t="shared" ref="O42:P42" si="24">O35+O36+O37+O38+O40+O39</f>
        <v>0</v>
      </c>
      <c r="P42" s="30">
        <f t="shared" si="24"/>
        <v>0</v>
      </c>
      <c r="Q42" s="124" t="e">
        <f t="shared" si="13"/>
        <v>#DIV/0!</v>
      </c>
      <c r="R42" s="30">
        <f t="shared" ref="R42:S42" si="25">R35+R36+R37+R38+R40+R39</f>
        <v>0</v>
      </c>
      <c r="S42" s="30">
        <f t="shared" si="25"/>
        <v>0</v>
      </c>
      <c r="T42" s="124" t="e">
        <f t="shared" si="14"/>
        <v>#DIV/0!</v>
      </c>
      <c r="U42" s="30">
        <f>U35+U36+U37+U38+U40+U39</f>
        <v>744598911466</v>
      </c>
      <c r="V42" s="17">
        <f>V35+V36+V37+V38+V40+V39</f>
        <v>381984199044</v>
      </c>
      <c r="W42" s="129">
        <f>W35+W36+W37+W38+W40+W39</f>
        <v>3.0487369325019906</v>
      </c>
      <c r="X42" s="134">
        <f t="shared" si="18"/>
        <v>1.9492924401834515</v>
      </c>
    </row>
    <row r="43" spans="1:25" ht="18" customHeight="1" x14ac:dyDescent="0.25">
      <c r="X43" s="133"/>
    </row>
    <row r="44" spans="1:25" ht="18" customHeight="1" thickBot="1" x14ac:dyDescent="0.3"/>
    <row r="45" spans="1:25" ht="18" customHeight="1" x14ac:dyDescent="0.25">
      <c r="B45" s="346"/>
      <c r="C45" s="366"/>
      <c r="D45" s="366"/>
      <c r="E45" s="366"/>
      <c r="F45" s="366"/>
      <c r="G45" s="366"/>
      <c r="H45" s="366"/>
      <c r="I45" s="366"/>
      <c r="J45" s="366"/>
      <c r="K45" s="366"/>
      <c r="L45" s="366"/>
      <c r="M45" s="366"/>
      <c r="N45" s="366"/>
      <c r="O45" s="366"/>
      <c r="P45" s="366"/>
      <c r="Q45" s="366"/>
      <c r="R45" s="139"/>
      <c r="S45" s="139"/>
      <c r="T45" s="362" t="s">
        <v>1</v>
      </c>
      <c r="U45" s="359" t="s">
        <v>69</v>
      </c>
      <c r="V45" s="360"/>
      <c r="W45" s="360"/>
      <c r="X45" s="361"/>
    </row>
    <row r="46" spans="1:25" ht="18" customHeight="1" thickBot="1" x14ac:dyDescent="0.3">
      <c r="B46" s="346"/>
      <c r="C46" s="136"/>
      <c r="D46" s="136"/>
      <c r="E46" s="136"/>
      <c r="F46" s="136"/>
      <c r="G46" s="136"/>
      <c r="H46" s="136"/>
      <c r="I46" s="136"/>
      <c r="J46" s="136"/>
      <c r="K46" s="136"/>
      <c r="L46" s="136"/>
      <c r="M46" s="136"/>
      <c r="N46" s="136"/>
      <c r="O46" s="136"/>
      <c r="P46" s="136"/>
      <c r="Q46" s="136"/>
      <c r="R46" s="136"/>
      <c r="S46" s="136"/>
      <c r="T46" s="363"/>
      <c r="U46" s="33" t="s">
        <v>9</v>
      </c>
      <c r="V46" s="34" t="s">
        <v>10</v>
      </c>
      <c r="W46" s="44" t="s">
        <v>35</v>
      </c>
      <c r="X46" s="35" t="s">
        <v>36</v>
      </c>
    </row>
    <row r="47" spans="1:25" ht="15" x14ac:dyDescent="0.25">
      <c r="B47" s="263"/>
      <c r="C47" s="137"/>
      <c r="D47" s="137"/>
      <c r="E47" s="138"/>
      <c r="F47" s="137"/>
      <c r="G47" s="137"/>
      <c r="H47" s="138"/>
      <c r="I47" s="137"/>
      <c r="J47" s="137"/>
      <c r="K47" s="138"/>
      <c r="L47" s="137"/>
      <c r="M47" s="137"/>
      <c r="N47" s="138"/>
      <c r="O47" s="137"/>
      <c r="P47" s="137"/>
      <c r="Q47" s="138"/>
      <c r="R47" s="137"/>
      <c r="S47" s="137"/>
      <c r="T47" s="37" t="s">
        <v>3</v>
      </c>
      <c r="U47" s="26">
        <f>U35-U8-U10-U16-U17-U11-U12-U3-U14-U23-L19-L20</f>
        <v>356293659</v>
      </c>
      <c r="V47" s="16">
        <f>V35-V8-V10-V16-V17-V11-V12-V3-V14-V23-M19-M20</f>
        <v>335646535</v>
      </c>
      <c r="W47" s="125">
        <f t="shared" ref="W47:W52" si="26">V47/U47</f>
        <v>0.94205026253358048</v>
      </c>
      <c r="X47" s="130">
        <f t="shared" ref="X47:X52" si="27">U47/V47</f>
        <v>1.0615144857669989</v>
      </c>
      <c r="Y47" s="141"/>
    </row>
    <row r="48" spans="1:25" ht="18" customHeight="1" x14ac:dyDescent="0.25">
      <c r="B48" s="263"/>
      <c r="C48" s="137"/>
      <c r="D48" s="137"/>
      <c r="E48" s="138"/>
      <c r="F48" s="137"/>
      <c r="G48" s="137"/>
      <c r="H48" s="138"/>
      <c r="I48" s="137"/>
      <c r="J48" s="137"/>
      <c r="K48" s="138"/>
      <c r="L48" s="137"/>
      <c r="M48" s="137"/>
      <c r="N48" s="138"/>
      <c r="O48" s="137"/>
      <c r="P48" s="137"/>
      <c r="Q48" s="138"/>
      <c r="R48" s="137"/>
      <c r="S48" s="137"/>
      <c r="T48" s="6" t="s">
        <v>4</v>
      </c>
      <c r="U48" s="27">
        <f>U36-U24</f>
        <v>43212964709</v>
      </c>
      <c r="V48" s="4">
        <f>V36-V24</f>
        <v>40755825553</v>
      </c>
      <c r="W48" s="126">
        <f t="shared" si="26"/>
        <v>0.94313884334142317</v>
      </c>
      <c r="X48" s="131">
        <f t="shared" si="27"/>
        <v>1.0602892745432102</v>
      </c>
      <c r="Y48" s="141"/>
    </row>
    <row r="49" spans="2:25" ht="18" customHeight="1" x14ac:dyDescent="0.25">
      <c r="B49" s="263"/>
      <c r="C49" s="137"/>
      <c r="D49" s="137"/>
      <c r="E49" s="138"/>
      <c r="F49" s="137"/>
      <c r="G49" s="137"/>
      <c r="H49" s="138"/>
      <c r="I49" s="137"/>
      <c r="J49" s="137"/>
      <c r="K49" s="138"/>
      <c r="L49" s="137"/>
      <c r="M49" s="137"/>
      <c r="N49" s="138"/>
      <c r="O49" s="137"/>
      <c r="P49" s="137"/>
      <c r="Q49" s="138"/>
      <c r="R49" s="137"/>
      <c r="S49" s="137"/>
      <c r="T49" s="6" t="s">
        <v>5</v>
      </c>
      <c r="U49" s="120">
        <f>U37-U28-U13-U7-U5</f>
        <v>124218336500</v>
      </c>
      <c r="V49" s="4">
        <f>V37-V28-V13-V7-V5</f>
        <v>121703378178</v>
      </c>
      <c r="W49" s="126">
        <f t="shared" si="26"/>
        <v>0.97975372724460852</v>
      </c>
      <c r="X49" s="131">
        <f t="shared" si="27"/>
        <v>1.0206646549968539</v>
      </c>
      <c r="Y49" s="141"/>
    </row>
    <row r="50" spans="2:25" ht="18" customHeight="1" x14ac:dyDescent="0.25">
      <c r="B50" s="263"/>
      <c r="C50" s="137"/>
      <c r="D50" s="137"/>
      <c r="E50" s="138"/>
      <c r="F50" s="137"/>
      <c r="G50" s="137"/>
      <c r="H50" s="138"/>
      <c r="I50" s="137"/>
      <c r="J50" s="137"/>
      <c r="K50" s="138"/>
      <c r="L50" s="137"/>
      <c r="M50" s="137"/>
      <c r="N50" s="138"/>
      <c r="O50" s="137"/>
      <c r="P50" s="137"/>
      <c r="Q50" s="138"/>
      <c r="R50" s="137"/>
      <c r="S50" s="137"/>
      <c r="T50" s="6" t="s">
        <v>6</v>
      </c>
      <c r="U50" s="27">
        <f t="shared" ref="U50:V50" si="28">U38</f>
        <v>1023307958</v>
      </c>
      <c r="V50" s="4">
        <f t="shared" si="28"/>
        <v>605460465</v>
      </c>
      <c r="W50" s="126">
        <f t="shared" si="26"/>
        <v>0.5916698490094221</v>
      </c>
      <c r="X50" s="131">
        <f t="shared" si="27"/>
        <v>1.6901317545151358</v>
      </c>
      <c r="Y50" s="141"/>
    </row>
    <row r="51" spans="2:25" ht="18" customHeight="1" x14ac:dyDescent="0.25">
      <c r="B51" s="263"/>
      <c r="C51" s="137"/>
      <c r="D51" s="137"/>
      <c r="E51" s="138"/>
      <c r="F51" s="137"/>
      <c r="G51" s="137"/>
      <c r="H51" s="138"/>
      <c r="I51" s="137"/>
      <c r="J51" s="137"/>
      <c r="K51" s="138"/>
      <c r="L51" s="137"/>
      <c r="M51" s="137"/>
      <c r="N51" s="138"/>
      <c r="O51" s="137"/>
      <c r="P51" s="137"/>
      <c r="Q51" s="138"/>
      <c r="R51" s="137"/>
      <c r="S51" s="137"/>
      <c r="T51" s="116" t="s">
        <v>2</v>
      </c>
      <c r="U51" s="27">
        <f t="shared" ref="U51:V51" si="29">U39</f>
        <v>46000000</v>
      </c>
      <c r="V51" s="4">
        <f t="shared" si="29"/>
        <v>14415102</v>
      </c>
      <c r="W51" s="126">
        <f t="shared" si="26"/>
        <v>0.31337178260869564</v>
      </c>
      <c r="X51" s="131">
        <f t="shared" si="27"/>
        <v>3.1910977806469911</v>
      </c>
      <c r="Y51" s="141"/>
    </row>
    <row r="52" spans="2:25" ht="18" customHeight="1" thickBot="1" x14ac:dyDescent="0.3">
      <c r="B52" s="263"/>
      <c r="C52" s="137"/>
      <c r="D52" s="137"/>
      <c r="E52" s="138"/>
      <c r="F52" s="137"/>
      <c r="G52" s="137"/>
      <c r="H52" s="138"/>
      <c r="I52" s="137"/>
      <c r="J52" s="137"/>
      <c r="K52" s="138"/>
      <c r="L52" s="137"/>
      <c r="M52" s="137"/>
      <c r="N52" s="138"/>
      <c r="O52" s="137"/>
      <c r="P52" s="137"/>
      <c r="Q52" s="138"/>
      <c r="R52" s="137"/>
      <c r="S52" s="137"/>
      <c r="T52" s="117" t="s">
        <v>7</v>
      </c>
      <c r="U52" s="28">
        <f>U40-U21-U22</f>
        <v>0</v>
      </c>
      <c r="V52" s="18">
        <f>V40-V21-V22</f>
        <v>0</v>
      </c>
      <c r="W52" s="127" t="e">
        <f t="shared" si="26"/>
        <v>#DIV/0!</v>
      </c>
      <c r="X52" s="132" t="e">
        <f t="shared" si="27"/>
        <v>#DIV/0!</v>
      </c>
      <c r="Y52" s="141"/>
    </row>
    <row r="53" spans="2:25" ht="18" customHeight="1" thickBot="1" x14ac:dyDescent="0.3">
      <c r="B53" s="264"/>
      <c r="C53" s="137"/>
      <c r="D53" s="137"/>
      <c r="E53" s="137"/>
      <c r="F53" s="137"/>
      <c r="G53" s="137"/>
      <c r="H53" s="137"/>
      <c r="I53" s="137"/>
      <c r="J53" s="137"/>
      <c r="K53" s="137"/>
      <c r="L53" s="137"/>
      <c r="M53" s="137"/>
      <c r="N53" s="137"/>
      <c r="O53" s="137"/>
      <c r="P53" s="137"/>
      <c r="Q53" s="137"/>
      <c r="R53" s="137"/>
      <c r="S53" s="137"/>
      <c r="U53" s="135"/>
      <c r="V53" s="29"/>
      <c r="W53" s="128"/>
      <c r="X53" s="133"/>
    </row>
    <row r="54" spans="2:25" ht="18" customHeight="1" thickBot="1" x14ac:dyDescent="0.3">
      <c r="B54" s="264"/>
      <c r="C54" s="137"/>
      <c r="D54" s="137"/>
      <c r="E54" s="138"/>
      <c r="F54" s="137"/>
      <c r="G54" s="137"/>
      <c r="H54" s="138"/>
      <c r="I54" s="137"/>
      <c r="J54" s="137"/>
      <c r="K54" s="138"/>
      <c r="L54" s="137"/>
      <c r="M54" s="137"/>
      <c r="N54" s="138"/>
      <c r="O54" s="137"/>
      <c r="P54" s="137"/>
      <c r="Q54" s="138"/>
      <c r="R54" s="137"/>
      <c r="S54" s="137"/>
      <c r="T54" s="140" t="s">
        <v>11</v>
      </c>
      <c r="U54" s="100">
        <f>U47+U48+U49+U50+U52+U51</f>
        <v>168856902826</v>
      </c>
      <c r="V54" s="17">
        <f>V47+V48+V49+V50+V52+V51</f>
        <v>163414725833</v>
      </c>
      <c r="W54" s="129" t="e">
        <f>W47+W48+W49+W50+W52+W51</f>
        <v>#DIV/0!</v>
      </c>
      <c r="X54" s="134">
        <f t="shared" ref="X54" si="30">U54/V54</f>
        <v>1.033302855451115</v>
      </c>
    </row>
  </sheetData>
  <mergeCells count="26">
    <mergeCell ref="B45:B46"/>
    <mergeCell ref="C45:E45"/>
    <mergeCell ref="F45:H45"/>
    <mergeCell ref="I45:K45"/>
    <mergeCell ref="L45:N45"/>
    <mergeCell ref="R33:T33"/>
    <mergeCell ref="U33:X33"/>
    <mergeCell ref="O45:Q45"/>
    <mergeCell ref="U45:X45"/>
    <mergeCell ref="T45:T46"/>
    <mergeCell ref="O1:Q1"/>
    <mergeCell ref="R1:T1"/>
    <mergeCell ref="U1:X1"/>
    <mergeCell ref="A33:A34"/>
    <mergeCell ref="B33:B34"/>
    <mergeCell ref="A1:A2"/>
    <mergeCell ref="B1:B2"/>
    <mergeCell ref="C1:E1"/>
    <mergeCell ref="F1:H1"/>
    <mergeCell ref="I1:K1"/>
    <mergeCell ref="L1:N1"/>
    <mergeCell ref="C33:E33"/>
    <mergeCell ref="F33:H33"/>
    <mergeCell ref="I33:K33"/>
    <mergeCell ref="L33:N33"/>
    <mergeCell ref="O33:Q33"/>
  </mergeCells>
  <pageMargins left="0.7" right="0.7" top="0.75" bottom="0.75" header="0.3" footer="0.3"/>
  <pageSetup orientation="portrait" r:id="rId1"/>
  <ignoredErrors>
    <ignoredError sqref="W3:W29 T3:T29 Q3:Q29 N3:N29 K3:K29 H3:H29 E3:E29 T35:T41 W52:X52 W54" evalError="1"/>
    <ignoredError sqref="E35:E42 H35:H42 K35:K38 K40:K42 N35:N42 X13 X6:X9 X18" formula="1"/>
    <ignoredError sqref="K39 Q35:Q42 T42" evalError="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3DEA2-CDC5-4CA2-BB47-5B8E0B4822F4}">
  <dimension ref="A1:N46"/>
  <sheetViews>
    <sheetView zoomScale="75" zoomScaleNormal="75" workbookViewId="0">
      <pane xSplit="1" topLeftCell="B1" activePane="topRight" state="frozen"/>
      <selection activeCell="A36" sqref="A36"/>
      <selection pane="topRight" activeCell="A25" sqref="A25"/>
    </sheetView>
  </sheetViews>
  <sheetFormatPr defaultColWidth="8.7109375" defaultRowHeight="18" customHeight="1" x14ac:dyDescent="0.25"/>
  <cols>
    <col min="1" max="2" width="25.5703125" style="1" customWidth="1"/>
    <col min="3" max="14" width="15.5703125" style="1" customWidth="1"/>
    <col min="15" max="16384" width="8.7109375" style="1"/>
  </cols>
  <sheetData>
    <row r="1" spans="1:14" ht="15" x14ac:dyDescent="0.25">
      <c r="A1" s="347" t="s">
        <v>0</v>
      </c>
      <c r="B1" s="350" t="s">
        <v>1</v>
      </c>
      <c r="C1" s="342" t="s">
        <v>13</v>
      </c>
      <c r="D1" s="343"/>
      <c r="E1" s="367"/>
      <c r="F1" s="342" t="s">
        <v>14</v>
      </c>
      <c r="G1" s="343"/>
      <c r="H1" s="367"/>
      <c r="I1" s="342" t="s">
        <v>15</v>
      </c>
      <c r="J1" s="343"/>
      <c r="K1" s="367"/>
      <c r="L1" s="342" t="s">
        <v>16</v>
      </c>
      <c r="M1" s="343"/>
      <c r="N1" s="367"/>
    </row>
    <row r="2" spans="1:14" ht="15.75" thickBot="1" x14ac:dyDescent="0.3">
      <c r="A2" s="349"/>
      <c r="B2" s="351"/>
      <c r="C2" s="23" t="s">
        <v>37</v>
      </c>
      <c r="D2" s="24" t="s">
        <v>70</v>
      </c>
      <c r="E2" s="25" t="s">
        <v>42</v>
      </c>
      <c r="F2" s="23" t="s">
        <v>37</v>
      </c>
      <c r="G2" s="24" t="s">
        <v>70</v>
      </c>
      <c r="H2" s="25" t="s">
        <v>42</v>
      </c>
      <c r="I2" s="23" t="s">
        <v>37</v>
      </c>
      <c r="J2" s="24" t="s">
        <v>70</v>
      </c>
      <c r="K2" s="25" t="s">
        <v>42</v>
      </c>
      <c r="L2" s="23" t="s">
        <v>37</v>
      </c>
      <c r="M2" s="24" t="s">
        <v>70</v>
      </c>
      <c r="N2" s="25" t="s">
        <v>43</v>
      </c>
    </row>
    <row r="3" spans="1:14" ht="18" customHeight="1" x14ac:dyDescent="0.25">
      <c r="A3" s="47">
        <v>1</v>
      </c>
      <c r="B3" s="38" t="s">
        <v>3</v>
      </c>
      <c r="C3" s="94"/>
      <c r="D3" s="95"/>
      <c r="E3" s="92">
        <f>C3+D3</f>
        <v>0</v>
      </c>
      <c r="F3" s="94"/>
      <c r="G3" s="95"/>
      <c r="H3" s="92">
        <f>F3+G3</f>
        <v>0</v>
      </c>
      <c r="I3" s="94"/>
      <c r="J3" s="95"/>
      <c r="K3" s="92">
        <f>I3+J3</f>
        <v>0</v>
      </c>
      <c r="L3" s="94"/>
      <c r="M3" s="95"/>
      <c r="N3" s="92">
        <f>L3+M3</f>
        <v>0</v>
      </c>
    </row>
    <row r="4" spans="1:14" ht="18" customHeight="1" x14ac:dyDescent="0.25">
      <c r="A4" s="5">
        <v>2</v>
      </c>
      <c r="B4" s="2" t="s">
        <v>4</v>
      </c>
      <c r="C4" s="96">
        <v>27150000</v>
      </c>
      <c r="D4" s="97"/>
      <c r="E4" s="53">
        <f t="shared" ref="E4:E29" si="0">C4+D4</f>
        <v>27150000</v>
      </c>
      <c r="F4" s="96">
        <v>151502392</v>
      </c>
      <c r="G4" s="97"/>
      <c r="H4" s="53">
        <f t="shared" ref="H4:H29" si="1">F4+G4</f>
        <v>151502392</v>
      </c>
      <c r="I4" s="96"/>
      <c r="J4" s="97"/>
      <c r="K4" s="53">
        <f t="shared" ref="K4:K29" si="2">I4+J4</f>
        <v>0</v>
      </c>
      <c r="L4" s="96"/>
      <c r="M4" s="97"/>
      <c r="N4" s="53">
        <f t="shared" ref="N4:N29" si="3">L4+M4</f>
        <v>0</v>
      </c>
    </row>
    <row r="5" spans="1:14" ht="18" customHeight="1" x14ac:dyDescent="0.25">
      <c r="A5" s="6">
        <v>3</v>
      </c>
      <c r="B5" s="2" t="s">
        <v>5</v>
      </c>
      <c r="C5" s="96">
        <v>314506833</v>
      </c>
      <c r="D5" s="97">
        <v>18211622</v>
      </c>
      <c r="E5" s="53">
        <f t="shared" si="0"/>
        <v>332718455</v>
      </c>
      <c r="F5" s="96">
        <v>485600000</v>
      </c>
      <c r="G5" s="97"/>
      <c r="H5" s="53">
        <f t="shared" si="1"/>
        <v>485600000</v>
      </c>
      <c r="I5" s="96">
        <v>7869059</v>
      </c>
      <c r="J5" s="97">
        <v>16024062</v>
      </c>
      <c r="K5" s="53">
        <f t="shared" si="2"/>
        <v>23893121</v>
      </c>
      <c r="L5" s="96">
        <v>7869059</v>
      </c>
      <c r="M5" s="97">
        <v>31124062</v>
      </c>
      <c r="N5" s="53">
        <f t="shared" si="3"/>
        <v>38993121</v>
      </c>
    </row>
    <row r="6" spans="1:14" ht="18" customHeight="1" x14ac:dyDescent="0.25">
      <c r="A6" s="5">
        <v>4</v>
      </c>
      <c r="B6" s="2" t="s">
        <v>6</v>
      </c>
      <c r="C6" s="96"/>
      <c r="D6" s="97"/>
      <c r="E6" s="53">
        <f t="shared" si="0"/>
        <v>0</v>
      </c>
      <c r="F6" s="96"/>
      <c r="G6" s="97"/>
      <c r="H6" s="53">
        <f t="shared" si="1"/>
        <v>0</v>
      </c>
      <c r="I6" s="96"/>
      <c r="J6" s="97"/>
      <c r="K6" s="53">
        <f t="shared" si="2"/>
        <v>0</v>
      </c>
      <c r="L6" s="96"/>
      <c r="M6" s="97"/>
      <c r="N6" s="53">
        <f t="shared" si="3"/>
        <v>0</v>
      </c>
    </row>
    <row r="7" spans="1:14" ht="18" customHeight="1" x14ac:dyDescent="0.25">
      <c r="A7" s="5">
        <v>5</v>
      </c>
      <c r="B7" s="2" t="s">
        <v>5</v>
      </c>
      <c r="C7" s="96">
        <v>12844254</v>
      </c>
      <c r="D7" s="97"/>
      <c r="E7" s="53">
        <f t="shared" si="0"/>
        <v>12844254</v>
      </c>
      <c r="F7" s="96">
        <v>70068930</v>
      </c>
      <c r="G7" s="97"/>
      <c r="H7" s="53">
        <f t="shared" si="1"/>
        <v>70068930</v>
      </c>
      <c r="I7" s="96">
        <v>7442443</v>
      </c>
      <c r="J7" s="97"/>
      <c r="K7" s="53">
        <f t="shared" si="2"/>
        <v>7442443</v>
      </c>
      <c r="L7" s="96">
        <v>10992320</v>
      </c>
      <c r="M7" s="97"/>
      <c r="N7" s="53">
        <f t="shared" si="3"/>
        <v>10992320</v>
      </c>
    </row>
    <row r="8" spans="1:14" ht="18" customHeight="1" x14ac:dyDescent="0.25">
      <c r="A8" s="5">
        <v>6</v>
      </c>
      <c r="B8" s="2" t="s">
        <v>3</v>
      </c>
      <c r="C8" s="96">
        <v>72000000</v>
      </c>
      <c r="D8" s="97"/>
      <c r="E8" s="53">
        <f t="shared" si="0"/>
        <v>72000000</v>
      </c>
      <c r="F8" s="96">
        <v>72000000</v>
      </c>
      <c r="G8" s="97"/>
      <c r="H8" s="53">
        <f t="shared" si="1"/>
        <v>72000000</v>
      </c>
      <c r="I8" s="96"/>
      <c r="J8" s="97"/>
      <c r="K8" s="53">
        <f t="shared" si="2"/>
        <v>0</v>
      </c>
      <c r="L8" s="96"/>
      <c r="M8" s="97"/>
      <c r="N8" s="53">
        <f t="shared" si="3"/>
        <v>0</v>
      </c>
    </row>
    <row r="9" spans="1:14" ht="18" customHeight="1" x14ac:dyDescent="0.25">
      <c r="A9" s="6">
        <v>7</v>
      </c>
      <c r="B9" s="2" t="s">
        <v>6</v>
      </c>
      <c r="C9" s="96"/>
      <c r="D9" s="97"/>
      <c r="E9" s="53">
        <f t="shared" si="0"/>
        <v>0</v>
      </c>
      <c r="F9" s="96"/>
      <c r="G9" s="97"/>
      <c r="H9" s="53">
        <f t="shared" si="1"/>
        <v>0</v>
      </c>
      <c r="I9" s="96"/>
      <c r="J9" s="97"/>
      <c r="K9" s="53">
        <f t="shared" si="2"/>
        <v>0</v>
      </c>
      <c r="L9" s="96"/>
      <c r="M9" s="97"/>
      <c r="N9" s="53">
        <f t="shared" si="3"/>
        <v>0</v>
      </c>
    </row>
    <row r="10" spans="1:14" ht="18" customHeight="1" x14ac:dyDescent="0.25">
      <c r="A10" s="5">
        <v>8</v>
      </c>
      <c r="B10" s="2" t="s">
        <v>3</v>
      </c>
      <c r="C10" s="96">
        <v>514110000</v>
      </c>
      <c r="D10" s="97">
        <v>27135000</v>
      </c>
      <c r="E10" s="53">
        <f t="shared" si="0"/>
        <v>541245000</v>
      </c>
      <c r="F10" s="96">
        <v>514110000</v>
      </c>
      <c r="G10" s="97">
        <v>27135000</v>
      </c>
      <c r="H10" s="53">
        <f t="shared" si="1"/>
        <v>541245000</v>
      </c>
      <c r="I10" s="96">
        <v>514110000</v>
      </c>
      <c r="J10" s="97">
        <v>27135000</v>
      </c>
      <c r="K10" s="53">
        <f t="shared" si="2"/>
        <v>541245000</v>
      </c>
      <c r="L10" s="96">
        <v>514110000</v>
      </c>
      <c r="M10" s="97">
        <v>27135000</v>
      </c>
      <c r="N10" s="53">
        <f t="shared" si="3"/>
        <v>541245000</v>
      </c>
    </row>
    <row r="11" spans="1:14" ht="18" customHeight="1" x14ac:dyDescent="0.25">
      <c r="A11" s="5">
        <v>9</v>
      </c>
      <c r="B11" s="2" t="s">
        <v>3</v>
      </c>
      <c r="C11" s="96">
        <v>90000000</v>
      </c>
      <c r="D11" s="97"/>
      <c r="E11" s="53">
        <f t="shared" si="0"/>
        <v>90000000</v>
      </c>
      <c r="F11" s="96">
        <v>90000000</v>
      </c>
      <c r="G11" s="97"/>
      <c r="H11" s="53">
        <f t="shared" si="1"/>
        <v>90000000</v>
      </c>
      <c r="I11" s="96">
        <v>90000000</v>
      </c>
      <c r="J11" s="97"/>
      <c r="K11" s="53">
        <f t="shared" si="2"/>
        <v>90000000</v>
      </c>
      <c r="L11" s="96">
        <v>90000000</v>
      </c>
      <c r="M11" s="97"/>
      <c r="N11" s="53">
        <f t="shared" si="3"/>
        <v>90000000</v>
      </c>
    </row>
    <row r="12" spans="1:14" ht="18" customHeight="1" x14ac:dyDescent="0.25">
      <c r="A12" s="5">
        <v>10</v>
      </c>
      <c r="B12" s="2" t="s">
        <v>3</v>
      </c>
      <c r="C12" s="96"/>
      <c r="D12" s="97"/>
      <c r="E12" s="53">
        <f t="shared" si="0"/>
        <v>0</v>
      </c>
      <c r="F12" s="96"/>
      <c r="G12" s="97"/>
      <c r="H12" s="53">
        <f t="shared" si="1"/>
        <v>0</v>
      </c>
      <c r="I12" s="96"/>
      <c r="J12" s="97"/>
      <c r="K12" s="53">
        <f t="shared" si="2"/>
        <v>0</v>
      </c>
      <c r="L12" s="96"/>
      <c r="M12" s="97"/>
      <c r="N12" s="53">
        <f t="shared" si="3"/>
        <v>0</v>
      </c>
    </row>
    <row r="13" spans="1:14" ht="18" customHeight="1" x14ac:dyDescent="0.25">
      <c r="A13" s="6">
        <v>11</v>
      </c>
      <c r="B13" s="2" t="s">
        <v>5</v>
      </c>
      <c r="C13" s="96">
        <v>994186101</v>
      </c>
      <c r="D13" s="97">
        <v>23569190</v>
      </c>
      <c r="E13" s="53">
        <f t="shared" si="0"/>
        <v>1017755291</v>
      </c>
      <c r="F13" s="96">
        <v>1263722676</v>
      </c>
      <c r="G13" s="97">
        <v>2712324</v>
      </c>
      <c r="H13" s="53">
        <f t="shared" si="1"/>
        <v>1266435000</v>
      </c>
      <c r="I13" s="96">
        <v>42473436</v>
      </c>
      <c r="J13" s="97"/>
      <c r="K13" s="53">
        <f t="shared" si="2"/>
        <v>42473436</v>
      </c>
      <c r="L13" s="96">
        <v>41973436</v>
      </c>
      <c r="M13" s="97"/>
      <c r="N13" s="53">
        <f t="shared" si="3"/>
        <v>41973436</v>
      </c>
    </row>
    <row r="14" spans="1:14" ht="18" customHeight="1" x14ac:dyDescent="0.25">
      <c r="A14" s="5">
        <v>12</v>
      </c>
      <c r="B14" s="2" t="s">
        <v>3</v>
      </c>
      <c r="C14" s="96"/>
      <c r="D14" s="97">
        <v>20350000</v>
      </c>
      <c r="E14" s="53">
        <f t="shared" si="0"/>
        <v>20350000</v>
      </c>
      <c r="F14" s="96"/>
      <c r="G14" s="97">
        <v>20450000</v>
      </c>
      <c r="H14" s="53">
        <f t="shared" si="1"/>
        <v>20450000</v>
      </c>
      <c r="I14" s="96"/>
      <c r="J14" s="97">
        <v>20350000</v>
      </c>
      <c r="K14" s="53">
        <f t="shared" si="2"/>
        <v>20350000</v>
      </c>
      <c r="L14" s="96"/>
      <c r="M14" s="97">
        <v>20350000</v>
      </c>
      <c r="N14" s="53">
        <f t="shared" si="3"/>
        <v>20350000</v>
      </c>
    </row>
    <row r="15" spans="1:14" ht="18" customHeight="1" x14ac:dyDescent="0.25">
      <c r="A15" s="5">
        <v>13</v>
      </c>
      <c r="B15" s="2" t="s">
        <v>3</v>
      </c>
      <c r="C15" s="96"/>
      <c r="D15" s="97"/>
      <c r="E15" s="53">
        <f t="shared" si="0"/>
        <v>0</v>
      </c>
      <c r="F15" s="96"/>
      <c r="G15" s="97"/>
      <c r="H15" s="53">
        <f t="shared" si="1"/>
        <v>0</v>
      </c>
      <c r="I15" s="96"/>
      <c r="J15" s="97"/>
      <c r="K15" s="53">
        <f t="shared" si="2"/>
        <v>0</v>
      </c>
      <c r="L15" s="96"/>
      <c r="M15" s="97"/>
      <c r="N15" s="53">
        <f t="shared" si="3"/>
        <v>0</v>
      </c>
    </row>
    <row r="16" spans="1:14" ht="18" customHeight="1" x14ac:dyDescent="0.25">
      <c r="A16" s="5">
        <v>14</v>
      </c>
      <c r="B16" s="2" t="s">
        <v>3</v>
      </c>
      <c r="C16" s="96">
        <v>420000000</v>
      </c>
      <c r="D16" s="97"/>
      <c r="E16" s="53">
        <f t="shared" si="0"/>
        <v>420000000</v>
      </c>
      <c r="F16" s="96">
        <v>420000000</v>
      </c>
      <c r="G16" s="97"/>
      <c r="H16" s="53">
        <f t="shared" si="1"/>
        <v>420000000</v>
      </c>
      <c r="I16" s="96">
        <v>420000000</v>
      </c>
      <c r="J16" s="97"/>
      <c r="K16" s="53">
        <f t="shared" si="2"/>
        <v>420000000</v>
      </c>
      <c r="L16" s="96">
        <v>420000000</v>
      </c>
      <c r="M16" s="97"/>
      <c r="N16" s="53">
        <f t="shared" si="3"/>
        <v>420000000</v>
      </c>
    </row>
    <row r="17" spans="1:14" ht="18" customHeight="1" x14ac:dyDescent="0.25">
      <c r="A17" s="6">
        <v>15</v>
      </c>
      <c r="B17" s="2" t="s">
        <v>3</v>
      </c>
      <c r="C17" s="96">
        <v>283440000</v>
      </c>
      <c r="D17" s="97"/>
      <c r="E17" s="53">
        <f t="shared" si="0"/>
        <v>283440000</v>
      </c>
      <c r="F17" s="96">
        <v>283440000</v>
      </c>
      <c r="G17" s="97"/>
      <c r="H17" s="53">
        <f t="shared" si="1"/>
        <v>283440000</v>
      </c>
      <c r="I17" s="96">
        <v>283440000</v>
      </c>
      <c r="J17" s="97"/>
      <c r="K17" s="53">
        <f t="shared" si="2"/>
        <v>283440000</v>
      </c>
      <c r="L17" s="96">
        <v>283440000</v>
      </c>
      <c r="M17" s="97"/>
      <c r="N17" s="53">
        <f t="shared" si="3"/>
        <v>283440000</v>
      </c>
    </row>
    <row r="18" spans="1:14" ht="18" customHeight="1" x14ac:dyDescent="0.25">
      <c r="A18" s="5">
        <v>16</v>
      </c>
      <c r="B18" s="2" t="s">
        <v>6</v>
      </c>
      <c r="C18" s="96"/>
      <c r="D18" s="97"/>
      <c r="E18" s="53">
        <f t="shared" si="0"/>
        <v>0</v>
      </c>
      <c r="F18" s="96"/>
      <c r="G18" s="97"/>
      <c r="H18" s="53">
        <f t="shared" si="1"/>
        <v>0</v>
      </c>
      <c r="I18" s="96"/>
      <c r="J18" s="97"/>
      <c r="K18" s="53">
        <f t="shared" si="2"/>
        <v>0</v>
      </c>
      <c r="L18" s="96"/>
      <c r="M18" s="97"/>
      <c r="N18" s="53">
        <f t="shared" si="3"/>
        <v>0</v>
      </c>
    </row>
    <row r="19" spans="1:14" ht="18" customHeight="1" x14ac:dyDescent="0.25">
      <c r="A19" s="5">
        <v>17</v>
      </c>
      <c r="B19" s="2" t="s">
        <v>3</v>
      </c>
      <c r="C19" s="96"/>
      <c r="D19" s="97"/>
      <c r="E19" s="53">
        <f t="shared" si="0"/>
        <v>0</v>
      </c>
      <c r="F19" s="96">
        <v>205790000</v>
      </c>
      <c r="G19" s="97"/>
      <c r="H19" s="53">
        <f t="shared" si="1"/>
        <v>205790000</v>
      </c>
      <c r="I19" s="96"/>
      <c r="J19" s="97"/>
      <c r="K19" s="53">
        <f t="shared" si="2"/>
        <v>0</v>
      </c>
      <c r="L19" s="96"/>
      <c r="M19" s="97"/>
      <c r="N19" s="53">
        <f t="shared" si="3"/>
        <v>0</v>
      </c>
    </row>
    <row r="20" spans="1:14" ht="18" customHeight="1" x14ac:dyDescent="0.25">
      <c r="A20" s="5">
        <v>18</v>
      </c>
      <c r="B20" s="2" t="s">
        <v>3</v>
      </c>
      <c r="C20" s="96"/>
      <c r="D20" s="97"/>
      <c r="E20" s="53">
        <f t="shared" si="0"/>
        <v>0</v>
      </c>
      <c r="F20" s="96">
        <v>22000000</v>
      </c>
      <c r="G20" s="97"/>
      <c r="H20" s="53">
        <f t="shared" si="1"/>
        <v>22000000</v>
      </c>
      <c r="I20" s="96"/>
      <c r="J20" s="97"/>
      <c r="K20" s="53">
        <f t="shared" si="2"/>
        <v>0</v>
      </c>
      <c r="L20" s="96"/>
      <c r="M20" s="97"/>
      <c r="N20" s="53">
        <f t="shared" si="3"/>
        <v>0</v>
      </c>
    </row>
    <row r="21" spans="1:14" ht="25.5" x14ac:dyDescent="0.25">
      <c r="A21" s="6">
        <v>19</v>
      </c>
      <c r="B21" s="2" t="s">
        <v>7</v>
      </c>
      <c r="C21" s="96">
        <v>664300000</v>
      </c>
      <c r="D21" s="97"/>
      <c r="E21" s="53">
        <f t="shared" si="0"/>
        <v>664300000</v>
      </c>
      <c r="F21" s="96">
        <v>664300000</v>
      </c>
      <c r="G21" s="97"/>
      <c r="H21" s="53">
        <f t="shared" si="1"/>
        <v>664300000</v>
      </c>
      <c r="I21" s="96">
        <v>582600000</v>
      </c>
      <c r="J21" s="97"/>
      <c r="K21" s="53">
        <f t="shared" si="2"/>
        <v>582600000</v>
      </c>
      <c r="L21" s="96">
        <v>582600000</v>
      </c>
      <c r="M21" s="97"/>
      <c r="N21" s="53">
        <f t="shared" si="3"/>
        <v>582600000</v>
      </c>
    </row>
    <row r="22" spans="1:14" ht="25.5" x14ac:dyDescent="0.25">
      <c r="A22" s="5">
        <v>20</v>
      </c>
      <c r="B22" s="2" t="s">
        <v>7</v>
      </c>
      <c r="C22" s="96">
        <v>800000000</v>
      </c>
      <c r="D22" s="97">
        <v>55000000</v>
      </c>
      <c r="E22" s="53">
        <f t="shared" si="0"/>
        <v>855000000</v>
      </c>
      <c r="F22" s="96">
        <v>800000000</v>
      </c>
      <c r="G22" s="97">
        <v>55000000</v>
      </c>
      <c r="H22" s="53">
        <f t="shared" si="1"/>
        <v>855000000</v>
      </c>
      <c r="I22" s="96">
        <v>350000000</v>
      </c>
      <c r="J22" s="97"/>
      <c r="K22" s="53">
        <f t="shared" si="2"/>
        <v>350000000</v>
      </c>
      <c r="L22" s="96">
        <v>350000000</v>
      </c>
      <c r="M22" s="97"/>
      <c r="N22" s="53">
        <f t="shared" si="3"/>
        <v>350000000</v>
      </c>
    </row>
    <row r="23" spans="1:14" ht="18" customHeight="1" x14ac:dyDescent="0.25">
      <c r="A23" s="5">
        <v>21</v>
      </c>
      <c r="B23" s="2" t="s">
        <v>3</v>
      </c>
      <c r="C23" s="96"/>
      <c r="D23" s="97"/>
      <c r="E23" s="53">
        <f t="shared" si="0"/>
        <v>0</v>
      </c>
      <c r="F23" s="96"/>
      <c r="G23" s="97"/>
      <c r="H23" s="53">
        <f t="shared" si="1"/>
        <v>0</v>
      </c>
      <c r="I23" s="96"/>
      <c r="J23" s="97"/>
      <c r="K23" s="53">
        <f t="shared" si="2"/>
        <v>0</v>
      </c>
      <c r="L23" s="96"/>
      <c r="M23" s="97"/>
      <c r="N23" s="53">
        <f t="shared" si="3"/>
        <v>0</v>
      </c>
    </row>
    <row r="24" spans="1:14" ht="18" customHeight="1" x14ac:dyDescent="0.25">
      <c r="A24" s="5">
        <v>22</v>
      </c>
      <c r="B24" s="2" t="s">
        <v>4</v>
      </c>
      <c r="C24" s="96"/>
      <c r="D24" s="97"/>
      <c r="E24" s="53">
        <f t="shared" si="0"/>
        <v>0</v>
      </c>
      <c r="F24" s="96"/>
      <c r="G24" s="97"/>
      <c r="H24" s="53">
        <f t="shared" si="1"/>
        <v>0</v>
      </c>
      <c r="I24" s="96"/>
      <c r="J24" s="97"/>
      <c r="K24" s="53">
        <f t="shared" si="2"/>
        <v>0</v>
      </c>
      <c r="L24" s="96"/>
      <c r="M24" s="97"/>
      <c r="N24" s="53">
        <f t="shared" si="3"/>
        <v>0</v>
      </c>
    </row>
    <row r="25" spans="1:14" ht="18" customHeight="1" x14ac:dyDescent="0.25">
      <c r="A25" s="6">
        <v>23</v>
      </c>
      <c r="B25" s="2" t="s">
        <v>2</v>
      </c>
      <c r="C25" s="96"/>
      <c r="D25" s="97">
        <v>500000</v>
      </c>
      <c r="E25" s="53">
        <f t="shared" si="0"/>
        <v>500000</v>
      </c>
      <c r="F25" s="96"/>
      <c r="G25" s="97">
        <v>500000</v>
      </c>
      <c r="H25" s="53">
        <f t="shared" si="1"/>
        <v>500000</v>
      </c>
      <c r="I25" s="96"/>
      <c r="J25" s="97">
        <v>500000</v>
      </c>
      <c r="K25" s="53">
        <f t="shared" si="2"/>
        <v>500000</v>
      </c>
      <c r="L25" s="96"/>
      <c r="M25" s="97">
        <v>500000</v>
      </c>
      <c r="N25" s="53">
        <f t="shared" si="3"/>
        <v>500000</v>
      </c>
    </row>
    <row r="26" spans="1:14" ht="18" customHeight="1" x14ac:dyDescent="0.25">
      <c r="A26" s="5">
        <v>24</v>
      </c>
      <c r="B26" s="2" t="s">
        <v>5</v>
      </c>
      <c r="C26" s="96">
        <v>44736668</v>
      </c>
      <c r="D26" s="97">
        <v>1100000</v>
      </c>
      <c r="E26" s="53">
        <f t="shared" si="0"/>
        <v>45836668</v>
      </c>
      <c r="F26" s="96">
        <v>42936668</v>
      </c>
      <c r="G26" s="97"/>
      <c r="H26" s="53">
        <f t="shared" si="1"/>
        <v>42936668</v>
      </c>
      <c r="I26" s="96">
        <v>9600000</v>
      </c>
      <c r="J26" s="97"/>
      <c r="K26" s="53">
        <f t="shared" si="2"/>
        <v>9600000</v>
      </c>
      <c r="L26" s="96">
        <v>9600000</v>
      </c>
      <c r="M26" s="97"/>
      <c r="N26" s="53">
        <f t="shared" si="3"/>
        <v>9600000</v>
      </c>
    </row>
    <row r="27" spans="1:14" ht="18" customHeight="1" x14ac:dyDescent="0.25">
      <c r="A27" s="5">
        <v>25</v>
      </c>
      <c r="B27" s="2" t="s">
        <v>5</v>
      </c>
      <c r="C27" s="96">
        <v>42140885</v>
      </c>
      <c r="D27" s="97">
        <v>80823094</v>
      </c>
      <c r="E27" s="53">
        <f t="shared" si="0"/>
        <v>122963979</v>
      </c>
      <c r="F27" s="96">
        <v>31997084</v>
      </c>
      <c r="G27" s="97">
        <v>78472376</v>
      </c>
      <c r="H27" s="53">
        <f t="shared" si="1"/>
        <v>110469460</v>
      </c>
      <c r="I27" s="96">
        <v>31543615</v>
      </c>
      <c r="J27" s="97">
        <v>77996564</v>
      </c>
      <c r="K27" s="53">
        <f t="shared" si="2"/>
        <v>109540179</v>
      </c>
      <c r="L27" s="96">
        <v>30399384</v>
      </c>
      <c r="M27" s="97">
        <v>78355975</v>
      </c>
      <c r="N27" s="53">
        <f t="shared" si="3"/>
        <v>108755359</v>
      </c>
    </row>
    <row r="28" spans="1:14" ht="18" customHeight="1" x14ac:dyDescent="0.25">
      <c r="A28" s="5">
        <v>26</v>
      </c>
      <c r="B28" s="2" t="s">
        <v>5</v>
      </c>
      <c r="C28" s="96"/>
      <c r="D28" s="97"/>
      <c r="E28" s="53">
        <f t="shared" si="0"/>
        <v>0</v>
      </c>
      <c r="F28" s="96"/>
      <c r="G28" s="97"/>
      <c r="H28" s="53">
        <f t="shared" si="1"/>
        <v>0</v>
      </c>
      <c r="I28" s="96"/>
      <c r="J28" s="97"/>
      <c r="K28" s="53">
        <f t="shared" si="2"/>
        <v>0</v>
      </c>
      <c r="L28" s="96"/>
      <c r="M28" s="97"/>
      <c r="N28" s="53">
        <f t="shared" si="3"/>
        <v>0</v>
      </c>
    </row>
    <row r="29" spans="1:14" ht="18" customHeight="1" thickBot="1" x14ac:dyDescent="0.3">
      <c r="A29" s="7">
        <v>27</v>
      </c>
      <c r="B29" s="8" t="s">
        <v>6</v>
      </c>
      <c r="C29" s="98"/>
      <c r="D29" s="99"/>
      <c r="E29" s="93">
        <f t="shared" si="0"/>
        <v>0</v>
      </c>
      <c r="F29" s="98"/>
      <c r="G29" s="99"/>
      <c r="H29" s="93">
        <f t="shared" si="1"/>
        <v>0</v>
      </c>
      <c r="I29" s="98"/>
      <c r="J29" s="99"/>
      <c r="K29" s="93">
        <f t="shared" si="2"/>
        <v>0</v>
      </c>
      <c r="L29" s="98"/>
      <c r="M29" s="99"/>
      <c r="N29" s="93">
        <f t="shared" si="3"/>
        <v>0</v>
      </c>
    </row>
    <row r="31" spans="1:14" ht="18" customHeight="1" x14ac:dyDescent="0.25">
      <c r="C31" s="4">
        <f t="shared" ref="C31:E31" si="4">SUM(C3:C30)</f>
        <v>4279414741</v>
      </c>
      <c r="D31" s="4">
        <f t="shared" si="4"/>
        <v>226688906</v>
      </c>
      <c r="E31" s="4">
        <f t="shared" si="4"/>
        <v>4506103647</v>
      </c>
      <c r="F31" s="4">
        <f t="shared" ref="F31" si="5">SUM(F3:F30)</f>
        <v>5117467750</v>
      </c>
      <c r="G31" s="4">
        <f t="shared" ref="G31" si="6">SUM(G3:G30)</f>
        <v>184269700</v>
      </c>
      <c r="H31" s="4">
        <f t="shared" ref="H31" si="7">SUM(H3:H30)</f>
        <v>5301737450</v>
      </c>
      <c r="I31" s="4">
        <f t="shared" ref="I31" si="8">SUM(I3:I30)</f>
        <v>2339078553</v>
      </c>
      <c r="J31" s="4">
        <f t="shared" ref="J31" si="9">SUM(J3:J30)</f>
        <v>142005626</v>
      </c>
      <c r="K31" s="4">
        <f t="shared" ref="K31" si="10">SUM(K3:K30)</f>
        <v>2481084179</v>
      </c>
      <c r="L31" s="4">
        <f t="shared" ref="L31" si="11">SUM(L3:L30)</f>
        <v>2340984199</v>
      </c>
      <c r="M31" s="4">
        <f t="shared" ref="M31" si="12">SUM(M3:M30)</f>
        <v>157465037</v>
      </c>
      <c r="N31" s="4">
        <f t="shared" ref="N31" si="13">SUM(N3:N30)</f>
        <v>2498449236</v>
      </c>
    </row>
    <row r="32" spans="1:14" ht="18" customHeight="1" thickBot="1" x14ac:dyDescent="0.3"/>
    <row r="33" spans="1:14" ht="15" x14ac:dyDescent="0.25">
      <c r="A33" s="346"/>
      <c r="B33" s="347" t="s">
        <v>1</v>
      </c>
      <c r="C33" s="342" t="s">
        <v>13</v>
      </c>
      <c r="D33" s="343"/>
      <c r="E33" s="367"/>
      <c r="F33" s="342" t="s">
        <v>13</v>
      </c>
      <c r="G33" s="343"/>
      <c r="H33" s="367"/>
      <c r="I33" s="342" t="s">
        <v>13</v>
      </c>
      <c r="J33" s="343"/>
      <c r="K33" s="367"/>
      <c r="L33" s="342" t="s">
        <v>13</v>
      </c>
      <c r="M33" s="343"/>
      <c r="N33" s="367"/>
    </row>
    <row r="34" spans="1:14" ht="15.75" thickBot="1" x14ac:dyDescent="0.3">
      <c r="A34" s="346"/>
      <c r="B34" s="348"/>
      <c r="C34" s="23" t="s">
        <v>37</v>
      </c>
      <c r="D34" s="24" t="s">
        <v>38</v>
      </c>
      <c r="E34" s="25" t="s">
        <v>39</v>
      </c>
      <c r="F34" s="23" t="s">
        <v>37</v>
      </c>
      <c r="G34" s="24" t="s">
        <v>38</v>
      </c>
      <c r="H34" s="25" t="s">
        <v>39</v>
      </c>
      <c r="I34" s="23" t="s">
        <v>37</v>
      </c>
      <c r="J34" s="24" t="s">
        <v>38</v>
      </c>
      <c r="K34" s="25" t="s">
        <v>39</v>
      </c>
      <c r="L34" s="23" t="s">
        <v>37</v>
      </c>
      <c r="M34" s="24" t="s">
        <v>38</v>
      </c>
      <c r="N34" s="25" t="s">
        <v>39</v>
      </c>
    </row>
    <row r="35" spans="1:14" ht="18" customHeight="1" x14ac:dyDescent="0.25">
      <c r="B35" s="12" t="s">
        <v>3</v>
      </c>
      <c r="C35" s="26">
        <f>C3+C8+C10+C11+C12+C14+C15+C16+C17+C19+C20+C23</f>
        <v>1379550000</v>
      </c>
      <c r="D35" s="16">
        <f t="shared" ref="D35:E35" si="14">D3+D8+D10+D11+D12+D14+D15+D16+D17+D19+D20+D23</f>
        <v>47485000</v>
      </c>
      <c r="E35" s="61">
        <f t="shared" si="14"/>
        <v>1427035000</v>
      </c>
      <c r="F35" s="26">
        <f>F3+F8+F10+F11+F12+F14+F15+F16+F17+F19+F20+F23</f>
        <v>1607340000</v>
      </c>
      <c r="G35" s="16">
        <f t="shared" ref="G35:H35" si="15">G3+G8+G10+G11+G12+G14+G15+G16+G17+G19+G20+G23</f>
        <v>47585000</v>
      </c>
      <c r="H35" s="61">
        <f t="shared" si="15"/>
        <v>1654925000</v>
      </c>
      <c r="I35" s="26">
        <f>I3+I8+I10+I11+I12+I14+I15+I16+I17+I19+I20+I23</f>
        <v>1307550000</v>
      </c>
      <c r="J35" s="16">
        <f t="shared" ref="J35:K35" si="16">J3+J8+J10+J11+J12+J14+J15+J16+J17+J19+J20+J23</f>
        <v>47485000</v>
      </c>
      <c r="K35" s="61">
        <f t="shared" si="16"/>
        <v>1355035000</v>
      </c>
      <c r="L35" s="26">
        <f>L3+L8+L10+L11+L12+L14+L15+L16+L17+L19+L20+L23</f>
        <v>1307550000</v>
      </c>
      <c r="M35" s="16">
        <f t="shared" ref="M35:N35" si="17">M3+M8+M10+M11+M12+M14+M15+M16+M17+M19+M20+M23</f>
        <v>47485000</v>
      </c>
      <c r="N35" s="61">
        <f t="shared" si="17"/>
        <v>1355035000</v>
      </c>
    </row>
    <row r="36" spans="1:14" ht="18" customHeight="1" x14ac:dyDescent="0.25">
      <c r="B36" s="13" t="s">
        <v>4</v>
      </c>
      <c r="C36" s="27">
        <f>C4+C24</f>
        <v>27150000</v>
      </c>
      <c r="D36" s="4">
        <f t="shared" ref="D36:E36" si="18">D4+D24</f>
        <v>0</v>
      </c>
      <c r="E36" s="62">
        <f t="shared" si="18"/>
        <v>27150000</v>
      </c>
      <c r="F36" s="27">
        <f>F4+F24</f>
        <v>151502392</v>
      </c>
      <c r="G36" s="4">
        <f t="shared" ref="G36:H36" si="19">G4+G24</f>
        <v>0</v>
      </c>
      <c r="H36" s="62">
        <f t="shared" si="19"/>
        <v>151502392</v>
      </c>
      <c r="I36" s="27">
        <f>I4+I24</f>
        <v>0</v>
      </c>
      <c r="J36" s="4">
        <f t="shared" ref="J36:K36" si="20">J4+J24</f>
        <v>0</v>
      </c>
      <c r="K36" s="62">
        <f t="shared" si="20"/>
        <v>0</v>
      </c>
      <c r="L36" s="27">
        <f>L4+L24</f>
        <v>0</v>
      </c>
      <c r="M36" s="4">
        <f t="shared" ref="M36:N36" si="21">M4+M24</f>
        <v>0</v>
      </c>
      <c r="N36" s="62">
        <f t="shared" si="21"/>
        <v>0</v>
      </c>
    </row>
    <row r="37" spans="1:14" ht="18" customHeight="1" x14ac:dyDescent="0.25">
      <c r="B37" s="13" t="s">
        <v>5</v>
      </c>
      <c r="C37" s="27">
        <f>C5+C7+C13+C26+C27+C28</f>
        <v>1408414741</v>
      </c>
      <c r="D37" s="4">
        <f t="shared" ref="D37:E37" si="22">D5+D7+D13+D26+D27+D28</f>
        <v>123703906</v>
      </c>
      <c r="E37" s="62">
        <f t="shared" si="22"/>
        <v>1532118647</v>
      </c>
      <c r="F37" s="27">
        <f>F5+F7+F13+F26+F27+F28</f>
        <v>1894325358</v>
      </c>
      <c r="G37" s="4">
        <f t="shared" ref="G37:H37" si="23">G5+G7+G13+G26+G27+G28</f>
        <v>81184700</v>
      </c>
      <c r="H37" s="62">
        <f t="shared" si="23"/>
        <v>1975510058</v>
      </c>
      <c r="I37" s="27">
        <f>I5+I7+I13+I26+I27+I28</f>
        <v>98928553</v>
      </c>
      <c r="J37" s="4">
        <f t="shared" ref="J37:K37" si="24">J5+J7+J13+J26+J27+J28</f>
        <v>94020626</v>
      </c>
      <c r="K37" s="62">
        <f t="shared" si="24"/>
        <v>192949179</v>
      </c>
      <c r="L37" s="27">
        <f>L5+L7+L13+L26+L27+L28</f>
        <v>100834199</v>
      </c>
      <c r="M37" s="4">
        <f t="shared" ref="M37:N37" si="25">M5+M7+M13+M26+M27+M28</f>
        <v>109480037</v>
      </c>
      <c r="N37" s="62">
        <f t="shared" si="25"/>
        <v>210314236</v>
      </c>
    </row>
    <row r="38" spans="1:14" ht="18" customHeight="1" x14ac:dyDescent="0.25">
      <c r="B38" s="13" t="s">
        <v>6</v>
      </c>
      <c r="C38" s="27">
        <f>C6+C9+C18+C29</f>
        <v>0</v>
      </c>
      <c r="D38" s="4">
        <f t="shared" ref="D38:E38" si="26">D6+D9+D18+D29</f>
        <v>0</v>
      </c>
      <c r="E38" s="62">
        <f t="shared" si="26"/>
        <v>0</v>
      </c>
      <c r="F38" s="27">
        <f>F6+F9+F18+F29</f>
        <v>0</v>
      </c>
      <c r="G38" s="4">
        <f t="shared" ref="G38:H38" si="27">G6+G9+G18+G29</f>
        <v>0</v>
      </c>
      <c r="H38" s="62">
        <f t="shared" si="27"/>
        <v>0</v>
      </c>
      <c r="I38" s="27">
        <f>I6+I9+I18+I29</f>
        <v>0</v>
      </c>
      <c r="J38" s="4">
        <f t="shared" ref="J38:K38" si="28">J6+J9+J18+J29</f>
        <v>0</v>
      </c>
      <c r="K38" s="62">
        <f t="shared" si="28"/>
        <v>0</v>
      </c>
      <c r="L38" s="27">
        <f>L6+L9+L18+L29</f>
        <v>0</v>
      </c>
      <c r="M38" s="4">
        <f t="shared" ref="M38:N38" si="29">M6+M9+M18+M29</f>
        <v>0</v>
      </c>
      <c r="N38" s="62">
        <f t="shared" si="29"/>
        <v>0</v>
      </c>
    </row>
    <row r="39" spans="1:14" ht="18" customHeight="1" x14ac:dyDescent="0.25">
      <c r="B39" s="19" t="s">
        <v>2</v>
      </c>
      <c r="C39" s="27">
        <f>C25</f>
        <v>0</v>
      </c>
      <c r="D39" s="4">
        <f t="shared" ref="D39:E39" si="30">D25</f>
        <v>500000</v>
      </c>
      <c r="E39" s="62">
        <f t="shared" si="30"/>
        <v>500000</v>
      </c>
      <c r="F39" s="27">
        <f>F25</f>
        <v>0</v>
      </c>
      <c r="G39" s="4">
        <f t="shared" ref="G39:H39" si="31">G25</f>
        <v>500000</v>
      </c>
      <c r="H39" s="62">
        <f t="shared" si="31"/>
        <v>500000</v>
      </c>
      <c r="I39" s="27">
        <f>I25</f>
        <v>0</v>
      </c>
      <c r="J39" s="4">
        <f t="shared" ref="J39:K39" si="32">J25</f>
        <v>500000</v>
      </c>
      <c r="K39" s="62">
        <f t="shared" si="32"/>
        <v>500000</v>
      </c>
      <c r="L39" s="27">
        <f>L25</f>
        <v>0</v>
      </c>
      <c r="M39" s="4">
        <f t="shared" ref="M39:N39" si="33">M25</f>
        <v>500000</v>
      </c>
      <c r="N39" s="62">
        <f t="shared" si="33"/>
        <v>500000</v>
      </c>
    </row>
    <row r="40" spans="1:14" ht="26.25" thickBot="1" x14ac:dyDescent="0.3">
      <c r="B40" s="14" t="s">
        <v>7</v>
      </c>
      <c r="C40" s="28">
        <f>C21+C22</f>
        <v>1464300000</v>
      </c>
      <c r="D40" s="18">
        <f t="shared" ref="D40:E40" si="34">D21+D22</f>
        <v>55000000</v>
      </c>
      <c r="E40" s="63">
        <f t="shared" si="34"/>
        <v>1519300000</v>
      </c>
      <c r="F40" s="28">
        <f>F21+F22</f>
        <v>1464300000</v>
      </c>
      <c r="G40" s="18">
        <f t="shared" ref="G40:H40" si="35">G21+G22</f>
        <v>55000000</v>
      </c>
      <c r="H40" s="63">
        <f t="shared" si="35"/>
        <v>1519300000</v>
      </c>
      <c r="I40" s="28">
        <f>I21+I22</f>
        <v>932600000</v>
      </c>
      <c r="J40" s="18">
        <f t="shared" ref="J40:K40" si="36">J21+J22</f>
        <v>0</v>
      </c>
      <c r="K40" s="63">
        <f t="shared" si="36"/>
        <v>932600000</v>
      </c>
      <c r="L40" s="28">
        <f>L21+L22</f>
        <v>932600000</v>
      </c>
      <c r="M40" s="18">
        <f t="shared" ref="M40:N40" si="37">M21+M22</f>
        <v>0</v>
      </c>
      <c r="N40" s="63">
        <f t="shared" si="37"/>
        <v>932600000</v>
      </c>
    </row>
    <row r="41" spans="1:14" ht="18" customHeight="1" thickBot="1" x14ac:dyDescent="0.3">
      <c r="C41" s="29"/>
      <c r="D41" s="29"/>
      <c r="E41" s="29"/>
      <c r="F41" s="29"/>
      <c r="G41" s="29"/>
      <c r="H41" s="29"/>
      <c r="I41" s="29"/>
      <c r="J41" s="29"/>
      <c r="K41" s="29"/>
      <c r="L41" s="29"/>
      <c r="M41" s="29"/>
      <c r="N41" s="29"/>
    </row>
    <row r="42" spans="1:14" ht="18" customHeight="1" thickBot="1" x14ac:dyDescent="0.3">
      <c r="B42" s="15" t="s">
        <v>11</v>
      </c>
      <c r="C42" s="30">
        <f t="shared" ref="C42" si="38">C35+C36+C37+C38+C40+C39</f>
        <v>4279414741</v>
      </c>
      <c r="D42" s="17">
        <f t="shared" ref="D42:F42" si="39">D35+D36+D37+D38+D40+D39</f>
        <v>226688906</v>
      </c>
      <c r="E42" s="76">
        <f t="shared" si="39"/>
        <v>4506103647</v>
      </c>
      <c r="F42" s="30">
        <f t="shared" si="39"/>
        <v>5117467750</v>
      </c>
      <c r="G42" s="17">
        <f t="shared" ref="G42:N42" si="40">G35+G36+G37+G38+G40+G39</f>
        <v>184269700</v>
      </c>
      <c r="H42" s="76">
        <f t="shared" si="40"/>
        <v>5301737450</v>
      </c>
      <c r="I42" s="30">
        <f t="shared" si="40"/>
        <v>2339078553</v>
      </c>
      <c r="J42" s="17">
        <f t="shared" si="40"/>
        <v>142005626</v>
      </c>
      <c r="K42" s="76">
        <f t="shared" si="40"/>
        <v>2481084179</v>
      </c>
      <c r="L42" s="30">
        <f t="shared" si="40"/>
        <v>2340984199</v>
      </c>
      <c r="M42" s="17">
        <f t="shared" si="40"/>
        <v>157465037</v>
      </c>
      <c r="N42" s="76">
        <f t="shared" si="40"/>
        <v>2498449236</v>
      </c>
    </row>
    <row r="46" spans="1:14" ht="18" customHeight="1" x14ac:dyDescent="0.25">
      <c r="C46" s="1" t="s">
        <v>8</v>
      </c>
      <c r="F46" s="1" t="s">
        <v>8</v>
      </c>
      <c r="I46" s="1" t="s">
        <v>8</v>
      </c>
      <c r="L46" s="1" t="s">
        <v>8</v>
      </c>
    </row>
  </sheetData>
  <mergeCells count="12">
    <mergeCell ref="L33:N33"/>
    <mergeCell ref="A1:A2"/>
    <mergeCell ref="B1:B2"/>
    <mergeCell ref="C1:E1"/>
    <mergeCell ref="F1:H1"/>
    <mergeCell ref="I1:K1"/>
    <mergeCell ref="L1:N1"/>
    <mergeCell ref="A33:A34"/>
    <mergeCell ref="B33:B34"/>
    <mergeCell ref="C33:E33"/>
    <mergeCell ref="F33:H33"/>
    <mergeCell ref="I33:K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FBE8-3819-4B15-BB9D-C4199F90A5A3}">
  <dimension ref="A1:S46"/>
  <sheetViews>
    <sheetView zoomScale="85" zoomScaleNormal="85" workbookViewId="0">
      <pane xSplit="1" topLeftCell="B1" activePane="topRight" state="frozen"/>
      <selection activeCell="A36" sqref="A36"/>
      <selection pane="topRight" activeCell="D30" sqref="D30"/>
    </sheetView>
  </sheetViews>
  <sheetFormatPr defaultColWidth="8.7109375" defaultRowHeight="18" customHeight="1" x14ac:dyDescent="0.25"/>
  <cols>
    <col min="1" max="2" width="25.5703125" style="1" customWidth="1"/>
    <col min="3" max="15" width="15.5703125" style="1" customWidth="1"/>
    <col min="16" max="16384" width="8.7109375" style="1"/>
  </cols>
  <sheetData>
    <row r="1" spans="1:15" ht="15" x14ac:dyDescent="0.25">
      <c r="A1" s="347" t="s">
        <v>0</v>
      </c>
      <c r="B1" s="350" t="s">
        <v>1</v>
      </c>
      <c r="C1" s="46" t="s">
        <v>44</v>
      </c>
      <c r="D1" s="46"/>
      <c r="E1" s="46"/>
      <c r="F1" s="46"/>
      <c r="G1" s="46"/>
      <c r="H1" s="209">
        <v>365</v>
      </c>
      <c r="I1" s="46" t="s">
        <v>56</v>
      </c>
      <c r="J1" s="46" t="s">
        <v>55</v>
      </c>
      <c r="K1" s="46" t="s">
        <v>54</v>
      </c>
      <c r="L1" s="46" t="s">
        <v>44</v>
      </c>
      <c r="M1" s="46" t="s">
        <v>44</v>
      </c>
      <c r="N1" s="46" t="s">
        <v>44</v>
      </c>
      <c r="O1" s="46" t="s">
        <v>44</v>
      </c>
    </row>
    <row r="2" spans="1:15" ht="15.75" thickBot="1" x14ac:dyDescent="0.3">
      <c r="A2" s="349"/>
      <c r="B2" s="351"/>
      <c r="C2" s="103" t="s">
        <v>45</v>
      </c>
      <c r="D2" s="103" t="s">
        <v>50</v>
      </c>
      <c r="E2" s="103" t="s">
        <v>51</v>
      </c>
      <c r="F2" s="103" t="s">
        <v>52</v>
      </c>
      <c r="G2" s="103" t="s">
        <v>53</v>
      </c>
      <c r="H2" s="210" t="s">
        <v>13</v>
      </c>
      <c r="I2" s="210" t="s">
        <v>14</v>
      </c>
      <c r="J2" s="210" t="s">
        <v>15</v>
      </c>
      <c r="K2" s="210" t="s">
        <v>16</v>
      </c>
      <c r="L2" s="103" t="s">
        <v>46</v>
      </c>
      <c r="M2" s="103" t="s">
        <v>47</v>
      </c>
      <c r="N2" s="103" t="s">
        <v>48</v>
      </c>
      <c r="O2" s="103" t="s">
        <v>49</v>
      </c>
    </row>
    <row r="3" spans="1:15" ht="18" customHeight="1" x14ac:dyDescent="0.25">
      <c r="A3" s="37">
        <v>1</v>
      </c>
      <c r="B3" s="280" t="s">
        <v>3</v>
      </c>
      <c r="C3" s="182">
        <v>0</v>
      </c>
      <c r="D3" s="206"/>
      <c r="E3" s="206"/>
      <c r="F3" s="206"/>
      <c r="G3" s="206"/>
      <c r="H3" s="183">
        <f t="shared" ref="H3:H29" si="0">(C3*365)/92</f>
        <v>0</v>
      </c>
      <c r="I3" s="183">
        <f t="shared" ref="I3:I29" si="1">(C3*365)/90</f>
        <v>0</v>
      </c>
      <c r="J3" s="183">
        <f t="shared" ref="J3:J29" si="2">(C3*365/91)</f>
        <v>0</v>
      </c>
      <c r="K3" s="183">
        <f t="shared" ref="K3:K29" si="3">(C3*365)/92</f>
        <v>0</v>
      </c>
      <c r="L3" s="104"/>
      <c r="M3" s="104"/>
      <c r="N3" s="104"/>
      <c r="O3" s="104"/>
    </row>
    <row r="4" spans="1:15" ht="18" customHeight="1" x14ac:dyDescent="0.25">
      <c r="A4" s="5">
        <v>2</v>
      </c>
      <c r="B4" s="281" t="s">
        <v>4</v>
      </c>
      <c r="C4" s="184">
        <v>0</v>
      </c>
      <c r="D4" s="207"/>
      <c r="E4" s="207"/>
      <c r="F4" s="207"/>
      <c r="G4" s="207"/>
      <c r="H4" s="185">
        <f t="shared" si="0"/>
        <v>0</v>
      </c>
      <c r="I4" s="185">
        <f t="shared" si="1"/>
        <v>0</v>
      </c>
      <c r="J4" s="185">
        <f t="shared" si="2"/>
        <v>0</v>
      </c>
      <c r="K4" s="185">
        <f t="shared" si="3"/>
        <v>0</v>
      </c>
      <c r="L4" s="105"/>
      <c r="M4" s="105"/>
      <c r="N4" s="105"/>
      <c r="O4" s="105"/>
    </row>
    <row r="5" spans="1:15" ht="18" customHeight="1" x14ac:dyDescent="0.25">
      <c r="A5" s="6">
        <v>3</v>
      </c>
      <c r="B5" s="281" t="s">
        <v>5</v>
      </c>
      <c r="C5" s="184">
        <v>0</v>
      </c>
      <c r="D5" s="207"/>
      <c r="E5" s="207"/>
      <c r="F5" s="207"/>
      <c r="G5" s="207"/>
      <c r="H5" s="185">
        <f t="shared" si="0"/>
        <v>0</v>
      </c>
      <c r="I5" s="185">
        <f t="shared" si="1"/>
        <v>0</v>
      </c>
      <c r="J5" s="185">
        <f t="shared" si="2"/>
        <v>0</v>
      </c>
      <c r="K5" s="185">
        <f t="shared" si="3"/>
        <v>0</v>
      </c>
      <c r="L5" s="105"/>
      <c r="M5" s="105"/>
      <c r="N5" s="105"/>
      <c r="O5" s="105"/>
    </row>
    <row r="6" spans="1:15" ht="18" customHeight="1" x14ac:dyDescent="0.25">
      <c r="A6" s="5">
        <v>4</v>
      </c>
      <c r="B6" s="281" t="s">
        <v>6</v>
      </c>
      <c r="C6" s="184">
        <v>0</v>
      </c>
      <c r="D6" s="207"/>
      <c r="E6" s="207"/>
      <c r="F6" s="207"/>
      <c r="G6" s="207"/>
      <c r="H6" s="185">
        <f t="shared" si="0"/>
        <v>0</v>
      </c>
      <c r="I6" s="185">
        <f t="shared" si="1"/>
        <v>0</v>
      </c>
      <c r="J6" s="185">
        <f t="shared" si="2"/>
        <v>0</v>
      </c>
      <c r="K6" s="185">
        <f t="shared" si="3"/>
        <v>0</v>
      </c>
      <c r="L6" s="105"/>
      <c r="M6" s="105"/>
      <c r="N6" s="105"/>
      <c r="O6" s="105"/>
    </row>
    <row r="7" spans="1:15" ht="18" customHeight="1" x14ac:dyDescent="0.25">
      <c r="A7" s="5">
        <v>5</v>
      </c>
      <c r="B7" s="281" t="s">
        <v>5</v>
      </c>
      <c r="C7" s="184">
        <v>0</v>
      </c>
      <c r="D7" s="207"/>
      <c r="E7" s="207"/>
      <c r="F7" s="207"/>
      <c r="G7" s="207"/>
      <c r="H7" s="185">
        <f t="shared" si="0"/>
        <v>0</v>
      </c>
      <c r="I7" s="185">
        <f t="shared" si="1"/>
        <v>0</v>
      </c>
      <c r="J7" s="185">
        <f t="shared" si="2"/>
        <v>0</v>
      </c>
      <c r="K7" s="185">
        <f t="shared" si="3"/>
        <v>0</v>
      </c>
      <c r="L7" s="105"/>
      <c r="M7" s="105"/>
      <c r="N7" s="105"/>
      <c r="O7" s="105"/>
    </row>
    <row r="8" spans="1:15" ht="18" customHeight="1" x14ac:dyDescent="0.25">
      <c r="A8" s="5">
        <v>6</v>
      </c>
      <c r="B8" s="281" t="s">
        <v>3</v>
      </c>
      <c r="C8" s="184">
        <v>0</v>
      </c>
      <c r="D8" s="207"/>
      <c r="E8" s="207"/>
      <c r="F8" s="207"/>
      <c r="G8" s="207"/>
      <c r="H8" s="185">
        <f t="shared" si="0"/>
        <v>0</v>
      </c>
      <c r="I8" s="185">
        <f t="shared" si="1"/>
        <v>0</v>
      </c>
      <c r="J8" s="185">
        <f t="shared" si="2"/>
        <v>0</v>
      </c>
      <c r="K8" s="185">
        <f t="shared" si="3"/>
        <v>0</v>
      </c>
      <c r="L8" s="105"/>
      <c r="M8" s="105"/>
      <c r="N8" s="105"/>
      <c r="O8" s="105"/>
    </row>
    <row r="9" spans="1:15" ht="18" customHeight="1" x14ac:dyDescent="0.25">
      <c r="A9" s="6">
        <v>7</v>
      </c>
      <c r="B9" s="281" t="s">
        <v>6</v>
      </c>
      <c r="C9" s="184">
        <v>0</v>
      </c>
      <c r="D9" s="207"/>
      <c r="E9" s="207"/>
      <c r="F9" s="207"/>
      <c r="G9" s="207"/>
      <c r="H9" s="185">
        <f t="shared" si="0"/>
        <v>0</v>
      </c>
      <c r="I9" s="185">
        <f t="shared" si="1"/>
        <v>0</v>
      </c>
      <c r="J9" s="185">
        <f t="shared" si="2"/>
        <v>0</v>
      </c>
      <c r="K9" s="185">
        <f t="shared" si="3"/>
        <v>0</v>
      </c>
      <c r="L9" s="105"/>
      <c r="M9" s="105"/>
      <c r="N9" s="105"/>
      <c r="O9" s="105"/>
    </row>
    <row r="10" spans="1:15" ht="18" customHeight="1" x14ac:dyDescent="0.25">
      <c r="A10" s="5">
        <v>8</v>
      </c>
      <c r="B10" s="281" t="s">
        <v>3</v>
      </c>
      <c r="C10" s="184">
        <v>0</v>
      </c>
      <c r="D10" s="207"/>
      <c r="E10" s="207"/>
      <c r="F10" s="207"/>
      <c r="G10" s="207"/>
      <c r="H10" s="185">
        <f t="shared" si="0"/>
        <v>0</v>
      </c>
      <c r="I10" s="185">
        <f t="shared" si="1"/>
        <v>0</v>
      </c>
      <c r="J10" s="185">
        <f t="shared" si="2"/>
        <v>0</v>
      </c>
      <c r="K10" s="185">
        <f t="shared" si="3"/>
        <v>0</v>
      </c>
      <c r="L10" s="105"/>
      <c r="M10" s="105"/>
      <c r="N10" s="105"/>
      <c r="O10" s="105"/>
    </row>
    <row r="11" spans="1:15" ht="18" customHeight="1" x14ac:dyDescent="0.25">
      <c r="A11" s="5">
        <v>9</v>
      </c>
      <c r="B11" s="281" t="s">
        <v>3</v>
      </c>
      <c r="C11" s="184">
        <v>0</v>
      </c>
      <c r="D11" s="207"/>
      <c r="E11" s="207"/>
      <c r="F11" s="207"/>
      <c r="G11" s="207"/>
      <c r="H11" s="185">
        <f t="shared" si="0"/>
        <v>0</v>
      </c>
      <c r="I11" s="185">
        <f t="shared" si="1"/>
        <v>0</v>
      </c>
      <c r="J11" s="185">
        <f t="shared" si="2"/>
        <v>0</v>
      </c>
      <c r="K11" s="185">
        <f t="shared" si="3"/>
        <v>0</v>
      </c>
      <c r="L11" s="105"/>
      <c r="M11" s="105"/>
      <c r="N11" s="105"/>
      <c r="O11" s="105"/>
    </row>
    <row r="12" spans="1:15" ht="18" customHeight="1" x14ac:dyDescent="0.25">
      <c r="A12" s="5">
        <v>10</v>
      </c>
      <c r="B12" s="281" t="s">
        <v>3</v>
      </c>
      <c r="C12" s="184">
        <v>0</v>
      </c>
      <c r="D12" s="207"/>
      <c r="E12" s="207"/>
      <c r="F12" s="207"/>
      <c r="G12" s="207"/>
      <c r="H12" s="185">
        <f t="shared" si="0"/>
        <v>0</v>
      </c>
      <c r="I12" s="185">
        <f t="shared" si="1"/>
        <v>0</v>
      </c>
      <c r="J12" s="185">
        <f t="shared" si="2"/>
        <v>0</v>
      </c>
      <c r="K12" s="185">
        <f t="shared" si="3"/>
        <v>0</v>
      </c>
      <c r="L12" s="105"/>
      <c r="M12" s="105"/>
      <c r="N12" s="105"/>
      <c r="O12" s="105"/>
    </row>
    <row r="13" spans="1:15" ht="18" customHeight="1" x14ac:dyDescent="0.25">
      <c r="A13" s="6">
        <v>11</v>
      </c>
      <c r="B13" s="281" t="s">
        <v>5</v>
      </c>
      <c r="C13" s="184">
        <v>0</v>
      </c>
      <c r="D13" s="207"/>
      <c r="E13" s="207"/>
      <c r="F13" s="207"/>
      <c r="G13" s="207"/>
      <c r="H13" s="185">
        <f t="shared" si="0"/>
        <v>0</v>
      </c>
      <c r="I13" s="185">
        <f t="shared" si="1"/>
        <v>0</v>
      </c>
      <c r="J13" s="185">
        <f t="shared" si="2"/>
        <v>0</v>
      </c>
      <c r="K13" s="185">
        <f t="shared" si="3"/>
        <v>0</v>
      </c>
      <c r="L13" s="105"/>
      <c r="M13" s="105"/>
      <c r="N13" s="105"/>
      <c r="O13" s="105"/>
    </row>
    <row r="14" spans="1:15" ht="18" customHeight="1" x14ac:dyDescent="0.25">
      <c r="A14" s="5">
        <v>12</v>
      </c>
      <c r="B14" s="281" t="s">
        <v>3</v>
      </c>
      <c r="C14" s="184">
        <v>0</v>
      </c>
      <c r="D14" s="207"/>
      <c r="E14" s="207"/>
      <c r="F14" s="207"/>
      <c r="G14" s="207"/>
      <c r="H14" s="185">
        <f t="shared" si="0"/>
        <v>0</v>
      </c>
      <c r="I14" s="185">
        <f t="shared" si="1"/>
        <v>0</v>
      </c>
      <c r="J14" s="185">
        <f t="shared" si="2"/>
        <v>0</v>
      </c>
      <c r="K14" s="185">
        <f t="shared" si="3"/>
        <v>0</v>
      </c>
      <c r="L14" s="105"/>
      <c r="M14" s="105"/>
      <c r="N14" s="105"/>
      <c r="O14" s="105"/>
    </row>
    <row r="15" spans="1:15" ht="18" customHeight="1" x14ac:dyDescent="0.25">
      <c r="A15" s="5">
        <v>13</v>
      </c>
      <c r="B15" s="281" t="s">
        <v>3</v>
      </c>
      <c r="C15" s="184">
        <v>0</v>
      </c>
      <c r="D15" s="207"/>
      <c r="E15" s="207"/>
      <c r="F15" s="207"/>
      <c r="G15" s="207"/>
      <c r="H15" s="185">
        <f t="shared" si="0"/>
        <v>0</v>
      </c>
      <c r="I15" s="185">
        <f t="shared" si="1"/>
        <v>0</v>
      </c>
      <c r="J15" s="185">
        <f t="shared" si="2"/>
        <v>0</v>
      </c>
      <c r="K15" s="185">
        <f t="shared" si="3"/>
        <v>0</v>
      </c>
      <c r="L15" s="105"/>
      <c r="M15" s="105"/>
      <c r="N15" s="105"/>
      <c r="O15" s="105"/>
    </row>
    <row r="16" spans="1:15" ht="18" customHeight="1" x14ac:dyDescent="0.25">
      <c r="A16" s="5">
        <v>14</v>
      </c>
      <c r="B16" s="281" t="s">
        <v>3</v>
      </c>
      <c r="C16" s="184">
        <v>0</v>
      </c>
      <c r="D16" s="207"/>
      <c r="E16" s="207"/>
      <c r="F16" s="207"/>
      <c r="G16" s="207"/>
      <c r="H16" s="185">
        <f t="shared" si="0"/>
        <v>0</v>
      </c>
      <c r="I16" s="185">
        <f t="shared" si="1"/>
        <v>0</v>
      </c>
      <c r="J16" s="185">
        <f t="shared" si="2"/>
        <v>0</v>
      </c>
      <c r="K16" s="185">
        <f t="shared" si="3"/>
        <v>0</v>
      </c>
      <c r="L16" s="105"/>
      <c r="M16" s="105"/>
      <c r="N16" s="105"/>
      <c r="O16" s="105"/>
    </row>
    <row r="17" spans="1:15" ht="18" customHeight="1" x14ac:dyDescent="0.25">
      <c r="A17" s="6">
        <v>15</v>
      </c>
      <c r="B17" s="281" t="s">
        <v>3</v>
      </c>
      <c r="C17" s="184">
        <v>0</v>
      </c>
      <c r="D17" s="207"/>
      <c r="E17" s="207"/>
      <c r="F17" s="207"/>
      <c r="G17" s="207"/>
      <c r="H17" s="185">
        <f t="shared" si="0"/>
        <v>0</v>
      </c>
      <c r="I17" s="185">
        <f t="shared" si="1"/>
        <v>0</v>
      </c>
      <c r="J17" s="185">
        <f t="shared" si="2"/>
        <v>0</v>
      </c>
      <c r="K17" s="185">
        <f t="shared" si="3"/>
        <v>0</v>
      </c>
      <c r="L17" s="105"/>
      <c r="M17" s="105"/>
      <c r="N17" s="105"/>
      <c r="O17" s="105"/>
    </row>
    <row r="18" spans="1:15" ht="18" customHeight="1" x14ac:dyDescent="0.25">
      <c r="A18" s="5">
        <v>16</v>
      </c>
      <c r="B18" s="281" t="s">
        <v>6</v>
      </c>
      <c r="C18" s="184">
        <v>0</v>
      </c>
      <c r="D18" s="207"/>
      <c r="E18" s="207"/>
      <c r="F18" s="207"/>
      <c r="G18" s="207"/>
      <c r="H18" s="185">
        <f t="shared" si="0"/>
        <v>0</v>
      </c>
      <c r="I18" s="185">
        <f t="shared" si="1"/>
        <v>0</v>
      </c>
      <c r="J18" s="185">
        <f t="shared" si="2"/>
        <v>0</v>
      </c>
      <c r="K18" s="185">
        <f t="shared" si="3"/>
        <v>0</v>
      </c>
      <c r="L18" s="105"/>
      <c r="M18" s="105"/>
      <c r="N18" s="105"/>
      <c r="O18" s="105"/>
    </row>
    <row r="19" spans="1:15" ht="18" customHeight="1" x14ac:dyDescent="0.25">
      <c r="A19" s="5">
        <v>17</v>
      </c>
      <c r="B19" s="281" t="s">
        <v>3</v>
      </c>
      <c r="C19" s="184">
        <v>0</v>
      </c>
      <c r="D19" s="207"/>
      <c r="E19" s="207"/>
      <c r="F19" s="207"/>
      <c r="G19" s="207"/>
      <c r="H19" s="185">
        <f t="shared" si="0"/>
        <v>0</v>
      </c>
      <c r="I19" s="185">
        <f t="shared" si="1"/>
        <v>0</v>
      </c>
      <c r="J19" s="185">
        <f t="shared" si="2"/>
        <v>0</v>
      </c>
      <c r="K19" s="185">
        <f t="shared" si="3"/>
        <v>0</v>
      </c>
      <c r="L19" s="105"/>
      <c r="M19" s="105"/>
      <c r="N19" s="105"/>
      <c r="O19" s="105"/>
    </row>
    <row r="20" spans="1:15" ht="18" customHeight="1" x14ac:dyDescent="0.25">
      <c r="A20" s="5">
        <v>18</v>
      </c>
      <c r="B20" s="281" t="s">
        <v>3</v>
      </c>
      <c r="C20" s="184">
        <v>0</v>
      </c>
      <c r="D20" s="207"/>
      <c r="E20" s="207"/>
      <c r="F20" s="207"/>
      <c r="G20" s="207"/>
      <c r="H20" s="185">
        <f t="shared" si="0"/>
        <v>0</v>
      </c>
      <c r="I20" s="185">
        <f t="shared" si="1"/>
        <v>0</v>
      </c>
      <c r="J20" s="185">
        <f t="shared" si="2"/>
        <v>0</v>
      </c>
      <c r="K20" s="185">
        <f t="shared" si="3"/>
        <v>0</v>
      </c>
      <c r="L20" s="105"/>
      <c r="M20" s="105"/>
      <c r="N20" s="105"/>
      <c r="O20" s="105"/>
    </row>
    <row r="21" spans="1:15" ht="25.5" x14ac:dyDescent="0.25">
      <c r="A21" s="6">
        <v>19</v>
      </c>
      <c r="B21" s="281" t="s">
        <v>7</v>
      </c>
      <c r="C21" s="184">
        <v>0</v>
      </c>
      <c r="D21" s="207"/>
      <c r="E21" s="207"/>
      <c r="F21" s="207"/>
      <c r="G21" s="207"/>
      <c r="H21" s="185">
        <f t="shared" si="0"/>
        <v>0</v>
      </c>
      <c r="I21" s="185">
        <f t="shared" si="1"/>
        <v>0</v>
      </c>
      <c r="J21" s="185">
        <f t="shared" si="2"/>
        <v>0</v>
      </c>
      <c r="K21" s="185">
        <f t="shared" si="3"/>
        <v>0</v>
      </c>
      <c r="L21" s="105"/>
      <c r="M21" s="105"/>
      <c r="N21" s="105"/>
      <c r="O21" s="105"/>
    </row>
    <row r="22" spans="1:15" ht="25.5" x14ac:dyDescent="0.25">
      <c r="A22" s="5">
        <v>20</v>
      </c>
      <c r="B22" s="281" t="s">
        <v>7</v>
      </c>
      <c r="C22" s="184">
        <v>0</v>
      </c>
      <c r="D22" s="207"/>
      <c r="E22" s="207"/>
      <c r="F22" s="207"/>
      <c r="G22" s="207"/>
      <c r="H22" s="185">
        <f t="shared" si="0"/>
        <v>0</v>
      </c>
      <c r="I22" s="185">
        <f t="shared" si="1"/>
        <v>0</v>
      </c>
      <c r="J22" s="185">
        <f t="shared" si="2"/>
        <v>0</v>
      </c>
      <c r="K22" s="185">
        <f t="shared" si="3"/>
        <v>0</v>
      </c>
      <c r="L22" s="105"/>
      <c r="M22" s="105"/>
      <c r="N22" s="105"/>
      <c r="O22" s="105"/>
    </row>
    <row r="23" spans="1:15" ht="18" customHeight="1" x14ac:dyDescent="0.25">
      <c r="A23" s="5">
        <v>21</v>
      </c>
      <c r="B23" s="281" t="s">
        <v>3</v>
      </c>
      <c r="C23" s="184">
        <v>0</v>
      </c>
      <c r="D23" s="207"/>
      <c r="E23" s="207"/>
      <c r="F23" s="207"/>
      <c r="G23" s="207"/>
      <c r="H23" s="185">
        <f t="shared" si="0"/>
        <v>0</v>
      </c>
      <c r="I23" s="185">
        <f t="shared" si="1"/>
        <v>0</v>
      </c>
      <c r="J23" s="185">
        <f t="shared" si="2"/>
        <v>0</v>
      </c>
      <c r="K23" s="185">
        <f t="shared" si="3"/>
        <v>0</v>
      </c>
      <c r="L23" s="105"/>
      <c r="M23" s="105"/>
      <c r="N23" s="105"/>
      <c r="O23" s="105"/>
    </row>
    <row r="24" spans="1:15" ht="18" customHeight="1" x14ac:dyDescent="0.25">
      <c r="A24" s="5">
        <v>22</v>
      </c>
      <c r="B24" s="281" t="s">
        <v>4</v>
      </c>
      <c r="C24" s="184">
        <v>0</v>
      </c>
      <c r="D24" s="207"/>
      <c r="E24" s="207"/>
      <c r="F24" s="207"/>
      <c r="G24" s="207"/>
      <c r="H24" s="185">
        <f t="shared" si="0"/>
        <v>0</v>
      </c>
      <c r="I24" s="185">
        <f t="shared" si="1"/>
        <v>0</v>
      </c>
      <c r="J24" s="185">
        <f t="shared" si="2"/>
        <v>0</v>
      </c>
      <c r="K24" s="185">
        <f t="shared" si="3"/>
        <v>0</v>
      </c>
      <c r="L24" s="105"/>
      <c r="M24" s="105"/>
      <c r="N24" s="105"/>
      <c r="O24" s="105"/>
    </row>
    <row r="25" spans="1:15" ht="18" customHeight="1" x14ac:dyDescent="0.25">
      <c r="A25" s="6">
        <v>23</v>
      </c>
      <c r="B25" s="281" t="s">
        <v>2</v>
      </c>
      <c r="C25" s="184">
        <v>0</v>
      </c>
      <c r="D25" s="207"/>
      <c r="E25" s="207"/>
      <c r="F25" s="207"/>
      <c r="G25" s="207"/>
      <c r="H25" s="185">
        <f t="shared" si="0"/>
        <v>0</v>
      </c>
      <c r="I25" s="185">
        <f t="shared" si="1"/>
        <v>0</v>
      </c>
      <c r="J25" s="185">
        <f t="shared" si="2"/>
        <v>0</v>
      </c>
      <c r="K25" s="185">
        <f t="shared" si="3"/>
        <v>0</v>
      </c>
      <c r="L25" s="105"/>
      <c r="M25" s="105"/>
      <c r="N25" s="105"/>
      <c r="O25" s="105"/>
    </row>
    <row r="26" spans="1:15" ht="18" customHeight="1" x14ac:dyDescent="0.25">
      <c r="A26" s="5">
        <v>24</v>
      </c>
      <c r="B26" s="281" t="s">
        <v>5</v>
      </c>
      <c r="C26" s="184">
        <v>0</v>
      </c>
      <c r="D26" s="207"/>
      <c r="E26" s="207"/>
      <c r="F26" s="207"/>
      <c r="G26" s="207"/>
      <c r="H26" s="185">
        <f t="shared" si="0"/>
        <v>0</v>
      </c>
      <c r="I26" s="185">
        <f t="shared" si="1"/>
        <v>0</v>
      </c>
      <c r="J26" s="185">
        <f t="shared" si="2"/>
        <v>0</v>
      </c>
      <c r="K26" s="185">
        <f t="shared" si="3"/>
        <v>0</v>
      </c>
      <c r="L26" s="105"/>
      <c r="M26" s="105"/>
      <c r="N26" s="105"/>
      <c r="O26" s="105"/>
    </row>
    <row r="27" spans="1:15" ht="18" customHeight="1" x14ac:dyDescent="0.25">
      <c r="A27" s="5">
        <v>25</v>
      </c>
      <c r="B27" s="281" t="s">
        <v>5</v>
      </c>
      <c r="C27" s="184">
        <v>0</v>
      </c>
      <c r="D27" s="207"/>
      <c r="E27" s="207"/>
      <c r="F27" s="207"/>
      <c r="G27" s="207"/>
      <c r="H27" s="185">
        <f t="shared" si="0"/>
        <v>0</v>
      </c>
      <c r="I27" s="185">
        <f t="shared" si="1"/>
        <v>0</v>
      </c>
      <c r="J27" s="185">
        <f t="shared" si="2"/>
        <v>0</v>
      </c>
      <c r="K27" s="185">
        <f t="shared" si="3"/>
        <v>0</v>
      </c>
      <c r="L27" s="105"/>
      <c r="M27" s="105"/>
      <c r="N27" s="105"/>
      <c r="O27" s="105"/>
    </row>
    <row r="28" spans="1:15" ht="18" customHeight="1" x14ac:dyDescent="0.25">
      <c r="A28" s="5">
        <v>26</v>
      </c>
      <c r="B28" s="281" t="s">
        <v>5</v>
      </c>
      <c r="C28" s="184">
        <v>0</v>
      </c>
      <c r="D28" s="207"/>
      <c r="E28" s="207"/>
      <c r="F28" s="207"/>
      <c r="G28" s="207"/>
      <c r="H28" s="185">
        <f t="shared" si="0"/>
        <v>0</v>
      </c>
      <c r="I28" s="185">
        <f t="shared" si="1"/>
        <v>0</v>
      </c>
      <c r="J28" s="185">
        <f t="shared" si="2"/>
        <v>0</v>
      </c>
      <c r="K28" s="185">
        <f t="shared" si="3"/>
        <v>0</v>
      </c>
      <c r="L28" s="105"/>
      <c r="M28" s="105"/>
      <c r="N28" s="105"/>
      <c r="O28" s="105"/>
    </row>
    <row r="29" spans="1:15" ht="18" customHeight="1" thickBot="1" x14ac:dyDescent="0.3">
      <c r="A29" s="7">
        <v>27</v>
      </c>
      <c r="B29" s="282" t="s">
        <v>6</v>
      </c>
      <c r="C29" s="186">
        <v>0</v>
      </c>
      <c r="D29" s="208"/>
      <c r="E29" s="208"/>
      <c r="F29" s="208"/>
      <c r="G29" s="208"/>
      <c r="H29" s="187">
        <f t="shared" si="0"/>
        <v>0</v>
      </c>
      <c r="I29" s="187">
        <f t="shared" si="1"/>
        <v>0</v>
      </c>
      <c r="J29" s="187">
        <f t="shared" si="2"/>
        <v>0</v>
      </c>
      <c r="K29" s="187">
        <f t="shared" si="3"/>
        <v>0</v>
      </c>
      <c r="L29" s="106"/>
      <c r="M29" s="106"/>
      <c r="N29" s="106"/>
      <c r="O29" s="106"/>
    </row>
    <row r="31" spans="1:15" ht="18" customHeight="1" x14ac:dyDescent="0.25">
      <c r="C31" s="4">
        <f t="shared" ref="C31:L31" si="4">SUM(C3:C30)</f>
        <v>0</v>
      </c>
      <c r="D31" s="4"/>
      <c r="E31" s="4"/>
      <c r="F31" s="4"/>
      <c r="G31" s="4"/>
      <c r="H31" s="4"/>
      <c r="I31" s="4"/>
      <c r="J31" s="4"/>
      <c r="K31" s="4"/>
      <c r="L31" s="4">
        <f t="shared" si="4"/>
        <v>0</v>
      </c>
    </row>
    <row r="32" spans="1:15" ht="18" customHeight="1" thickBot="1" x14ac:dyDescent="0.3"/>
    <row r="33" spans="1:19" ht="15" x14ac:dyDescent="0.25">
      <c r="A33" s="346"/>
      <c r="B33" s="347" t="s">
        <v>1</v>
      </c>
      <c r="C33" s="46" t="s">
        <v>44</v>
      </c>
      <c r="D33" s="46"/>
      <c r="E33" s="46"/>
      <c r="F33" s="46"/>
      <c r="G33" s="46"/>
      <c r="H33" s="46"/>
      <c r="I33" s="46"/>
      <c r="J33" s="46"/>
      <c r="K33" s="46"/>
      <c r="L33" s="46" t="s">
        <v>44</v>
      </c>
      <c r="M33" s="46" t="s">
        <v>44</v>
      </c>
      <c r="N33" s="46" t="s">
        <v>44</v>
      </c>
      <c r="O33" s="46" t="s">
        <v>44</v>
      </c>
      <c r="S33" s="1" t="s">
        <v>8</v>
      </c>
    </row>
    <row r="34" spans="1:19" ht="15.75" thickBot="1" x14ac:dyDescent="0.3">
      <c r="A34" s="346"/>
      <c r="B34" s="348"/>
      <c r="C34" s="103" t="s">
        <v>45</v>
      </c>
      <c r="D34" s="103"/>
      <c r="E34" s="103"/>
      <c r="F34" s="103"/>
      <c r="G34" s="103"/>
      <c r="H34" s="103"/>
      <c r="I34" s="103"/>
      <c r="J34" s="103"/>
      <c r="K34" s="103"/>
      <c r="L34" s="103" t="s">
        <v>46</v>
      </c>
      <c r="M34" s="103" t="s">
        <v>47</v>
      </c>
      <c r="N34" s="103" t="s">
        <v>48</v>
      </c>
      <c r="O34" s="103" t="s">
        <v>49</v>
      </c>
    </row>
    <row r="35" spans="1:19" ht="18" customHeight="1" x14ac:dyDescent="0.25">
      <c r="B35" s="12" t="s">
        <v>3</v>
      </c>
      <c r="C35" s="26">
        <f>C3+C8+C10+C11+C12+C14+C15+C16+C17+C19+C20+C23</f>
        <v>0</v>
      </c>
      <c r="D35" s="58"/>
      <c r="E35" s="58"/>
      <c r="F35" s="58"/>
      <c r="G35" s="58"/>
      <c r="H35" s="58"/>
      <c r="I35" s="58"/>
      <c r="J35" s="58"/>
      <c r="K35" s="58"/>
      <c r="L35" s="16">
        <f t="shared" ref="L35:O35" si="5">L3+L8+L10+L11+L12+L14+L15+L16+L17+L19+L20+L23</f>
        <v>0</v>
      </c>
      <c r="M35" s="20">
        <f t="shared" si="5"/>
        <v>0</v>
      </c>
      <c r="N35" s="20">
        <f t="shared" si="5"/>
        <v>0</v>
      </c>
      <c r="O35" s="61">
        <f t="shared" si="5"/>
        <v>0</v>
      </c>
    </row>
    <row r="36" spans="1:19" ht="18" customHeight="1" x14ac:dyDescent="0.25">
      <c r="B36" s="13" t="s">
        <v>4</v>
      </c>
      <c r="C36" s="27">
        <f>C4+C24</f>
        <v>0</v>
      </c>
      <c r="D36" s="59"/>
      <c r="E36" s="59"/>
      <c r="F36" s="59"/>
      <c r="G36" s="59"/>
      <c r="H36" s="59"/>
      <c r="I36" s="59"/>
      <c r="J36" s="59"/>
      <c r="K36" s="59"/>
      <c r="L36" s="4">
        <f t="shared" ref="L36:O36" si="6">L4+L24</f>
        <v>0</v>
      </c>
      <c r="M36" s="21">
        <f t="shared" si="6"/>
        <v>0</v>
      </c>
      <c r="N36" s="21">
        <f t="shared" si="6"/>
        <v>0</v>
      </c>
      <c r="O36" s="62">
        <f t="shared" si="6"/>
        <v>0</v>
      </c>
    </row>
    <row r="37" spans="1:19" ht="18" customHeight="1" x14ac:dyDescent="0.25">
      <c r="B37" s="13" t="s">
        <v>5</v>
      </c>
      <c r="C37" s="27">
        <f>C5+C7+C13+C26+C27+C28</f>
        <v>0</v>
      </c>
      <c r="D37" s="59"/>
      <c r="E37" s="59"/>
      <c r="F37" s="59"/>
      <c r="G37" s="59"/>
      <c r="H37" s="59"/>
      <c r="I37" s="59"/>
      <c r="J37" s="59"/>
      <c r="K37" s="59"/>
      <c r="L37" s="4">
        <f t="shared" ref="L37:O37" si="7">L5+L7+L13+L26+L27+L28</f>
        <v>0</v>
      </c>
      <c r="M37" s="21">
        <f t="shared" si="7"/>
        <v>0</v>
      </c>
      <c r="N37" s="21">
        <f t="shared" si="7"/>
        <v>0</v>
      </c>
      <c r="O37" s="62">
        <f t="shared" si="7"/>
        <v>0</v>
      </c>
    </row>
    <row r="38" spans="1:19" ht="18" customHeight="1" x14ac:dyDescent="0.25">
      <c r="B38" s="13" t="s">
        <v>6</v>
      </c>
      <c r="C38" s="27">
        <f>C6+C9+C18+C29</f>
        <v>0</v>
      </c>
      <c r="D38" s="59"/>
      <c r="E38" s="59"/>
      <c r="F38" s="59"/>
      <c r="G38" s="59"/>
      <c r="H38" s="59"/>
      <c r="I38" s="59"/>
      <c r="J38" s="59"/>
      <c r="K38" s="59"/>
      <c r="L38" s="4">
        <f t="shared" ref="L38:O38" si="8">L6+L9+L18+L29</f>
        <v>0</v>
      </c>
      <c r="M38" s="21">
        <f t="shared" si="8"/>
        <v>0</v>
      </c>
      <c r="N38" s="21">
        <f t="shared" si="8"/>
        <v>0</v>
      </c>
      <c r="O38" s="62">
        <f t="shared" si="8"/>
        <v>0</v>
      </c>
    </row>
    <row r="39" spans="1:19" ht="18" customHeight="1" x14ac:dyDescent="0.25">
      <c r="B39" s="19" t="s">
        <v>2</v>
      </c>
      <c r="C39" s="27">
        <f>C25</f>
        <v>0</v>
      </c>
      <c r="D39" s="59"/>
      <c r="E39" s="59"/>
      <c r="F39" s="59"/>
      <c r="G39" s="59"/>
      <c r="H39" s="59"/>
      <c r="I39" s="59"/>
      <c r="J39" s="59"/>
      <c r="K39" s="59"/>
      <c r="L39" s="4">
        <f t="shared" ref="L39:O39" si="9">L25</f>
        <v>0</v>
      </c>
      <c r="M39" s="21">
        <f t="shared" si="9"/>
        <v>0</v>
      </c>
      <c r="N39" s="21">
        <f t="shared" si="9"/>
        <v>0</v>
      </c>
      <c r="O39" s="62">
        <f t="shared" si="9"/>
        <v>0</v>
      </c>
    </row>
    <row r="40" spans="1:19" ht="26.25" thickBot="1" x14ac:dyDescent="0.3">
      <c r="B40" s="14" t="s">
        <v>7</v>
      </c>
      <c r="C40" s="28">
        <f>C21+C22</f>
        <v>0</v>
      </c>
      <c r="D40" s="60"/>
      <c r="E40" s="60"/>
      <c r="F40" s="60"/>
      <c r="G40" s="60"/>
      <c r="H40" s="60"/>
      <c r="I40" s="60"/>
      <c r="J40" s="60"/>
      <c r="K40" s="60"/>
      <c r="L40" s="18">
        <f t="shared" ref="L40:O40" si="10">L21+L22</f>
        <v>0</v>
      </c>
      <c r="M40" s="22">
        <f t="shared" si="10"/>
        <v>0</v>
      </c>
      <c r="N40" s="22">
        <f t="shared" si="10"/>
        <v>0</v>
      </c>
      <c r="O40" s="63">
        <f t="shared" si="10"/>
        <v>0</v>
      </c>
    </row>
    <row r="41" spans="1:19" ht="18" customHeight="1" thickBot="1" x14ac:dyDescent="0.3">
      <c r="C41" s="29"/>
      <c r="D41" s="29"/>
      <c r="E41" s="29"/>
      <c r="F41" s="29"/>
      <c r="G41" s="29"/>
      <c r="H41" s="29"/>
      <c r="I41" s="29"/>
      <c r="J41" s="29"/>
      <c r="K41" s="29"/>
      <c r="L41" s="29"/>
      <c r="M41" s="29"/>
      <c r="N41" s="29"/>
      <c r="O41" s="29"/>
    </row>
    <row r="42" spans="1:19" ht="18" customHeight="1" thickBot="1" x14ac:dyDescent="0.3">
      <c r="B42" s="15" t="s">
        <v>11</v>
      </c>
      <c r="C42" s="30">
        <f t="shared" ref="C42:O42" si="11">C35+C36+C37+C38+C40+C39</f>
        <v>0</v>
      </c>
      <c r="D42" s="100"/>
      <c r="E42" s="100"/>
      <c r="F42" s="100"/>
      <c r="G42" s="100"/>
      <c r="H42" s="100"/>
      <c r="I42" s="100"/>
      <c r="J42" s="100"/>
      <c r="K42" s="100"/>
      <c r="L42" s="17">
        <f t="shared" si="11"/>
        <v>0</v>
      </c>
      <c r="M42" s="17">
        <f t="shared" si="11"/>
        <v>0</v>
      </c>
      <c r="N42" s="17">
        <f t="shared" si="11"/>
        <v>0</v>
      </c>
      <c r="O42" s="76">
        <f t="shared" si="11"/>
        <v>0</v>
      </c>
    </row>
    <row r="46" spans="1:19" ht="18" customHeight="1" x14ac:dyDescent="0.25">
      <c r="C46" s="1" t="s">
        <v>8</v>
      </c>
    </row>
  </sheetData>
  <mergeCells count="4">
    <mergeCell ref="A33:A34"/>
    <mergeCell ref="B33:B34"/>
    <mergeCell ref="A1:A2"/>
    <mergeCell ref="B1: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6"/>
  <sheetViews>
    <sheetView zoomScale="75" zoomScaleNormal="75" workbookViewId="0">
      <pane xSplit="2" ySplit="2" topLeftCell="AB30" activePane="bottomRight" state="frozen"/>
      <selection pane="topRight" activeCell="C1" sqref="C1"/>
      <selection pane="bottomLeft" activeCell="A3" sqref="A3"/>
      <selection pane="bottomRight" activeCell="A28" sqref="A28:B28"/>
    </sheetView>
  </sheetViews>
  <sheetFormatPr defaultColWidth="8.7109375" defaultRowHeight="18" customHeight="1" x14ac:dyDescent="0.25"/>
  <cols>
    <col min="1" max="2" width="25.5703125" style="1" customWidth="1"/>
    <col min="3" max="36" width="15.5703125" style="1" customWidth="1"/>
    <col min="37" max="37" width="8.7109375" style="1"/>
    <col min="38" max="38" width="15.5703125" style="1" customWidth="1"/>
    <col min="39" max="16384" width="8.7109375" style="1"/>
  </cols>
  <sheetData>
    <row r="1" spans="1:38" ht="29.1" customHeight="1" x14ac:dyDescent="0.25">
      <c r="A1" s="347" t="s">
        <v>0</v>
      </c>
      <c r="B1" s="373" t="s">
        <v>1</v>
      </c>
      <c r="C1" s="342" t="s">
        <v>40</v>
      </c>
      <c r="D1" s="343"/>
      <c r="E1" s="343"/>
      <c r="F1" s="367"/>
      <c r="G1" s="344" t="s">
        <v>17</v>
      </c>
      <c r="H1" s="345"/>
      <c r="I1" s="345"/>
      <c r="J1" s="345"/>
      <c r="K1" s="345"/>
      <c r="L1" s="345"/>
      <c r="M1" s="345"/>
      <c r="N1" s="352"/>
      <c r="O1" s="342" t="s">
        <v>18</v>
      </c>
      <c r="P1" s="343"/>
      <c r="Q1" s="343"/>
      <c r="R1" s="343"/>
      <c r="S1" s="343"/>
      <c r="T1" s="343"/>
      <c r="U1" s="343"/>
      <c r="V1" s="367"/>
      <c r="W1" s="344" t="s">
        <v>41</v>
      </c>
      <c r="X1" s="345"/>
      <c r="Y1" s="345"/>
      <c r="Z1" s="352"/>
      <c r="AA1" s="342" t="s">
        <v>20</v>
      </c>
      <c r="AB1" s="343"/>
      <c r="AC1" s="343"/>
      <c r="AD1" s="367"/>
      <c r="AE1" s="368" t="s">
        <v>21</v>
      </c>
      <c r="AF1" s="368"/>
      <c r="AG1" s="368"/>
      <c r="AH1" s="368"/>
      <c r="AI1" s="69" t="s">
        <v>71</v>
      </c>
      <c r="AJ1" s="46" t="s">
        <v>23</v>
      </c>
      <c r="AL1" s="369" t="s">
        <v>24</v>
      </c>
    </row>
    <row r="2" spans="1:38" ht="15.75" thickBot="1" x14ac:dyDescent="0.3">
      <c r="A2" s="353"/>
      <c r="B2" s="374"/>
      <c r="C2" s="33" t="s">
        <v>13</v>
      </c>
      <c r="D2" s="34" t="s">
        <v>14</v>
      </c>
      <c r="E2" s="34" t="s">
        <v>15</v>
      </c>
      <c r="F2" s="35" t="s">
        <v>16</v>
      </c>
      <c r="G2" s="42" t="s">
        <v>13</v>
      </c>
      <c r="H2" s="43"/>
      <c r="I2" s="43" t="s">
        <v>14</v>
      </c>
      <c r="J2" s="48"/>
      <c r="K2" s="43" t="s">
        <v>15</v>
      </c>
      <c r="L2" s="43"/>
      <c r="M2" s="43" t="s">
        <v>16</v>
      </c>
      <c r="N2" s="64"/>
      <c r="O2" s="33" t="s">
        <v>13</v>
      </c>
      <c r="P2" s="34"/>
      <c r="Q2" s="34" t="s">
        <v>14</v>
      </c>
      <c r="R2" s="44"/>
      <c r="S2" s="34" t="s">
        <v>15</v>
      </c>
      <c r="T2" s="34"/>
      <c r="U2" s="34" t="s">
        <v>16</v>
      </c>
      <c r="V2" s="35"/>
      <c r="W2" s="42" t="s">
        <v>13</v>
      </c>
      <c r="X2" s="43" t="s">
        <v>14</v>
      </c>
      <c r="Y2" s="43" t="s">
        <v>15</v>
      </c>
      <c r="Z2" s="64" t="s">
        <v>16</v>
      </c>
      <c r="AA2" s="33" t="s">
        <v>13</v>
      </c>
      <c r="AB2" s="34" t="s">
        <v>14</v>
      </c>
      <c r="AC2" s="34" t="s">
        <v>15</v>
      </c>
      <c r="AD2" s="35" t="s">
        <v>16</v>
      </c>
      <c r="AE2" s="65" t="s">
        <v>13</v>
      </c>
      <c r="AF2" s="45" t="s">
        <v>14</v>
      </c>
      <c r="AG2" s="45" t="s">
        <v>15</v>
      </c>
      <c r="AH2" s="109" t="s">
        <v>16</v>
      </c>
      <c r="AI2" s="70" t="s">
        <v>22</v>
      </c>
      <c r="AJ2" s="49" t="s">
        <v>22</v>
      </c>
      <c r="AL2" s="370"/>
    </row>
    <row r="3" spans="1:38" ht="18" customHeight="1" x14ac:dyDescent="0.25">
      <c r="A3" s="286">
        <v>1</v>
      </c>
      <c r="B3" s="287" t="s">
        <v>3</v>
      </c>
      <c r="C3" s="10">
        <f>'1 Entry Historic Flows'!I3</f>
        <v>0</v>
      </c>
      <c r="D3" s="3">
        <f>'1 Entry Historic Flows'!P3</f>
        <v>0</v>
      </c>
      <c r="E3" s="31">
        <f>'1 Entry Historic Flows'!W3</f>
        <v>0</v>
      </c>
      <c r="F3" s="54">
        <f>'1 Entry Historic Flows'!AD3</f>
        <v>0</v>
      </c>
      <c r="G3" s="194">
        <f>'2. Forecast Normalisation'!$E$6</f>
        <v>1</v>
      </c>
      <c r="H3" s="159">
        <f>C3*G3</f>
        <v>0</v>
      </c>
      <c r="I3" s="143">
        <f>'2. Forecast Normalisation'!$H$6</f>
        <v>1</v>
      </c>
      <c r="J3" s="164">
        <f>D3*I3</f>
        <v>0</v>
      </c>
      <c r="K3" s="143">
        <f>'2. Forecast Normalisation'!$K$6</f>
        <v>1</v>
      </c>
      <c r="L3" s="31">
        <f>E3*K3</f>
        <v>0</v>
      </c>
      <c r="M3" s="143">
        <f>'2. Forecast Normalisation'!$N$6</f>
        <v>1</v>
      </c>
      <c r="N3" s="53">
        <f>F3*M3</f>
        <v>0</v>
      </c>
      <c r="O3" s="194">
        <f>'3. Utilisation Factor'!X3</f>
        <v>1.0615144857669989</v>
      </c>
      <c r="P3" s="159">
        <f>H3*O3</f>
        <v>0</v>
      </c>
      <c r="Q3" s="143">
        <f>'3. Utilisation Factor'!X3</f>
        <v>1.0615144857669989</v>
      </c>
      <c r="R3" s="164">
        <f>J3*Q3</f>
        <v>0</v>
      </c>
      <c r="S3" s="143">
        <f>'3. Utilisation Factor'!X3</f>
        <v>1.0615144857669989</v>
      </c>
      <c r="T3" s="31">
        <f>L3*S3</f>
        <v>0</v>
      </c>
      <c r="U3" s="143">
        <f>'3. Utilisation Factor'!X3</f>
        <v>1.0615144857669989</v>
      </c>
      <c r="V3" s="198">
        <f>N3*U3</f>
        <v>0</v>
      </c>
      <c r="W3" s="32">
        <f>'4. Future Sold inc EC'!E3</f>
        <v>0</v>
      </c>
      <c r="X3" s="31">
        <f>'4. Future Sold inc EC'!H3</f>
        <v>0</v>
      </c>
      <c r="Y3" s="31">
        <f>'4. Future Sold inc EC'!K3</f>
        <v>0</v>
      </c>
      <c r="Z3" s="53">
        <f>'4. Future Sold inc EC'!N3</f>
        <v>0</v>
      </c>
      <c r="AA3" s="32">
        <f>'5. PARCA'!H3</f>
        <v>0</v>
      </c>
      <c r="AB3" s="31">
        <f>'5. PARCA'!I3</f>
        <v>0</v>
      </c>
      <c r="AC3" s="31">
        <f>'5. PARCA'!J3</f>
        <v>0</v>
      </c>
      <c r="AD3" s="53">
        <f>'5. PARCA'!K3</f>
        <v>0</v>
      </c>
      <c r="AE3" s="50">
        <f>MAX(P3,W3,AA3)</f>
        <v>0</v>
      </c>
      <c r="AF3" s="31">
        <f>MAX(R3,X3,AB3)</f>
        <v>0</v>
      </c>
      <c r="AG3" s="31">
        <f>MAX(T3,Y3,AC3)</f>
        <v>0</v>
      </c>
      <c r="AH3" s="175">
        <f>MAX(V3,Z3,AD3)</f>
        <v>0</v>
      </c>
      <c r="AI3" s="110">
        <f>SUM((AE3*92)+(AF3*90)+(AG3*91)+(AH3*92))/365</f>
        <v>0</v>
      </c>
      <c r="AJ3" s="188">
        <f>AI3*-1</f>
        <v>0</v>
      </c>
      <c r="AL3" s="174">
        <f>AI3+AJ3</f>
        <v>0</v>
      </c>
    </row>
    <row r="4" spans="1:38" ht="18" customHeight="1" x14ac:dyDescent="0.25">
      <c r="A4" s="5">
        <v>2</v>
      </c>
      <c r="B4" s="2" t="s">
        <v>4</v>
      </c>
      <c r="C4" s="10">
        <f>'1 Entry Historic Flows'!I4</f>
        <v>180540147.50611302</v>
      </c>
      <c r="D4" s="3">
        <f>'1 Entry Historic Flows'!P4</f>
        <v>275507039.28334904</v>
      </c>
      <c r="E4" s="31">
        <f>'1 Entry Historic Flows'!W4</f>
        <v>15691421.218241761</v>
      </c>
      <c r="F4" s="54">
        <f>'1 Entry Historic Flows'!AD4</f>
        <v>2361765.5468478263</v>
      </c>
      <c r="G4" s="195">
        <f>'2. Forecast Normalisation'!$E$7</f>
        <v>0.99409069120798177</v>
      </c>
      <c r="H4" s="147">
        <f t="shared" ref="H4:H29" si="0">C4*G4</f>
        <v>179473280.02514288</v>
      </c>
      <c r="I4" s="143">
        <f>'2. Forecast Normalisation'!$H$7</f>
        <v>1.0268424833119456</v>
      </c>
      <c r="J4" s="164">
        <f t="shared" ref="J4:J29" si="1">D4*I4</f>
        <v>282902332.38763589</v>
      </c>
      <c r="K4" s="143">
        <f>'2. Forecast Normalisation'!$K$7</f>
        <v>0.90915468404239208</v>
      </c>
      <c r="L4" s="31">
        <f t="shared" ref="L4:L29" si="2">E4*K4</f>
        <v>14265929.099846674</v>
      </c>
      <c r="M4" s="143">
        <f>'2. Forecast Normalisation'!$N$7</f>
        <v>0.94136274071626025</v>
      </c>
      <c r="N4" s="54">
        <f t="shared" ref="N4:N29" si="3">F4*M4</f>
        <v>2223278.0881099068</v>
      </c>
      <c r="O4" s="195">
        <f>'3. Utilisation Factor'!X4</f>
        <v>1.0602892745432102</v>
      </c>
      <c r="P4" s="147">
        <f t="shared" ref="P4:P29" si="4">H4*O4</f>
        <v>190293593.87774917</v>
      </c>
      <c r="Q4" s="144">
        <f>'3. Utilisation Factor'!X4</f>
        <v>1.0602892745432102</v>
      </c>
      <c r="R4" s="165">
        <f t="shared" ref="R4:R29" si="5">J4*Q4</f>
        <v>299958308.77386856</v>
      </c>
      <c r="S4" s="143">
        <f>'3. Utilisation Factor'!X4</f>
        <v>1.0602892745432102</v>
      </c>
      <c r="T4" s="3">
        <f t="shared" ref="T4:T29" si="6">L4*S4</f>
        <v>15126011.615961302</v>
      </c>
      <c r="U4" s="144">
        <f>'3. Utilisation Factor'!X4</f>
        <v>1.0602892745432102</v>
      </c>
      <c r="V4" s="199">
        <f t="shared" ref="V4:V29" si="7">N4*U4</f>
        <v>2357317.9111498683</v>
      </c>
      <c r="W4" s="10">
        <f>'4. Future Sold inc EC'!E4</f>
        <v>27150000</v>
      </c>
      <c r="X4" s="3">
        <f>'4. Future Sold inc EC'!H4</f>
        <v>151502392</v>
      </c>
      <c r="Y4" s="31">
        <f>'4. Future Sold inc EC'!K4</f>
        <v>0</v>
      </c>
      <c r="Z4" s="54">
        <f>'4. Future Sold inc EC'!N4</f>
        <v>0</v>
      </c>
      <c r="AA4" s="10">
        <f>'5. PARCA'!H4</f>
        <v>0</v>
      </c>
      <c r="AB4" s="3">
        <f>'5. PARCA'!I4</f>
        <v>0</v>
      </c>
      <c r="AC4" s="3">
        <f>'5. PARCA'!J4</f>
        <v>0</v>
      </c>
      <c r="AD4" s="54">
        <f>'5. PARCA'!K4</f>
        <v>0</v>
      </c>
      <c r="AE4" s="51">
        <f t="shared" ref="AE4:AE29" si="8">MAX(P4,W4,AA4)</f>
        <v>190293593.87774917</v>
      </c>
      <c r="AF4" s="3">
        <f t="shared" ref="AF4:AF29" si="9">MAX(R4,X4,AB4)</f>
        <v>299958308.77386856</v>
      </c>
      <c r="AG4" s="3">
        <f t="shared" ref="AG4:AG29" si="10">MAX(T4,Y4,AC4)</f>
        <v>15126011.615961302</v>
      </c>
      <c r="AH4" s="176">
        <f t="shared" ref="AH4:AH29" si="11">MAX(V4,Z4,AD4)</f>
        <v>2357317.9111498683</v>
      </c>
      <c r="AI4" s="107">
        <f t="shared" ref="AI4:AI29" si="12">SUM((AE4*92)+(AF4*90)+(AG4*91)+(AH4*92))/365</f>
        <v>126292051.31857358</v>
      </c>
      <c r="AJ4" s="179"/>
      <c r="AL4" s="107">
        <f t="shared" ref="AL4:AL29" si="13">AI4+AJ4</f>
        <v>126292051.31857358</v>
      </c>
    </row>
    <row r="5" spans="1:38" ht="18" customHeight="1" x14ac:dyDescent="0.25">
      <c r="A5" s="6">
        <v>3</v>
      </c>
      <c r="B5" s="2" t="s">
        <v>5</v>
      </c>
      <c r="C5" s="10">
        <f>'1 Entry Historic Flows'!I5</f>
        <v>341655654.52173913</v>
      </c>
      <c r="D5" s="3">
        <f>'1 Entry Historic Flows'!P5</f>
        <v>374812483.71111113</v>
      </c>
      <c r="E5" s="31">
        <f>'1 Entry Historic Flows'!W5</f>
        <v>360171780.08791214</v>
      </c>
      <c r="F5" s="54">
        <f>'1 Entry Historic Flows'!AD5</f>
        <v>309025882</v>
      </c>
      <c r="G5" s="195">
        <f>'2. Forecast Normalisation'!$E$8</f>
        <v>0.99409069120798177</v>
      </c>
      <c r="H5" s="147">
        <f t="shared" si="0"/>
        <v>339636705.75863105</v>
      </c>
      <c r="I5" s="143">
        <f>'2. Forecast Normalisation'!$H$8</f>
        <v>1.0268424833119456</v>
      </c>
      <c r="J5" s="164">
        <f t="shared" si="1"/>
        <v>384873381.55023551</v>
      </c>
      <c r="K5" s="143">
        <f>'2. Forecast Normalisation'!$K$8</f>
        <v>0.90915468404239208</v>
      </c>
      <c r="L5" s="31">
        <f t="shared" si="2"/>
        <v>327451860.9268117</v>
      </c>
      <c r="M5" s="143">
        <f>'2. Forecast Normalisation'!$N$8</f>
        <v>0.94136274071626025</v>
      </c>
      <c r="N5" s="54">
        <f t="shared" si="3"/>
        <v>290905451.23177963</v>
      </c>
      <c r="O5" s="195">
        <f>'3. Utilisation Factor'!X5</f>
        <v>1.0206646549968539</v>
      </c>
      <c r="P5" s="147">
        <f t="shared" si="4"/>
        <v>346655181.10740113</v>
      </c>
      <c r="Q5" s="144">
        <f>'3. Utilisation Factor'!X5</f>
        <v>1.0206646549968539</v>
      </c>
      <c r="R5" s="165">
        <f t="shared" si="5"/>
        <v>392826657.19744366</v>
      </c>
      <c r="S5" s="143">
        <f>'3. Utilisation Factor'!X5</f>
        <v>1.0206646549968539</v>
      </c>
      <c r="T5" s="3">
        <f t="shared" si="6"/>
        <v>334218540.66094202</v>
      </c>
      <c r="U5" s="144">
        <f>'3. Utilisation Factor'!X5</f>
        <v>1.0206646549968539</v>
      </c>
      <c r="V5" s="199">
        <f t="shared" si="7"/>
        <v>296916912.01818848</v>
      </c>
      <c r="W5" s="10">
        <f>'4. Future Sold inc EC'!E5</f>
        <v>332718455</v>
      </c>
      <c r="X5" s="3">
        <f>'4. Future Sold inc EC'!H5</f>
        <v>485600000</v>
      </c>
      <c r="Y5" s="31">
        <f>'4. Future Sold inc EC'!K5</f>
        <v>23893121</v>
      </c>
      <c r="Z5" s="54">
        <f>'4. Future Sold inc EC'!N5</f>
        <v>38993121</v>
      </c>
      <c r="AA5" s="10">
        <f>'5. PARCA'!H5</f>
        <v>0</v>
      </c>
      <c r="AB5" s="3">
        <f>'5. PARCA'!I5</f>
        <v>0</v>
      </c>
      <c r="AC5" s="3">
        <f>'5. PARCA'!J5</f>
        <v>0</v>
      </c>
      <c r="AD5" s="54">
        <f>'5. PARCA'!K5</f>
        <v>0</v>
      </c>
      <c r="AE5" s="51">
        <f t="shared" si="8"/>
        <v>346655181.10740113</v>
      </c>
      <c r="AF5" s="3">
        <f t="shared" si="9"/>
        <v>485600000</v>
      </c>
      <c r="AG5" s="3">
        <f t="shared" si="10"/>
        <v>334218540.66094202</v>
      </c>
      <c r="AH5" s="176">
        <f t="shared" si="11"/>
        <v>296916912.01818848</v>
      </c>
      <c r="AI5" s="107">
        <f t="shared" si="12"/>
        <v>365278136.34986293</v>
      </c>
      <c r="AJ5" s="179"/>
      <c r="AL5" s="107">
        <f t="shared" si="13"/>
        <v>365278136.34986293</v>
      </c>
    </row>
    <row r="6" spans="1:38" ht="18" customHeight="1" x14ac:dyDescent="0.25">
      <c r="A6" s="5">
        <v>4</v>
      </c>
      <c r="B6" s="2" t="s">
        <v>6</v>
      </c>
      <c r="C6" s="10">
        <f>'1 Entry Historic Flows'!I6</f>
        <v>14274593.586956527</v>
      </c>
      <c r="D6" s="3">
        <f>'1 Entry Historic Flows'!P6</f>
        <v>12152470.977777781</v>
      </c>
      <c r="E6" s="31">
        <f>'1 Entry Historic Flows'!W6</f>
        <v>10433162.747252746</v>
      </c>
      <c r="F6" s="54">
        <f>'1 Entry Historic Flows'!AD6</f>
        <v>9991326.3043478243</v>
      </c>
      <c r="G6" s="195">
        <f>'2. Forecast Normalisation'!$E$9</f>
        <v>0.99409069120798177</v>
      </c>
      <c r="H6" s="147">
        <f t="shared" si="0"/>
        <v>14190240.605570639</v>
      </c>
      <c r="I6" s="143">
        <f>'2. Forecast Normalisation'!$H$9</f>
        <v>1.0268424833119456</v>
      </c>
      <c r="J6" s="164">
        <f t="shared" si="1"/>
        <v>12478673.477197684</v>
      </c>
      <c r="K6" s="143">
        <f>'2. Forecast Normalisation'!$K$9</f>
        <v>0.90915468404239208</v>
      </c>
      <c r="L6" s="31">
        <f t="shared" si="2"/>
        <v>9485358.7810414247</v>
      </c>
      <c r="M6" s="143">
        <f>'2. Forecast Normalisation'!$N$9</f>
        <v>0.94136274071626025</v>
      </c>
      <c r="N6" s="54">
        <f t="shared" si="3"/>
        <v>9405462.3132513314</v>
      </c>
      <c r="O6" s="195">
        <f>'3. Utilisation Factor'!X6</f>
        <v>1.6901317545151358</v>
      </c>
      <c r="P6" s="147">
        <f t="shared" si="4"/>
        <v>23983376.251685027</v>
      </c>
      <c r="Q6" s="144">
        <f>'3. Utilisation Factor'!X6</f>
        <v>1.6901317545151358</v>
      </c>
      <c r="R6" s="165">
        <f t="shared" si="5"/>
        <v>21090602.298037611</v>
      </c>
      <c r="S6" s="143">
        <f>'3. Utilisation Factor'!X6</f>
        <v>1.6901317545151358</v>
      </c>
      <c r="T6" s="3">
        <f t="shared" si="6"/>
        <v>16031506.078807093</v>
      </c>
      <c r="U6" s="144">
        <f>'3. Utilisation Factor'!X6</f>
        <v>1.6901317545151358</v>
      </c>
      <c r="V6" s="199">
        <f t="shared" si="7"/>
        <v>15896470.52152146</v>
      </c>
      <c r="W6" s="10">
        <f>'4. Future Sold inc EC'!E6</f>
        <v>0</v>
      </c>
      <c r="X6" s="3">
        <f>'4. Future Sold inc EC'!H6</f>
        <v>0</v>
      </c>
      <c r="Y6" s="31">
        <f>'4. Future Sold inc EC'!K6</f>
        <v>0</v>
      </c>
      <c r="Z6" s="54">
        <f>'4. Future Sold inc EC'!N6</f>
        <v>0</v>
      </c>
      <c r="AA6" s="10">
        <f>'5. PARCA'!H6</f>
        <v>0</v>
      </c>
      <c r="AB6" s="3">
        <f>'5. PARCA'!I6</f>
        <v>0</v>
      </c>
      <c r="AC6" s="3">
        <f>'5. PARCA'!J6</f>
        <v>0</v>
      </c>
      <c r="AD6" s="54">
        <f>'5. PARCA'!K6</f>
        <v>0</v>
      </c>
      <c r="AE6" s="51">
        <f t="shared" si="8"/>
        <v>23983376.251685027</v>
      </c>
      <c r="AF6" s="3">
        <f t="shared" si="9"/>
        <v>21090602.298037611</v>
      </c>
      <c r="AG6" s="3">
        <f t="shared" si="10"/>
        <v>16031506.078807093</v>
      </c>
      <c r="AH6" s="176">
        <f t="shared" si="11"/>
        <v>15896470.52152146</v>
      </c>
      <c r="AI6" s="107">
        <f t="shared" si="12"/>
        <v>19249225.10446528</v>
      </c>
      <c r="AJ6" s="179"/>
      <c r="AL6" s="107">
        <f t="shared" si="13"/>
        <v>19249225.10446528</v>
      </c>
    </row>
    <row r="7" spans="1:38" ht="18" customHeight="1" x14ac:dyDescent="0.25">
      <c r="A7" s="5">
        <v>5</v>
      </c>
      <c r="B7" s="2" t="s">
        <v>5</v>
      </c>
      <c r="C7" s="10">
        <f>'1 Entry Historic Flows'!I7</f>
        <v>30437900.493478268</v>
      </c>
      <c r="D7" s="3">
        <f>'1 Entry Historic Flows'!P7</f>
        <v>44482924.419999994</v>
      </c>
      <c r="E7" s="31">
        <f>'1 Entry Historic Flows'!W7</f>
        <v>36485002.835164838</v>
      </c>
      <c r="F7" s="54">
        <f>'1 Entry Historic Flows'!AD7</f>
        <v>14235857.565217391</v>
      </c>
      <c r="G7" s="195">
        <f>'2. Forecast Normalisation'!$E$8</f>
        <v>0.99409069120798177</v>
      </c>
      <c r="H7" s="147">
        <f t="shared" si="0"/>
        <v>30258033.540481582</v>
      </c>
      <c r="I7" s="144">
        <f>'2. Forecast Normalisation'!$H$8</f>
        <v>1.0268424833119456</v>
      </c>
      <c r="J7" s="165">
        <f t="shared" si="1"/>
        <v>45676956.576410383</v>
      </c>
      <c r="K7" s="143">
        <f>'2. Forecast Normalisation'!$K$8</f>
        <v>0.90915468404239208</v>
      </c>
      <c r="L7" s="3">
        <f t="shared" si="2"/>
        <v>33170511.224890068</v>
      </c>
      <c r="M7" s="144">
        <f>'2. Forecast Normalisation'!$N$8</f>
        <v>0.94136274071626025</v>
      </c>
      <c r="N7" s="54">
        <f t="shared" si="3"/>
        <v>13401105.89403935</v>
      </c>
      <c r="O7" s="195">
        <f>'3. Utilisation Factor'!X7</f>
        <v>1.0206646549968539</v>
      </c>
      <c r="P7" s="147">
        <f t="shared" si="4"/>
        <v>30883305.364478868</v>
      </c>
      <c r="Q7" s="144">
        <f>'3. Utilisation Factor'!X7</f>
        <v>1.0206646549968539</v>
      </c>
      <c r="R7" s="165">
        <f t="shared" si="5"/>
        <v>46620855.125368178</v>
      </c>
      <c r="S7" s="143">
        <f>'3. Utilisation Factor'!X7</f>
        <v>1.0206646549968539</v>
      </c>
      <c r="T7" s="3">
        <f t="shared" si="6"/>
        <v>33855968.395421691</v>
      </c>
      <c r="U7" s="144">
        <f>'3. Utilisation Factor'!X7</f>
        <v>1.0206646549968539</v>
      </c>
      <c r="V7" s="199">
        <f t="shared" si="7"/>
        <v>13678035.123915978</v>
      </c>
      <c r="W7" s="10">
        <f>'4. Future Sold inc EC'!E7</f>
        <v>12844254</v>
      </c>
      <c r="X7" s="3">
        <f>'4. Future Sold inc EC'!H7</f>
        <v>70068930</v>
      </c>
      <c r="Y7" s="31">
        <f>'4. Future Sold inc EC'!K7</f>
        <v>7442443</v>
      </c>
      <c r="Z7" s="54">
        <f>'4. Future Sold inc EC'!N7</f>
        <v>10992320</v>
      </c>
      <c r="AA7" s="10">
        <f>'5. PARCA'!H7</f>
        <v>0</v>
      </c>
      <c r="AB7" s="3">
        <f>'5. PARCA'!I7</f>
        <v>0</v>
      </c>
      <c r="AC7" s="3">
        <f>'5. PARCA'!J7</f>
        <v>0</v>
      </c>
      <c r="AD7" s="54">
        <f>'5. PARCA'!K7</f>
        <v>0</v>
      </c>
      <c r="AE7" s="51">
        <f t="shared" si="8"/>
        <v>30883305.364478868</v>
      </c>
      <c r="AF7" s="3">
        <f t="shared" si="9"/>
        <v>70068930</v>
      </c>
      <c r="AG7" s="3">
        <f t="shared" si="10"/>
        <v>33855968.395421691</v>
      </c>
      <c r="AH7" s="176">
        <f t="shared" si="11"/>
        <v>13678035.123915978</v>
      </c>
      <c r="AI7" s="107">
        <f t="shared" si="12"/>
        <v>36949973.010727942</v>
      </c>
      <c r="AJ7" s="179"/>
      <c r="AL7" s="107">
        <f t="shared" si="13"/>
        <v>36949973.010727942</v>
      </c>
    </row>
    <row r="8" spans="1:38" ht="18" customHeight="1" x14ac:dyDescent="0.25">
      <c r="A8" s="5">
        <v>6</v>
      </c>
      <c r="B8" s="2" t="s">
        <v>3</v>
      </c>
      <c r="C8" s="10">
        <f>'1 Entry Historic Flows'!I8</f>
        <v>6936199.9347826084</v>
      </c>
      <c r="D8" s="3">
        <f>'1 Entry Historic Flows'!P8</f>
        <v>23617666.600000001</v>
      </c>
      <c r="E8" s="31">
        <f>'1 Entry Historic Flows'!W8</f>
        <v>3316254.8571428577</v>
      </c>
      <c r="F8" s="54">
        <f>'1 Entry Historic Flows'!AD8</f>
        <v>931576.36956521741</v>
      </c>
      <c r="G8" s="195">
        <f>'2. Forecast Normalisation'!$E$6</f>
        <v>1</v>
      </c>
      <c r="H8" s="147">
        <f t="shared" si="0"/>
        <v>6936199.9347826084</v>
      </c>
      <c r="I8" s="144">
        <f>'2. Forecast Normalisation'!$H$6</f>
        <v>1</v>
      </c>
      <c r="J8" s="165">
        <f t="shared" si="1"/>
        <v>23617666.600000001</v>
      </c>
      <c r="K8" s="143">
        <f>'2. Forecast Normalisation'!$K$6</f>
        <v>1</v>
      </c>
      <c r="L8" s="3">
        <f t="shared" si="2"/>
        <v>3316254.8571428577</v>
      </c>
      <c r="M8" s="144">
        <f>'2. Forecast Normalisation'!$N$6</f>
        <v>1</v>
      </c>
      <c r="N8" s="54">
        <f t="shared" si="3"/>
        <v>931576.36956521741</v>
      </c>
      <c r="O8" s="195">
        <f>'3. Utilisation Factor'!X8</f>
        <v>1.0615144857669989</v>
      </c>
      <c r="P8" s="147">
        <f t="shared" si="4"/>
        <v>7362876.7069478519</v>
      </c>
      <c r="Q8" s="144">
        <f>'3. Utilisation Factor'!X8</f>
        <v>1.0615144857669989</v>
      </c>
      <c r="R8" s="165">
        <f t="shared" si="5"/>
        <v>25070495.215915427</v>
      </c>
      <c r="S8" s="143">
        <f>'3. Utilisation Factor'!X8</f>
        <v>1.0615144857669989</v>
      </c>
      <c r="T8" s="3">
        <f t="shared" si="6"/>
        <v>3520252.5693523129</v>
      </c>
      <c r="U8" s="144">
        <f>'3. Utilisation Factor'!X8</f>
        <v>1.0615144857669989</v>
      </c>
      <c r="V8" s="201">
        <f t="shared" si="7"/>
        <v>988881.81089170952</v>
      </c>
      <c r="W8" s="10">
        <f>'4. Future Sold inc EC'!E8</f>
        <v>72000000</v>
      </c>
      <c r="X8" s="3">
        <f>'4. Future Sold inc EC'!H8</f>
        <v>72000000</v>
      </c>
      <c r="Y8" s="31">
        <f>'4. Future Sold inc EC'!K8</f>
        <v>0</v>
      </c>
      <c r="Z8" s="54">
        <f>'4. Future Sold inc EC'!N8</f>
        <v>0</v>
      </c>
      <c r="AA8" s="10">
        <f>'5. PARCA'!H8</f>
        <v>0</v>
      </c>
      <c r="AB8" s="3">
        <f>'5. PARCA'!I8</f>
        <v>0</v>
      </c>
      <c r="AC8" s="3">
        <f>'5. PARCA'!J8</f>
        <v>0</v>
      </c>
      <c r="AD8" s="54">
        <f>'5. PARCA'!K8</f>
        <v>0</v>
      </c>
      <c r="AE8" s="51">
        <f t="shared" si="8"/>
        <v>72000000</v>
      </c>
      <c r="AF8" s="3">
        <f t="shared" si="9"/>
        <v>72000000</v>
      </c>
      <c r="AG8" s="3">
        <f t="shared" si="10"/>
        <v>3520252.5693523129</v>
      </c>
      <c r="AH8" s="176">
        <f t="shared" si="11"/>
        <v>988881.81089170952</v>
      </c>
      <c r="AI8" s="107">
        <f t="shared" si="12"/>
        <v>37028274.275104374</v>
      </c>
      <c r="AJ8" s="179"/>
      <c r="AL8" s="107">
        <f t="shared" si="13"/>
        <v>37028274.275104374</v>
      </c>
    </row>
    <row r="9" spans="1:38" ht="18" customHeight="1" x14ac:dyDescent="0.25">
      <c r="A9" s="6">
        <v>7</v>
      </c>
      <c r="B9" s="2" t="s">
        <v>6</v>
      </c>
      <c r="C9" s="10">
        <f>'1 Entry Historic Flows'!I9</f>
        <v>0</v>
      </c>
      <c r="D9" s="3">
        <f>'1 Entry Historic Flows'!P9</f>
        <v>0</v>
      </c>
      <c r="E9" s="31">
        <f>'1 Entry Historic Flows'!W9</f>
        <v>0</v>
      </c>
      <c r="F9" s="54">
        <f>'1 Entry Historic Flows'!AD9</f>
        <v>0</v>
      </c>
      <c r="G9" s="195">
        <f>'2. Forecast Normalisation'!$E$9</f>
        <v>0.99409069120798177</v>
      </c>
      <c r="H9" s="147">
        <f t="shared" si="0"/>
        <v>0</v>
      </c>
      <c r="I9" s="144">
        <f>'2. Forecast Normalisation'!$H$9</f>
        <v>1.0268424833119456</v>
      </c>
      <c r="J9" s="165">
        <f t="shared" si="1"/>
        <v>0</v>
      </c>
      <c r="K9" s="143">
        <f>'2. Forecast Normalisation'!$K$9</f>
        <v>0.90915468404239208</v>
      </c>
      <c r="L9" s="3">
        <f t="shared" si="2"/>
        <v>0</v>
      </c>
      <c r="M9" s="144">
        <f>'2. Forecast Normalisation'!$N$9</f>
        <v>0.94136274071626025</v>
      </c>
      <c r="N9" s="54">
        <f t="shared" si="3"/>
        <v>0</v>
      </c>
      <c r="O9" s="195">
        <f>'3. Utilisation Factor'!X9</f>
        <v>1.6901317545151358</v>
      </c>
      <c r="P9" s="147">
        <f t="shared" si="4"/>
        <v>0</v>
      </c>
      <c r="Q9" s="144">
        <f>'3. Utilisation Factor'!X9</f>
        <v>1.6901317545151358</v>
      </c>
      <c r="R9" s="165">
        <f t="shared" si="5"/>
        <v>0</v>
      </c>
      <c r="S9" s="143">
        <f>'3. Utilisation Factor'!X9</f>
        <v>1.6901317545151358</v>
      </c>
      <c r="T9" s="3">
        <f t="shared" si="6"/>
        <v>0</v>
      </c>
      <c r="U9" s="144">
        <f>'3. Utilisation Factor'!X9</f>
        <v>1.6901317545151358</v>
      </c>
      <c r="V9" s="199">
        <f t="shared" si="7"/>
        <v>0</v>
      </c>
      <c r="W9" s="10">
        <f>'4. Future Sold inc EC'!E9</f>
        <v>0</v>
      </c>
      <c r="X9" s="3">
        <f>'4. Future Sold inc EC'!H9</f>
        <v>0</v>
      </c>
      <c r="Y9" s="31">
        <f>'4. Future Sold inc EC'!K9</f>
        <v>0</v>
      </c>
      <c r="Z9" s="54">
        <f>'4. Future Sold inc EC'!N9</f>
        <v>0</v>
      </c>
      <c r="AA9" s="10">
        <f>'5. PARCA'!H9</f>
        <v>0</v>
      </c>
      <c r="AB9" s="3">
        <f>'5. PARCA'!I9</f>
        <v>0</v>
      </c>
      <c r="AC9" s="3">
        <f>'5. PARCA'!J9</f>
        <v>0</v>
      </c>
      <c r="AD9" s="54">
        <f>'5. PARCA'!K9</f>
        <v>0</v>
      </c>
      <c r="AE9" s="51">
        <f t="shared" si="8"/>
        <v>0</v>
      </c>
      <c r="AF9" s="3">
        <f t="shared" si="9"/>
        <v>0</v>
      </c>
      <c r="AG9" s="3">
        <f t="shared" si="10"/>
        <v>0</v>
      </c>
      <c r="AH9" s="176">
        <f t="shared" si="11"/>
        <v>0</v>
      </c>
      <c r="AI9" s="107">
        <f t="shared" si="12"/>
        <v>0</v>
      </c>
      <c r="AJ9" s="179"/>
      <c r="AL9" s="107">
        <f t="shared" si="13"/>
        <v>0</v>
      </c>
    </row>
    <row r="10" spans="1:38" ht="18" customHeight="1" x14ac:dyDescent="0.25">
      <c r="A10" s="5">
        <v>8</v>
      </c>
      <c r="B10" s="2" t="s">
        <v>3</v>
      </c>
      <c r="C10" s="10">
        <f>'1 Entry Historic Flows'!I10</f>
        <v>50543222.065217391</v>
      </c>
      <c r="D10" s="3">
        <f>'1 Entry Historic Flows'!P10</f>
        <v>85849712.666666672</v>
      </c>
      <c r="E10" s="31">
        <f>'1 Entry Historic Flows'!W10</f>
        <v>45962003.274725273</v>
      </c>
      <c r="F10" s="54">
        <f>'1 Entry Historic Flows'!AD10</f>
        <v>41885567.565217391</v>
      </c>
      <c r="G10" s="195">
        <f>'2. Forecast Normalisation'!$E$6</f>
        <v>1</v>
      </c>
      <c r="H10" s="147">
        <f t="shared" si="0"/>
        <v>50543222.065217391</v>
      </c>
      <c r="I10" s="144">
        <f>'2. Forecast Normalisation'!$H$6</f>
        <v>1</v>
      </c>
      <c r="J10" s="165">
        <f t="shared" si="1"/>
        <v>85849712.666666672</v>
      </c>
      <c r="K10" s="143">
        <f>'2. Forecast Normalisation'!$K$6</f>
        <v>1</v>
      </c>
      <c r="L10" s="3">
        <f t="shared" si="2"/>
        <v>45962003.274725273</v>
      </c>
      <c r="M10" s="144">
        <f>'2. Forecast Normalisation'!$N$6</f>
        <v>1</v>
      </c>
      <c r="N10" s="54">
        <f t="shared" si="3"/>
        <v>41885567.565217391</v>
      </c>
      <c r="O10" s="195">
        <f>'3. Utilisation Factor'!X10</f>
        <v>1.0615144857669989</v>
      </c>
      <c r="P10" s="147">
        <f t="shared" si="4"/>
        <v>53652362.379566468</v>
      </c>
      <c r="Q10" s="144">
        <f>'3. Utilisation Factor'!X10</f>
        <v>1.0615144857669989</v>
      </c>
      <c r="R10" s="165">
        <f t="shared" si="5"/>
        <v>91130713.594601288</v>
      </c>
      <c r="S10" s="143">
        <f>'3. Utilisation Factor'!X10</f>
        <v>1.0615144857669989</v>
      </c>
      <c r="T10" s="3">
        <f t="shared" si="6"/>
        <v>48789332.270991117</v>
      </c>
      <c r="U10" s="144">
        <f>'3. Utilisation Factor'!X10</f>
        <v>1.0615144857669989</v>
      </c>
      <c r="V10" s="199">
        <f t="shared" si="7"/>
        <v>44462136.71505063</v>
      </c>
      <c r="W10" s="10">
        <f>'4. Future Sold inc EC'!E10</f>
        <v>541245000</v>
      </c>
      <c r="X10" s="3">
        <f>'4. Future Sold inc EC'!H10</f>
        <v>541245000</v>
      </c>
      <c r="Y10" s="31">
        <f>'4. Future Sold inc EC'!K10</f>
        <v>541245000</v>
      </c>
      <c r="Z10" s="54">
        <f>'4. Future Sold inc EC'!N10</f>
        <v>541245000</v>
      </c>
      <c r="AA10" s="10">
        <f>'5. PARCA'!H10</f>
        <v>0</v>
      </c>
      <c r="AB10" s="3">
        <f>'5. PARCA'!I10</f>
        <v>0</v>
      </c>
      <c r="AC10" s="3">
        <f>'5. PARCA'!J10</f>
        <v>0</v>
      </c>
      <c r="AD10" s="54">
        <f>'5. PARCA'!K10</f>
        <v>0</v>
      </c>
      <c r="AE10" s="51">
        <f t="shared" si="8"/>
        <v>541245000</v>
      </c>
      <c r="AF10" s="3">
        <f t="shared" si="9"/>
        <v>541245000</v>
      </c>
      <c r="AG10" s="3">
        <f t="shared" si="10"/>
        <v>541245000</v>
      </c>
      <c r="AH10" s="176">
        <f t="shared" si="11"/>
        <v>541245000</v>
      </c>
      <c r="AI10" s="107">
        <f t="shared" si="12"/>
        <v>541245000</v>
      </c>
      <c r="AJ10" s="179"/>
      <c r="AL10" s="107">
        <f t="shared" si="13"/>
        <v>541245000</v>
      </c>
    </row>
    <row r="11" spans="1:38" ht="18" customHeight="1" x14ac:dyDescent="0.25">
      <c r="A11" s="5">
        <v>9</v>
      </c>
      <c r="B11" s="2" t="s">
        <v>3</v>
      </c>
      <c r="C11" s="10">
        <f>'1 Entry Historic Flows'!I11</f>
        <v>0</v>
      </c>
      <c r="D11" s="3">
        <f>'1 Entry Historic Flows'!P11</f>
        <v>0</v>
      </c>
      <c r="E11" s="31">
        <f>'1 Entry Historic Flows'!W11</f>
        <v>0</v>
      </c>
      <c r="F11" s="54">
        <f>'1 Entry Historic Flows'!AD11</f>
        <v>0</v>
      </c>
      <c r="G11" s="195">
        <f>'2. Forecast Normalisation'!$E$6</f>
        <v>1</v>
      </c>
      <c r="H11" s="147">
        <f t="shared" si="0"/>
        <v>0</v>
      </c>
      <c r="I11" s="144">
        <f>'2. Forecast Normalisation'!$H$6</f>
        <v>1</v>
      </c>
      <c r="J11" s="165">
        <f t="shared" si="1"/>
        <v>0</v>
      </c>
      <c r="K11" s="143">
        <f>'2. Forecast Normalisation'!$K$6</f>
        <v>1</v>
      </c>
      <c r="L11" s="3">
        <f t="shared" si="2"/>
        <v>0</v>
      </c>
      <c r="M11" s="144">
        <f>'2. Forecast Normalisation'!$N$6</f>
        <v>1</v>
      </c>
      <c r="N11" s="54">
        <f t="shared" si="3"/>
        <v>0</v>
      </c>
      <c r="O11" s="195">
        <f>'3. Utilisation Factor'!X11</f>
        <v>1.0615144857669989</v>
      </c>
      <c r="P11" s="147">
        <f t="shared" si="4"/>
        <v>0</v>
      </c>
      <c r="Q11" s="144">
        <f>'3. Utilisation Factor'!X11</f>
        <v>1.0615144857669989</v>
      </c>
      <c r="R11" s="165">
        <f t="shared" si="5"/>
        <v>0</v>
      </c>
      <c r="S11" s="143">
        <f>'3. Utilisation Factor'!X11</f>
        <v>1.0615144857669989</v>
      </c>
      <c r="T11" s="3">
        <f t="shared" si="6"/>
        <v>0</v>
      </c>
      <c r="U11" s="144">
        <f>'3. Utilisation Factor'!X11</f>
        <v>1.0615144857669989</v>
      </c>
      <c r="V11" s="201">
        <f t="shared" si="7"/>
        <v>0</v>
      </c>
      <c r="W11" s="10">
        <f>'4. Future Sold inc EC'!E11</f>
        <v>90000000</v>
      </c>
      <c r="X11" s="3">
        <f>'4. Future Sold inc EC'!H11</f>
        <v>90000000</v>
      </c>
      <c r="Y11" s="31">
        <f>'4. Future Sold inc EC'!K11</f>
        <v>90000000</v>
      </c>
      <c r="Z11" s="54">
        <f>'4. Future Sold inc EC'!N11</f>
        <v>90000000</v>
      </c>
      <c r="AA11" s="10">
        <f>'5. PARCA'!H11</f>
        <v>0</v>
      </c>
      <c r="AB11" s="3">
        <f>'5. PARCA'!I11</f>
        <v>0</v>
      </c>
      <c r="AC11" s="3">
        <f>'5. PARCA'!J11</f>
        <v>0</v>
      </c>
      <c r="AD11" s="54">
        <f>'5. PARCA'!K11</f>
        <v>0</v>
      </c>
      <c r="AE11" s="51">
        <f t="shared" si="8"/>
        <v>90000000</v>
      </c>
      <c r="AF11" s="3">
        <f t="shared" si="9"/>
        <v>90000000</v>
      </c>
      <c r="AG11" s="3">
        <f t="shared" si="10"/>
        <v>90000000</v>
      </c>
      <c r="AH11" s="176">
        <f t="shared" si="11"/>
        <v>90000000</v>
      </c>
      <c r="AI11" s="107">
        <f t="shared" si="12"/>
        <v>90000000</v>
      </c>
      <c r="AJ11" s="179"/>
      <c r="AL11" s="107">
        <f t="shared" si="13"/>
        <v>90000000</v>
      </c>
    </row>
    <row r="12" spans="1:38" ht="18" customHeight="1" x14ac:dyDescent="0.25">
      <c r="A12" s="5">
        <v>10</v>
      </c>
      <c r="B12" s="2" t="s">
        <v>3</v>
      </c>
      <c r="C12" s="10">
        <f>'1 Entry Historic Flows'!I12</f>
        <v>0</v>
      </c>
      <c r="D12" s="3">
        <f>'1 Entry Historic Flows'!P12</f>
        <v>0</v>
      </c>
      <c r="E12" s="31">
        <f>'1 Entry Historic Flows'!W12</f>
        <v>0</v>
      </c>
      <c r="F12" s="54">
        <f>'1 Entry Historic Flows'!AD12</f>
        <v>0</v>
      </c>
      <c r="G12" s="195">
        <f>'2. Forecast Normalisation'!$E$6</f>
        <v>1</v>
      </c>
      <c r="H12" s="147">
        <f t="shared" si="0"/>
        <v>0</v>
      </c>
      <c r="I12" s="144">
        <f>'2. Forecast Normalisation'!$H$6</f>
        <v>1</v>
      </c>
      <c r="J12" s="165">
        <f t="shared" si="1"/>
        <v>0</v>
      </c>
      <c r="K12" s="143">
        <f>'2. Forecast Normalisation'!$K$6</f>
        <v>1</v>
      </c>
      <c r="L12" s="3">
        <f t="shared" si="2"/>
        <v>0</v>
      </c>
      <c r="M12" s="144">
        <f>'2. Forecast Normalisation'!$N$6</f>
        <v>1</v>
      </c>
      <c r="N12" s="54">
        <f t="shared" si="3"/>
        <v>0</v>
      </c>
      <c r="O12" s="195">
        <f>'3. Utilisation Factor'!X12</f>
        <v>1.0615144857669989</v>
      </c>
      <c r="P12" s="147">
        <f t="shared" si="4"/>
        <v>0</v>
      </c>
      <c r="Q12" s="144">
        <f>'3. Utilisation Factor'!X12</f>
        <v>1.0615144857669989</v>
      </c>
      <c r="R12" s="165">
        <f t="shared" si="5"/>
        <v>0</v>
      </c>
      <c r="S12" s="143">
        <f>'3. Utilisation Factor'!X12</f>
        <v>1.0615144857669989</v>
      </c>
      <c r="T12" s="3">
        <f t="shared" si="6"/>
        <v>0</v>
      </c>
      <c r="U12" s="144">
        <f>'3. Utilisation Factor'!X12</f>
        <v>1.0615144857669989</v>
      </c>
      <c r="V12" s="199">
        <f t="shared" si="7"/>
        <v>0</v>
      </c>
      <c r="W12" s="10">
        <f>'4. Future Sold inc EC'!E12</f>
        <v>0</v>
      </c>
      <c r="X12" s="3">
        <f>'4. Future Sold inc EC'!H12</f>
        <v>0</v>
      </c>
      <c r="Y12" s="31">
        <f>'4. Future Sold inc EC'!K12</f>
        <v>0</v>
      </c>
      <c r="Z12" s="54">
        <f>'4. Future Sold inc EC'!N12</f>
        <v>0</v>
      </c>
      <c r="AA12" s="10">
        <f>'5. PARCA'!H12</f>
        <v>0</v>
      </c>
      <c r="AB12" s="3">
        <f>'5. PARCA'!I12</f>
        <v>0</v>
      </c>
      <c r="AC12" s="3">
        <f>'5. PARCA'!J12</f>
        <v>0</v>
      </c>
      <c r="AD12" s="54">
        <f>'5. PARCA'!K12</f>
        <v>0</v>
      </c>
      <c r="AE12" s="51">
        <f t="shared" si="8"/>
        <v>0</v>
      </c>
      <c r="AF12" s="3">
        <f t="shared" si="9"/>
        <v>0</v>
      </c>
      <c r="AG12" s="3">
        <f t="shared" si="10"/>
        <v>0</v>
      </c>
      <c r="AH12" s="176">
        <f t="shared" si="11"/>
        <v>0</v>
      </c>
      <c r="AI12" s="107">
        <f t="shared" si="12"/>
        <v>0</v>
      </c>
      <c r="AJ12" s="179"/>
      <c r="AL12" s="107">
        <f t="shared" si="13"/>
        <v>0</v>
      </c>
    </row>
    <row r="13" spans="1:38" ht="18" customHeight="1" x14ac:dyDescent="0.25">
      <c r="A13" s="6">
        <v>11</v>
      </c>
      <c r="B13" s="2" t="s">
        <v>5</v>
      </c>
      <c r="C13" s="10">
        <f>'1 Entry Historic Flows'!I13</f>
        <v>778886033.63043463</v>
      </c>
      <c r="D13" s="3">
        <f>'1 Entry Historic Flows'!P13</f>
        <v>916080667.088889</v>
      </c>
      <c r="E13" s="31">
        <f>'1 Entry Historic Flows'!W13</f>
        <v>462582278.83516502</v>
      </c>
      <c r="F13" s="54">
        <f>'1 Entry Historic Flows'!AD13</f>
        <v>381428604.65217382</v>
      </c>
      <c r="G13" s="195">
        <f>'2. Forecast Normalisation'!$E$8</f>
        <v>0.99409069120798177</v>
      </c>
      <c r="H13" s="147">
        <f t="shared" si="0"/>
        <v>774283355.54392207</v>
      </c>
      <c r="I13" s="144">
        <f>'2. Forecast Normalisation'!$H$8</f>
        <v>1.0268424833119456</v>
      </c>
      <c r="J13" s="165">
        <f t="shared" si="1"/>
        <v>940670547.10761845</v>
      </c>
      <c r="K13" s="143">
        <f>'2. Forecast Normalisation'!$K$8</f>
        <v>0.90915468404239208</v>
      </c>
      <c r="L13" s="3">
        <f t="shared" si="2"/>
        <v>420558845.55799419</v>
      </c>
      <c r="M13" s="144">
        <f>'2. Forecast Normalisation'!$N$8</f>
        <v>0.94136274071626025</v>
      </c>
      <c r="N13" s="54">
        <f t="shared" si="3"/>
        <v>359062676.66294926</v>
      </c>
      <c r="O13" s="195">
        <f>'3. Utilisation Factor'!X13</f>
        <v>1.0206646549968539</v>
      </c>
      <c r="P13" s="147">
        <f t="shared" si="4"/>
        <v>790283653.9560436</v>
      </c>
      <c r="Q13" s="144">
        <f>'3. Utilisation Factor'!X13</f>
        <v>1.0206646549968539</v>
      </c>
      <c r="R13" s="165">
        <f t="shared" si="5"/>
        <v>960109179.42929912</v>
      </c>
      <c r="S13" s="143">
        <f>'3. Utilisation Factor'!X13</f>
        <v>1.0206646549968539</v>
      </c>
      <c r="T13" s="3">
        <f t="shared" si="6"/>
        <v>429249549.00732529</v>
      </c>
      <c r="U13" s="144">
        <f>'3. Utilisation Factor'!X13</f>
        <v>1.0206646549968539</v>
      </c>
      <c r="V13" s="199">
        <f t="shared" si="7"/>
        <v>366482582.99843603</v>
      </c>
      <c r="W13" s="10">
        <f>'4. Future Sold inc EC'!E13</f>
        <v>1017755291</v>
      </c>
      <c r="X13" s="3">
        <f>'4. Future Sold inc EC'!H13</f>
        <v>1266435000</v>
      </c>
      <c r="Y13" s="31">
        <f>'4. Future Sold inc EC'!K13</f>
        <v>42473436</v>
      </c>
      <c r="Z13" s="54">
        <f>'4. Future Sold inc EC'!N13</f>
        <v>41973436</v>
      </c>
      <c r="AA13" s="10">
        <f>'5. PARCA'!H13</f>
        <v>0</v>
      </c>
      <c r="AB13" s="3">
        <f>'5. PARCA'!I13</f>
        <v>0</v>
      </c>
      <c r="AC13" s="3">
        <f>'5. PARCA'!J13</f>
        <v>0</v>
      </c>
      <c r="AD13" s="54">
        <f>'5. PARCA'!K13</f>
        <v>0</v>
      </c>
      <c r="AE13" s="51">
        <f t="shared" si="8"/>
        <v>1017755291</v>
      </c>
      <c r="AF13" s="3">
        <f t="shared" si="9"/>
        <v>1266435000</v>
      </c>
      <c r="AG13" s="3">
        <f t="shared" si="10"/>
        <v>429249549.00732529</v>
      </c>
      <c r="AH13" s="176">
        <f t="shared" si="11"/>
        <v>366482582.99843603</v>
      </c>
      <c r="AI13" s="107">
        <f t="shared" si="12"/>
        <v>768193817.44526768</v>
      </c>
      <c r="AJ13" s="179"/>
      <c r="AL13" s="107">
        <f t="shared" si="13"/>
        <v>768193817.44526768</v>
      </c>
    </row>
    <row r="14" spans="1:38" ht="18" customHeight="1" x14ac:dyDescent="0.25">
      <c r="A14" s="5">
        <v>12</v>
      </c>
      <c r="B14" s="2" t="s">
        <v>3</v>
      </c>
      <c r="C14" s="10">
        <f>'1 Entry Historic Flows'!I14</f>
        <v>0</v>
      </c>
      <c r="D14" s="3">
        <f>'1 Entry Historic Flows'!P14</f>
        <v>0</v>
      </c>
      <c r="E14" s="31">
        <f>'1 Entry Historic Flows'!W14</f>
        <v>0</v>
      </c>
      <c r="F14" s="55">
        <f>'1 Entry Historic Flows'!AD14</f>
        <v>0</v>
      </c>
      <c r="G14" s="195">
        <f>'2. Forecast Normalisation'!$E$6</f>
        <v>1</v>
      </c>
      <c r="H14" s="147">
        <f t="shared" si="0"/>
        <v>0</v>
      </c>
      <c r="I14" s="144">
        <f>'2. Forecast Normalisation'!$H$6</f>
        <v>1</v>
      </c>
      <c r="J14" s="165">
        <f t="shared" si="1"/>
        <v>0</v>
      </c>
      <c r="K14" s="143">
        <f>'2. Forecast Normalisation'!$K$6</f>
        <v>1</v>
      </c>
      <c r="L14" s="3">
        <f t="shared" si="2"/>
        <v>0</v>
      </c>
      <c r="M14" s="144">
        <f>'2. Forecast Normalisation'!$N$6</f>
        <v>1</v>
      </c>
      <c r="N14" s="54">
        <f t="shared" si="3"/>
        <v>0</v>
      </c>
      <c r="O14" s="195">
        <f>'3. Utilisation Factor'!X14</f>
        <v>1.0615144857669989</v>
      </c>
      <c r="P14" s="147">
        <f t="shared" si="4"/>
        <v>0</v>
      </c>
      <c r="Q14" s="144">
        <f>'3. Utilisation Factor'!X14</f>
        <v>1.0615144857669989</v>
      </c>
      <c r="R14" s="165">
        <f t="shared" si="5"/>
        <v>0</v>
      </c>
      <c r="S14" s="143">
        <f>'3. Utilisation Factor'!X14</f>
        <v>1.0615144857669989</v>
      </c>
      <c r="T14" s="3">
        <f t="shared" si="6"/>
        <v>0</v>
      </c>
      <c r="U14" s="144">
        <f>'3. Utilisation Factor'!X14</f>
        <v>1.0615144857669989</v>
      </c>
      <c r="V14" s="199">
        <f t="shared" si="7"/>
        <v>0</v>
      </c>
      <c r="W14" s="10">
        <f>'4. Future Sold inc EC'!E14</f>
        <v>20350000</v>
      </c>
      <c r="X14" s="3">
        <f>'4. Future Sold inc EC'!H14</f>
        <v>20450000</v>
      </c>
      <c r="Y14" s="31">
        <f>'4. Future Sold inc EC'!K14</f>
        <v>20350000</v>
      </c>
      <c r="Z14" s="54">
        <f>'4. Future Sold inc EC'!N14</f>
        <v>20350000</v>
      </c>
      <c r="AA14" s="10">
        <f>'5. PARCA'!H14</f>
        <v>0</v>
      </c>
      <c r="AB14" s="3">
        <f>'5. PARCA'!I14</f>
        <v>0</v>
      </c>
      <c r="AC14" s="3">
        <f>'5. PARCA'!J14</f>
        <v>0</v>
      </c>
      <c r="AD14" s="54">
        <f>'5. PARCA'!K14</f>
        <v>0</v>
      </c>
      <c r="AE14" s="51">
        <f t="shared" si="8"/>
        <v>20350000</v>
      </c>
      <c r="AF14" s="3">
        <f t="shared" si="9"/>
        <v>20450000</v>
      </c>
      <c r="AG14" s="3">
        <f t="shared" si="10"/>
        <v>20350000</v>
      </c>
      <c r="AH14" s="176">
        <f t="shared" si="11"/>
        <v>20350000</v>
      </c>
      <c r="AI14" s="107">
        <f t="shared" si="12"/>
        <v>20374657.534246575</v>
      </c>
      <c r="AJ14" s="179"/>
      <c r="AL14" s="107">
        <f t="shared" si="13"/>
        <v>20374657.534246575</v>
      </c>
    </row>
    <row r="15" spans="1:38" ht="18" customHeight="1" x14ac:dyDescent="0.25">
      <c r="A15" s="5">
        <v>13</v>
      </c>
      <c r="B15" s="2" t="s">
        <v>3</v>
      </c>
      <c r="C15" s="10">
        <f>'1 Entry Historic Flows'!I15</f>
        <v>0</v>
      </c>
      <c r="D15" s="3">
        <f>'1 Entry Historic Flows'!P15</f>
        <v>0</v>
      </c>
      <c r="E15" s="31">
        <f>'1 Entry Historic Flows'!W15</f>
        <v>0</v>
      </c>
      <c r="F15" s="55">
        <f>'1 Entry Historic Flows'!AD15</f>
        <v>0</v>
      </c>
      <c r="G15" s="195">
        <f>'2. Forecast Normalisation'!$E$6</f>
        <v>1</v>
      </c>
      <c r="H15" s="147">
        <f t="shared" si="0"/>
        <v>0</v>
      </c>
      <c r="I15" s="144">
        <f>'2. Forecast Normalisation'!$H$6</f>
        <v>1</v>
      </c>
      <c r="J15" s="165">
        <f t="shared" si="1"/>
        <v>0</v>
      </c>
      <c r="K15" s="143">
        <f>'2. Forecast Normalisation'!$K$6</f>
        <v>1</v>
      </c>
      <c r="L15" s="3">
        <f t="shared" si="2"/>
        <v>0</v>
      </c>
      <c r="M15" s="144">
        <f>'2. Forecast Normalisation'!$N$6</f>
        <v>1</v>
      </c>
      <c r="N15" s="54">
        <f t="shared" si="3"/>
        <v>0</v>
      </c>
      <c r="O15" s="195">
        <f>'3. Utilisation Factor'!X15</f>
        <v>1.0615144857669989</v>
      </c>
      <c r="P15" s="147">
        <f t="shared" si="4"/>
        <v>0</v>
      </c>
      <c r="Q15" s="144">
        <f>'3. Utilisation Factor'!X15</f>
        <v>1.0615144857669989</v>
      </c>
      <c r="R15" s="165">
        <f t="shared" si="5"/>
        <v>0</v>
      </c>
      <c r="S15" s="143">
        <f>'3. Utilisation Factor'!X15</f>
        <v>1.0615144857669989</v>
      </c>
      <c r="T15" s="3">
        <f t="shared" si="6"/>
        <v>0</v>
      </c>
      <c r="U15" s="144">
        <f>'3. Utilisation Factor'!X15</f>
        <v>1.0615144857669989</v>
      </c>
      <c r="V15" s="199">
        <f t="shared" si="7"/>
        <v>0</v>
      </c>
      <c r="W15" s="10">
        <f>'4. Future Sold inc EC'!E15</f>
        <v>0</v>
      </c>
      <c r="X15" s="3">
        <f>'4. Future Sold inc EC'!H15</f>
        <v>0</v>
      </c>
      <c r="Y15" s="31">
        <f>'4. Future Sold inc EC'!K15</f>
        <v>0</v>
      </c>
      <c r="Z15" s="54">
        <f>'4. Future Sold inc EC'!N15</f>
        <v>0</v>
      </c>
      <c r="AA15" s="10">
        <f>'5. PARCA'!H15</f>
        <v>0</v>
      </c>
      <c r="AB15" s="3">
        <f>'5. PARCA'!I15</f>
        <v>0</v>
      </c>
      <c r="AC15" s="3">
        <f>'5. PARCA'!J15</f>
        <v>0</v>
      </c>
      <c r="AD15" s="54">
        <f>'5. PARCA'!K15</f>
        <v>0</v>
      </c>
      <c r="AE15" s="51">
        <f t="shared" si="8"/>
        <v>0</v>
      </c>
      <c r="AF15" s="3">
        <f t="shared" si="9"/>
        <v>0</v>
      </c>
      <c r="AG15" s="3">
        <f t="shared" si="10"/>
        <v>0</v>
      </c>
      <c r="AH15" s="176">
        <f t="shared" si="11"/>
        <v>0</v>
      </c>
      <c r="AI15" s="107">
        <f t="shared" si="12"/>
        <v>0</v>
      </c>
      <c r="AJ15" s="179"/>
      <c r="AL15" s="107">
        <f t="shared" si="13"/>
        <v>0</v>
      </c>
    </row>
    <row r="16" spans="1:38" ht="18" customHeight="1" x14ac:dyDescent="0.25">
      <c r="A16" s="5">
        <v>14</v>
      </c>
      <c r="B16" s="2" t="s">
        <v>3</v>
      </c>
      <c r="C16" s="10">
        <f>'1 Entry Historic Flows'!I16</f>
        <v>23186701.282608692</v>
      </c>
      <c r="D16" s="3">
        <f>'1 Entry Historic Flows'!P16</f>
        <v>30602412.622222222</v>
      </c>
      <c r="E16" s="31">
        <f>'1 Entry Historic Flows'!W16</f>
        <v>22317922.725274727</v>
      </c>
      <c r="F16" s="54">
        <f>'1 Entry Historic Flows'!AD16</f>
        <v>20942992.304347824</v>
      </c>
      <c r="G16" s="195">
        <f>'2. Forecast Normalisation'!$E$6</f>
        <v>1</v>
      </c>
      <c r="H16" s="147">
        <f t="shared" si="0"/>
        <v>23186701.282608692</v>
      </c>
      <c r="I16" s="144">
        <f>'2. Forecast Normalisation'!$H$6</f>
        <v>1</v>
      </c>
      <c r="J16" s="165">
        <f t="shared" si="1"/>
        <v>30602412.622222222</v>
      </c>
      <c r="K16" s="143">
        <f>'2. Forecast Normalisation'!$K$6</f>
        <v>1</v>
      </c>
      <c r="L16" s="3">
        <f t="shared" si="2"/>
        <v>22317922.725274727</v>
      </c>
      <c r="M16" s="144">
        <f>'2. Forecast Normalisation'!$N$6</f>
        <v>1</v>
      </c>
      <c r="N16" s="54">
        <f t="shared" si="3"/>
        <v>20942992.304347824</v>
      </c>
      <c r="O16" s="195">
        <f>'3. Utilisation Factor'!X16</f>
        <v>1.0615144857669989</v>
      </c>
      <c r="P16" s="147">
        <f t="shared" si="4"/>
        <v>24613019.288641378</v>
      </c>
      <c r="Q16" s="144">
        <f>'3. Utilisation Factor'!X16</f>
        <v>1.0615144857669989</v>
      </c>
      <c r="R16" s="165">
        <f t="shared" si="5"/>
        <v>32484904.29790774</v>
      </c>
      <c r="S16" s="143">
        <f>'3. Utilisation Factor'!X16</f>
        <v>1.0615144857669989</v>
      </c>
      <c r="T16" s="3">
        <f t="shared" si="6"/>
        <v>23690798.265107621</v>
      </c>
      <c r="U16" s="144">
        <f>'3. Utilisation Factor'!X16</f>
        <v>1.0615144857669989</v>
      </c>
      <c r="V16" s="202">
        <f t="shared" si="7"/>
        <v>22231289.706371997</v>
      </c>
      <c r="W16" s="10">
        <f>'4. Future Sold inc EC'!E16</f>
        <v>420000000</v>
      </c>
      <c r="X16" s="3">
        <f>'4. Future Sold inc EC'!H16</f>
        <v>420000000</v>
      </c>
      <c r="Y16" s="31">
        <f>'4. Future Sold inc EC'!K16</f>
        <v>420000000</v>
      </c>
      <c r="Z16" s="54">
        <f>'4. Future Sold inc EC'!N16</f>
        <v>420000000</v>
      </c>
      <c r="AA16" s="10">
        <f>'5. PARCA'!H16</f>
        <v>0</v>
      </c>
      <c r="AB16" s="3">
        <f>'5. PARCA'!I16</f>
        <v>0</v>
      </c>
      <c r="AC16" s="3">
        <f>'5. PARCA'!J16</f>
        <v>0</v>
      </c>
      <c r="AD16" s="54">
        <f>'5. PARCA'!K16</f>
        <v>0</v>
      </c>
      <c r="AE16" s="51">
        <f t="shared" si="8"/>
        <v>420000000</v>
      </c>
      <c r="AF16" s="3">
        <f t="shared" si="9"/>
        <v>420000000</v>
      </c>
      <c r="AG16" s="3">
        <f t="shared" si="10"/>
        <v>420000000</v>
      </c>
      <c r="AH16" s="176">
        <f t="shared" si="11"/>
        <v>420000000</v>
      </c>
      <c r="AI16" s="107">
        <f t="shared" si="12"/>
        <v>420000000</v>
      </c>
      <c r="AJ16" s="179"/>
      <c r="AL16" s="107">
        <f t="shared" si="13"/>
        <v>420000000</v>
      </c>
    </row>
    <row r="17" spans="1:38" ht="18" customHeight="1" x14ac:dyDescent="0.25">
      <c r="A17" s="6">
        <v>15</v>
      </c>
      <c r="B17" s="2" t="s">
        <v>3</v>
      </c>
      <c r="C17" s="10">
        <f>'1 Entry Historic Flows'!I17</f>
        <v>6847716.4130434785</v>
      </c>
      <c r="D17" s="3">
        <f>'1 Entry Historic Flows'!P17</f>
        <v>9979362.0666666664</v>
      </c>
      <c r="E17" s="31">
        <f>'1 Entry Historic Flows'!W17</f>
        <v>5645414.6813186817</v>
      </c>
      <c r="F17" s="54">
        <f>'1 Entry Historic Flows'!AD17</f>
        <v>7045856.3043478262</v>
      </c>
      <c r="G17" s="195">
        <f>'2. Forecast Normalisation'!$E$6</f>
        <v>1</v>
      </c>
      <c r="H17" s="147">
        <f t="shared" si="0"/>
        <v>6847716.4130434785</v>
      </c>
      <c r="I17" s="144">
        <f>'2. Forecast Normalisation'!$H$6</f>
        <v>1</v>
      </c>
      <c r="J17" s="165">
        <f t="shared" si="1"/>
        <v>9979362.0666666664</v>
      </c>
      <c r="K17" s="143">
        <f>'2. Forecast Normalisation'!$K$6</f>
        <v>1</v>
      </c>
      <c r="L17" s="3">
        <f t="shared" si="2"/>
        <v>5645414.6813186817</v>
      </c>
      <c r="M17" s="144">
        <f>'2. Forecast Normalisation'!$N$6</f>
        <v>1</v>
      </c>
      <c r="N17" s="54">
        <f t="shared" si="3"/>
        <v>7045856.3043478262</v>
      </c>
      <c r="O17" s="195">
        <f>'3. Utilisation Factor'!X17</f>
        <v>1.0615144857669989</v>
      </c>
      <c r="P17" s="147">
        <f t="shared" si="4"/>
        <v>7268950.1668700865</v>
      </c>
      <c r="Q17" s="144">
        <f>'3. Utilisation Factor'!X17</f>
        <v>1.0615144857669989</v>
      </c>
      <c r="R17" s="165">
        <f t="shared" si="5"/>
        <v>10593237.392480362</v>
      </c>
      <c r="S17" s="143">
        <f>'3. Utilisation Factor'!X17</f>
        <v>1.0615144857669989</v>
      </c>
      <c r="T17" s="3">
        <f t="shared" si="6"/>
        <v>5992689.4623814663</v>
      </c>
      <c r="U17" s="144">
        <f>'3. Utilisation Factor'!X17</f>
        <v>1.0615144857669989</v>
      </c>
      <c r="V17" s="202">
        <f t="shared" si="7"/>
        <v>7479278.5316979503</v>
      </c>
      <c r="W17" s="10">
        <f>'4. Future Sold inc EC'!E17</f>
        <v>283440000</v>
      </c>
      <c r="X17" s="3">
        <f>'4. Future Sold inc EC'!H17</f>
        <v>283440000</v>
      </c>
      <c r="Y17" s="31">
        <f>'4. Future Sold inc EC'!K17</f>
        <v>283440000</v>
      </c>
      <c r="Z17" s="54">
        <f>'4. Future Sold inc EC'!N17</f>
        <v>283440000</v>
      </c>
      <c r="AA17" s="10">
        <f>'5. PARCA'!H17</f>
        <v>0</v>
      </c>
      <c r="AB17" s="3">
        <f>'5. PARCA'!I17</f>
        <v>0</v>
      </c>
      <c r="AC17" s="3">
        <f>'5. PARCA'!J17</f>
        <v>0</v>
      </c>
      <c r="AD17" s="54">
        <f>'5. PARCA'!K17</f>
        <v>0</v>
      </c>
      <c r="AE17" s="51">
        <f t="shared" si="8"/>
        <v>283440000</v>
      </c>
      <c r="AF17" s="3">
        <f t="shared" si="9"/>
        <v>283440000</v>
      </c>
      <c r="AG17" s="3">
        <f t="shared" si="10"/>
        <v>283440000</v>
      </c>
      <c r="AH17" s="176">
        <f t="shared" si="11"/>
        <v>283440000</v>
      </c>
      <c r="AI17" s="107">
        <f t="shared" si="12"/>
        <v>283440000</v>
      </c>
      <c r="AJ17" s="179"/>
      <c r="AL17" s="107">
        <f t="shared" si="13"/>
        <v>283440000</v>
      </c>
    </row>
    <row r="18" spans="1:38" ht="18" customHeight="1" x14ac:dyDescent="0.25">
      <c r="A18" s="5">
        <v>16</v>
      </c>
      <c r="B18" s="2" t="s">
        <v>6</v>
      </c>
      <c r="C18" s="10">
        <f>'1 Entry Historic Flows'!I18</f>
        <v>0</v>
      </c>
      <c r="D18" s="3">
        <f>'1 Entry Historic Flows'!P18</f>
        <v>0</v>
      </c>
      <c r="E18" s="31">
        <f>'1 Entry Historic Flows'!W18</f>
        <v>0</v>
      </c>
      <c r="F18" s="54">
        <f>'1 Entry Historic Flows'!AD18</f>
        <v>0</v>
      </c>
      <c r="G18" s="195">
        <f>'2. Forecast Normalisation'!$E$9</f>
        <v>0.99409069120798177</v>
      </c>
      <c r="H18" s="147">
        <f t="shared" si="0"/>
        <v>0</v>
      </c>
      <c r="I18" s="144">
        <f>'2. Forecast Normalisation'!$H$9</f>
        <v>1.0268424833119456</v>
      </c>
      <c r="J18" s="165">
        <f t="shared" si="1"/>
        <v>0</v>
      </c>
      <c r="K18" s="143">
        <f>'2. Forecast Normalisation'!$K$9</f>
        <v>0.90915468404239208</v>
      </c>
      <c r="L18" s="3">
        <f t="shared" si="2"/>
        <v>0</v>
      </c>
      <c r="M18" s="144">
        <f>'2. Forecast Normalisation'!$N$9</f>
        <v>0.94136274071626025</v>
      </c>
      <c r="N18" s="196">
        <f t="shared" si="3"/>
        <v>0</v>
      </c>
      <c r="O18" s="195">
        <f>'3. Utilisation Factor'!X18</f>
        <v>1.6901317545151358</v>
      </c>
      <c r="P18" s="147">
        <f t="shared" si="4"/>
        <v>0</v>
      </c>
      <c r="Q18" s="144">
        <f>'3. Utilisation Factor'!X18</f>
        <v>1.6901317545151358</v>
      </c>
      <c r="R18" s="165">
        <f t="shared" si="5"/>
        <v>0</v>
      </c>
      <c r="S18" s="143">
        <f>'3. Utilisation Factor'!X18</f>
        <v>1.6901317545151358</v>
      </c>
      <c r="T18" s="3">
        <f t="shared" si="6"/>
        <v>0</v>
      </c>
      <c r="U18" s="144">
        <f>'3. Utilisation Factor'!X18</f>
        <v>1.6901317545151358</v>
      </c>
      <c r="V18" s="199">
        <f t="shared" si="7"/>
        <v>0</v>
      </c>
      <c r="W18" s="10">
        <f>'4. Future Sold inc EC'!E18</f>
        <v>0</v>
      </c>
      <c r="X18" s="3">
        <f>'4. Future Sold inc EC'!H18</f>
        <v>0</v>
      </c>
      <c r="Y18" s="31">
        <f>'4. Future Sold inc EC'!K18</f>
        <v>0</v>
      </c>
      <c r="Z18" s="54">
        <f>'4. Future Sold inc EC'!N18</f>
        <v>0</v>
      </c>
      <c r="AA18" s="10">
        <f>'5. PARCA'!H18</f>
        <v>0</v>
      </c>
      <c r="AB18" s="3">
        <f>'5. PARCA'!I18</f>
        <v>0</v>
      </c>
      <c r="AC18" s="3">
        <f>'5. PARCA'!J18</f>
        <v>0</v>
      </c>
      <c r="AD18" s="54">
        <f>'5. PARCA'!K18</f>
        <v>0</v>
      </c>
      <c r="AE18" s="51">
        <f t="shared" si="8"/>
        <v>0</v>
      </c>
      <c r="AF18" s="3">
        <f t="shared" si="9"/>
        <v>0</v>
      </c>
      <c r="AG18" s="3">
        <f t="shared" si="10"/>
        <v>0</v>
      </c>
      <c r="AH18" s="176">
        <f t="shared" si="11"/>
        <v>0</v>
      </c>
      <c r="AI18" s="107">
        <f t="shared" si="12"/>
        <v>0</v>
      </c>
      <c r="AJ18" s="179"/>
      <c r="AL18" s="107">
        <f t="shared" si="13"/>
        <v>0</v>
      </c>
    </row>
    <row r="19" spans="1:38" ht="18" customHeight="1" x14ac:dyDescent="0.25">
      <c r="A19" s="5">
        <v>17</v>
      </c>
      <c r="B19" s="2" t="s">
        <v>3</v>
      </c>
      <c r="C19" s="10">
        <f>'1 Entry Historic Flows'!I19</f>
        <v>5746167.5652173916</v>
      </c>
      <c r="D19" s="3">
        <f>'1 Entry Historic Flows'!P19</f>
        <v>18774439.395555556</v>
      </c>
      <c r="E19" s="31">
        <f>'1 Entry Historic Flows'!W19</f>
        <v>5286908.9670329671</v>
      </c>
      <c r="F19" s="54">
        <f>'1 Entry Historic Flows'!AD19</f>
        <v>3529574.5434782607</v>
      </c>
      <c r="G19" s="195">
        <f>'2. Forecast Normalisation'!$E$6</f>
        <v>1</v>
      </c>
      <c r="H19" s="147">
        <f t="shared" si="0"/>
        <v>5746167.5652173916</v>
      </c>
      <c r="I19" s="144">
        <f>'2. Forecast Normalisation'!$H$6</f>
        <v>1</v>
      </c>
      <c r="J19" s="165">
        <f t="shared" si="1"/>
        <v>18774439.395555556</v>
      </c>
      <c r="K19" s="143">
        <f>'2. Forecast Normalisation'!$K$6</f>
        <v>1</v>
      </c>
      <c r="L19" s="3">
        <f t="shared" si="2"/>
        <v>5286908.9670329671</v>
      </c>
      <c r="M19" s="144">
        <f>'2. Forecast Normalisation'!$N$6</f>
        <v>1</v>
      </c>
      <c r="N19" s="54">
        <f t="shared" si="3"/>
        <v>3529574.5434782607</v>
      </c>
      <c r="O19" s="195">
        <f>'3. Utilisation Factor'!X19</f>
        <v>1.0615144857669989</v>
      </c>
      <c r="P19" s="147">
        <f t="shared" si="4"/>
        <v>6099640.1081227474</v>
      </c>
      <c r="Q19" s="144">
        <f>'3. Utilisation Factor'!X19</f>
        <v>1.0615144857669989</v>
      </c>
      <c r="R19" s="165">
        <f t="shared" si="5"/>
        <v>19929339.380536843</v>
      </c>
      <c r="S19" s="143">
        <f>'3. Utilisation Factor'!X19</f>
        <v>1.0615144857669989</v>
      </c>
      <c r="T19" s="3">
        <f t="shared" si="6"/>
        <v>5612130.4534369353</v>
      </c>
      <c r="U19" s="144">
        <f>'3. Utilisation Factor'!X19</f>
        <v>1.0615144857669989</v>
      </c>
      <c r="V19" s="202">
        <f t="shared" si="7"/>
        <v>3746694.5064966157</v>
      </c>
      <c r="W19" s="10">
        <f>'4. Future Sold inc EC'!E19</f>
        <v>0</v>
      </c>
      <c r="X19" s="3">
        <f>'4. Future Sold inc EC'!H19</f>
        <v>205790000</v>
      </c>
      <c r="Y19" s="31">
        <f>'4. Future Sold inc EC'!K19</f>
        <v>0</v>
      </c>
      <c r="Z19" s="54">
        <f>'4. Future Sold inc EC'!N19</f>
        <v>0</v>
      </c>
      <c r="AA19" s="10">
        <f>'5. PARCA'!H19</f>
        <v>0</v>
      </c>
      <c r="AB19" s="3">
        <f>'5. PARCA'!I19</f>
        <v>0</v>
      </c>
      <c r="AC19" s="3">
        <f>'5. PARCA'!J19</f>
        <v>0</v>
      </c>
      <c r="AD19" s="54">
        <f>'5. PARCA'!K19</f>
        <v>0</v>
      </c>
      <c r="AE19" s="51">
        <f t="shared" si="8"/>
        <v>6099640.1081227474</v>
      </c>
      <c r="AF19" s="3">
        <f t="shared" si="9"/>
        <v>205790000</v>
      </c>
      <c r="AG19" s="3">
        <f t="shared" si="10"/>
        <v>5612130.4534369353</v>
      </c>
      <c r="AH19" s="176">
        <f t="shared" si="11"/>
        <v>3746694.5064966157</v>
      </c>
      <c r="AI19" s="107">
        <f t="shared" si="12"/>
        <v>54623744.262486957</v>
      </c>
      <c r="AJ19" s="179"/>
      <c r="AL19" s="107">
        <f t="shared" si="13"/>
        <v>54623744.262486957</v>
      </c>
    </row>
    <row r="20" spans="1:38" ht="18" customHeight="1" x14ac:dyDescent="0.25">
      <c r="A20" s="5">
        <v>18</v>
      </c>
      <c r="B20" s="2" t="s">
        <v>3</v>
      </c>
      <c r="C20" s="10">
        <f>'1 Entry Historic Flows'!I20</f>
        <v>1337461.543478261</v>
      </c>
      <c r="D20" s="3">
        <f>'1 Entry Historic Flows'!P20</f>
        <v>6926961.8000000026</v>
      </c>
      <c r="E20" s="31">
        <f>'1 Entry Historic Flows'!W20</f>
        <v>1717578.6813186812</v>
      </c>
      <c r="F20" s="54">
        <f>'1 Entry Historic Flows'!AD20</f>
        <v>713782.82608695654</v>
      </c>
      <c r="G20" s="195">
        <f>'2. Forecast Normalisation'!$E$6</f>
        <v>1</v>
      </c>
      <c r="H20" s="147">
        <f t="shared" si="0"/>
        <v>1337461.543478261</v>
      </c>
      <c r="I20" s="144">
        <f>'2. Forecast Normalisation'!$H$6</f>
        <v>1</v>
      </c>
      <c r="J20" s="165">
        <f t="shared" si="1"/>
        <v>6926961.8000000026</v>
      </c>
      <c r="K20" s="143">
        <f>'2. Forecast Normalisation'!$K$6</f>
        <v>1</v>
      </c>
      <c r="L20" s="3">
        <f t="shared" si="2"/>
        <v>1717578.6813186812</v>
      </c>
      <c r="M20" s="144">
        <f>'2. Forecast Normalisation'!$N$6</f>
        <v>1</v>
      </c>
      <c r="N20" s="54">
        <f t="shared" si="3"/>
        <v>713782.82608695654</v>
      </c>
      <c r="O20" s="195">
        <f>'3. Utilisation Factor'!X20</f>
        <v>1.0615144857669989</v>
      </c>
      <c r="P20" s="147">
        <f t="shared" si="4"/>
        <v>1419734.8025584628</v>
      </c>
      <c r="Q20" s="144">
        <f>'3. Utilisation Factor'!X20</f>
        <v>1.0615144857669989</v>
      </c>
      <c r="R20" s="165">
        <f t="shared" si="5"/>
        <v>7353070.2930546477</v>
      </c>
      <c r="S20" s="143">
        <f>'3. Utilisation Factor'!X20</f>
        <v>1.0615144857669989</v>
      </c>
      <c r="T20" s="3">
        <f t="shared" si="6"/>
        <v>1823234.65066436</v>
      </c>
      <c r="U20" s="144">
        <f>'3. Utilisation Factor'!X20</f>
        <v>1.0615144857669989</v>
      </c>
      <c r="V20" s="202">
        <f t="shared" si="7"/>
        <v>757690.80958301085</v>
      </c>
      <c r="W20" s="10">
        <f>'4. Future Sold inc EC'!E20</f>
        <v>0</v>
      </c>
      <c r="X20" s="3">
        <f>'4. Future Sold inc EC'!H20</f>
        <v>22000000</v>
      </c>
      <c r="Y20" s="31">
        <f>'4. Future Sold inc EC'!K20</f>
        <v>0</v>
      </c>
      <c r="Z20" s="54">
        <f>'4. Future Sold inc EC'!N20</f>
        <v>0</v>
      </c>
      <c r="AA20" s="10">
        <f>'5. PARCA'!H20</f>
        <v>0</v>
      </c>
      <c r="AB20" s="3">
        <f>'5. PARCA'!I20</f>
        <v>0</v>
      </c>
      <c r="AC20" s="3">
        <f>'5. PARCA'!J20</f>
        <v>0</v>
      </c>
      <c r="AD20" s="54">
        <f>'5. PARCA'!K20</f>
        <v>0</v>
      </c>
      <c r="AE20" s="51">
        <f t="shared" si="8"/>
        <v>1419734.8025584628</v>
      </c>
      <c r="AF20" s="3">
        <f t="shared" si="9"/>
        <v>22000000</v>
      </c>
      <c r="AG20" s="3">
        <f t="shared" si="10"/>
        <v>1823234.65066436</v>
      </c>
      <c r="AH20" s="176">
        <f t="shared" si="11"/>
        <v>757690.80958301085</v>
      </c>
      <c r="AI20" s="107">
        <f t="shared" si="12"/>
        <v>6428047.9713081438</v>
      </c>
      <c r="AJ20" s="179"/>
      <c r="AL20" s="107">
        <f t="shared" si="13"/>
        <v>6428047.9713081438</v>
      </c>
    </row>
    <row r="21" spans="1:38" ht="25.5" x14ac:dyDescent="0.25">
      <c r="A21" s="6">
        <v>19</v>
      </c>
      <c r="B21" s="2" t="s">
        <v>7</v>
      </c>
      <c r="C21" s="10">
        <f>'1 Entry Historic Flows'!I21</f>
        <v>90282124.326086983</v>
      </c>
      <c r="D21" s="3">
        <f>'1 Entry Historic Flows'!P21</f>
        <v>101655301.24444444</v>
      </c>
      <c r="E21" s="31">
        <f>'1 Entry Historic Flows'!W21</f>
        <v>24647414.000000004</v>
      </c>
      <c r="F21" s="54">
        <f>'1 Entry Historic Flows'!AD21</f>
        <v>6907416.2826086953</v>
      </c>
      <c r="G21" s="195">
        <f>'2. Forecast Normalisation'!$E$11</f>
        <v>0.99409069120798177</v>
      </c>
      <c r="H21" s="147">
        <f t="shared" si="0"/>
        <v>89748619.375044748</v>
      </c>
      <c r="I21" s="144">
        <f>'2. Forecast Normalisation'!$H$11</f>
        <v>1.0268424833119456</v>
      </c>
      <c r="J21" s="165">
        <f t="shared" si="1"/>
        <v>104383981.97166924</v>
      </c>
      <c r="K21" s="143">
        <f>'2. Forecast Normalisation'!$K$11</f>
        <v>0.90915468404239208</v>
      </c>
      <c r="L21" s="3">
        <f t="shared" si="2"/>
        <v>22408311.887632035</v>
      </c>
      <c r="M21" s="144">
        <f>'2. Forecast Normalisation'!$N$11</f>
        <v>0.94136274071626025</v>
      </c>
      <c r="N21" s="54">
        <f t="shared" si="3"/>
        <v>6502384.3230646439</v>
      </c>
      <c r="O21" s="195">
        <f>'3. Utilisation Factor'!X21</f>
        <v>1.033302855451115</v>
      </c>
      <c r="P21" s="147">
        <f t="shared" si="4"/>
        <v>92737504.673029006</v>
      </c>
      <c r="Q21" s="144">
        <f>'3. Utilisation Factor'!X21</f>
        <v>1.033302855451115</v>
      </c>
      <c r="R21" s="165">
        <f t="shared" si="5"/>
        <v>107860266.63468353</v>
      </c>
      <c r="S21" s="143">
        <f>'3. Utilisation Factor'!X21</f>
        <v>1.033302855451115</v>
      </c>
      <c r="T21" s="3">
        <f t="shared" si="6"/>
        <v>23154572.659329347</v>
      </c>
      <c r="U21" s="144">
        <f>'3. Utilisation Factor'!X21</f>
        <v>1.033302855451115</v>
      </c>
      <c r="V21" s="199">
        <f t="shared" si="7"/>
        <v>6718932.2882632622</v>
      </c>
      <c r="W21" s="10">
        <f>'4. Future Sold inc EC'!E21</f>
        <v>664300000</v>
      </c>
      <c r="X21" s="3">
        <f>'4. Future Sold inc EC'!H21</f>
        <v>664300000</v>
      </c>
      <c r="Y21" s="31">
        <f>'4. Future Sold inc EC'!K21</f>
        <v>582600000</v>
      </c>
      <c r="Z21" s="54">
        <f>'4. Future Sold inc EC'!N21</f>
        <v>582600000</v>
      </c>
      <c r="AA21" s="10">
        <f>'5. PARCA'!H21</f>
        <v>0</v>
      </c>
      <c r="AB21" s="3">
        <f>'5. PARCA'!I21</f>
        <v>0</v>
      </c>
      <c r="AC21" s="3">
        <f>'5. PARCA'!J21</f>
        <v>0</v>
      </c>
      <c r="AD21" s="54">
        <f>'5. PARCA'!K21</f>
        <v>0</v>
      </c>
      <c r="AE21" s="51">
        <f t="shared" si="8"/>
        <v>664300000</v>
      </c>
      <c r="AF21" s="3">
        <f t="shared" si="9"/>
        <v>664300000</v>
      </c>
      <c r="AG21" s="3">
        <f t="shared" si="10"/>
        <v>582600000</v>
      </c>
      <c r="AH21" s="176">
        <f t="shared" si="11"/>
        <v>582600000</v>
      </c>
      <c r="AI21" s="107">
        <f t="shared" si="12"/>
        <v>623338082.19178081</v>
      </c>
      <c r="AJ21" s="179"/>
      <c r="AL21" s="107">
        <f t="shared" si="13"/>
        <v>623338082.19178081</v>
      </c>
    </row>
    <row r="22" spans="1:38" ht="25.5" x14ac:dyDescent="0.25">
      <c r="A22" s="5">
        <v>20</v>
      </c>
      <c r="B22" s="2" t="s">
        <v>7</v>
      </c>
      <c r="C22" s="10">
        <f>'1 Entry Historic Flows'!I22</f>
        <v>267844158.2826086</v>
      </c>
      <c r="D22" s="3">
        <f>'1 Entry Historic Flows'!P22</f>
        <v>299814140.26666665</v>
      </c>
      <c r="E22" s="31">
        <f>'1 Entry Historic Flows'!W22</f>
        <v>332582538.90109891</v>
      </c>
      <c r="F22" s="54">
        <f>'1 Entry Historic Flows'!AD22</f>
        <v>190530879.23913044</v>
      </c>
      <c r="G22" s="195">
        <f>'2. Forecast Normalisation'!$E$11</f>
        <v>0.99409069120798177</v>
      </c>
      <c r="H22" s="147">
        <f t="shared" si="0"/>
        <v>266261384.44317845</v>
      </c>
      <c r="I22" s="144">
        <f>'2. Forecast Normalisation'!$H$11</f>
        <v>1.0268424833119456</v>
      </c>
      <c r="J22" s="165">
        <f t="shared" si="1"/>
        <v>307861896.32345998</v>
      </c>
      <c r="K22" s="143">
        <f>'2. Forecast Normalisation'!$K$11</f>
        <v>0.90915468404239208</v>
      </c>
      <c r="L22" s="3">
        <f t="shared" si="2"/>
        <v>302368973.07264513</v>
      </c>
      <c r="M22" s="144">
        <f>'2. Forecast Normalisation'!$N$11</f>
        <v>0.94136274071626025</v>
      </c>
      <c r="N22" s="54">
        <f t="shared" si="3"/>
        <v>179358670.67162663</v>
      </c>
      <c r="O22" s="195">
        <f>'3. Utilisation Factor'!X22</f>
        <v>1.033302855451115</v>
      </c>
      <c r="P22" s="147">
        <f t="shared" si="4"/>
        <v>275128648.84150338</v>
      </c>
      <c r="Q22" s="144">
        <f>'3. Utilisation Factor'!X22</f>
        <v>1.033302855451115</v>
      </c>
      <c r="R22" s="165">
        <f t="shared" si="5"/>
        <v>318114576.55562633</v>
      </c>
      <c r="S22" s="143">
        <f>'3. Utilisation Factor'!X22</f>
        <v>1.033302855451115</v>
      </c>
      <c r="T22" s="3">
        <f t="shared" si="6"/>
        <v>312438723.27578551</v>
      </c>
      <c r="U22" s="144">
        <f>'3. Utilisation Factor'!X22</f>
        <v>1.033302855451115</v>
      </c>
      <c r="V22" s="202">
        <f t="shared" si="7"/>
        <v>185331826.55490795</v>
      </c>
      <c r="W22" s="10">
        <f>'4. Future Sold inc EC'!E22</f>
        <v>855000000</v>
      </c>
      <c r="X22" s="3">
        <f>'4. Future Sold inc EC'!H22</f>
        <v>855000000</v>
      </c>
      <c r="Y22" s="31">
        <f>'4. Future Sold inc EC'!K22</f>
        <v>350000000</v>
      </c>
      <c r="Z22" s="54">
        <f>'4. Future Sold inc EC'!N22</f>
        <v>350000000</v>
      </c>
      <c r="AA22" s="10">
        <f>'5. PARCA'!H22</f>
        <v>0</v>
      </c>
      <c r="AB22" s="3">
        <f>'5. PARCA'!I22</f>
        <v>0</v>
      </c>
      <c r="AC22" s="3">
        <f>'5. PARCA'!J22</f>
        <v>0</v>
      </c>
      <c r="AD22" s="54">
        <f>'5. PARCA'!K22</f>
        <v>0</v>
      </c>
      <c r="AE22" s="51">
        <f t="shared" si="8"/>
        <v>855000000</v>
      </c>
      <c r="AF22" s="3">
        <f t="shared" si="9"/>
        <v>855000000</v>
      </c>
      <c r="AG22" s="3">
        <f t="shared" si="10"/>
        <v>350000000</v>
      </c>
      <c r="AH22" s="176">
        <f t="shared" si="11"/>
        <v>350000000</v>
      </c>
      <c r="AI22" s="107">
        <f t="shared" si="12"/>
        <v>601808219.17808223</v>
      </c>
      <c r="AJ22" s="179"/>
      <c r="AL22" s="107">
        <f t="shared" si="13"/>
        <v>601808219.17808223</v>
      </c>
    </row>
    <row r="23" spans="1:38" ht="18" customHeight="1" x14ac:dyDescent="0.25">
      <c r="A23" s="5">
        <v>21</v>
      </c>
      <c r="B23" s="2" t="s">
        <v>3</v>
      </c>
      <c r="C23" s="10">
        <f>'1 Entry Historic Flows'!I23</f>
        <v>0</v>
      </c>
      <c r="D23" s="3">
        <f>'1 Entry Historic Flows'!P23</f>
        <v>0</v>
      </c>
      <c r="E23" s="31">
        <f>'1 Entry Historic Flows'!W23</f>
        <v>0</v>
      </c>
      <c r="F23" s="54">
        <f>'1 Entry Historic Flows'!AD23</f>
        <v>0</v>
      </c>
      <c r="G23" s="195">
        <f>'2. Forecast Normalisation'!$E$6</f>
        <v>1</v>
      </c>
      <c r="H23" s="147">
        <f t="shared" si="0"/>
        <v>0</v>
      </c>
      <c r="I23" s="144">
        <f>'2. Forecast Normalisation'!$H$6</f>
        <v>1</v>
      </c>
      <c r="J23" s="165">
        <f t="shared" si="1"/>
        <v>0</v>
      </c>
      <c r="K23" s="143">
        <f>'2. Forecast Normalisation'!$K$6</f>
        <v>1</v>
      </c>
      <c r="L23" s="3">
        <f t="shared" si="2"/>
        <v>0</v>
      </c>
      <c r="M23" s="144">
        <f>'2. Forecast Normalisation'!$N$6</f>
        <v>1</v>
      </c>
      <c r="N23" s="54">
        <f t="shared" si="3"/>
        <v>0</v>
      </c>
      <c r="O23" s="195">
        <f>'3. Utilisation Factor'!X23</f>
        <v>1.0615144857669989</v>
      </c>
      <c r="P23" s="147">
        <f t="shared" si="4"/>
        <v>0</v>
      </c>
      <c r="Q23" s="144">
        <f>'3. Utilisation Factor'!X23</f>
        <v>1.0615144857669989</v>
      </c>
      <c r="R23" s="165">
        <f t="shared" si="5"/>
        <v>0</v>
      </c>
      <c r="S23" s="143">
        <f>'3. Utilisation Factor'!X23</f>
        <v>1.0615144857669989</v>
      </c>
      <c r="T23" s="3">
        <f t="shared" si="6"/>
        <v>0</v>
      </c>
      <c r="U23" s="144">
        <f>'3. Utilisation Factor'!X23</f>
        <v>1.0615144857669989</v>
      </c>
      <c r="V23" s="199">
        <f t="shared" si="7"/>
        <v>0</v>
      </c>
      <c r="W23" s="10">
        <f>'4. Future Sold inc EC'!E23</f>
        <v>0</v>
      </c>
      <c r="X23" s="3">
        <f>'4. Future Sold inc EC'!H23</f>
        <v>0</v>
      </c>
      <c r="Y23" s="31">
        <f>'4. Future Sold inc EC'!K23</f>
        <v>0</v>
      </c>
      <c r="Z23" s="54">
        <f>'4. Future Sold inc EC'!N23</f>
        <v>0</v>
      </c>
      <c r="AA23" s="10">
        <f>'5. PARCA'!H23</f>
        <v>0</v>
      </c>
      <c r="AB23" s="3">
        <f>'5. PARCA'!I23</f>
        <v>0</v>
      </c>
      <c r="AC23" s="3">
        <f>'5. PARCA'!J23</f>
        <v>0</v>
      </c>
      <c r="AD23" s="54">
        <f>'5. PARCA'!K23</f>
        <v>0</v>
      </c>
      <c r="AE23" s="51">
        <f t="shared" si="8"/>
        <v>0</v>
      </c>
      <c r="AF23" s="3">
        <f t="shared" si="9"/>
        <v>0</v>
      </c>
      <c r="AG23" s="3">
        <f t="shared" si="10"/>
        <v>0</v>
      </c>
      <c r="AH23" s="176">
        <f t="shared" si="11"/>
        <v>0</v>
      </c>
      <c r="AI23" s="107">
        <f t="shared" si="12"/>
        <v>0</v>
      </c>
      <c r="AJ23" s="179"/>
      <c r="AL23" s="107">
        <f t="shared" si="13"/>
        <v>0</v>
      </c>
    </row>
    <row r="24" spans="1:38" ht="18" customHeight="1" x14ac:dyDescent="0.25">
      <c r="A24" s="5">
        <v>22</v>
      </c>
      <c r="B24" s="2" t="s">
        <v>4</v>
      </c>
      <c r="C24" s="10">
        <f>'1 Entry Historic Flows'!I24</f>
        <v>0</v>
      </c>
      <c r="D24" s="3">
        <f>'1 Entry Historic Flows'!P24</f>
        <v>0</v>
      </c>
      <c r="E24" s="31">
        <f>'1 Entry Historic Flows'!W24</f>
        <v>0</v>
      </c>
      <c r="F24" s="56">
        <f>'1 Entry Historic Flows'!AD24</f>
        <v>0</v>
      </c>
      <c r="G24" s="195">
        <f>'2. Forecast Normalisation'!$E$7</f>
        <v>0.99409069120798177</v>
      </c>
      <c r="H24" s="147">
        <f t="shared" si="0"/>
        <v>0</v>
      </c>
      <c r="I24" s="144">
        <f>'2. Forecast Normalisation'!$H$7</f>
        <v>1.0268424833119456</v>
      </c>
      <c r="J24" s="165">
        <f t="shared" si="1"/>
        <v>0</v>
      </c>
      <c r="K24" s="143">
        <f>'2. Forecast Normalisation'!$K$7</f>
        <v>0.90915468404239208</v>
      </c>
      <c r="L24" s="3">
        <f t="shared" si="2"/>
        <v>0</v>
      </c>
      <c r="M24" s="144">
        <f>'2. Forecast Normalisation'!$N$7</f>
        <v>0.94136274071626025</v>
      </c>
      <c r="N24" s="54">
        <f t="shared" si="3"/>
        <v>0</v>
      </c>
      <c r="O24" s="195">
        <f>'3. Utilisation Factor'!X24</f>
        <v>1.0602892745432102</v>
      </c>
      <c r="P24" s="147">
        <f t="shared" si="4"/>
        <v>0</v>
      </c>
      <c r="Q24" s="144">
        <f>'3. Utilisation Factor'!X24</f>
        <v>1.0602892745432102</v>
      </c>
      <c r="R24" s="165">
        <f t="shared" si="5"/>
        <v>0</v>
      </c>
      <c r="S24" s="143">
        <f>'3. Utilisation Factor'!X24</f>
        <v>1.0602892745432102</v>
      </c>
      <c r="T24" s="3">
        <f t="shared" si="6"/>
        <v>0</v>
      </c>
      <c r="U24" s="144">
        <f>'3. Utilisation Factor'!X24</f>
        <v>1.0602892745432102</v>
      </c>
      <c r="V24" s="199">
        <f t="shared" si="7"/>
        <v>0</v>
      </c>
      <c r="W24" s="10">
        <f>'4. Future Sold inc EC'!E24</f>
        <v>0</v>
      </c>
      <c r="X24" s="3">
        <f>'4. Future Sold inc EC'!H24</f>
        <v>0</v>
      </c>
      <c r="Y24" s="31">
        <f>'4. Future Sold inc EC'!K24</f>
        <v>0</v>
      </c>
      <c r="Z24" s="54">
        <f>'4. Future Sold inc EC'!N24</f>
        <v>0</v>
      </c>
      <c r="AA24" s="10">
        <f>'5. PARCA'!H24</f>
        <v>0</v>
      </c>
      <c r="AB24" s="3">
        <f>'5. PARCA'!I24</f>
        <v>0</v>
      </c>
      <c r="AC24" s="3">
        <f>'5. PARCA'!J24</f>
        <v>0</v>
      </c>
      <c r="AD24" s="54">
        <f>'5. PARCA'!K24</f>
        <v>0</v>
      </c>
      <c r="AE24" s="51">
        <f t="shared" si="8"/>
        <v>0</v>
      </c>
      <c r="AF24" s="3">
        <f t="shared" si="9"/>
        <v>0</v>
      </c>
      <c r="AG24" s="3">
        <f t="shared" si="10"/>
        <v>0</v>
      </c>
      <c r="AH24" s="176">
        <f t="shared" si="11"/>
        <v>0</v>
      </c>
      <c r="AI24" s="107">
        <f t="shared" si="12"/>
        <v>0</v>
      </c>
      <c r="AJ24" s="179"/>
      <c r="AL24" s="107">
        <f t="shared" si="13"/>
        <v>0</v>
      </c>
    </row>
    <row r="25" spans="1:38" ht="18" customHeight="1" x14ac:dyDescent="0.25">
      <c r="A25" s="6">
        <v>23</v>
      </c>
      <c r="B25" s="2" t="s">
        <v>2</v>
      </c>
      <c r="C25" s="10">
        <f>'1 Entry Historic Flows'!I25</f>
        <v>0</v>
      </c>
      <c r="D25" s="3">
        <f>'1 Entry Historic Flows'!P25</f>
        <v>0</v>
      </c>
      <c r="E25" s="31">
        <f>'1 Entry Historic Flows'!W25</f>
        <v>0</v>
      </c>
      <c r="F25" s="54">
        <f>'1 Entry Historic Flows'!AD25</f>
        <v>0</v>
      </c>
      <c r="G25" s="195">
        <f>'2. Forecast Normalisation'!$E$10</f>
        <v>0.99409069120798177</v>
      </c>
      <c r="H25" s="147">
        <f t="shared" si="0"/>
        <v>0</v>
      </c>
      <c r="I25" s="144">
        <f>'2. Forecast Normalisation'!$H$10</f>
        <v>1.0268424833119456</v>
      </c>
      <c r="J25" s="165">
        <f t="shared" si="1"/>
        <v>0</v>
      </c>
      <c r="K25" s="143">
        <f>'2. Forecast Normalisation'!$K$10</f>
        <v>0.90915468404239208</v>
      </c>
      <c r="L25" s="3">
        <f t="shared" si="2"/>
        <v>0</v>
      </c>
      <c r="M25" s="144">
        <f>'2. Forecast Normalisation'!$N$10</f>
        <v>0.94136274071626025</v>
      </c>
      <c r="N25" s="54">
        <f t="shared" si="3"/>
        <v>0</v>
      </c>
      <c r="O25" s="195">
        <f>'3. Utilisation Factor'!X25</f>
        <v>1.033302855451115</v>
      </c>
      <c r="P25" s="147">
        <f t="shared" si="4"/>
        <v>0</v>
      </c>
      <c r="Q25" s="144">
        <f>'3. Utilisation Factor'!X25</f>
        <v>1.033302855451115</v>
      </c>
      <c r="R25" s="165">
        <f t="shared" si="5"/>
        <v>0</v>
      </c>
      <c r="S25" s="143">
        <f>'3. Utilisation Factor'!X25</f>
        <v>1.033302855451115</v>
      </c>
      <c r="T25" s="3">
        <f t="shared" si="6"/>
        <v>0</v>
      </c>
      <c r="U25" s="144">
        <f>'3. Utilisation Factor'!X25</f>
        <v>1.033302855451115</v>
      </c>
      <c r="V25" s="199">
        <f t="shared" si="7"/>
        <v>0</v>
      </c>
      <c r="W25" s="10">
        <f>'4. Future Sold inc EC'!E25</f>
        <v>500000</v>
      </c>
      <c r="X25" s="3">
        <f>'4. Future Sold inc EC'!H25</f>
        <v>500000</v>
      </c>
      <c r="Y25" s="31">
        <f>'4. Future Sold inc EC'!K25</f>
        <v>500000</v>
      </c>
      <c r="Z25" s="54">
        <f>'4. Future Sold inc EC'!N25</f>
        <v>500000</v>
      </c>
      <c r="AA25" s="10">
        <f>'5. PARCA'!H25</f>
        <v>0</v>
      </c>
      <c r="AB25" s="3">
        <f>'5. PARCA'!I25</f>
        <v>0</v>
      </c>
      <c r="AC25" s="3">
        <f>'5. PARCA'!J25</f>
        <v>0</v>
      </c>
      <c r="AD25" s="54">
        <f>'5. PARCA'!K25</f>
        <v>0</v>
      </c>
      <c r="AE25" s="51">
        <f t="shared" si="8"/>
        <v>500000</v>
      </c>
      <c r="AF25" s="3">
        <f t="shared" si="9"/>
        <v>500000</v>
      </c>
      <c r="AG25" s="3">
        <f t="shared" si="10"/>
        <v>500000</v>
      </c>
      <c r="AH25" s="176">
        <f t="shared" si="11"/>
        <v>500000</v>
      </c>
      <c r="AI25" s="107">
        <f t="shared" si="12"/>
        <v>500000</v>
      </c>
      <c r="AJ25" s="179"/>
      <c r="AL25" s="107">
        <f t="shared" si="13"/>
        <v>500000</v>
      </c>
    </row>
    <row r="26" spans="1:38" ht="18" customHeight="1" x14ac:dyDescent="0.25">
      <c r="A26" s="5">
        <v>24</v>
      </c>
      <c r="B26" s="2" t="s">
        <v>5</v>
      </c>
      <c r="C26" s="10">
        <f>'1 Entry Historic Flows'!I26</f>
        <v>842183740.94130445</v>
      </c>
      <c r="D26" s="3">
        <f>'1 Entry Historic Flows'!P26</f>
        <v>845400374.05999994</v>
      </c>
      <c r="E26" s="31">
        <f>'1 Entry Historic Flows'!W26</f>
        <v>699469496.12087917</v>
      </c>
      <c r="F26" s="54">
        <f>'1 Entry Historic Flows'!AD26</f>
        <v>679926971.01557589</v>
      </c>
      <c r="G26" s="195">
        <f>'2. Forecast Normalisation'!$E$8</f>
        <v>0.99409069120798177</v>
      </c>
      <c r="H26" s="147">
        <f t="shared" si="0"/>
        <v>837207017.15646517</v>
      </c>
      <c r="I26" s="144">
        <f>'2. Forecast Normalisation'!$H$8</f>
        <v>1.0268424833119456</v>
      </c>
      <c r="J26" s="165">
        <f t="shared" si="1"/>
        <v>868093019.49261808</v>
      </c>
      <c r="K26" s="143">
        <f>'2. Forecast Normalisation'!$K$8</f>
        <v>0.90915468404239208</v>
      </c>
      <c r="L26" s="3">
        <f t="shared" si="2"/>
        <v>635925968.74306905</v>
      </c>
      <c r="M26" s="144">
        <f>'2. Forecast Normalisation'!$N$8</f>
        <v>0.94136274071626025</v>
      </c>
      <c r="N26" s="54">
        <f t="shared" si="3"/>
        <v>640057916.92212772</v>
      </c>
      <c r="O26" s="195">
        <f>'3. Utilisation Factor'!X26</f>
        <v>1.0206646549968539</v>
      </c>
      <c r="P26" s="147">
        <f t="shared" si="4"/>
        <v>854507611.32694864</v>
      </c>
      <c r="Q26" s="144">
        <f>'3. Utilisation Factor'!X26</f>
        <v>1.0206646549968539</v>
      </c>
      <c r="R26" s="165">
        <f t="shared" si="5"/>
        <v>886031862.24561024</v>
      </c>
      <c r="S26" s="143">
        <f>'3. Utilisation Factor'!X26</f>
        <v>1.0206646549968539</v>
      </c>
      <c r="T26" s="3">
        <f t="shared" si="6"/>
        <v>649067159.49068463</v>
      </c>
      <c r="U26" s="144">
        <f>'3. Utilisation Factor'!X26</f>
        <v>1.0206646549968539</v>
      </c>
      <c r="V26" s="199">
        <f t="shared" si="7"/>
        <v>653284492.95332849</v>
      </c>
      <c r="W26" s="10">
        <f>'4. Future Sold inc EC'!E26</f>
        <v>45836668</v>
      </c>
      <c r="X26" s="3">
        <f>'4. Future Sold inc EC'!H26</f>
        <v>42936668</v>
      </c>
      <c r="Y26" s="31">
        <f>'4. Future Sold inc EC'!K26</f>
        <v>9600000</v>
      </c>
      <c r="Z26" s="54">
        <f>'4. Future Sold inc EC'!N26</f>
        <v>9600000</v>
      </c>
      <c r="AA26" s="10">
        <f>'5. PARCA'!H26</f>
        <v>0</v>
      </c>
      <c r="AB26" s="3">
        <f>'5. PARCA'!I26</f>
        <v>0</v>
      </c>
      <c r="AC26" s="3">
        <f>'5. PARCA'!J26</f>
        <v>0</v>
      </c>
      <c r="AD26" s="54">
        <f>'5. PARCA'!K26</f>
        <v>0</v>
      </c>
      <c r="AE26" s="51">
        <f t="shared" si="8"/>
        <v>854507611.32694864</v>
      </c>
      <c r="AF26" s="3">
        <f t="shared" si="9"/>
        <v>886031862.24561024</v>
      </c>
      <c r="AG26" s="3">
        <f t="shared" si="10"/>
        <v>649067159.49068463</v>
      </c>
      <c r="AH26" s="176">
        <f t="shared" si="11"/>
        <v>653284492.95332849</v>
      </c>
      <c r="AI26" s="107">
        <f t="shared" si="12"/>
        <v>760342062.21792531</v>
      </c>
      <c r="AJ26" s="179"/>
      <c r="AL26" s="107">
        <f t="shared" si="13"/>
        <v>760342062.21792531</v>
      </c>
    </row>
    <row r="27" spans="1:38" ht="18" customHeight="1" x14ac:dyDescent="0.25">
      <c r="A27" s="5">
        <v>25</v>
      </c>
      <c r="B27" s="2" t="s">
        <v>5</v>
      </c>
      <c r="C27" s="10">
        <f>'1 Entry Historic Flows'!I27</f>
        <v>208184757.83695653</v>
      </c>
      <c r="D27" s="3">
        <f>'1 Entry Historic Flows'!P27</f>
        <v>199415310.84444445</v>
      </c>
      <c r="E27" s="31">
        <f>'1 Entry Historic Flows'!W27</f>
        <v>178526210.28502858</v>
      </c>
      <c r="F27" s="54">
        <f>'1 Entry Historic Flows'!AD27</f>
        <v>186144539.87800002</v>
      </c>
      <c r="G27" s="195">
        <f>'2. Forecast Normalisation'!$E$8</f>
        <v>0.99409069120798177</v>
      </c>
      <c r="H27" s="147">
        <f t="shared" si="0"/>
        <v>206954529.81710643</v>
      </c>
      <c r="I27" s="144">
        <f>'2. Forecast Normalisation'!$H$8</f>
        <v>1.0268424833119456</v>
      </c>
      <c r="J27" s="165">
        <f t="shared" si="1"/>
        <v>204768112.99793291</v>
      </c>
      <c r="K27" s="143">
        <f>'2. Forecast Normalisation'!$K$8</f>
        <v>0.90915468404239208</v>
      </c>
      <c r="L27" s="3">
        <f t="shared" si="2"/>
        <v>162307940.3049708</v>
      </c>
      <c r="M27" s="144">
        <f>'2. Forecast Normalisation'!$N$8</f>
        <v>0.94136274071626025</v>
      </c>
      <c r="N27" s="54">
        <f t="shared" si="3"/>
        <v>175229534.22892129</v>
      </c>
      <c r="O27" s="195">
        <f>'3. Utilisation Factor'!X27</f>
        <v>1.0206646549968539</v>
      </c>
      <c r="P27" s="147">
        <f t="shared" si="4"/>
        <v>211231173.77581304</v>
      </c>
      <c r="Q27" s="144">
        <f>'3. Utilisation Factor'!X27</f>
        <v>1.0206646549968539</v>
      </c>
      <c r="R27" s="165">
        <f t="shared" si="5"/>
        <v>208999575.407392</v>
      </c>
      <c r="S27" s="143">
        <f>'3. Utilisation Factor'!X27</f>
        <v>1.0206646549968539</v>
      </c>
      <c r="T27" s="3">
        <f t="shared" si="6"/>
        <v>165661977.89462298</v>
      </c>
      <c r="U27" s="144">
        <f>'3. Utilisation Factor'!X27</f>
        <v>1.0206646549968539</v>
      </c>
      <c r="V27" s="199">
        <f t="shared" si="7"/>
        <v>178850592.09902135</v>
      </c>
      <c r="W27" s="10">
        <f>'4. Future Sold inc EC'!E27</f>
        <v>122963979</v>
      </c>
      <c r="X27" s="3">
        <f>'4. Future Sold inc EC'!H27</f>
        <v>110469460</v>
      </c>
      <c r="Y27" s="31">
        <f>'4. Future Sold inc EC'!K27</f>
        <v>109540179</v>
      </c>
      <c r="Z27" s="54">
        <f>'4. Future Sold inc EC'!N27</f>
        <v>108755359</v>
      </c>
      <c r="AA27" s="10">
        <f>'5. PARCA'!H27</f>
        <v>0</v>
      </c>
      <c r="AB27" s="3">
        <f>'5. PARCA'!I27</f>
        <v>0</v>
      </c>
      <c r="AC27" s="3">
        <f>'5. PARCA'!J27</f>
        <v>0</v>
      </c>
      <c r="AD27" s="54">
        <f>'5. PARCA'!K27</f>
        <v>0</v>
      </c>
      <c r="AE27" s="51">
        <f t="shared" si="8"/>
        <v>211231173.77581304</v>
      </c>
      <c r="AF27" s="3">
        <f t="shared" si="9"/>
        <v>208999575.407392</v>
      </c>
      <c r="AG27" s="3">
        <f t="shared" si="10"/>
        <v>165661977.89462298</v>
      </c>
      <c r="AH27" s="176">
        <f t="shared" si="11"/>
        <v>178850592.09902135</v>
      </c>
      <c r="AI27" s="107">
        <f t="shared" si="12"/>
        <v>191158148.59057739</v>
      </c>
      <c r="AJ27" s="179"/>
      <c r="AL27" s="107">
        <f t="shared" si="13"/>
        <v>191158148.59057739</v>
      </c>
    </row>
    <row r="28" spans="1:38" ht="18" customHeight="1" x14ac:dyDescent="0.25">
      <c r="A28" s="288">
        <v>26</v>
      </c>
      <c r="B28" s="287" t="s">
        <v>5</v>
      </c>
      <c r="C28" s="10">
        <f>'1 Entry Historic Flows'!I28</f>
        <v>0</v>
      </c>
      <c r="D28" s="3">
        <f>'1 Entry Historic Flows'!P28</f>
        <v>0</v>
      </c>
      <c r="E28" s="31">
        <f>'1 Entry Historic Flows'!W28</f>
        <v>0</v>
      </c>
      <c r="F28" s="54">
        <f>'1 Entry Historic Flows'!AD28</f>
        <v>0</v>
      </c>
      <c r="G28" s="195">
        <f>'2. Forecast Normalisation'!$E$8</f>
        <v>0.99409069120798177</v>
      </c>
      <c r="H28" s="147">
        <f t="shared" si="0"/>
        <v>0</v>
      </c>
      <c r="I28" s="144">
        <f>'2. Forecast Normalisation'!$H$8</f>
        <v>1.0268424833119456</v>
      </c>
      <c r="J28" s="165">
        <f t="shared" si="1"/>
        <v>0</v>
      </c>
      <c r="K28" s="143">
        <f>'2. Forecast Normalisation'!$K$8</f>
        <v>0.90915468404239208</v>
      </c>
      <c r="L28" s="3">
        <f t="shared" si="2"/>
        <v>0</v>
      </c>
      <c r="M28" s="144">
        <f>'2. Forecast Normalisation'!$N$8</f>
        <v>0.94136274071626025</v>
      </c>
      <c r="N28" s="54">
        <f t="shared" si="3"/>
        <v>0</v>
      </c>
      <c r="O28" s="195">
        <f>'3. Utilisation Factor'!X28</f>
        <v>1.0206646549968539</v>
      </c>
      <c r="P28" s="147">
        <f t="shared" si="4"/>
        <v>0</v>
      </c>
      <c r="Q28" s="144">
        <f>'3. Utilisation Factor'!X28</f>
        <v>1.0206646549968539</v>
      </c>
      <c r="R28" s="165">
        <f t="shared" si="5"/>
        <v>0</v>
      </c>
      <c r="S28" s="143">
        <f>'3. Utilisation Factor'!X28</f>
        <v>1.0206646549968539</v>
      </c>
      <c r="T28" s="3">
        <f t="shared" si="6"/>
        <v>0</v>
      </c>
      <c r="U28" s="144">
        <f>'3. Utilisation Factor'!X28</f>
        <v>1.0206646549968539</v>
      </c>
      <c r="V28" s="199">
        <f t="shared" si="7"/>
        <v>0</v>
      </c>
      <c r="W28" s="10">
        <f>'4. Future Sold inc EC'!E28</f>
        <v>0</v>
      </c>
      <c r="X28" s="3">
        <f>'4. Future Sold inc EC'!H28</f>
        <v>0</v>
      </c>
      <c r="Y28" s="31">
        <f>'4. Future Sold inc EC'!K28</f>
        <v>0</v>
      </c>
      <c r="Z28" s="54">
        <f>'4. Future Sold inc EC'!N28</f>
        <v>0</v>
      </c>
      <c r="AA28" s="10">
        <f>'5. PARCA'!H28</f>
        <v>0</v>
      </c>
      <c r="AB28" s="3">
        <f>'5. PARCA'!I28</f>
        <v>0</v>
      </c>
      <c r="AC28" s="3">
        <f>'5. PARCA'!J28</f>
        <v>0</v>
      </c>
      <c r="AD28" s="54">
        <f>'5. PARCA'!K28</f>
        <v>0</v>
      </c>
      <c r="AE28" s="51">
        <f t="shared" si="8"/>
        <v>0</v>
      </c>
      <c r="AF28" s="3">
        <f t="shared" si="9"/>
        <v>0</v>
      </c>
      <c r="AG28" s="3">
        <f t="shared" si="10"/>
        <v>0</v>
      </c>
      <c r="AH28" s="176">
        <f t="shared" si="11"/>
        <v>0</v>
      </c>
      <c r="AI28" s="107">
        <f t="shared" si="12"/>
        <v>0</v>
      </c>
      <c r="AJ28" s="193">
        <f>AI28*-1</f>
        <v>0</v>
      </c>
      <c r="AL28" s="107">
        <f t="shared" si="13"/>
        <v>0</v>
      </c>
    </row>
    <row r="29" spans="1:38" ht="18" customHeight="1" thickBot="1" x14ac:dyDescent="0.3">
      <c r="A29" s="7">
        <v>27</v>
      </c>
      <c r="B29" s="8" t="s">
        <v>6</v>
      </c>
      <c r="C29" s="11">
        <f>'1 Entry Historic Flows'!I29</f>
        <v>0</v>
      </c>
      <c r="D29" s="9">
        <f>'1 Entry Historic Flows'!P29</f>
        <v>0</v>
      </c>
      <c r="E29" s="39">
        <f>'1 Entry Historic Flows'!W29</f>
        <v>0</v>
      </c>
      <c r="F29" s="57">
        <f>'1 Entry Historic Flows'!AD29</f>
        <v>0</v>
      </c>
      <c r="G29" s="197">
        <f>'2. Forecast Normalisation'!$E$9</f>
        <v>0.99409069120798177</v>
      </c>
      <c r="H29" s="148">
        <f t="shared" si="0"/>
        <v>0</v>
      </c>
      <c r="I29" s="145">
        <f>'2. Forecast Normalisation'!$H$9</f>
        <v>1.0268424833119456</v>
      </c>
      <c r="J29" s="166">
        <f t="shared" si="1"/>
        <v>0</v>
      </c>
      <c r="K29" s="146">
        <f>'2. Forecast Normalisation'!$K$9</f>
        <v>0.90915468404239208</v>
      </c>
      <c r="L29" s="9">
        <f t="shared" si="2"/>
        <v>0</v>
      </c>
      <c r="M29" s="145">
        <f>'2. Forecast Normalisation'!$N$9</f>
        <v>0.94136274071626025</v>
      </c>
      <c r="N29" s="57">
        <f t="shared" si="3"/>
        <v>0</v>
      </c>
      <c r="O29" s="197">
        <f>'3. Utilisation Factor'!X29</f>
        <v>1.6901317545151358</v>
      </c>
      <c r="P29" s="148">
        <f t="shared" si="4"/>
        <v>0</v>
      </c>
      <c r="Q29" s="145">
        <f>'3. Utilisation Factor'!X29</f>
        <v>1.6901317545151358</v>
      </c>
      <c r="R29" s="166">
        <f t="shared" si="5"/>
        <v>0</v>
      </c>
      <c r="S29" s="146">
        <f>'3. Utilisation Factor'!X29</f>
        <v>1.6901317545151358</v>
      </c>
      <c r="T29" s="9">
        <f t="shared" si="6"/>
        <v>0</v>
      </c>
      <c r="U29" s="145">
        <f>'3. Utilisation Factor'!X29</f>
        <v>1.6901317545151358</v>
      </c>
      <c r="V29" s="200">
        <f t="shared" si="7"/>
        <v>0</v>
      </c>
      <c r="W29" s="11">
        <f>'4. Future Sold inc EC'!E29</f>
        <v>0</v>
      </c>
      <c r="X29" s="9">
        <f>'4. Future Sold inc EC'!H29</f>
        <v>0</v>
      </c>
      <c r="Y29" s="39">
        <f>'4. Future Sold inc EC'!K29</f>
        <v>0</v>
      </c>
      <c r="Z29" s="57">
        <f>'4. Future Sold inc EC'!N29</f>
        <v>0</v>
      </c>
      <c r="AA29" s="11">
        <f>'5. PARCA'!H29</f>
        <v>0</v>
      </c>
      <c r="AB29" s="9">
        <f>'5. PARCA'!I29</f>
        <v>0</v>
      </c>
      <c r="AC29" s="9">
        <f>'5. PARCA'!J29</f>
        <v>0</v>
      </c>
      <c r="AD29" s="57">
        <f>'5. PARCA'!K29</f>
        <v>0</v>
      </c>
      <c r="AE29" s="52">
        <f t="shared" si="8"/>
        <v>0</v>
      </c>
      <c r="AF29" s="9">
        <f t="shared" si="9"/>
        <v>0</v>
      </c>
      <c r="AG29" s="9">
        <f t="shared" si="10"/>
        <v>0</v>
      </c>
      <c r="AH29" s="177">
        <f t="shared" si="11"/>
        <v>0</v>
      </c>
      <c r="AI29" s="108">
        <f t="shared" si="12"/>
        <v>0</v>
      </c>
      <c r="AJ29" s="180"/>
      <c r="AL29" s="108">
        <f t="shared" si="13"/>
        <v>0</v>
      </c>
    </row>
    <row r="30" spans="1:38" ht="18" customHeight="1" x14ac:dyDescent="0.25">
      <c r="L30" s="1" t="s">
        <v>8</v>
      </c>
    </row>
    <row r="31" spans="1:38" ht="18" customHeight="1" x14ac:dyDescent="0.25">
      <c r="C31" s="4">
        <f t="shared" ref="C31:D31" si="14">SUM(C3:C30)</f>
        <v>2848886579.9300261</v>
      </c>
      <c r="D31" s="4">
        <f t="shared" si="14"/>
        <v>3245071267.0477929</v>
      </c>
      <c r="E31" s="4">
        <f t="shared" ref="E31" si="15">SUM(E3:E30)</f>
        <v>2204835388.217556</v>
      </c>
      <c r="F31" s="4">
        <f t="shared" ref="F31" si="16">SUM(F3:F30)</f>
        <v>1855602592.3969455</v>
      </c>
      <c r="H31" s="4">
        <f t="shared" ref="H31:AI31" si="17">SUM(H3:H30)</f>
        <v>2832610635.069891</v>
      </c>
      <c r="J31" s="4">
        <f t="shared" si="17"/>
        <v>3327459457.0358891</v>
      </c>
      <c r="K31" s="102"/>
      <c r="L31" s="4">
        <f t="shared" si="17"/>
        <v>2012189782.7857141</v>
      </c>
      <c r="M31" s="262"/>
      <c r="N31" s="4">
        <f t="shared" si="17"/>
        <v>1751195830.2489133</v>
      </c>
      <c r="P31" s="4">
        <f t="shared" si="17"/>
        <v>2916120632.6273589</v>
      </c>
      <c r="R31" s="4">
        <f t="shared" si="17"/>
        <v>3428173643.8418255</v>
      </c>
      <c r="S31" s="102"/>
      <c r="T31" s="4">
        <f t="shared" si="17"/>
        <v>2068232446.7508137</v>
      </c>
      <c r="V31" s="4">
        <f t="shared" si="17"/>
        <v>1799183134.548825</v>
      </c>
      <c r="W31" s="4">
        <f t="shared" si="17"/>
        <v>4506103647</v>
      </c>
      <c r="X31" s="4">
        <f t="shared" si="17"/>
        <v>5301737450</v>
      </c>
      <c r="Y31" s="4">
        <f t="shared" si="17"/>
        <v>2481084179</v>
      </c>
      <c r="Z31" s="4">
        <f t="shared" si="17"/>
        <v>2498449236</v>
      </c>
      <c r="AA31" s="4">
        <f t="shared" si="17"/>
        <v>0</v>
      </c>
      <c r="AB31" s="4">
        <f t="shared" si="17"/>
        <v>0</v>
      </c>
      <c r="AC31" s="4">
        <f t="shared" si="17"/>
        <v>0</v>
      </c>
      <c r="AD31" s="4">
        <f t="shared" si="17"/>
        <v>0</v>
      </c>
      <c r="AE31" s="4">
        <f t="shared" si="17"/>
        <v>5629663907.6147566</v>
      </c>
      <c r="AF31" s="4">
        <f t="shared" si="17"/>
        <v>6412909278.7249079</v>
      </c>
      <c r="AG31" s="4">
        <f t="shared" si="17"/>
        <v>3942301330.8172183</v>
      </c>
      <c r="AH31" s="4">
        <f t="shared" si="17"/>
        <v>3821094670.752533</v>
      </c>
      <c r="AI31" s="4">
        <f t="shared" si="17"/>
        <v>4946249439.4504089</v>
      </c>
      <c r="AL31" s="4">
        <f t="shared" ref="AL31" si="18">SUM(AL3:AL30)</f>
        <v>4946249439.4504089</v>
      </c>
    </row>
    <row r="32" spans="1:38" ht="18" customHeight="1" thickBot="1" x14ac:dyDescent="0.3"/>
    <row r="33" spans="1:38" ht="30" x14ac:dyDescent="0.25">
      <c r="A33" s="346"/>
      <c r="B33" s="347" t="s">
        <v>1</v>
      </c>
      <c r="C33" s="342" t="s">
        <v>12</v>
      </c>
      <c r="D33" s="343"/>
      <c r="E33" s="343"/>
      <c r="F33" s="367"/>
      <c r="G33" s="344" t="s">
        <v>17</v>
      </c>
      <c r="H33" s="345"/>
      <c r="I33" s="345"/>
      <c r="J33" s="345"/>
      <c r="K33" s="345"/>
      <c r="L33" s="345"/>
      <c r="M33" s="345"/>
      <c r="N33" s="352"/>
      <c r="O33" s="342" t="s">
        <v>18</v>
      </c>
      <c r="P33" s="343"/>
      <c r="Q33" s="343"/>
      <c r="R33" s="343"/>
      <c r="S33" s="343"/>
      <c r="T33" s="343"/>
      <c r="U33" s="343"/>
      <c r="V33" s="367"/>
      <c r="W33" s="344" t="s">
        <v>19</v>
      </c>
      <c r="X33" s="345"/>
      <c r="Y33" s="345"/>
      <c r="Z33" s="352"/>
      <c r="AA33" s="342" t="s">
        <v>20</v>
      </c>
      <c r="AB33" s="343"/>
      <c r="AC33" s="343"/>
      <c r="AD33" s="367"/>
      <c r="AE33" s="371" t="s">
        <v>21</v>
      </c>
      <c r="AF33" s="368"/>
      <c r="AG33" s="368"/>
      <c r="AH33" s="372"/>
      <c r="AI33" s="69" t="s">
        <v>71</v>
      </c>
      <c r="AJ33" s="40" t="s">
        <v>23</v>
      </c>
      <c r="AL33" s="369" t="s">
        <v>24</v>
      </c>
    </row>
    <row r="34" spans="1:38" ht="15.75" thickBot="1" x14ac:dyDescent="0.3">
      <c r="A34" s="346"/>
      <c r="B34" s="348"/>
      <c r="C34" s="33" t="s">
        <v>13</v>
      </c>
      <c r="D34" s="34" t="s">
        <v>14</v>
      </c>
      <c r="E34" s="34" t="s">
        <v>15</v>
      </c>
      <c r="F34" s="35" t="s">
        <v>16</v>
      </c>
      <c r="G34" s="42" t="s">
        <v>13</v>
      </c>
      <c r="H34" s="43"/>
      <c r="I34" s="43" t="s">
        <v>14</v>
      </c>
      <c r="J34" s="48"/>
      <c r="K34" s="43" t="s">
        <v>15</v>
      </c>
      <c r="L34" s="43"/>
      <c r="M34" s="43" t="s">
        <v>16</v>
      </c>
      <c r="N34" s="64"/>
      <c r="O34" s="33" t="s">
        <v>13</v>
      </c>
      <c r="P34" s="34"/>
      <c r="Q34" s="34" t="s">
        <v>14</v>
      </c>
      <c r="R34" s="44"/>
      <c r="S34" s="34" t="s">
        <v>15</v>
      </c>
      <c r="T34" s="34"/>
      <c r="U34" s="34" t="s">
        <v>16</v>
      </c>
      <c r="V34" s="35"/>
      <c r="W34" s="42" t="s">
        <v>13</v>
      </c>
      <c r="X34" s="43" t="s">
        <v>14</v>
      </c>
      <c r="Y34" s="43" t="s">
        <v>15</v>
      </c>
      <c r="Z34" s="64" t="s">
        <v>16</v>
      </c>
      <c r="AA34" s="33" t="s">
        <v>13</v>
      </c>
      <c r="AB34" s="34" t="s">
        <v>14</v>
      </c>
      <c r="AC34" s="34" t="s">
        <v>15</v>
      </c>
      <c r="AD34" s="35" t="s">
        <v>16</v>
      </c>
      <c r="AE34" s="66" t="s">
        <v>13</v>
      </c>
      <c r="AF34" s="45" t="s">
        <v>14</v>
      </c>
      <c r="AG34" s="45" t="s">
        <v>15</v>
      </c>
      <c r="AH34" s="67" t="s">
        <v>16</v>
      </c>
      <c r="AI34" s="70" t="s">
        <v>22</v>
      </c>
      <c r="AJ34" s="68" t="s">
        <v>22</v>
      </c>
      <c r="AL34" s="370"/>
    </row>
    <row r="35" spans="1:38" ht="18" customHeight="1" x14ac:dyDescent="0.25">
      <c r="B35" s="12" t="s">
        <v>3</v>
      </c>
      <c r="C35" s="26">
        <f>C3+C8+C10+C11+C12+C14+C15+C16+C17+C19+C20+C23</f>
        <v>94597468.804347828</v>
      </c>
      <c r="D35" s="16">
        <f t="shared" ref="D35:F35" si="19">D3+D8+D10+D11+D12+D14+D15+D16+D17+D19+D20+D23</f>
        <v>175750555.15111113</v>
      </c>
      <c r="E35" s="20">
        <f t="shared" si="19"/>
        <v>84246083.186813205</v>
      </c>
      <c r="F35" s="61">
        <f t="shared" si="19"/>
        <v>75049349.913043484</v>
      </c>
      <c r="G35" s="26"/>
      <c r="H35" s="150">
        <f t="shared" ref="H35" si="20">H3+H8+H10+H11+H12+H14+H15+H16+H17+H19+H20+H23</f>
        <v>94597468.804347828</v>
      </c>
      <c r="I35" s="16"/>
      <c r="J35" s="160">
        <f t="shared" ref="J35" si="21">J3+J8+J10+J11+J12+J14+J15+J16+J17+J19+J20+J23</f>
        <v>175750555.15111113</v>
      </c>
      <c r="K35" s="26"/>
      <c r="L35" s="16">
        <f t="shared" ref="L35" si="22">L3+L8+L10+L11+L12+L14+L15+L16+L17+L19+L20+L23</f>
        <v>84246083.186813205</v>
      </c>
      <c r="M35" s="16"/>
      <c r="N35" s="61">
        <f t="shared" ref="N35:P35" si="23">N3+N8+N10+N11+N12+N14+N15+N16+N17+N19+N20+N23</f>
        <v>75049349.913043484</v>
      </c>
      <c r="O35" s="26"/>
      <c r="P35" s="150">
        <f t="shared" si="23"/>
        <v>100416583.45270701</v>
      </c>
      <c r="Q35" s="150"/>
      <c r="R35" s="203">
        <f t="shared" ref="R35" si="24">R3+R8+R10+R11+R12+R14+R15+R16+R17+R19+R20+R23</f>
        <v>186561760.17449632</v>
      </c>
      <c r="S35" s="16"/>
      <c r="T35" s="16">
        <f t="shared" ref="T35" si="25">T3+T8+T10+T11+T12+T14+T15+T16+T17+T19+T20+T23</f>
        <v>89428437.671933815</v>
      </c>
      <c r="U35" s="16"/>
      <c r="V35" s="61">
        <f t="shared" ref="V35:AJ35" si="26">V3+V8+V10+V11+V12+V14+V15+V16+V17+V19+V20+V23</f>
        <v>79665972.080091894</v>
      </c>
      <c r="W35" s="26">
        <f t="shared" si="26"/>
        <v>1427035000</v>
      </c>
      <c r="X35" s="20">
        <f t="shared" si="26"/>
        <v>1654925000</v>
      </c>
      <c r="Y35" s="16">
        <f t="shared" si="26"/>
        <v>1355035000</v>
      </c>
      <c r="Z35" s="61">
        <f t="shared" si="26"/>
        <v>1355035000</v>
      </c>
      <c r="AA35" s="26">
        <f t="shared" si="26"/>
        <v>0</v>
      </c>
      <c r="AB35" s="16">
        <f t="shared" si="26"/>
        <v>0</v>
      </c>
      <c r="AC35" s="16">
        <f t="shared" si="26"/>
        <v>0</v>
      </c>
      <c r="AD35" s="61">
        <f t="shared" si="26"/>
        <v>0</v>
      </c>
      <c r="AE35" s="26">
        <f t="shared" si="26"/>
        <v>1434554374.9106812</v>
      </c>
      <c r="AF35" s="16">
        <f t="shared" si="26"/>
        <v>1654925000</v>
      </c>
      <c r="AG35" s="16">
        <f t="shared" si="26"/>
        <v>1365990617.6734533</v>
      </c>
      <c r="AH35" s="160">
        <f t="shared" si="26"/>
        <v>1360528267.1269712</v>
      </c>
      <c r="AI35" s="71">
        <f t="shared" si="26"/>
        <v>1453139724.0431461</v>
      </c>
      <c r="AJ35" s="189">
        <f t="shared" si="26"/>
        <v>0</v>
      </c>
      <c r="AL35" s="71">
        <f t="shared" ref="AL35" si="27">AL3+AL8+AL10+AL11+AL12+AL14+AL15+AL16+AL17+AL19+AL20+AL23</f>
        <v>1453139724.0431461</v>
      </c>
    </row>
    <row r="36" spans="1:38" ht="18" customHeight="1" x14ac:dyDescent="0.25">
      <c r="B36" s="13" t="s">
        <v>4</v>
      </c>
      <c r="C36" s="27">
        <f>C4+C24</f>
        <v>180540147.50611302</v>
      </c>
      <c r="D36" s="4">
        <f t="shared" ref="D36:F36" si="28">D4+D24</f>
        <v>275507039.28334904</v>
      </c>
      <c r="E36" s="21">
        <f t="shared" si="28"/>
        <v>15691421.218241761</v>
      </c>
      <c r="F36" s="62">
        <f t="shared" si="28"/>
        <v>2361765.5468478263</v>
      </c>
      <c r="G36" s="27"/>
      <c r="H36" s="151">
        <f t="shared" ref="H36" si="29">H4+H24</f>
        <v>179473280.02514288</v>
      </c>
      <c r="I36" s="4"/>
      <c r="J36" s="161">
        <f t="shared" ref="J36" si="30">J4+J24</f>
        <v>282902332.38763589</v>
      </c>
      <c r="K36" s="27"/>
      <c r="L36" s="4">
        <f t="shared" ref="L36" si="31">L4+L24</f>
        <v>14265929.099846674</v>
      </c>
      <c r="M36" s="4"/>
      <c r="N36" s="62">
        <f t="shared" ref="N36:P36" si="32">N4+N24</f>
        <v>2223278.0881099068</v>
      </c>
      <c r="O36" s="27"/>
      <c r="P36" s="151">
        <f t="shared" si="32"/>
        <v>190293593.87774917</v>
      </c>
      <c r="Q36" s="151"/>
      <c r="R36" s="165">
        <f t="shared" ref="R36" si="33">R4+R24</f>
        <v>299958308.77386856</v>
      </c>
      <c r="S36" s="4"/>
      <c r="T36" s="4">
        <f t="shared" ref="T36" si="34">T4+T24</f>
        <v>15126011.615961302</v>
      </c>
      <c r="U36" s="4"/>
      <c r="V36" s="62">
        <f t="shared" ref="V36:AJ36" si="35">V4+V24</f>
        <v>2357317.9111498683</v>
      </c>
      <c r="W36" s="27">
        <f t="shared" si="35"/>
        <v>27150000</v>
      </c>
      <c r="X36" s="21">
        <f t="shared" si="35"/>
        <v>151502392</v>
      </c>
      <c r="Y36" s="4">
        <f t="shared" si="35"/>
        <v>0</v>
      </c>
      <c r="Z36" s="62">
        <f t="shared" si="35"/>
        <v>0</v>
      </c>
      <c r="AA36" s="27">
        <f t="shared" si="35"/>
        <v>0</v>
      </c>
      <c r="AB36" s="4">
        <f t="shared" si="35"/>
        <v>0</v>
      </c>
      <c r="AC36" s="4">
        <f t="shared" si="35"/>
        <v>0</v>
      </c>
      <c r="AD36" s="62">
        <f t="shared" si="35"/>
        <v>0</v>
      </c>
      <c r="AE36" s="27">
        <f t="shared" si="35"/>
        <v>190293593.87774917</v>
      </c>
      <c r="AF36" s="4">
        <f t="shared" si="35"/>
        <v>299958308.77386856</v>
      </c>
      <c r="AG36" s="4">
        <f t="shared" si="35"/>
        <v>15126011.615961302</v>
      </c>
      <c r="AH36" s="161">
        <f t="shared" si="35"/>
        <v>2357317.9111498683</v>
      </c>
      <c r="AI36" s="72">
        <f t="shared" si="35"/>
        <v>126292051.31857358</v>
      </c>
      <c r="AJ36" s="190">
        <f t="shared" si="35"/>
        <v>0</v>
      </c>
      <c r="AL36" s="72">
        <f t="shared" ref="AL36" si="36">AL4+AL24</f>
        <v>126292051.31857358</v>
      </c>
    </row>
    <row r="37" spans="1:38" ht="18" customHeight="1" x14ac:dyDescent="0.25">
      <c r="B37" s="13" t="s">
        <v>5</v>
      </c>
      <c r="C37" s="27">
        <f>C5+C7+C13+C26+C27+C28</f>
        <v>2201348087.423913</v>
      </c>
      <c r="D37" s="4">
        <f t="shared" ref="D37:F37" si="37">D5+D7+D13+D26+D27+D28</f>
        <v>2380191760.1244445</v>
      </c>
      <c r="E37" s="21">
        <f t="shared" si="37"/>
        <v>1737234768.1641498</v>
      </c>
      <c r="F37" s="62">
        <f t="shared" si="37"/>
        <v>1570761855.1109672</v>
      </c>
      <c r="G37" s="27"/>
      <c r="H37" s="151">
        <f t="shared" ref="H37" si="38">H5+H7+H13+H26+H27+H28</f>
        <v>2188339641.816606</v>
      </c>
      <c r="I37" s="4"/>
      <c r="J37" s="161">
        <f t="shared" ref="J37" si="39">J5+J7+J13+J26+J27+J28</f>
        <v>2444082017.7248154</v>
      </c>
      <c r="K37" s="27"/>
      <c r="L37" s="4">
        <f t="shared" ref="L37" si="40">L5+L7+L13+L26+L27+L28</f>
        <v>1579415126.7577357</v>
      </c>
      <c r="M37" s="4"/>
      <c r="N37" s="62">
        <f t="shared" ref="N37:P37" si="41">N5+N7+N13+N26+N27+N28</f>
        <v>1478656684.9398174</v>
      </c>
      <c r="O37" s="27"/>
      <c r="P37" s="151">
        <f t="shared" si="41"/>
        <v>2233560925.5306854</v>
      </c>
      <c r="Q37" s="151"/>
      <c r="R37" s="165">
        <f t="shared" ref="R37" si="42">R5+R7+R13+R26+R27+R28</f>
        <v>2494588129.4051132</v>
      </c>
      <c r="S37" s="4"/>
      <c r="T37" s="4">
        <f t="shared" ref="T37" si="43">T5+T7+T13+T26+T27+T28</f>
        <v>1612053195.4489968</v>
      </c>
      <c r="U37" s="4"/>
      <c r="V37" s="62">
        <f t="shared" ref="V37:AJ37" si="44">V5+V7+V13+V26+V27+V28</f>
        <v>1509212615.1928904</v>
      </c>
      <c r="W37" s="27">
        <f t="shared" si="44"/>
        <v>1532118647</v>
      </c>
      <c r="X37" s="21">
        <f t="shared" si="44"/>
        <v>1975510058</v>
      </c>
      <c r="Y37" s="4">
        <f t="shared" si="44"/>
        <v>192949179</v>
      </c>
      <c r="Z37" s="62">
        <f t="shared" si="44"/>
        <v>210314236</v>
      </c>
      <c r="AA37" s="27">
        <f t="shared" si="44"/>
        <v>0</v>
      </c>
      <c r="AB37" s="4">
        <f t="shared" si="44"/>
        <v>0</v>
      </c>
      <c r="AC37" s="4">
        <f t="shared" si="44"/>
        <v>0</v>
      </c>
      <c r="AD37" s="62">
        <f t="shared" si="44"/>
        <v>0</v>
      </c>
      <c r="AE37" s="27">
        <f t="shared" si="44"/>
        <v>2461032562.5746417</v>
      </c>
      <c r="AF37" s="4">
        <f t="shared" si="44"/>
        <v>2917135367.6530023</v>
      </c>
      <c r="AG37" s="4">
        <f t="shared" si="44"/>
        <v>1612053195.4489968</v>
      </c>
      <c r="AH37" s="161">
        <f t="shared" si="44"/>
        <v>1509212615.1928904</v>
      </c>
      <c r="AI37" s="72">
        <f t="shared" si="44"/>
        <v>2121922137.6143613</v>
      </c>
      <c r="AJ37" s="190">
        <f t="shared" si="44"/>
        <v>0</v>
      </c>
      <c r="AL37" s="72">
        <f t="shared" ref="AL37" si="45">AL5+AL7+AL13+AL26+AL27+AL28</f>
        <v>2121922137.6143613</v>
      </c>
    </row>
    <row r="38" spans="1:38" ht="18" customHeight="1" x14ac:dyDescent="0.25">
      <c r="B38" s="13" t="s">
        <v>6</v>
      </c>
      <c r="C38" s="27">
        <f>C6+C9+C18+C29</f>
        <v>14274593.586956527</v>
      </c>
      <c r="D38" s="4">
        <f t="shared" ref="D38:F38" si="46">D6+D9+D18+D29</f>
        <v>12152470.977777781</v>
      </c>
      <c r="E38" s="21">
        <f t="shared" si="46"/>
        <v>10433162.747252746</v>
      </c>
      <c r="F38" s="62">
        <f t="shared" si="46"/>
        <v>9991326.3043478243</v>
      </c>
      <c r="G38" s="27"/>
      <c r="H38" s="151">
        <f t="shared" ref="H38" si="47">H6+H9+H18+H29</f>
        <v>14190240.605570639</v>
      </c>
      <c r="I38" s="4"/>
      <c r="J38" s="161">
        <f t="shared" ref="J38" si="48">J6+J9+J18+J29</f>
        <v>12478673.477197684</v>
      </c>
      <c r="K38" s="27"/>
      <c r="L38" s="4">
        <f t="shared" ref="L38" si="49">L6+L9+L18+L29</f>
        <v>9485358.7810414247</v>
      </c>
      <c r="M38" s="4"/>
      <c r="N38" s="62">
        <f t="shared" ref="N38:P38" si="50">N6+N9+N18+N29</f>
        <v>9405462.3132513314</v>
      </c>
      <c r="O38" s="27"/>
      <c r="P38" s="151">
        <f t="shared" si="50"/>
        <v>23983376.251685027</v>
      </c>
      <c r="Q38" s="151"/>
      <c r="R38" s="165">
        <f t="shared" ref="R38" si="51">R6+R9+R18+R29</f>
        <v>21090602.298037611</v>
      </c>
      <c r="S38" s="4"/>
      <c r="T38" s="4">
        <f t="shared" ref="T38" si="52">T6+T9+T18+T29</f>
        <v>16031506.078807093</v>
      </c>
      <c r="U38" s="4"/>
      <c r="V38" s="62">
        <f t="shared" ref="V38:AJ38" si="53">V6+V9+V18+V29</f>
        <v>15896470.52152146</v>
      </c>
      <c r="W38" s="27">
        <f t="shared" si="53"/>
        <v>0</v>
      </c>
      <c r="X38" s="21">
        <f t="shared" si="53"/>
        <v>0</v>
      </c>
      <c r="Y38" s="4">
        <f t="shared" si="53"/>
        <v>0</v>
      </c>
      <c r="Z38" s="62">
        <f t="shared" si="53"/>
        <v>0</v>
      </c>
      <c r="AA38" s="27">
        <f t="shared" si="53"/>
        <v>0</v>
      </c>
      <c r="AB38" s="4">
        <f t="shared" si="53"/>
        <v>0</v>
      </c>
      <c r="AC38" s="4">
        <f t="shared" si="53"/>
        <v>0</v>
      </c>
      <c r="AD38" s="62">
        <f t="shared" si="53"/>
        <v>0</v>
      </c>
      <c r="AE38" s="27">
        <f t="shared" si="53"/>
        <v>23983376.251685027</v>
      </c>
      <c r="AF38" s="4">
        <f t="shared" si="53"/>
        <v>21090602.298037611</v>
      </c>
      <c r="AG38" s="4">
        <f t="shared" si="53"/>
        <v>16031506.078807093</v>
      </c>
      <c r="AH38" s="161">
        <f t="shared" si="53"/>
        <v>15896470.52152146</v>
      </c>
      <c r="AI38" s="72">
        <f t="shared" si="53"/>
        <v>19249225.10446528</v>
      </c>
      <c r="AJ38" s="190">
        <f t="shared" si="53"/>
        <v>0</v>
      </c>
      <c r="AL38" s="72">
        <f t="shared" ref="AL38" si="54">AL6+AL9+AL18+AL29</f>
        <v>19249225.10446528</v>
      </c>
    </row>
    <row r="39" spans="1:38" ht="18" customHeight="1" x14ac:dyDescent="0.25">
      <c r="B39" s="19" t="s">
        <v>2</v>
      </c>
      <c r="C39" s="27">
        <f>C25</f>
        <v>0</v>
      </c>
      <c r="D39" s="4">
        <f t="shared" ref="D39:F39" si="55">D25</f>
        <v>0</v>
      </c>
      <c r="E39" s="21">
        <f t="shared" si="55"/>
        <v>0</v>
      </c>
      <c r="F39" s="62">
        <f t="shared" si="55"/>
        <v>0</v>
      </c>
      <c r="G39" s="27"/>
      <c r="H39" s="151">
        <f t="shared" ref="H39" si="56">H25</f>
        <v>0</v>
      </c>
      <c r="I39" s="4"/>
      <c r="J39" s="161">
        <f t="shared" ref="J39" si="57">J25</f>
        <v>0</v>
      </c>
      <c r="K39" s="27"/>
      <c r="L39" s="4">
        <f t="shared" ref="L39" si="58">L25</f>
        <v>0</v>
      </c>
      <c r="M39" s="4"/>
      <c r="N39" s="62">
        <f t="shared" ref="N39:P39" si="59">N25</f>
        <v>0</v>
      </c>
      <c r="O39" s="27"/>
      <c r="P39" s="151">
        <f t="shared" si="59"/>
        <v>0</v>
      </c>
      <c r="Q39" s="151"/>
      <c r="R39" s="165">
        <f t="shared" ref="R39" si="60">R25</f>
        <v>0</v>
      </c>
      <c r="S39" s="4"/>
      <c r="T39" s="4">
        <f t="shared" ref="T39" si="61">T25</f>
        <v>0</v>
      </c>
      <c r="U39" s="4"/>
      <c r="V39" s="62">
        <f t="shared" ref="V39:AJ39" si="62">V25</f>
        <v>0</v>
      </c>
      <c r="W39" s="27">
        <f t="shared" si="62"/>
        <v>500000</v>
      </c>
      <c r="X39" s="21">
        <f t="shared" si="62"/>
        <v>500000</v>
      </c>
      <c r="Y39" s="4">
        <f t="shared" si="62"/>
        <v>500000</v>
      </c>
      <c r="Z39" s="62">
        <f t="shared" si="62"/>
        <v>500000</v>
      </c>
      <c r="AA39" s="27">
        <f t="shared" si="62"/>
        <v>0</v>
      </c>
      <c r="AB39" s="4">
        <f t="shared" si="62"/>
        <v>0</v>
      </c>
      <c r="AC39" s="4">
        <f t="shared" si="62"/>
        <v>0</v>
      </c>
      <c r="AD39" s="62">
        <f t="shared" si="62"/>
        <v>0</v>
      </c>
      <c r="AE39" s="27">
        <f t="shared" si="62"/>
        <v>500000</v>
      </c>
      <c r="AF39" s="4">
        <f t="shared" si="62"/>
        <v>500000</v>
      </c>
      <c r="AG39" s="4">
        <f t="shared" si="62"/>
        <v>500000</v>
      </c>
      <c r="AH39" s="161">
        <f t="shared" si="62"/>
        <v>500000</v>
      </c>
      <c r="AI39" s="72">
        <f t="shared" si="62"/>
        <v>500000</v>
      </c>
      <c r="AJ39" s="190">
        <f t="shared" si="62"/>
        <v>0</v>
      </c>
      <c r="AL39" s="72">
        <f t="shared" ref="AL39" si="63">AL25</f>
        <v>500000</v>
      </c>
    </row>
    <row r="40" spans="1:38" ht="26.25" thickBot="1" x14ac:dyDescent="0.3">
      <c r="B40" s="14" t="s">
        <v>7</v>
      </c>
      <c r="C40" s="28">
        <f>C21+C22</f>
        <v>358126282.60869557</v>
      </c>
      <c r="D40" s="18">
        <f t="shared" ref="D40:F40" si="64">D21+D22</f>
        <v>401469441.51111108</v>
      </c>
      <c r="E40" s="22">
        <f t="shared" si="64"/>
        <v>357229952.90109891</v>
      </c>
      <c r="F40" s="63">
        <f t="shared" si="64"/>
        <v>197438295.52173913</v>
      </c>
      <c r="G40" s="28"/>
      <c r="H40" s="152">
        <f t="shared" ref="H40" si="65">H21+H22</f>
        <v>356010003.81822318</v>
      </c>
      <c r="I40" s="18"/>
      <c r="J40" s="162">
        <f t="shared" ref="J40" si="66">J21+J22</f>
        <v>412245878.29512924</v>
      </c>
      <c r="K40" s="28"/>
      <c r="L40" s="18">
        <f t="shared" ref="L40" si="67">L21+L22</f>
        <v>324777284.96027714</v>
      </c>
      <c r="M40" s="18"/>
      <c r="N40" s="63">
        <f t="shared" ref="N40:P40" si="68">N21+N22</f>
        <v>185861054.99469128</v>
      </c>
      <c r="O40" s="28"/>
      <c r="P40" s="152">
        <f t="shared" si="68"/>
        <v>367866153.51453239</v>
      </c>
      <c r="Q40" s="152"/>
      <c r="R40" s="166">
        <f t="shared" ref="R40" si="69">R21+R22</f>
        <v>425974843.19030988</v>
      </c>
      <c r="S40" s="18"/>
      <c r="T40" s="18">
        <f t="shared" ref="T40" si="70">T21+T22</f>
        <v>335593295.93511486</v>
      </c>
      <c r="U40" s="18"/>
      <c r="V40" s="63">
        <f t="shared" ref="V40:AJ40" si="71">V21+V22</f>
        <v>192050758.84317121</v>
      </c>
      <c r="W40" s="28">
        <f t="shared" si="71"/>
        <v>1519300000</v>
      </c>
      <c r="X40" s="22">
        <f t="shared" si="71"/>
        <v>1519300000</v>
      </c>
      <c r="Y40" s="18">
        <f t="shared" si="71"/>
        <v>932600000</v>
      </c>
      <c r="Z40" s="63">
        <f t="shared" si="71"/>
        <v>932600000</v>
      </c>
      <c r="AA40" s="28">
        <f t="shared" si="71"/>
        <v>0</v>
      </c>
      <c r="AB40" s="18">
        <f t="shared" si="71"/>
        <v>0</v>
      </c>
      <c r="AC40" s="18">
        <f t="shared" si="71"/>
        <v>0</v>
      </c>
      <c r="AD40" s="63">
        <f t="shared" si="71"/>
        <v>0</v>
      </c>
      <c r="AE40" s="28">
        <f t="shared" si="71"/>
        <v>1519300000</v>
      </c>
      <c r="AF40" s="18">
        <f t="shared" si="71"/>
        <v>1519300000</v>
      </c>
      <c r="AG40" s="18">
        <f t="shared" si="71"/>
        <v>932600000</v>
      </c>
      <c r="AH40" s="162">
        <f t="shared" si="71"/>
        <v>932600000</v>
      </c>
      <c r="AI40" s="73">
        <f t="shared" si="71"/>
        <v>1225146301.369863</v>
      </c>
      <c r="AJ40" s="191">
        <f t="shared" si="71"/>
        <v>0</v>
      </c>
      <c r="AL40" s="73">
        <f t="shared" ref="AL40" si="72">AL21+AL22</f>
        <v>1225146301.369863</v>
      </c>
    </row>
    <row r="41" spans="1:38" ht="18" customHeight="1" thickBot="1" x14ac:dyDescent="0.3">
      <c r="C41" s="29"/>
      <c r="D41" s="29"/>
      <c r="E41" s="29"/>
      <c r="F41" s="29"/>
      <c r="G41" s="29"/>
      <c r="H41" s="153"/>
      <c r="I41" s="29"/>
      <c r="J41" s="153"/>
      <c r="K41" s="29"/>
      <c r="L41" s="29"/>
      <c r="M41" s="29"/>
      <c r="N41" s="29"/>
      <c r="O41" s="29"/>
      <c r="P41" s="153"/>
      <c r="Q41" s="204"/>
      <c r="R41" s="153"/>
      <c r="S41" s="29"/>
      <c r="T41" s="29"/>
      <c r="U41" s="29"/>
      <c r="V41" s="29"/>
      <c r="W41" s="29"/>
      <c r="X41" s="29"/>
      <c r="Y41" s="29"/>
      <c r="Z41" s="29"/>
      <c r="AA41" s="29"/>
      <c r="AB41" s="29"/>
      <c r="AC41" s="29"/>
      <c r="AD41" s="29"/>
      <c r="AE41" s="29"/>
      <c r="AF41" s="29"/>
      <c r="AG41" s="29"/>
      <c r="AH41" s="153"/>
      <c r="AI41" s="29"/>
      <c r="AJ41" s="181"/>
      <c r="AL41" s="29"/>
    </row>
    <row r="42" spans="1:38" ht="18" customHeight="1" thickBot="1" x14ac:dyDescent="0.3">
      <c r="B42" s="15" t="s">
        <v>11</v>
      </c>
      <c r="C42" s="30">
        <f t="shared" ref="C42:F42" si="73">C35+C36+C37+C38+C40+C39</f>
        <v>2848886579.9300261</v>
      </c>
      <c r="D42" s="17">
        <f t="shared" si="73"/>
        <v>3245071267.0477939</v>
      </c>
      <c r="E42" s="17">
        <f t="shared" si="73"/>
        <v>2204835388.2175565</v>
      </c>
      <c r="F42" s="17">
        <f t="shared" si="73"/>
        <v>1855602592.3969455</v>
      </c>
      <c r="G42" s="17"/>
      <c r="H42" s="154">
        <f t="shared" ref="H42" si="74">H35+H36+H37+H38+H40+H39</f>
        <v>2832610635.0698905</v>
      </c>
      <c r="I42" s="17"/>
      <c r="J42" s="163">
        <f t="shared" ref="J42" si="75">J35+J36+J37+J38+J40+J39</f>
        <v>3327459457.0358891</v>
      </c>
      <c r="K42" s="30"/>
      <c r="L42" s="17">
        <f t="shared" ref="L42" si="76">L35+L36+L37+L38+L40+L39</f>
        <v>2012189782.7857141</v>
      </c>
      <c r="M42" s="17"/>
      <c r="N42" s="17">
        <f t="shared" ref="N42:P42" si="77">N35+N36+N37+N38+N40+N39</f>
        <v>1751195830.2489135</v>
      </c>
      <c r="O42" s="17"/>
      <c r="P42" s="154">
        <f t="shared" si="77"/>
        <v>2916120632.6273594</v>
      </c>
      <c r="Q42" s="154"/>
      <c r="R42" s="178">
        <f t="shared" ref="R42" si="78">R35+R36+R37+R38+R40+R39</f>
        <v>3428173643.8418255</v>
      </c>
      <c r="S42" s="17"/>
      <c r="T42" s="17">
        <f t="shared" ref="T42" si="79">T35+T36+T37+T38+T40+T39</f>
        <v>2068232446.750814</v>
      </c>
      <c r="U42" s="17"/>
      <c r="V42" s="101">
        <f t="shared" ref="V42:AJ42" si="80">V35+V36+V37+V38+V40+V39</f>
        <v>1799183134.5488248</v>
      </c>
      <c r="W42" s="30">
        <f t="shared" si="80"/>
        <v>4506103647</v>
      </c>
      <c r="X42" s="101">
        <f t="shared" si="80"/>
        <v>5301737450</v>
      </c>
      <c r="Y42" s="17">
        <f t="shared" si="80"/>
        <v>2481084179</v>
      </c>
      <c r="Z42" s="76">
        <f t="shared" si="80"/>
        <v>2498449236</v>
      </c>
      <c r="AA42" s="100">
        <f t="shared" si="80"/>
        <v>0</v>
      </c>
      <c r="AB42" s="17">
        <f t="shared" si="80"/>
        <v>0</v>
      </c>
      <c r="AC42" s="17">
        <f t="shared" si="80"/>
        <v>0</v>
      </c>
      <c r="AD42" s="17">
        <f t="shared" si="80"/>
        <v>0</v>
      </c>
      <c r="AE42" s="17">
        <f t="shared" si="80"/>
        <v>5629663907.6147575</v>
      </c>
      <c r="AF42" s="17">
        <f t="shared" si="80"/>
        <v>6412909278.7249079</v>
      </c>
      <c r="AG42" s="17">
        <f t="shared" si="80"/>
        <v>3942301330.8172183</v>
      </c>
      <c r="AH42" s="178">
        <f t="shared" si="80"/>
        <v>3821094670.752533</v>
      </c>
      <c r="AI42" s="111">
        <f t="shared" si="80"/>
        <v>4946249439.4504089</v>
      </c>
      <c r="AJ42" s="192">
        <f t="shared" si="80"/>
        <v>0</v>
      </c>
      <c r="AL42" s="111">
        <f t="shared" ref="AL42" si="81">AL35+AL36+AL37+AL38+AL40+AL39</f>
        <v>4946249439.4504089</v>
      </c>
    </row>
    <row r="46" spans="1:38" ht="18" customHeight="1" x14ac:dyDescent="0.25">
      <c r="C46" s="1" t="s">
        <v>8</v>
      </c>
    </row>
  </sheetData>
  <mergeCells count="18">
    <mergeCell ref="A1:A2"/>
    <mergeCell ref="B1:B2"/>
    <mergeCell ref="A33:A34"/>
    <mergeCell ref="B33:B34"/>
    <mergeCell ref="G1:N1"/>
    <mergeCell ref="C1:F1"/>
    <mergeCell ref="AA1:AD1"/>
    <mergeCell ref="AE1:AH1"/>
    <mergeCell ref="AL1:AL2"/>
    <mergeCell ref="C33:F33"/>
    <mergeCell ref="G33:N33"/>
    <mergeCell ref="O33:V33"/>
    <mergeCell ref="W33:Z33"/>
    <mergeCell ref="AA33:AD33"/>
    <mergeCell ref="AE33:AH33"/>
    <mergeCell ref="AL33:AL34"/>
    <mergeCell ref="O1:V1"/>
    <mergeCell ref="W1:Z1"/>
  </mergeCells>
  <pageMargins left="0.7" right="0.7" top="0.75" bottom="0.75" header="0.3" footer="0.3"/>
  <pageSetup orientation="portrait" r:id="rId1"/>
  <ignoredErrors>
    <ignoredError sqref="C4:F27 AE3:AH29 AI3:AI29 AL3:AL29 G3:N5 V3:V29 G14:N17 N6:N13 G19:N29 N18 C31:F31 AE35:AL42 C35:V42 C29:F29" evalError="1"/>
    <ignoredError sqref="S3:U29 R3:R29 O3:O29 G6:M13 G18:M18 P17:Q17 P18:P29 P3:P16 Q18:Q29 Q3:Q16" evalError="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9FE3A0DFBDDF4B86E3D79E9FDBE029" ma:contentTypeVersion="12" ma:contentTypeDescription="Create a new document." ma:contentTypeScope="" ma:versionID="636116d494b7844907ad678f378603b0">
  <xsd:schema xmlns:xsd="http://www.w3.org/2001/XMLSchema" xmlns:xs="http://www.w3.org/2001/XMLSchema" xmlns:p="http://schemas.microsoft.com/office/2006/metadata/properties" xmlns:ns3="058e8728-260f-4dfb-8787-4ebe17203182" xmlns:ns4="63f065d3-f48e-4d2d-a5d5-b4becdeb24fc" targetNamespace="http://schemas.microsoft.com/office/2006/metadata/properties" ma:root="true" ma:fieldsID="5350d409667bd418b345fd2804590eb9" ns3:_="" ns4:_="">
    <xsd:import namespace="058e8728-260f-4dfb-8787-4ebe17203182"/>
    <xsd:import namespace="63f065d3-f48e-4d2d-a5d5-b4becdeb24f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8e8728-260f-4dfb-8787-4ebe172031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f065d3-f48e-4d2d-a5d5-b4becdeb24f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09BB8D-4731-4C77-B4FD-B668956B0EBD}">
  <ds:schemaRefs>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63f065d3-f48e-4d2d-a5d5-b4becdeb24fc"/>
    <ds:schemaRef ds:uri="http://schemas.openxmlformats.org/package/2006/metadata/core-properties"/>
    <ds:schemaRef ds:uri="058e8728-260f-4dfb-8787-4ebe17203182"/>
    <ds:schemaRef ds:uri="http://www.w3.org/XML/1998/namespace"/>
  </ds:schemaRefs>
</ds:datastoreItem>
</file>

<file path=customXml/itemProps2.xml><?xml version="1.0" encoding="utf-8"?>
<ds:datastoreItem xmlns:ds="http://schemas.openxmlformats.org/officeDocument/2006/customXml" ds:itemID="{CEE75776-08F6-46F4-B535-F18DC8377FCC}">
  <ds:schemaRefs>
    <ds:schemaRef ds:uri="http://schemas.microsoft.com/sharepoint/v3/contenttype/forms"/>
  </ds:schemaRefs>
</ds:datastoreItem>
</file>

<file path=customXml/itemProps3.xml><?xml version="1.0" encoding="utf-8"?>
<ds:datastoreItem xmlns:ds="http://schemas.openxmlformats.org/officeDocument/2006/customXml" ds:itemID="{3AD2CFF8-22B5-47DF-BFE5-26D65D926B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8e8728-260f-4dfb-8787-4ebe17203182"/>
    <ds:schemaRef ds:uri="63f065d3-f48e-4d2d-a5d5-b4becdeb2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Note</vt:lpstr>
      <vt:lpstr>1 Entry Historic Flows</vt:lpstr>
      <vt:lpstr>2. Forecast Normalisation</vt:lpstr>
      <vt:lpstr>3. Utilisation Factor</vt:lpstr>
      <vt:lpstr>4. Future Sold inc EC</vt:lpstr>
      <vt:lpstr>5. PARCA</vt:lpstr>
      <vt:lpstr>Entry FCC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Bayliss, Dave A</dc:creator>
  <cp:lastModifiedBy>Johnson, Laura</cp:lastModifiedBy>
  <dcterms:created xsi:type="dcterms:W3CDTF">2021-01-21T10:24:13Z</dcterms:created>
  <dcterms:modified xsi:type="dcterms:W3CDTF">2021-03-09T20:07:16Z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0x010100719FE3A0DFBDDF4B86E3D79E9FDBE029</vt:lpwstr>
  </property>
</Properties>
</file>