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345" windowHeight="4470"/>
  </bookViews>
  <sheets>
    <sheet name="Cover Note" sheetId="7" r:id="rId1"/>
    <sheet name="Route Info" sheetId="2" r:id="rId2"/>
    <sheet name="Data" sheetId="1" r:id="rId3"/>
  </sheets>
  <definedNames>
    <definedName name="\A">#REF!</definedName>
    <definedName name="\B">#REF!</definedName>
    <definedName name="\C">#REF!</definedName>
    <definedName name="\D">#REF!</definedName>
    <definedName name="Annuitisation">#REF!</definedName>
    <definedName name="ENDMAC">#REF!</definedName>
    <definedName name="ExitPrices">#REF!</definedName>
    <definedName name="ExitZone">#REF!</definedName>
    <definedName name="ExitZoneFlow">#REF!</definedName>
    <definedName name="ExpansionConstant">#REF!</definedName>
    <definedName name="LFCOMP">#REF!</definedName>
    <definedName name="RevAdjFactor">#REF!</definedName>
  </definedNames>
  <calcPr calcId="1456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1" l="1"/>
  <c r="E31" i="1"/>
  <c r="E20" i="1"/>
  <c r="E43" i="1"/>
  <c r="H11" i="1"/>
  <c r="I11" i="1"/>
  <c r="B13" i="2"/>
  <c r="D31" i="1"/>
  <c r="H5" i="1"/>
  <c r="H6" i="1"/>
  <c r="H8" i="1"/>
  <c r="I8" i="1"/>
  <c r="L8" i="1"/>
  <c r="H9" i="1"/>
  <c r="I9" i="1"/>
  <c r="J9" i="1"/>
  <c r="N9" i="1"/>
  <c r="H10" i="1"/>
  <c r="I10" i="1"/>
  <c r="H7" i="1"/>
  <c r="I7" i="1"/>
  <c r="L7" i="1"/>
  <c r="B17" i="2"/>
  <c r="G38" i="1"/>
  <c r="F38" i="1"/>
  <c r="H38" i="1"/>
  <c r="B8" i="2"/>
  <c r="D20" i="1"/>
  <c r="N6" i="1"/>
  <c r="E39" i="1"/>
  <c r="E40" i="1"/>
  <c r="D39" i="1"/>
  <c r="C39" i="1"/>
  <c r="E29" i="1"/>
  <c r="E32" i="1"/>
  <c r="H16" i="1"/>
  <c r="G27" i="1"/>
  <c r="F27" i="1"/>
  <c r="F16" i="1"/>
  <c r="H27" i="1"/>
  <c r="E28" i="1"/>
  <c r="D28" i="1"/>
  <c r="C28" i="1"/>
  <c r="G16" i="1"/>
  <c r="E17" i="1"/>
  <c r="E21" i="1"/>
  <c r="E18" i="1"/>
  <c r="E27" i="1"/>
  <c r="D29" i="1"/>
  <c r="D19" i="1"/>
  <c r="I28" i="1"/>
  <c r="I39" i="1"/>
  <c r="I38" i="1"/>
  <c r="D30" i="1"/>
  <c r="D33" i="1"/>
  <c r="C33" i="1"/>
  <c r="C22" i="1"/>
  <c r="D22" i="1"/>
  <c r="B14" i="2"/>
  <c r="C16" i="1"/>
  <c r="D16" i="1"/>
  <c r="C18" i="1"/>
  <c r="D18" i="1"/>
  <c r="C19" i="1"/>
  <c r="B16" i="2"/>
  <c r="C17" i="1"/>
  <c r="D27" i="1"/>
  <c r="C20" i="1"/>
  <c r="D17" i="1"/>
  <c r="C27" i="1"/>
  <c r="L9" i="1"/>
  <c r="G42" i="1"/>
  <c r="K9" i="1"/>
  <c r="E16" i="1"/>
  <c r="C30" i="1"/>
  <c r="C31" i="1"/>
  <c r="C29" i="1"/>
  <c r="L10" i="1"/>
  <c r="J10" i="1"/>
  <c r="N10" i="1"/>
  <c r="K10" i="1"/>
  <c r="F43" i="1"/>
  <c r="G30" i="1"/>
  <c r="G41" i="1"/>
  <c r="G19" i="1"/>
  <c r="K11" i="1"/>
  <c r="J11" i="1"/>
  <c r="N11" i="1"/>
  <c r="L11" i="1"/>
  <c r="J8" i="1"/>
  <c r="N8" i="1"/>
  <c r="H30" i="1"/>
  <c r="K8" i="1"/>
  <c r="J7" i="1"/>
  <c r="N7" i="1"/>
  <c r="G29" i="1"/>
  <c r="G40" i="1"/>
  <c r="G18" i="1"/>
  <c r="K7" i="1"/>
  <c r="F21" i="1"/>
  <c r="I17" i="1"/>
  <c r="I27" i="1"/>
  <c r="F32" i="1"/>
  <c r="I16" i="1"/>
  <c r="G20" i="1"/>
  <c r="G31" i="1"/>
  <c r="H44" i="1"/>
  <c r="H22" i="1"/>
  <c r="H33" i="1"/>
  <c r="G44" i="1"/>
  <c r="G33" i="1"/>
  <c r="F44" i="1"/>
  <c r="F33" i="1"/>
  <c r="F31" i="1"/>
  <c r="I31" i="1"/>
  <c r="F42" i="1"/>
  <c r="I42" i="1"/>
  <c r="F20" i="1"/>
  <c r="H19" i="1"/>
  <c r="H41" i="1"/>
  <c r="G32" i="1"/>
  <c r="I32" i="1"/>
  <c r="G43" i="1"/>
  <c r="I43" i="1"/>
  <c r="G21" i="1"/>
  <c r="F30" i="1"/>
  <c r="I30" i="1"/>
  <c r="F19" i="1"/>
  <c r="F41" i="1"/>
  <c r="F22" i="1"/>
  <c r="G22" i="1"/>
  <c r="F18" i="1"/>
  <c r="I18" i="1"/>
  <c r="F29" i="1"/>
  <c r="I29" i="1"/>
  <c r="F40" i="1"/>
  <c r="I40" i="1"/>
  <c r="I21" i="1"/>
  <c r="I44" i="1"/>
  <c r="I20" i="1"/>
  <c r="I33" i="1"/>
  <c r="I41" i="1"/>
  <c r="I22" i="1"/>
  <c r="I19" i="1"/>
</calcChain>
</file>

<file path=xl/sharedStrings.xml><?xml version="1.0" encoding="utf-8"?>
<sst xmlns="http://schemas.openxmlformats.org/spreadsheetml/2006/main" count="120" uniqueCount="62">
  <si>
    <t>Cover Note</t>
  </si>
  <si>
    <t>Comments:  _x000D_
This spreadsheet provides a range of estimates based on the assumptions entered. The values show the sensitivies across the range of 0728/A/B/C/D proposals. This allows Users to test sentivities of various combinations of potential changes to the Transportation charges only and should not be used as any indication of actual charges.   _x000D_
_x000D_
This calculator is only for demonstrating the impacts of 0728/A/B/C/D and requires the data on the Route Info tab to be fully populated in order to calculate values properly for the 0728/A/B/C/D values in the Data tab</t>
  </si>
  <si>
    <r>
      <rPr>
        <u/>
        <sz val="11"/>
        <color indexed="9"/>
        <rFont val="Calibri"/>
        <family val="2"/>
        <scheme val="minor"/>
      </rPr>
      <t>Disclaimer:</t>
    </r>
    <r>
      <rPr>
        <sz val="11"/>
        <color indexed="9"/>
        <rFont val="Calibri"/>
        <family val="2"/>
        <scheme val="minor"/>
      </rPr>
      <t xml:space="preserve"> This spreadsheet is provided to you by National Grid Gas plc (“NGG”) solely for the purposes of study in connection with the development of the GB Gas Charging Review and UNC0728/A/B/C/D.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this spreadsheet shall constitute your acceptance of the above.
</t>
    </r>
  </si>
  <si>
    <t>Version History: _x000D_
V1.0 Initial Model _x000D_
V1.1 Updated to show that if route info not fully populated will not get values in data tables _x000D_
V1.2 Updated for 0728/A/B/C/D and Oct-20 Published Rates _x000D_
V1.3 Corrections to 0728D &amp; GNTS rate</t>
  </si>
  <si>
    <t>Route Details</t>
  </si>
  <si>
    <t xml:space="preserve">Based on grid references for the nearest terminal and the offtake, this is the calculated a straight-line distance from Entry Point to Exit Point. This distance provides the % discount to be applied for Transmission Services Reserve prices. _x000D_
A table of distances for routes within the limitation of each of the 0728 proposals can be found in the appendices of the 0728 Modifications, available from the Joint Office website: https://www.gasgovernance.co.uk/index.php/0728/ </t>
  </si>
  <si>
    <t>Entry Point</t>
  </si>
  <si>
    <t>Exit Point</t>
  </si>
  <si>
    <t>Route Distance</t>
  </si>
  <si>
    <t>km</t>
  </si>
  <si>
    <t>Exit FCC Data</t>
  </si>
  <si>
    <t>The FCC is a Forecast of Exit Capacity bookings for future years based on historical flows and capacity bookings. The assumption here is that the Entry Capacity is at this level. It could be above, however for this purpose it assumes Exit Capacity is matched at Entry. _x000D_
This data can be taken from the FCC Model, produced to support Modification 0678. This is available from the Joint Office website: https://www.gasgovernance.co.uk/index.php/0678/Models _x000D_
Alternatively, this value can be populated in line with your booking expectations for future years and will update the calculations in the Data tab.</t>
  </si>
  <si>
    <t>Forecasted Contracted Capacity
(FCC) - 2020/21</t>
  </si>
  <si>
    <t>kWh/day</t>
  </si>
  <si>
    <t>GWh/year</t>
  </si>
  <si>
    <t>NTS OCC Flows</t>
  </si>
  <si>
    <t>The Annual Exit Flow should be the Annual Throughput figure i.e. the aggregate of all flows recorded at this Exit Point for the year. _x000D_
The Eligible Quantity would be calcualted in line with the method set out in Proposals raised as part of Modification 0728. Entering the minimum of the selected Entry and Exit Points FCC values and the Annual Exit Flow will work as a proxy for this estimate. _x000D_
These figures can be adjusted in line with any flow expectations for future years to amend the figures calculated in the Data tab.</t>
  </si>
  <si>
    <t>Annual Exit Flow</t>
  </si>
  <si>
    <t>Eligible Quantity</t>
  </si>
  <si>
    <t>In-eligible Quantity</t>
  </si>
  <si>
    <t>Factors effecting costs</t>
  </si>
  <si>
    <t xml:space="preserve">Based on the data entered above, these figures demonstrate how much of booked Capacity (at Exit) is utilised and how much of the flow was eligible for discount under the current NTS OCC product. These values can be amended in line with any sensitivies to amend calculated figures._x000D_
We have provided details of three scenarios on the following tab showing how adjusting each would potentially impact transmission charges. </t>
  </si>
  <si>
    <t>% of FCC Utilised</t>
  </si>
  <si>
    <t>% of Flow Eligible</t>
  </si>
  <si>
    <t>Reference
Table</t>
  </si>
  <si>
    <t xml:space="preserve">Capacity rates are based on published rates for the period 20/21. Distance limitation is as per each modification proposal. Distance is the straight line (as crow flies) between the nominated NTS Entry and NTS Exit point. Discounts are from each proposal. </t>
  </si>
  <si>
    <t>Capacity</t>
  </si>
  <si>
    <t>Commodity</t>
  </si>
  <si>
    <t>Distance Limitation (km)</t>
  </si>
  <si>
    <t>Route Straightline Distance (km)</t>
  </si>
  <si>
    <t>Calculated TS Discount</t>
  </si>
  <si>
    <t>Gen Non-TS Discount</t>
  </si>
  <si>
    <t>Standard Entry Reserve Price</t>
  </si>
  <si>
    <t>Standard Exit Reserve Price</t>
  </si>
  <si>
    <t>TO and SO
Commodity
Rate</t>
  </si>
  <si>
    <t>Gen Non-TS Rate</t>
  </si>
  <si>
    <t>Eligible
Entry Rate</t>
  </si>
  <si>
    <t>Eligible Exit Rate</t>
  </si>
  <si>
    <t>Shorthaul Rate</t>
  </si>
  <si>
    <t>Eligible
Gen Non-TS
Rate</t>
  </si>
  <si>
    <t>Current*</t>
  </si>
  <si>
    <t>N/A</t>
  </si>
  <si>
    <t>0678A</t>
  </si>
  <si>
    <t>0728</t>
  </si>
  <si>
    <t>0728A</t>
  </si>
  <si>
    <t>0728B</t>
  </si>
  <si>
    <t>0728C</t>
  </si>
  <si>
    <t>0728D</t>
  </si>
  <si>
    <t>Scenario 1</t>
  </si>
  <si>
    <t>This table assumes no behavioral changes in relation to current Forecasted Capacity bookings or Flows. Assumes all capacity booked under the current charging regime is booked at a zero price. Entering a figure in cells C5 &amp; D5 will adjust the charges accordingly.</t>
  </si>
  <si>
    <t>Standard Reserve Price
Entry Capacity Charge</t>
  </si>
  <si>
    <t>Standard Reserve Price Exit Capacity Charge</t>
  </si>
  <si>
    <t>Standard Price
Gen Non-TS / 
SO Commodity
Charge</t>
  </si>
  <si>
    <t>Discounted Price Entry Capacity Charge</t>
  </si>
  <si>
    <t>Discounted Price Exit Capacity Charge</t>
  </si>
  <si>
    <t>Discounted Price
Gen Non-TS / 
Shorthaul
Charge</t>
  </si>
  <si>
    <t>Total</t>
  </si>
  <si>
    <t>Scenario 2</t>
  </si>
  <si>
    <t>This table assumes Capacity bookings are reduced from the current Forecasted level to be in line with total Exit Flow, i.e. Capacity is matched to Exit Flow exactly and there is 100% utilisation of the Capacity booked but the Eligible % remains as current (ie less than 100%).</t>
  </si>
  <si>
    <t>Discounted Price
Gen Non-TS / Shorthaul
Charge</t>
  </si>
  <si>
    <t>Scenario 3</t>
  </si>
  <si>
    <t>This table assumes Capacity bookings are reduced from the current Forecast level to be in line with total Exit Flow, i.e. Capacity is matched to Exit Flow exactly and there is 100% utilisation of the Exit Capacity booked, and the flows are managed such that 100% of Entry &amp; Exit Flow is eligible for discount.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</si>
</sst>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0.0000"/>
    <numFmt numFmtId="168" formatCode="#,##0.0"/>
    <numFmt numFmtId="169" formatCode="&quot;£&quot;#,##0.00"/>
  </numFmts>
  <fonts count="12">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0"/>
      <name val="Arial"/>
      <family val="2"/>
    </font>
    <font>
      <b/>
      <sz val="11"/>
      <color theme="3"/>
      <name val="Calibri"/>
      <family val="2"/>
      <scheme val="minor"/>
    </font>
    <font>
      <b/>
      <sz val="11"/>
      <color theme="4"/>
      <name val="Calibri"/>
      <family val="2"/>
      <scheme val="minor"/>
    </font>
    <font>
      <sz val="11"/>
      <color theme="3"/>
      <name val="Calibri"/>
      <family val="2"/>
      <scheme val="minor"/>
    </font>
    <font>
      <sz val="11"/>
      <color indexed="9"/>
      <name val="Calibri"/>
      <family val="2"/>
      <scheme val="minor"/>
    </font>
    <font>
      <u/>
      <sz val="11"/>
      <color indexed="9"/>
      <name val="Calibri"/>
      <family val="2"/>
      <scheme val="minor"/>
    </font>
    <font>
      <b/>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indexed="48"/>
        <bgColor indexed="64"/>
      </patternFill>
    </fill>
  </fills>
  <borders count="29">
    <border>
      <left/>
      <right/>
      <top/>
      <bottom/>
      <diagonal/>
    </border>
    <border>
      <left style="dashed">
        <color auto="1"/>
      </left>
      <right style="dashed">
        <color auto="1"/>
      </right>
      <top style="dashed">
        <color auto="1"/>
      </top>
      <bottom style="dashed">
        <color auto="1"/>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medium">
        <color theme="3"/>
      </top>
      <bottom/>
      <diagonal/>
    </border>
    <border>
      <left style="medium">
        <color theme="3"/>
      </left>
      <right/>
      <top style="medium">
        <color theme="3"/>
      </top>
      <bottom style="thin">
        <color theme="3"/>
      </bottom>
      <diagonal/>
    </border>
    <border>
      <left style="medium">
        <color theme="3"/>
      </left>
      <right/>
      <top style="thin">
        <color theme="3"/>
      </top>
      <bottom style="thin">
        <color theme="3"/>
      </bottom>
      <diagonal/>
    </border>
    <border>
      <left style="medium">
        <color theme="3"/>
      </left>
      <right style="thin">
        <color theme="3"/>
      </right>
      <top style="thin">
        <color theme="3"/>
      </top>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medium">
        <color theme="3"/>
      </right>
      <top style="thin">
        <color theme="3"/>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medium">
        <color theme="3"/>
      </left>
      <right/>
      <top style="thin">
        <color theme="3"/>
      </top>
      <bottom style="medium">
        <color theme="3"/>
      </bottom>
      <diagonal/>
    </border>
    <border>
      <left style="medium">
        <color theme="3"/>
      </left>
      <right style="thin">
        <color theme="3"/>
      </right>
      <top style="medium">
        <color theme="3"/>
      </top>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3" fillId="0" borderId="0" applyFont="0" applyFill="0" applyBorder="0" applyAlignment="0" applyProtection="0"/>
  </cellStyleXfs>
  <cellXfs count="86">
    <xf numFmtId="0" fontId="0" fillId="0" borderId="0" xfId="0"/>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9" fontId="0" fillId="0" borderId="0" xfId="0" applyNumberFormat="1"/>
    <xf numFmtId="0" fontId="0" fillId="0" borderId="0" xfId="0" applyAlignment="1">
      <alignment vertical="center"/>
    </xf>
    <xf numFmtId="4" fontId="0" fillId="2" borderId="1" xfId="0" applyNumberFormat="1" applyFill="1" applyBorder="1" applyAlignment="1">
      <alignment vertical="center"/>
    </xf>
    <xf numFmtId="0" fontId="0" fillId="2" borderId="1" xfId="0" applyFill="1" applyBorder="1" applyAlignment="1">
      <alignment vertical="center"/>
    </xf>
    <xf numFmtId="0" fontId="6" fillId="0" borderId="0" xfId="0" applyFont="1" applyAlignment="1">
      <alignment horizontal="left" vertical="center" wrapText="1"/>
    </xf>
    <xf numFmtId="0" fontId="7" fillId="0" borderId="0" xfId="0" applyFont="1"/>
    <xf numFmtId="0" fontId="7" fillId="0" borderId="6" xfId="0" applyFont="1" applyBorder="1"/>
    <xf numFmtId="0" fontId="7" fillId="0" borderId="6" xfId="0" applyFont="1" applyBorder="1" applyAlignment="1">
      <alignment horizontal="center"/>
    </xf>
    <xf numFmtId="167" fontId="7" fillId="0" borderId="6" xfId="0" applyNumberFormat="1" applyFont="1" applyBorder="1"/>
    <xf numFmtId="9" fontId="7" fillId="0" borderId="6" xfId="2" quotePrefix="1" applyFont="1" applyBorder="1"/>
    <xf numFmtId="9" fontId="7" fillId="0" borderId="6" xfId="2" applyFont="1" applyBorder="1"/>
    <xf numFmtId="0" fontId="6" fillId="0" borderId="0" xfId="0" applyFont="1" applyAlignment="1">
      <alignment wrapText="1"/>
    </xf>
    <xf numFmtId="0" fontId="7" fillId="0" borderId="0" xfId="0" applyFont="1" applyAlignment="1">
      <alignment horizontal="center" vertical="center" wrapText="1"/>
    </xf>
    <xf numFmtId="0" fontId="5" fillId="0" borderId="2" xfId="0" applyFont="1" applyBorder="1" applyAlignment="1">
      <alignment horizontal="center" vertical="center" wrapText="1"/>
    </xf>
    <xf numFmtId="169" fontId="7" fillId="0" borderId="6" xfId="0" applyNumberFormat="1" applyFont="1" applyBorder="1"/>
    <xf numFmtId="0" fontId="7" fillId="0" borderId="0" xfId="0" applyFont="1" applyAlignment="1">
      <alignment horizontal="right" vertical="center"/>
    </xf>
    <xf numFmtId="0" fontId="7" fillId="0" borderId="0" xfId="0" applyFont="1" applyAlignment="1">
      <alignment vertical="center"/>
    </xf>
    <xf numFmtId="4" fontId="7" fillId="0" borderId="0" xfId="0" applyNumberFormat="1" applyFont="1" applyAlignment="1">
      <alignment vertical="center"/>
    </xf>
    <xf numFmtId="165" fontId="7" fillId="0" borderId="0" xfId="1" applyFont="1"/>
    <xf numFmtId="166" fontId="7" fillId="0" borderId="0" xfId="2" applyNumberFormat="1" applyFont="1" applyAlignment="1">
      <alignment vertical="center"/>
    </xf>
    <xf numFmtId="0" fontId="5" fillId="0" borderId="8" xfId="0" applyFont="1" applyBorder="1" applyAlignment="1">
      <alignment horizontal="left" vertical="center" wrapText="1"/>
    </xf>
    <xf numFmtId="0" fontId="5" fillId="0" borderId="9" xfId="0" applyFont="1"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0" xfId="0" applyFont="1" applyAlignment="1">
      <alignment horizontal="left" wrapText="1"/>
    </xf>
    <xf numFmtId="49" fontId="3" fillId="0" borderId="14" xfId="11" applyNumberFormat="1" applyBorder="1" applyAlignment="1">
      <alignment wrapText="1"/>
    </xf>
    <xf numFmtId="49" fontId="3" fillId="0" borderId="15" xfId="11" applyNumberFormat="1" applyBorder="1" applyAlignment="1">
      <alignment wrapText="1"/>
    </xf>
    <xf numFmtId="49" fontId="3" fillId="0" borderId="0" xfId="11" applyNumberFormat="1" applyAlignment="1">
      <alignment wrapText="1"/>
    </xf>
    <xf numFmtId="49" fontId="3" fillId="0" borderId="16" xfId="11" applyNumberFormat="1" applyBorder="1" applyAlignment="1">
      <alignment wrapText="1"/>
    </xf>
    <xf numFmtId="49" fontId="3" fillId="0" borderId="17" xfId="11" applyNumberFormat="1" applyBorder="1" applyAlignment="1">
      <alignment wrapText="1"/>
    </xf>
    <xf numFmtId="49" fontId="3" fillId="0" borderId="18" xfId="11" applyNumberFormat="1" applyBorder="1" applyAlignment="1">
      <alignment wrapText="1"/>
    </xf>
    <xf numFmtId="49" fontId="8" fillId="3" borderId="14" xfId="10" applyNumberFormat="1" applyFont="1" applyFill="1" applyBorder="1" applyAlignment="1">
      <alignment wrapText="1"/>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168" fontId="0" fillId="2" borderId="1" xfId="0" applyNumberFormat="1" applyFill="1" applyBorder="1" applyAlignment="1">
      <alignment vertical="center"/>
    </xf>
    <xf numFmtId="168" fontId="7" fillId="0" borderId="0" xfId="0" applyNumberFormat="1" applyFont="1" applyAlignment="1">
      <alignment vertical="center"/>
    </xf>
    <xf numFmtId="0" fontId="11" fillId="0" borderId="0" xfId="0" applyFont="1"/>
    <xf numFmtId="169" fontId="7" fillId="0" borderId="11" xfId="0" applyNumberFormat="1" applyFont="1" applyBorder="1"/>
    <xf numFmtId="0" fontId="5" fillId="0" borderId="9" xfId="0" quotePrefix="1" applyFont="1" applyBorder="1"/>
    <xf numFmtId="0" fontId="5" fillId="0" borderId="19" xfId="0" applyFont="1" applyBorder="1"/>
    <xf numFmtId="0" fontId="5" fillId="0" borderId="20" xfId="0" applyFont="1" applyBorder="1" applyAlignment="1">
      <alignment horizontal="center" vertical="center" wrapText="1"/>
    </xf>
    <xf numFmtId="167" fontId="7" fillId="0" borderId="3" xfId="0" applyNumberFormat="1" applyFont="1" applyBorder="1"/>
    <xf numFmtId="167" fontId="7" fillId="0" borderId="4" xfId="0" applyNumberFormat="1" applyFont="1" applyBorder="1"/>
    <xf numFmtId="0" fontId="7" fillId="0" borderId="4" xfId="0" applyFont="1" applyBorder="1" applyAlignment="1">
      <alignment horizontal="right" vertical="center" wrapText="1"/>
    </xf>
    <xf numFmtId="0" fontId="7" fillId="0" borderId="4" xfId="0" applyFont="1" applyBorder="1"/>
    <xf numFmtId="0" fontId="7" fillId="0" borderId="21" xfId="0" applyFont="1" applyBorder="1"/>
    <xf numFmtId="167" fontId="7" fillId="0" borderId="22" xfId="0" applyNumberFormat="1" applyFont="1" applyBorder="1"/>
    <xf numFmtId="169" fontId="7" fillId="0" borderId="3" xfId="0" applyNumberFormat="1" applyFont="1" applyBorder="1"/>
    <xf numFmtId="169" fontId="7" fillId="0" borderId="4" xfId="0" applyNumberFormat="1" applyFont="1" applyBorder="1"/>
    <xf numFmtId="169" fontId="7" fillId="0" borderId="5" xfId="0" applyNumberFormat="1" applyFont="1" applyBorder="1"/>
    <xf numFmtId="169" fontId="7" fillId="0" borderId="21" xfId="0" applyNumberFormat="1" applyFont="1" applyBorder="1"/>
    <xf numFmtId="169" fontId="7" fillId="0" borderId="22" xfId="0" applyNumberFormat="1" applyFont="1" applyBorder="1"/>
    <xf numFmtId="169" fontId="7" fillId="0" borderId="10" xfId="0" applyNumberFormat="1" applyFont="1" applyBorder="1"/>
    <xf numFmtId="169" fontId="7" fillId="0" borderId="13" xfId="0" applyNumberFormat="1" applyFont="1" applyBorder="1"/>
    <xf numFmtId="169" fontId="7" fillId="0" borderId="23" xfId="0" applyNumberFormat="1" applyFont="1" applyBorder="1"/>
    <xf numFmtId="169" fontId="7" fillId="0" borderId="24" xfId="0" applyNumberFormat="1" applyFont="1" applyBorder="1"/>
    <xf numFmtId="169" fontId="7" fillId="0" borderId="25" xfId="0" applyNumberFormat="1" applyFont="1" applyBorder="1"/>
    <xf numFmtId="0" fontId="7" fillId="0" borderId="23" xfId="0" applyFont="1" applyBorder="1"/>
    <xf numFmtId="0" fontId="7" fillId="0" borderId="24" xfId="0" applyFont="1" applyBorder="1"/>
    <xf numFmtId="0" fontId="7" fillId="0" borderId="24" xfId="0" applyFont="1" applyBorder="1" applyAlignment="1">
      <alignment horizontal="center"/>
    </xf>
    <xf numFmtId="9" fontId="7" fillId="0" borderId="24" xfId="2" quotePrefix="1" applyFont="1" applyBorder="1"/>
    <xf numFmtId="9" fontId="7" fillId="0" borderId="24" xfId="2" applyFont="1" applyBorder="1"/>
    <xf numFmtId="167" fontId="7" fillId="0" borderId="24" xfId="0" applyNumberFormat="1" applyFont="1" applyBorder="1"/>
    <xf numFmtId="167" fontId="7" fillId="0" borderId="25" xfId="0" applyNumberFormat="1" applyFont="1" applyBorder="1"/>
    <xf numFmtId="169" fontId="5" fillId="0" borderId="26" xfId="0" applyNumberFormat="1" applyFont="1" applyBorder="1"/>
    <xf numFmtId="169" fontId="5" fillId="0" borderId="27" xfId="0" applyNumberFormat="1" applyFont="1" applyBorder="1"/>
    <xf numFmtId="169" fontId="5" fillId="0" borderId="28" xfId="0" applyNumberFormat="1" applyFont="1" applyBorder="1"/>
    <xf numFmtId="0" fontId="5" fillId="0" borderId="7"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vertical="center" wrapText="1"/>
    </xf>
    <xf numFmtId="0" fontId="7" fillId="0" borderId="0" xfId="0" applyFont="1" applyAlignment="1">
      <alignment horizontal="right" vertical="center" wrapText="1"/>
    </xf>
    <xf numFmtId="0" fontId="5" fillId="0" borderId="0" xfId="0" applyFont="1" applyAlignment="1">
      <alignment horizontal="center" vertical="center"/>
    </xf>
    <xf numFmtId="0" fontId="10" fillId="0" borderId="0" xfId="0" applyFont="1" applyFill="1" applyAlignment="1">
      <alignment horizontal="left"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cellXfs>
  <cellStyles count="12">
    <cellStyle name="Comma" xfId="1" builtinId="3"/>
    <cellStyle name="Comma 10" xfId="7"/>
    <cellStyle name="Comma 10 2 2" xfId="9"/>
    <cellStyle name="Comma 2" xfId="5"/>
    <cellStyle name="Currency 10 2 2" xfId="10"/>
    <cellStyle name="Normal" xfId="0" builtinId="0"/>
    <cellStyle name="Normal 2" xfId="3"/>
    <cellStyle name="Normal 330" xfId="11"/>
    <cellStyle name="Percent" xfId="2" builtinId="5"/>
    <cellStyle name="Percent 10" xfId="6"/>
    <cellStyle name="Percent 2" xfId="4"/>
    <cellStyle name="Style 1 2 2 2" xf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tabSelected="1" zoomScaleNormal="100" workbookViewId="0">
      <selection activeCell="B7" sqref="B7"/>
    </sheetView>
  </sheetViews>
  <sheetFormatPr defaultRowHeight="15"/>
  <cols>
    <col min="2" max="2" width="111.140625" customWidth="1"/>
  </cols>
  <sheetData>
    <row r="1" spans="2:2">
      <c r="B1" s="36" t="s">
        <v>0</v>
      </c>
    </row>
    <row r="2" spans="2:2" ht="22.5" customHeight="1"/>
    <row r="3" spans="2:2" ht="105">
      <c r="B3" s="36" t="s">
        <v>1</v>
      </c>
    </row>
    <row r="5" spans="2:2" ht="135">
      <c r="B5" s="36" t="s">
        <v>2</v>
      </c>
    </row>
    <row r="7" spans="2:2" ht="75" customHeight="1">
      <c r="B7" s="36"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B11" sqref="B11"/>
    </sheetView>
  </sheetViews>
  <sheetFormatPr defaultRowHeight="15"/>
  <cols>
    <col min="1" max="1" width="29.28515625" bestFit="1" customWidth="1"/>
    <col min="2" max="2" width="23.42578125" customWidth="1"/>
    <col min="3" max="3" width="10" bestFit="1" customWidth="1"/>
    <col min="4" max="4" width="2.140625" customWidth="1"/>
    <col min="5" max="5" width="124.28515625" customWidth="1"/>
  </cols>
  <sheetData>
    <row r="1" spans="1:5" s="5" customFormat="1" ht="15" customHeight="1">
      <c r="A1" s="79" t="s">
        <v>4</v>
      </c>
      <c r="B1" s="79"/>
      <c r="C1" s="79"/>
      <c r="E1" s="75" t="s">
        <v>5</v>
      </c>
    </row>
    <row r="2" spans="1:5" s="5" customFormat="1" ht="15" customHeight="1">
      <c r="A2" s="19" t="s">
        <v>6</v>
      </c>
      <c r="B2" s="7"/>
      <c r="C2" s="20"/>
      <c r="E2" s="75"/>
    </row>
    <row r="3" spans="1:5" s="5" customFormat="1" ht="15" customHeight="1">
      <c r="A3" s="19" t="s">
        <v>7</v>
      </c>
      <c r="B3" s="7"/>
      <c r="C3" s="20"/>
      <c r="E3" s="75"/>
    </row>
    <row r="4" spans="1:5" s="5" customFormat="1" ht="15" customHeight="1">
      <c r="A4" s="19" t="s">
        <v>8</v>
      </c>
      <c r="B4" s="7"/>
      <c r="C4" s="20" t="s">
        <v>9</v>
      </c>
      <c r="E4" s="75"/>
    </row>
    <row r="5" spans="1:5" ht="11.25" customHeight="1">
      <c r="A5" s="9"/>
      <c r="B5" s="9"/>
      <c r="C5" s="9"/>
    </row>
    <row r="6" spans="1:5" s="5" customFormat="1" ht="15" customHeight="1">
      <c r="A6" s="79" t="s">
        <v>10</v>
      </c>
      <c r="B6" s="79"/>
      <c r="C6" s="79"/>
      <c r="E6" s="77" t="s">
        <v>11</v>
      </c>
    </row>
    <row r="7" spans="1:5" s="5" customFormat="1" ht="21" customHeight="1">
      <c r="A7" s="78" t="s">
        <v>12</v>
      </c>
      <c r="B7" s="6"/>
      <c r="C7" s="20" t="s">
        <v>13</v>
      </c>
      <c r="E7" s="77"/>
    </row>
    <row r="8" spans="1:5" s="5" customFormat="1" ht="46.5" customHeight="1">
      <c r="A8" s="78"/>
      <c r="B8" s="21">
        <f>B7*365/1000000</f>
        <v>0</v>
      </c>
      <c r="C8" s="20" t="s">
        <v>14</v>
      </c>
      <c r="E8" s="77"/>
    </row>
    <row r="9" spans="1:5" ht="11.25" customHeight="1">
      <c r="A9" s="9"/>
      <c r="B9" s="22"/>
      <c r="C9" s="9"/>
    </row>
    <row r="10" spans="1:5" s="5" customFormat="1" ht="15" customHeight="1">
      <c r="A10" s="79" t="s">
        <v>15</v>
      </c>
      <c r="B10" s="79"/>
      <c r="C10" s="79"/>
      <c r="E10" s="77" t="s">
        <v>16</v>
      </c>
    </row>
    <row r="11" spans="1:5" s="5" customFormat="1" ht="21" customHeight="1">
      <c r="A11" s="19" t="s">
        <v>17</v>
      </c>
      <c r="B11" s="39"/>
      <c r="C11" s="20" t="s">
        <v>14</v>
      </c>
      <c r="E11" s="77"/>
    </row>
    <row r="12" spans="1:5" s="5" customFormat="1" ht="21" customHeight="1">
      <c r="A12" s="19" t="s">
        <v>18</v>
      </c>
      <c r="B12" s="39"/>
      <c r="C12" s="20" t="s">
        <v>14</v>
      </c>
      <c r="E12" s="77"/>
    </row>
    <row r="13" spans="1:5" s="5" customFormat="1" ht="21" customHeight="1">
      <c r="A13" s="19" t="s">
        <v>19</v>
      </c>
      <c r="B13" s="40">
        <f>MAX(B11-B12,0)</f>
        <v>0</v>
      </c>
      <c r="C13" s="20" t="s">
        <v>14</v>
      </c>
      <c r="E13" s="77"/>
    </row>
    <row r="14" spans="1:5" ht="18.75" customHeight="1">
      <c r="A14" s="9"/>
      <c r="B14" s="41" t="str">
        <f>IF(B12&gt;B8,"The EQ value cannot be greater than the FCC value due to the way it is calculated, as the minimum of the Entry &amp; Exit FCC and the Entry &amp; Exit Flows.","")</f>
        <v/>
      </c>
      <c r="C14" s="9"/>
    </row>
    <row r="15" spans="1:5" s="5" customFormat="1" ht="15" customHeight="1">
      <c r="A15" s="79" t="s">
        <v>20</v>
      </c>
      <c r="B15" s="79"/>
      <c r="C15" s="79"/>
      <c r="E15" s="75" t="s">
        <v>21</v>
      </c>
    </row>
    <row r="16" spans="1:5" s="5" customFormat="1" ht="21" customHeight="1">
      <c r="A16" s="19" t="s">
        <v>22</v>
      </c>
      <c r="B16" s="23">
        <f>IFERROR(B11/B8,0)</f>
        <v>0</v>
      </c>
      <c r="C16" s="20"/>
      <c r="E16" s="76"/>
    </row>
    <row r="17" spans="1:17" s="5" customFormat="1" ht="21" customHeight="1">
      <c r="A17" s="19" t="s">
        <v>23</v>
      </c>
      <c r="B17" s="23">
        <f>IFERROR(B12/B11,0)</f>
        <v>0</v>
      </c>
      <c r="C17" s="20"/>
      <c r="E17" s="76"/>
    </row>
    <row r="18" spans="1:17" ht="11.25" customHeight="1"/>
    <row r="19" spans="1:17">
      <c r="B19" s="4"/>
    </row>
    <row r="22" spans="1:17" ht="15.75">
      <c r="F22" s="30"/>
      <c r="G22" s="30"/>
      <c r="H22" s="30"/>
      <c r="I22" s="30"/>
      <c r="J22" s="30"/>
      <c r="K22" s="30"/>
      <c r="L22" s="30"/>
      <c r="M22" s="30"/>
      <c r="N22" s="30"/>
      <c r="O22" s="30"/>
      <c r="P22" s="30"/>
      <c r="Q22" s="31"/>
    </row>
    <row r="23" spans="1:17" ht="15" customHeight="1">
      <c r="E23" s="32"/>
      <c r="F23" s="32"/>
      <c r="G23" s="32"/>
      <c r="H23" s="32"/>
      <c r="I23" s="32"/>
      <c r="J23" s="32"/>
      <c r="K23" s="32"/>
      <c r="L23" s="32"/>
      <c r="M23" s="32"/>
      <c r="N23" s="32"/>
      <c r="O23" s="32"/>
      <c r="P23" s="32"/>
      <c r="Q23" s="33"/>
    </row>
    <row r="24" spans="1:17" ht="15" customHeight="1">
      <c r="E24" s="34"/>
      <c r="F24" s="34"/>
      <c r="G24" s="34"/>
      <c r="H24" s="34"/>
      <c r="I24" s="34"/>
      <c r="J24" s="34"/>
      <c r="K24" s="34"/>
      <c r="L24" s="34"/>
      <c r="M24" s="34"/>
      <c r="N24" s="34"/>
      <c r="O24" s="34"/>
      <c r="P24" s="34"/>
      <c r="Q24" s="35"/>
    </row>
  </sheetData>
  <mergeCells count="9">
    <mergeCell ref="E15:E17"/>
    <mergeCell ref="E1:E4"/>
    <mergeCell ref="E10:E13"/>
    <mergeCell ref="E6:E8"/>
    <mergeCell ref="A7:A8"/>
    <mergeCell ref="A6:C6"/>
    <mergeCell ref="A10:C10"/>
    <mergeCell ref="A15:C15"/>
    <mergeCell ref="A1:C1"/>
  </mergeCells>
  <conditionalFormatting sqref="B12">
    <cfRule type="cellIs" dxfId="0" priority="1" operator="greaterThan">
      <formula>$B$8</formula>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selection activeCell="K41" sqref="K41"/>
    </sheetView>
  </sheetViews>
  <sheetFormatPr defaultRowHeight="15"/>
  <cols>
    <col min="1" max="1" width="12.28515625" customWidth="1"/>
    <col min="2" max="2" width="10.140625" customWidth="1"/>
    <col min="3" max="4" width="14.7109375" customWidth="1"/>
    <col min="5" max="5" width="15" customWidth="1"/>
    <col min="6" max="7" width="13.7109375" customWidth="1"/>
    <col min="8" max="8" width="17.42578125" customWidth="1"/>
    <col min="9" max="9" width="13.85546875" customWidth="1"/>
    <col min="10" max="10" width="12.7109375" customWidth="1"/>
    <col min="11" max="11" width="11" customWidth="1"/>
    <col min="13" max="13" width="10" customWidth="1"/>
    <col min="14" max="14" width="12.140625" customWidth="1"/>
  </cols>
  <sheetData>
    <row r="1" spans="1:16" ht="30" customHeight="1">
      <c r="A1" s="38" t="s">
        <v>24</v>
      </c>
      <c r="B1" s="80" t="s">
        <v>25</v>
      </c>
      <c r="C1" s="80"/>
      <c r="D1" s="80"/>
      <c r="E1" s="80"/>
      <c r="F1" s="80"/>
      <c r="G1" s="80"/>
      <c r="H1" s="80"/>
      <c r="I1" s="80"/>
      <c r="J1" s="80"/>
      <c r="K1" s="80"/>
      <c r="L1" s="80"/>
      <c r="M1" s="80"/>
      <c r="N1" s="80"/>
    </row>
    <row r="2" spans="1:16" ht="15.75" thickBot="1">
      <c r="B2" s="29"/>
      <c r="C2" s="29"/>
      <c r="D2" s="29"/>
      <c r="E2" s="29"/>
      <c r="F2" s="29"/>
      <c r="G2" s="29"/>
      <c r="H2" s="29"/>
      <c r="I2" s="29"/>
      <c r="J2" s="29"/>
      <c r="K2" s="15"/>
      <c r="L2" s="15"/>
      <c r="M2" s="15"/>
      <c r="N2" s="15"/>
    </row>
    <row r="3" spans="1:16">
      <c r="C3" s="85" t="s">
        <v>26</v>
      </c>
      <c r="D3" s="83"/>
      <c r="E3" s="83" t="s">
        <v>27</v>
      </c>
      <c r="F3" s="83"/>
      <c r="G3" s="81" t="s">
        <v>28</v>
      </c>
      <c r="H3" s="81" t="s">
        <v>29</v>
      </c>
      <c r="I3" s="81" t="s">
        <v>30</v>
      </c>
      <c r="J3" s="81" t="s">
        <v>31</v>
      </c>
      <c r="K3" s="83" t="s">
        <v>26</v>
      </c>
      <c r="L3" s="83"/>
      <c r="M3" s="83" t="s">
        <v>27</v>
      </c>
      <c r="N3" s="84"/>
      <c r="P3" s="2"/>
    </row>
    <row r="4" spans="1:16" s="1" customFormat="1" ht="45.75" thickBot="1">
      <c r="C4" s="26" t="s">
        <v>32</v>
      </c>
      <c r="D4" s="27" t="s">
        <v>33</v>
      </c>
      <c r="E4" s="27" t="s">
        <v>34</v>
      </c>
      <c r="F4" s="27" t="s">
        <v>35</v>
      </c>
      <c r="G4" s="82"/>
      <c r="H4" s="82"/>
      <c r="I4" s="82"/>
      <c r="J4" s="82"/>
      <c r="K4" s="27" t="s">
        <v>36</v>
      </c>
      <c r="L4" s="27" t="s">
        <v>37</v>
      </c>
      <c r="M4" s="27" t="s">
        <v>38</v>
      </c>
      <c r="N4" s="28" t="s">
        <v>39</v>
      </c>
    </row>
    <row r="5" spans="1:16" s="1" customFormat="1">
      <c r="B5" s="24" t="s">
        <v>40</v>
      </c>
      <c r="C5" s="46">
        <v>0</v>
      </c>
      <c r="D5" s="47">
        <v>0</v>
      </c>
      <c r="E5" s="48">
        <v>9.5500000000000002E-2</v>
      </c>
      <c r="F5" s="73" t="s">
        <v>41</v>
      </c>
      <c r="G5" s="73" t="s">
        <v>41</v>
      </c>
      <c r="H5" s="49" t="str">
        <f>IF('Route Info'!$B$4="","",'Route Info'!$B$4)</f>
        <v/>
      </c>
      <c r="I5" s="73" t="s">
        <v>41</v>
      </c>
      <c r="J5" s="73" t="s">
        <v>41</v>
      </c>
      <c r="K5" s="47">
        <v>0</v>
      </c>
      <c r="L5" s="47">
        <v>0</v>
      </c>
      <c r="M5" s="48">
        <v>1.1900000000000001E-2</v>
      </c>
      <c r="N5" s="74" t="s">
        <v>41</v>
      </c>
    </row>
    <row r="6" spans="1:16">
      <c r="B6" s="25" t="s">
        <v>42</v>
      </c>
      <c r="C6" s="50">
        <v>7.17E-2</v>
      </c>
      <c r="D6" s="10">
        <v>1.9800000000000002E-2</v>
      </c>
      <c r="E6" s="11" t="s">
        <v>41</v>
      </c>
      <c r="F6" s="10">
        <v>1.34E-2</v>
      </c>
      <c r="G6" s="11" t="s">
        <v>41</v>
      </c>
      <c r="H6" s="10" t="str">
        <f>IF('Route Info'!$B$4="","",'Route Info'!$B$4)</f>
        <v/>
      </c>
      <c r="I6" s="11" t="s">
        <v>41</v>
      </c>
      <c r="J6" s="11" t="s">
        <v>41</v>
      </c>
      <c r="K6" s="12">
        <v>0</v>
      </c>
      <c r="L6" s="12">
        <v>0</v>
      </c>
      <c r="M6" s="11" t="s">
        <v>41</v>
      </c>
      <c r="N6" s="51">
        <f>IFERROR(ROUND(F6-(F6*J6),4),F6)</f>
        <v>1.34E-2</v>
      </c>
    </row>
    <row r="7" spans="1:16">
      <c r="B7" s="43" t="s">
        <v>43</v>
      </c>
      <c r="C7" s="50">
        <v>7.17E-2</v>
      </c>
      <c r="D7" s="10">
        <v>1.9800000000000002E-2</v>
      </c>
      <c r="E7" s="11" t="s">
        <v>41</v>
      </c>
      <c r="F7" s="10">
        <v>1.34E-2</v>
      </c>
      <c r="G7" s="10">
        <v>18</v>
      </c>
      <c r="H7" s="10" t="str">
        <f>IF('Route Info'!$B$4="","",'Route Info'!$B$4)</f>
        <v/>
      </c>
      <c r="I7" s="13">
        <f>IF('Route Info'!$B$4="",0,ROUND(IF(((1/(IFERROR(2.71828^(1.6094*(G7^-1)),1)))^(H7))-(1-0.9)&lt;0.1,0,((1/(IFERROR(2.71828^(1.6094*(G7^-1)),1)))^(H7))-(1-0.9)),2))</f>
        <v>0</v>
      </c>
      <c r="J7" s="14">
        <f>IF(I7&gt;0,0%,0)</f>
        <v>0</v>
      </c>
      <c r="K7" s="12">
        <f>ROUND(C7-(C7*I7),4)</f>
        <v>7.17E-2</v>
      </c>
      <c r="L7" s="12">
        <f>ROUND(D7-(D7*I7),4)</f>
        <v>1.9800000000000002E-2</v>
      </c>
      <c r="M7" s="11" t="s">
        <v>41</v>
      </c>
      <c r="N7" s="51">
        <f t="shared" ref="N7:N10" si="0">ROUND(F7-(F7*J7),4)</f>
        <v>1.34E-2</v>
      </c>
    </row>
    <row r="8" spans="1:16">
      <c r="B8" s="25" t="s">
        <v>44</v>
      </c>
      <c r="C8" s="50">
        <v>7.17E-2</v>
      </c>
      <c r="D8" s="10">
        <v>1.9800000000000002E-2</v>
      </c>
      <c r="E8" s="11" t="s">
        <v>41</v>
      </c>
      <c r="F8" s="10">
        <v>1.34E-2</v>
      </c>
      <c r="G8" s="10">
        <v>18</v>
      </c>
      <c r="H8" s="10" t="str">
        <f>IF('Route Info'!$B$4="","",'Route Info'!$B$4)</f>
        <v/>
      </c>
      <c r="I8" s="13">
        <f>IF('Route Info'!$B$4="",0,ROUND(IF(((1/(IFERROR(2.71828^(1.6094*(G8^-1)),1)))^(H8))-(1-0.9)&lt;0.1,0,((1/(IFERROR(2.71828^(1.6094*(G8^-1)),1)))^(H8))-(1-0.9)),2))</f>
        <v>0</v>
      </c>
      <c r="J8" s="14">
        <f>IF(I8&gt;0,80%,0)</f>
        <v>0</v>
      </c>
      <c r="K8" s="12">
        <f>ROUND(C8-(C8*I8),4)</f>
        <v>7.17E-2</v>
      </c>
      <c r="L8" s="12">
        <f>ROUND(D8-(D8*I8),4)</f>
        <v>1.9800000000000002E-2</v>
      </c>
      <c r="M8" s="11" t="s">
        <v>41</v>
      </c>
      <c r="N8" s="51">
        <f t="shared" si="0"/>
        <v>1.34E-2</v>
      </c>
    </row>
    <row r="9" spans="1:16">
      <c r="B9" s="25" t="s">
        <v>45</v>
      </c>
      <c r="C9" s="50">
        <v>7.17E-2</v>
      </c>
      <c r="D9" s="10">
        <v>1.9800000000000002E-2</v>
      </c>
      <c r="E9" s="11" t="s">
        <v>41</v>
      </c>
      <c r="F9" s="10">
        <v>1.34E-2</v>
      </c>
      <c r="G9" s="10">
        <v>28</v>
      </c>
      <c r="H9" s="10" t="str">
        <f>IF('Route Info'!$B$4="","",'Route Info'!$B$4)</f>
        <v/>
      </c>
      <c r="I9" s="13">
        <f>IF('Route Info'!$B$4="",0,ROUND(IF(((1/(IFERROR(2.71828^(1.6094*(G9^-1)),1)))^(H9))-(1-0.9)&lt;0.1,0,((1/(IFERROR(2.71828^(1.6094*(G9^-1)),1)))^(H9))-(1-0.9)),2))</f>
        <v>0</v>
      </c>
      <c r="J9" s="14">
        <f>IF(I9&gt;0,0%,0)</f>
        <v>0</v>
      </c>
      <c r="K9" s="12">
        <f>ROUND(C9-(C9*I9),4)</f>
        <v>7.17E-2</v>
      </c>
      <c r="L9" s="12">
        <f>ROUND(D9-(D9*I9),4)</f>
        <v>1.9800000000000002E-2</v>
      </c>
      <c r="M9" s="11" t="s">
        <v>41</v>
      </c>
      <c r="N9" s="51">
        <f t="shared" si="0"/>
        <v>1.34E-2</v>
      </c>
    </row>
    <row r="10" spans="1:16">
      <c r="B10" s="25" t="s">
        <v>46</v>
      </c>
      <c r="C10" s="50">
        <v>7.17E-2</v>
      </c>
      <c r="D10" s="10">
        <v>1.9800000000000002E-2</v>
      </c>
      <c r="E10" s="11" t="s">
        <v>41</v>
      </c>
      <c r="F10" s="10">
        <v>1.34E-2</v>
      </c>
      <c r="G10" s="10">
        <v>18</v>
      </c>
      <c r="H10" s="10" t="str">
        <f>IF('Route Info'!$B$4="","",'Route Info'!$B$4)</f>
        <v/>
      </c>
      <c r="I10" s="13">
        <f>IF('Route Info'!$B$4="",0,ROUND(IF(((1/(IFERROR(2.71828^(1.6094*(G10^-1)),1)))^(H10))-(1-0.9)&lt;0.1,0,((1/(IFERROR(2.71828^(1.6094*(G10^-1)),1)))^(H10))-(1-0.9)),2))</f>
        <v>0</v>
      </c>
      <c r="J10" s="14">
        <f>IF(I10&gt;0,0%,0)</f>
        <v>0</v>
      </c>
      <c r="K10" s="12">
        <f>ROUND(C10-(C10*I10),4)</f>
        <v>7.17E-2</v>
      </c>
      <c r="L10" s="12">
        <f>ROUND(D10-(D10*I10),4)</f>
        <v>1.9800000000000002E-2</v>
      </c>
      <c r="M10" s="11" t="s">
        <v>41</v>
      </c>
      <c r="N10" s="51">
        <f t="shared" si="0"/>
        <v>1.34E-2</v>
      </c>
    </row>
    <row r="11" spans="1:16" ht="15.75" thickBot="1">
      <c r="B11" s="44" t="s">
        <v>47</v>
      </c>
      <c r="C11" s="62">
        <v>7.17E-2</v>
      </c>
      <c r="D11" s="63">
        <v>1.9800000000000002E-2</v>
      </c>
      <c r="E11" s="64" t="s">
        <v>41</v>
      </c>
      <c r="F11" s="63">
        <v>1.34E-2</v>
      </c>
      <c r="G11" s="63">
        <v>5</v>
      </c>
      <c r="H11" s="63" t="str">
        <f>IF('Route Info'!$B$4="","",'Route Info'!$B$4)</f>
        <v/>
      </c>
      <c r="I11" s="65">
        <f>IF('Route Info'!$B$4="",0,IF('Route Info'!$B$4&gt;G11,0,ROUND(IF(((1/(IFERROR(2.71828^(0*(G11^-1)),1)))^(H11))-(1-0.9)&lt;0.1,0,((1/(IFERROR(2.71828^(0*(G11^-1)),1)))^(H11))-(1-0.9)),2)))</f>
        <v>0</v>
      </c>
      <c r="J11" s="66">
        <f>IF(I11&gt;0,94%,0)</f>
        <v>0</v>
      </c>
      <c r="K11" s="67">
        <f>ROUND(C11-(C11*I11),4)</f>
        <v>7.17E-2</v>
      </c>
      <c r="L11" s="67">
        <f>ROUND(D11-(D11*I11),4)</f>
        <v>1.9800000000000002E-2</v>
      </c>
      <c r="M11" s="64" t="s">
        <v>41</v>
      </c>
      <c r="N11" s="68">
        <f t="shared" ref="N11" si="1">ROUND(F11-(F11*J11),4)</f>
        <v>1.34E-2</v>
      </c>
    </row>
    <row r="13" spans="1:16" ht="35.25" customHeight="1">
      <c r="A13" s="37" t="s">
        <v>48</v>
      </c>
      <c r="B13" s="80" t="s">
        <v>49</v>
      </c>
      <c r="C13" s="80"/>
      <c r="D13" s="80"/>
      <c r="E13" s="80"/>
      <c r="F13" s="80"/>
      <c r="G13" s="80"/>
      <c r="H13" s="80"/>
      <c r="I13" s="80"/>
      <c r="J13" s="80"/>
    </row>
    <row r="14" spans="1:16" ht="15.75" thickBot="1">
      <c r="B14" s="8"/>
      <c r="C14" s="8"/>
      <c r="D14" s="8"/>
      <c r="E14" s="8"/>
      <c r="F14" s="8"/>
      <c r="G14" s="8"/>
      <c r="H14" s="8"/>
      <c r="I14" s="8"/>
    </row>
    <row r="15" spans="1:16" s="3" customFormat="1" ht="60.75" thickBot="1">
      <c r="B15" s="16"/>
      <c r="C15" s="45" t="s">
        <v>50</v>
      </c>
      <c r="D15" s="72" t="s">
        <v>51</v>
      </c>
      <c r="E15" s="72" t="s">
        <v>52</v>
      </c>
      <c r="F15" s="72" t="s">
        <v>53</v>
      </c>
      <c r="G15" s="72" t="s">
        <v>54</v>
      </c>
      <c r="H15" s="72" t="s">
        <v>55</v>
      </c>
      <c r="I15" s="17" t="s">
        <v>56</v>
      </c>
    </row>
    <row r="16" spans="1:16">
      <c r="B16" s="24" t="s">
        <v>40</v>
      </c>
      <c r="C16" s="52">
        <f>('Route Info'!$B$8*1000000)*C5/100</f>
        <v>0</v>
      </c>
      <c r="D16" s="53">
        <f>('Route Info'!$B$8*1000000)*D5/100</f>
        <v>0</v>
      </c>
      <c r="E16" s="53">
        <f>('Route Info'!$B$13*1000000)*Data!E5/100</f>
        <v>0</v>
      </c>
      <c r="F16" s="53">
        <f>('Route Info'!$B$12*1000000)*Data!K5/100</f>
        <v>0</v>
      </c>
      <c r="G16" s="53">
        <f>('Route Info'!$B$12*1000000)*Data!L5/100</f>
        <v>0</v>
      </c>
      <c r="H16" s="54">
        <f>('Route Info'!$B$12*1000000)*Data!M5/100</f>
        <v>0</v>
      </c>
      <c r="I16" s="69">
        <f>SUM(C16:H16)</f>
        <v>0</v>
      </c>
    </row>
    <row r="17" spans="1:10">
      <c r="B17" s="25" t="s">
        <v>42</v>
      </c>
      <c r="C17" s="55">
        <f>('Route Info'!$B$8*1000000)*C6/100</f>
        <v>0</v>
      </c>
      <c r="D17" s="18">
        <f>('Route Info'!$B$8*1000000)*D6/100</f>
        <v>0</v>
      </c>
      <c r="E17" s="18">
        <f>('Route Info'!B$11*1000000*2)*Data!F6/100</f>
        <v>0</v>
      </c>
      <c r="F17" s="18">
        <v>0</v>
      </c>
      <c r="G17" s="18">
        <v>0</v>
      </c>
      <c r="H17" s="56">
        <v>0</v>
      </c>
      <c r="I17" s="70">
        <f>SUM(C17:H17)</f>
        <v>0</v>
      </c>
    </row>
    <row r="18" spans="1:10">
      <c r="B18" s="43" t="s">
        <v>43</v>
      </c>
      <c r="C18" s="55">
        <f>(('Route Info'!$B$8-'Route Info'!$B$12)*1000000)*C7/100</f>
        <v>0</v>
      </c>
      <c r="D18" s="18">
        <f>(('Route Info'!$B$8-'Route Info'!$B$12)*1000000)*D7/100</f>
        <v>0</v>
      </c>
      <c r="E18" s="18">
        <f>('Route Info'!B$11*1000000*2)*Data!F7/100</f>
        <v>0</v>
      </c>
      <c r="F18" s="18">
        <f>('Route Info'!$B$12*1000000)*Data!K7/100</f>
        <v>0</v>
      </c>
      <c r="G18" s="18">
        <f>('Route Info'!$B$12*1000000)*Data!L7/100</f>
        <v>0</v>
      </c>
      <c r="H18" s="56">
        <v>0</v>
      </c>
      <c r="I18" s="70">
        <f>SUM(C18:H18)</f>
        <v>0</v>
      </c>
    </row>
    <row r="19" spans="1:10">
      <c r="B19" s="25" t="s">
        <v>44</v>
      </c>
      <c r="C19" s="55">
        <f>(('Route Info'!$B$8-'Route Info'!$B$12)*1000000)*C8/100</f>
        <v>0</v>
      </c>
      <c r="D19" s="18">
        <f>(('Route Info'!$B$8-'Route Info'!$B$12)*1000000)*D8/100</f>
        <v>0</v>
      </c>
      <c r="E19" s="18">
        <v>0</v>
      </c>
      <c r="F19" s="18">
        <f>('Route Info'!$B$12*1000000)*Data!K8/100</f>
        <v>0</v>
      </c>
      <c r="G19" s="18">
        <f>('Route Info'!$B$12*1000000)*Data!L8/100</f>
        <v>0</v>
      </c>
      <c r="H19" s="56">
        <f>('Route Info'!$B$11*1000000*2)*Data!N8/100</f>
        <v>0</v>
      </c>
      <c r="I19" s="70">
        <f t="shared" ref="I19:I21" si="2">SUM(C19:H19)</f>
        <v>0</v>
      </c>
    </row>
    <row r="20" spans="1:10">
      <c r="B20" s="25" t="s">
        <v>45</v>
      </c>
      <c r="C20" s="55">
        <f>(('Route Info'!$B$8-'Route Info'!$B$12)*1000000)*C9/100</f>
        <v>0</v>
      </c>
      <c r="D20" s="18">
        <f>(('Route Info'!$B$8-'Route Info'!$B$12)*1000000)*D9/100</f>
        <v>0</v>
      </c>
      <c r="E20" s="18">
        <f>('Route Info'!B$11*1000000*2)*Data!F9/100</f>
        <v>0</v>
      </c>
      <c r="F20" s="18">
        <f>('Route Info'!$B$12*1000000)*Data!K9/100</f>
        <v>0</v>
      </c>
      <c r="G20" s="18">
        <f>('Route Info'!$B$12*1000000)*Data!L9/100</f>
        <v>0</v>
      </c>
      <c r="H20" s="56">
        <v>0</v>
      </c>
      <c r="I20" s="70">
        <f t="shared" si="2"/>
        <v>0</v>
      </c>
    </row>
    <row r="21" spans="1:10">
      <c r="B21" s="25" t="s">
        <v>46</v>
      </c>
      <c r="C21" s="55">
        <v>0</v>
      </c>
      <c r="D21" s="18">
        <v>0</v>
      </c>
      <c r="E21" s="18">
        <f>('Route Info'!B$11*1000000*2)*Data!F10/100</f>
        <v>0</v>
      </c>
      <c r="F21" s="18">
        <f>('Route Info'!$B$8*1000000)*Data!K10/100</f>
        <v>0</v>
      </c>
      <c r="G21" s="18">
        <f>('Route Info'!$B$8*1000000)*Data!L10/100</f>
        <v>0</v>
      </c>
      <c r="H21" s="56">
        <v>0</v>
      </c>
      <c r="I21" s="70">
        <f t="shared" si="2"/>
        <v>0</v>
      </c>
    </row>
    <row r="22" spans="1:10" ht="15.75" thickBot="1">
      <c r="B22" s="44" t="s">
        <v>47</v>
      </c>
      <c r="C22" s="59">
        <f>(('Route Info'!$B$8-'Route Info'!$B$12)*1000000)*C11/100</f>
        <v>0</v>
      </c>
      <c r="D22" s="60">
        <f>(('Route Info'!$B$8-'Route Info'!$B$12)*1000000)*D11/100</f>
        <v>0</v>
      </c>
      <c r="E22" s="60">
        <v>0</v>
      </c>
      <c r="F22" s="60">
        <f>('Route Info'!$B$8*1000000)*Data!K11/100</f>
        <v>0</v>
      </c>
      <c r="G22" s="60">
        <f>('Route Info'!$B$8*1000000)*Data!L11/100</f>
        <v>0</v>
      </c>
      <c r="H22" s="61">
        <f>('Route Info'!$B$11*1000000*2)*Data!N11/100</f>
        <v>0</v>
      </c>
      <c r="I22" s="71">
        <f t="shared" ref="I22" si="3">SUM(C22:H22)</f>
        <v>0</v>
      </c>
    </row>
    <row r="24" spans="1:10" ht="30" customHeight="1">
      <c r="A24" s="37" t="s">
        <v>57</v>
      </c>
      <c r="B24" s="80" t="s">
        <v>58</v>
      </c>
      <c r="C24" s="80"/>
      <c r="D24" s="80"/>
      <c r="E24" s="80"/>
      <c r="F24" s="80"/>
      <c r="G24" s="80"/>
      <c r="H24" s="80"/>
      <c r="I24" s="80"/>
      <c r="J24" s="80"/>
    </row>
    <row r="25" spans="1:10" ht="15.75" thickBot="1">
      <c r="B25" s="8"/>
      <c r="C25" s="8"/>
      <c r="D25" s="8"/>
      <c r="E25" s="8"/>
      <c r="F25" s="8"/>
      <c r="G25" s="8"/>
      <c r="H25" s="8"/>
      <c r="I25" s="8"/>
    </row>
    <row r="26" spans="1:10" ht="60.75" thickBot="1">
      <c r="B26" s="16"/>
      <c r="C26" s="45" t="s">
        <v>50</v>
      </c>
      <c r="D26" s="72" t="s">
        <v>51</v>
      </c>
      <c r="E26" s="72" t="s">
        <v>52</v>
      </c>
      <c r="F26" s="72" t="s">
        <v>53</v>
      </c>
      <c r="G26" s="72" t="s">
        <v>54</v>
      </c>
      <c r="H26" s="72" t="s">
        <v>59</v>
      </c>
      <c r="I26" s="17" t="s">
        <v>56</v>
      </c>
    </row>
    <row r="27" spans="1:10">
      <c r="B27" s="24" t="s">
        <v>40</v>
      </c>
      <c r="C27" s="52">
        <f>('Route Info'!$B$8*1000000)*C5/100</f>
        <v>0</v>
      </c>
      <c r="D27" s="53">
        <f>('Route Info'!$B$8*1000000)*D5/100</f>
        <v>0</v>
      </c>
      <c r="E27" s="53">
        <f>('Route Info'!$B$13*1000000)*Data!E5/100</f>
        <v>0</v>
      </c>
      <c r="F27" s="53">
        <f>('Route Info'!$B$12*1000000)*Data!K5/100</f>
        <v>0</v>
      </c>
      <c r="G27" s="53">
        <f>('Route Info'!$B$12*1000000)*Data!L5/100</f>
        <v>0</v>
      </c>
      <c r="H27" s="54">
        <f>('Route Info'!$B$12*1000000)*Data!M5/100</f>
        <v>0</v>
      </c>
      <c r="I27" s="69">
        <f>SUM(C27:H27)</f>
        <v>0</v>
      </c>
    </row>
    <row r="28" spans="1:10">
      <c r="B28" s="25" t="s">
        <v>42</v>
      </c>
      <c r="C28" s="55">
        <f>('Route Info'!$B$11*1000000)*C6/100</f>
        <v>0</v>
      </c>
      <c r="D28" s="18">
        <f>('Route Info'!$B$11*1000000)*D6/100</f>
        <v>0</v>
      </c>
      <c r="E28" s="18">
        <f>('Route Info'!B$11*1000000*2)*Data!F6/100</f>
        <v>0</v>
      </c>
      <c r="F28" s="18">
        <v>0</v>
      </c>
      <c r="G28" s="18">
        <v>0</v>
      </c>
      <c r="H28" s="56">
        <v>0</v>
      </c>
      <c r="I28" s="70">
        <f>SUM(C28:H28)</f>
        <v>0</v>
      </c>
    </row>
    <row r="29" spans="1:10">
      <c r="B29" s="43" t="s">
        <v>43</v>
      </c>
      <c r="C29" s="55">
        <f>(('Route Info'!$B$13)*1000000)*C7/100</f>
        <v>0</v>
      </c>
      <c r="D29" s="18">
        <f>(('Route Info'!$B$13)*1000000)*D7/100</f>
        <v>0</v>
      </c>
      <c r="E29" s="18">
        <f>('Route Info'!B$11*1000000*2)*Data!F7/100</f>
        <v>0</v>
      </c>
      <c r="F29" s="18">
        <f>('Route Info'!$B$12*1000000)*Data!K7/100</f>
        <v>0</v>
      </c>
      <c r="G29" s="18">
        <f>('Route Info'!$B$12*1000000)*Data!L7/100</f>
        <v>0</v>
      </c>
      <c r="H29" s="56">
        <v>0</v>
      </c>
      <c r="I29" s="70">
        <f>SUM(C29:H29)</f>
        <v>0</v>
      </c>
    </row>
    <row r="30" spans="1:10">
      <c r="B30" s="25" t="s">
        <v>44</v>
      </c>
      <c r="C30" s="55">
        <f>(('Route Info'!$B$13)*1000000)*C8/100</f>
        <v>0</v>
      </c>
      <c r="D30" s="18">
        <f>(('Route Info'!$B$13)*1000000)*D8/100</f>
        <v>0</v>
      </c>
      <c r="E30" s="18">
        <v>0</v>
      </c>
      <c r="F30" s="18">
        <f>('Route Info'!$B$12*1000000)*Data!K8/100</f>
        <v>0</v>
      </c>
      <c r="G30" s="18">
        <f>('Route Info'!$B$12*1000000)*Data!L8/100</f>
        <v>0</v>
      </c>
      <c r="H30" s="56">
        <f>('Route Info'!$B$11*1000000*2)*Data!N8/100</f>
        <v>0</v>
      </c>
      <c r="I30" s="70">
        <f t="shared" ref="I30:I32" si="4">SUM(C30:H30)</f>
        <v>0</v>
      </c>
    </row>
    <row r="31" spans="1:10">
      <c r="B31" s="25" t="s">
        <v>45</v>
      </c>
      <c r="C31" s="55">
        <f>(('Route Info'!$B$13)*1000000)*C9/100</f>
        <v>0</v>
      </c>
      <c r="D31" s="18">
        <f>(('Route Info'!$B$13)*1000000)*D9/100</f>
        <v>0</v>
      </c>
      <c r="E31" s="18">
        <f>('Route Info'!B$11*1000000*2)*Data!F9/100</f>
        <v>0</v>
      </c>
      <c r="F31" s="18">
        <f>('Route Info'!$B$12*1000000)*Data!K9/100</f>
        <v>0</v>
      </c>
      <c r="G31" s="18">
        <f>('Route Info'!$B$12*1000000)*Data!L9/100</f>
        <v>0</v>
      </c>
      <c r="H31" s="58">
        <v>0</v>
      </c>
      <c r="I31" s="70">
        <f t="shared" si="4"/>
        <v>0</v>
      </c>
    </row>
    <row r="32" spans="1:10">
      <c r="B32" s="25" t="s">
        <v>46</v>
      </c>
      <c r="C32" s="57">
        <v>0</v>
      </c>
      <c r="D32" s="42">
        <v>0</v>
      </c>
      <c r="E32" s="42">
        <f>('Route Info'!B$11*1000000*2)*Data!F10/100</f>
        <v>0</v>
      </c>
      <c r="F32" s="18">
        <f>('Route Info'!$B$11*1000000)*Data!K10/100</f>
        <v>0</v>
      </c>
      <c r="G32" s="18">
        <f>('Route Info'!$B$11*1000000)*Data!L10/100</f>
        <v>0</v>
      </c>
      <c r="H32" s="58">
        <v>0</v>
      </c>
      <c r="I32" s="70">
        <f t="shared" si="4"/>
        <v>0</v>
      </c>
    </row>
    <row r="33" spans="1:10" ht="15.75" thickBot="1">
      <c r="B33" s="44" t="s">
        <v>47</v>
      </c>
      <c r="C33" s="59">
        <f>(('Route Info'!$B$13)*1000000)*C11/100</f>
        <v>0</v>
      </c>
      <c r="D33" s="60">
        <f>(('Route Info'!$B$13)*1000000)*D11/100</f>
        <v>0</v>
      </c>
      <c r="E33" s="60">
        <v>0</v>
      </c>
      <c r="F33" s="60">
        <f>('Route Info'!$B$11*1000000)*Data!K11/100</f>
        <v>0</v>
      </c>
      <c r="G33" s="60">
        <f>('Route Info'!$B$11*1000000)*Data!L11/100</f>
        <v>0</v>
      </c>
      <c r="H33" s="61">
        <f>('Route Info'!$B$11*1000000*2)*Data!N11/100</f>
        <v>0</v>
      </c>
      <c r="I33" s="71">
        <f t="shared" ref="I33" si="5">SUM(C33:H33)</f>
        <v>0</v>
      </c>
    </row>
    <row r="35" spans="1:10" ht="31.5" customHeight="1">
      <c r="A35" s="37" t="s">
        <v>60</v>
      </c>
      <c r="B35" s="80" t="s">
        <v>61</v>
      </c>
      <c r="C35" s="80"/>
      <c r="D35" s="80"/>
      <c r="E35" s="80"/>
      <c r="F35" s="80"/>
      <c r="G35" s="80"/>
      <c r="H35" s="80"/>
      <c r="I35" s="80"/>
      <c r="J35" s="80"/>
    </row>
    <row r="36" spans="1:10" ht="15.75" thickBot="1">
      <c r="B36" s="8"/>
      <c r="C36" s="8"/>
      <c r="D36" s="8"/>
      <c r="E36" s="8"/>
      <c r="F36" s="8"/>
      <c r="G36" s="8"/>
      <c r="H36" s="8"/>
      <c r="I36" s="8"/>
    </row>
    <row r="37" spans="1:10" ht="60.75" thickBot="1">
      <c r="B37" s="16"/>
      <c r="C37" s="45" t="s">
        <v>50</v>
      </c>
      <c r="D37" s="72" t="s">
        <v>51</v>
      </c>
      <c r="E37" s="72" t="s">
        <v>52</v>
      </c>
      <c r="F37" s="72" t="s">
        <v>53</v>
      </c>
      <c r="G37" s="72" t="s">
        <v>54</v>
      </c>
      <c r="H37" s="72" t="s">
        <v>55</v>
      </c>
      <c r="I37" s="17" t="s">
        <v>56</v>
      </c>
    </row>
    <row r="38" spans="1:10">
      <c r="B38" s="24" t="s">
        <v>40</v>
      </c>
      <c r="C38" s="52">
        <v>0</v>
      </c>
      <c r="D38" s="53">
        <v>0</v>
      </c>
      <c r="E38" s="53">
        <v>0</v>
      </c>
      <c r="F38" s="53">
        <f>('Route Info'!$B$11*1000000)*Data!K5/100</f>
        <v>0</v>
      </c>
      <c r="G38" s="53">
        <f>('Route Info'!$B$11*1000000)*Data!L5/100</f>
        <v>0</v>
      </c>
      <c r="H38" s="54">
        <f>('Route Info'!$B$11*1000000)*Data!M5/100</f>
        <v>0</v>
      </c>
      <c r="I38" s="69">
        <f>SUM(C38:H38)</f>
        <v>0</v>
      </c>
    </row>
    <row r="39" spans="1:10">
      <c r="B39" s="25" t="s">
        <v>42</v>
      </c>
      <c r="C39" s="55">
        <f>('Route Info'!$B$11*1000000)*C6/100</f>
        <v>0</v>
      </c>
      <c r="D39" s="18">
        <f>('Route Info'!$B$11*1000000)*D6/100</f>
        <v>0</v>
      </c>
      <c r="E39" s="18">
        <f>('Route Info'!B$11*1000000*2)*Data!F6/100</f>
        <v>0</v>
      </c>
      <c r="F39" s="18">
        <v>0</v>
      </c>
      <c r="G39" s="18">
        <v>0</v>
      </c>
      <c r="H39" s="56">
        <v>0</v>
      </c>
      <c r="I39" s="70">
        <f>SUM(C39:H39)</f>
        <v>0</v>
      </c>
    </row>
    <row r="40" spans="1:10">
      <c r="B40" s="43" t="s">
        <v>43</v>
      </c>
      <c r="C40" s="55">
        <v>0</v>
      </c>
      <c r="D40" s="18">
        <v>0</v>
      </c>
      <c r="E40" s="18">
        <f>('Route Info'!B$11*1000000*2)*Data!F7/100</f>
        <v>0</v>
      </c>
      <c r="F40" s="18">
        <f>('Route Info'!$B$11*1000000)*Data!K7/100</f>
        <v>0</v>
      </c>
      <c r="G40" s="18">
        <f>('Route Info'!$B$11*1000000)*Data!L7/100</f>
        <v>0</v>
      </c>
      <c r="H40" s="56">
        <v>0</v>
      </c>
      <c r="I40" s="70">
        <f>SUM(C40:H40)</f>
        <v>0</v>
      </c>
    </row>
    <row r="41" spans="1:10">
      <c r="B41" s="25" t="s">
        <v>44</v>
      </c>
      <c r="C41" s="55">
        <v>0</v>
      </c>
      <c r="D41" s="18">
        <v>0</v>
      </c>
      <c r="E41" s="18">
        <v>0</v>
      </c>
      <c r="F41" s="18">
        <f>('Route Info'!$B$11*1000000)*Data!K8/100</f>
        <v>0</v>
      </c>
      <c r="G41" s="18">
        <f>('Route Info'!$B$11*1000000)*Data!L8/100</f>
        <v>0</v>
      </c>
      <c r="H41" s="56">
        <f>('Route Info'!$B$11*1000000*2)*Data!N8/100</f>
        <v>0</v>
      </c>
      <c r="I41" s="70">
        <f t="shared" ref="I41:I43" si="6">SUM(C41:H41)</f>
        <v>0</v>
      </c>
    </row>
    <row r="42" spans="1:10">
      <c r="B42" s="25" t="s">
        <v>45</v>
      </c>
      <c r="C42" s="55">
        <v>0</v>
      </c>
      <c r="D42" s="18">
        <v>0</v>
      </c>
      <c r="E42" s="18">
        <f>('Route Info'!B$11*1000000*2)*Data!F9/100</f>
        <v>0</v>
      </c>
      <c r="F42" s="18">
        <f>('Route Info'!$B$11*1000000)*Data!K9/100</f>
        <v>0</v>
      </c>
      <c r="G42" s="18">
        <f>('Route Info'!$B$11*1000000)*Data!L9/100</f>
        <v>0</v>
      </c>
      <c r="H42" s="56">
        <v>0</v>
      </c>
      <c r="I42" s="70">
        <f t="shared" si="6"/>
        <v>0</v>
      </c>
    </row>
    <row r="43" spans="1:10">
      <c r="B43" s="25" t="s">
        <v>46</v>
      </c>
      <c r="C43" s="57">
        <v>0</v>
      </c>
      <c r="D43" s="42">
        <v>0</v>
      </c>
      <c r="E43" s="42">
        <f>('Route Info'!B$11*1000000*2)*Data!F10/100</f>
        <v>0</v>
      </c>
      <c r="F43" s="42">
        <f>('Route Info'!$B$11*1000000)*Data!K10/100</f>
        <v>0</v>
      </c>
      <c r="G43" s="42">
        <f>('Route Info'!$B$11*1000000)*Data!L10/100</f>
        <v>0</v>
      </c>
      <c r="H43" s="58">
        <v>0</v>
      </c>
      <c r="I43" s="70">
        <f t="shared" si="6"/>
        <v>0</v>
      </c>
    </row>
    <row r="44" spans="1:10" ht="15.75" thickBot="1">
      <c r="B44" s="44" t="s">
        <v>47</v>
      </c>
      <c r="C44" s="59">
        <v>0</v>
      </c>
      <c r="D44" s="60">
        <v>0</v>
      </c>
      <c r="E44" s="60">
        <v>0</v>
      </c>
      <c r="F44" s="60">
        <f>('Route Info'!$B$11*1000000)*Data!K11/100</f>
        <v>0</v>
      </c>
      <c r="G44" s="60">
        <f>('Route Info'!$B$11*1000000)*Data!L11/100</f>
        <v>0</v>
      </c>
      <c r="H44" s="61">
        <f>('Route Info'!$B$11*1000000*2)*Data!N11/100</f>
        <v>0</v>
      </c>
      <c r="I44" s="71">
        <f t="shared" ref="I44" si="7">SUM(C44:H44)</f>
        <v>0</v>
      </c>
    </row>
  </sheetData>
  <mergeCells count="12">
    <mergeCell ref="B24:J24"/>
    <mergeCell ref="B35:J35"/>
    <mergeCell ref="B13:J13"/>
    <mergeCell ref="J3:J4"/>
    <mergeCell ref="B1:N1"/>
    <mergeCell ref="M3:N3"/>
    <mergeCell ref="K3:L3"/>
    <mergeCell ref="C3:D3"/>
    <mergeCell ref="E3:F3"/>
    <mergeCell ref="G3:G4"/>
    <mergeCell ref="H3:H4"/>
    <mergeCell ref="I3: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f9c72d4d-9b2a-403a-a609-19d85f5abffb">Draft</Status>
    <Group xmlns="f9c72d4d-9b2a-403a-a609-19d85f5abffb">0728 Analysis</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B2C51D381D2A4095E917E64A4C0457" ma:contentTypeVersion="2" ma:contentTypeDescription="Create a new document." ma:contentTypeScope="" ma:versionID="d3fef977d659f531ff82337529b34734">
  <xsd:schema xmlns:xsd="http://www.w3.org/2001/XMLSchema" xmlns:xs="http://www.w3.org/2001/XMLSchema" xmlns:p="http://schemas.microsoft.com/office/2006/metadata/properties" xmlns:ns2="f9c72d4d-9b2a-403a-a609-19d85f5abffb" targetNamespace="http://schemas.microsoft.com/office/2006/metadata/properties" ma:root="true" ma:fieldsID="d8fe38f138d1b193074ffb139113458e" ns2:_="">
    <xsd:import namespace="f9c72d4d-9b2a-403a-a609-19d85f5abffb"/>
    <xsd:element name="properties">
      <xsd:complexType>
        <xsd:sequence>
          <xsd:element name="documentManagement">
            <xsd:complexType>
              <xsd:all>
                <xsd:element ref="ns2:Status" minOccurs="0"/>
                <xsd:element ref="ns2:Gro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72d4d-9b2a-403a-a609-19d85f5abffb" elementFormDefault="qualified">
    <xsd:import namespace="http://schemas.microsoft.com/office/2006/documentManagement/types"/>
    <xsd:import namespace="http://schemas.microsoft.com/office/infopath/2007/PartnerControls"/>
    <xsd:element name="Status" ma:index="8" nillable="true" ma:displayName="Status" ma:default="Draft" ma:format="RadioButtons" ma:internalName="Status">
      <xsd:simpleType>
        <xsd:restriction base="dms:Choice">
          <xsd:enumeration value="Draft"/>
          <xsd:enumeration value="Live"/>
          <xsd:enumeration value="Closed"/>
          <xsd:enumeration value="Archive"/>
        </xsd:restriction>
      </xsd:simpleType>
    </xsd:element>
    <xsd:element name="Group" ma:index="9" nillable="true" ma:displayName="Group" ma:indexed="true" ma:internalName="Group">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6CBD8C-1E60-491D-A414-00A2374AF3A2}">
  <ds:schemaRefs>
    <ds:schemaRef ds:uri="http://purl.org/dc/elements/1.1/"/>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f9c72d4d-9b2a-403a-a609-19d85f5abff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AF8B00B-CC21-434F-BC15-AE45696D7D9F}">
  <ds:schemaRefs>
    <ds:schemaRef ds:uri="http://schemas.microsoft.com/sharepoint/v3/contenttype/forms"/>
  </ds:schemaRefs>
</ds:datastoreItem>
</file>

<file path=customXml/itemProps3.xml><?xml version="1.0" encoding="utf-8"?>
<ds:datastoreItem xmlns:ds="http://schemas.openxmlformats.org/officeDocument/2006/customXml" ds:itemID="{075FE07A-CF1A-478B-A31C-59B086F9B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72d4d-9b2a-403a-a609-19d85f5abf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Hisgett, Daniel</dc:creator>
  <cp:lastModifiedBy>Hisgett, Daniel</cp:lastModifiedBy>
  <dcterms:created xsi:type="dcterms:W3CDTF">2020-03-10T12:34:54Z</dcterms:created>
  <dcterms:modified xsi:type="dcterms:W3CDTF">2020-06-26T09:21:42Z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0x010100B9B2C51D381D2A4095E917E64A4C0457</vt:lpwstr>
  </property>
</Properties>
</file>