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<sst xmlns="http://schemas.openxmlformats.org/spreadsheetml/2006/main" count="500" uniqueCount="296">
  <si>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shows the costs of Operating Margins availability and utilisation. The target Incentive Cost for 2011/12 for the Operating Margins incentive is £17.32m, with an Incentive Payment capped at £1m and collared at -£1m. The total costs for Q1 to Q3 were £11.69m (Q1 = £3.99m, Q2 = £3.79m, Q3 = £3.91m).</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</si>
  <si>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</si>
  <si>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Q3, in October the Average LPM was higher than the desired target (3.93 mcm), but November and December were within target (2.42 mcm for November, 2.29 mcm for December).</t>
  </si>
  <si>
    <t>The chart compares the average Price Performance Measure in the month (the blue line) to the incentive target (the orange line), where the target is a PPM of 1.5%.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</si>
  <si>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LM of 2.8mcm. For Q3, in October the Average LPM was higher than the desired target (3.93 mcm), but November and December were within target (2.42 mcm for November, 2.29 mcm for December).</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</si>
  <si>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Q3 position is a vented mass of 2,103 tonnes.
Please note that volume data for August and September has changed since Q2. Maintenance work to replace the control system at a compressor station delayed the collection of vent data at that site.</t>
  </si>
  <si>
    <t>The chart compares the cumulative mass of natural gas vented (the blue columns) to a cumulative target (the orange band). The Q3 position is a vented mass of 2,103 tonnes.
Please note that volume data for August and September has changed since Q2. Maintenance work to replace the control system at a compressor station delayed the collection of vent data at that site.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</si>
  <si>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</si>
  <si>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Q3, performance for all three months was below target levels, resulting in a reduced overall Q1 to Q3 profit of £3,052 for the Timeliness portion of this incentive.</t>
  </si>
  <si>
    <t>The chart compares the average number of minutes for which the incentivised web pages were unavailable in the month (the blue columns) to the incentive target (the orange line), where the target represents 99.3% availability.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</si>
  <si>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minutes.The chart shows that in Q3, performance for all three months was below target levels, resulting in a reduced overall Q1 to Q3 profit of £3,052 for the Timeliness portion of this incentive.</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</si>
  <si>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Q3 position is a Cumulative Absolute UAG of 3,860 GWh.</t>
  </si>
  <si>
    <t>The chart compares cumulative absolute UAG (the blue columns) to a cumulative target (the orange line). The end of Q3 position is a Cumulative Absolute UAG of 3,860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</si>
  <si>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December 2011) are £70.38m.</t>
  </si>
  <si>
    <t>The chart compares cumulative total shrinkage costs (the blue bars) to an indicative cumulative target (the orange line). The current Cumulative Incentive Costs (as of December 2011) are £70.38m.</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</si>
  <si>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</si>
  <si>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</si>
  <si>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</si>
  <si>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</si>
  <si>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</si>
  <si>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</si>
  <si>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</si>
  <si>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</si>
  <si>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</si>
  <si>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</si>
  <si>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</si>
  <si>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</si>
  <si>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</si>
  <si>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</si>
  <si>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</si>
  <si>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</si>
  <si>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</si>
  <si>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</si>
  <si>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</si>
  <si>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</si>
  <si>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</si>
  <si>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</si>
  <si>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</si>
  <si>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</si>
  <si>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</si>
  <si>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</si>
  <si>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</si>
  <si>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</si>
  <si>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</si>
  <si>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</si>
  <si>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</si>
  <si>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</si>
  <si>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</si>
  <si>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</si>
  <si>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</si>
  <si>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</si>
  <si>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</si>
  <si>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</si>
  <si>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</si>
  <si>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</si>
  <si>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</si>
  <si>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</si>
  <si>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</si>
  <si>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</si>
  <si>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</si>
  <si>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</si>
  <si>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</si>
  <si>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</si>
  <si>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</si>
  <si>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</si>
  <si>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</si>
  <si>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</si>
  <si>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</si>
  <si>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</si>
  <si>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</si>
  <si>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</si>
  <si>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</si>
  <si>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</si>
  <si>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</si>
  <si>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</si>
  <si>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</si>
  <si>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</si>
  <si>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</si>
  <si>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</si>
  <si>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</si>
  <si>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</si>
  <si>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</si>
  <si>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</si>
  <si>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</si>
  <si>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</si>
  <si>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</si>
  <si>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</si>
  <si>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</si>
  <si>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</si>
  <si>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</si>
  <si>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</si>
  <si>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</si>
  <si>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</si>
  <si>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</si>
  <si>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</si>
  <si>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</si>
  <si>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</si>
  <si>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</si>
  <si>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</si>
  <si>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</si>
  <si>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</si>
  <si>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</si>
  <si>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</si>
  <si>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</si>
  <si>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</si>
  <si>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</si>
  <si>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</si>
  <si>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</si>
  <si>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</si>
  <si>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</si>
  <si>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</si>
  <si>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</si>
  <si>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</si>
  <si>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</si>
  <si>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</si>
  <si>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</si>
  <si>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</si>
  <si>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</si>
  <si>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</si>
  <si>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</si>
  <si>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</si>
  <si>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</si>
  <si>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</si>
  <si>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</si>
  <si>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</si>
  <si>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</si>
  <si>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</si>
  <si>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</si>
  <si>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</si>
  <si>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</si>
  <si>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</si>
  <si>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</si>
  <si>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</si>
  <si>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</si>
  <si>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</si>
  <si>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</si>
  <si>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</si>
  <si>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</si>
  <si>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</si>
  <si>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</si>
  <si>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</si>
  <si>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</si>
  <si>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</si>
  <si>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</si>
  <si>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</si>
  <si>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</si>
  <si>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</si>
  <si>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</si>
  <si>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</si>
  <si>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</si>
  <si>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</si>
  <si>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</si>
  <si>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</si>
  <si>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</si>
  <si>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</si>
  <si>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</si>
  <si>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</si>
  <si>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</si>
  <si>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</si>
  <si>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</si>
  <si>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</si>
  <si>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</si>
  <si>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</si>
  <si>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</si>
  <si>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</si>
  <si>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</si>
  <si>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</si>
  <si>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</si>
  <si>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</si>
  <si>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</si>
  <si>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</si>
  <si>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</si>
  <si>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</si>
  <si>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</si>
  <si>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</si>
  <si>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</si>
  <si>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</si>
  <si>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</si>
  <si>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</si>
  <si>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</si>
  <si>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</si>
  <si>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</si>
  <si>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</si>
  <si>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</si>
  <si>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</si>
  <si>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</si>
  <si>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</si>
  <si>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</si>
  <si>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</si>
  <si>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</si>
  <si>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</si>
  <si>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</si>
  <si>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</si>
  <si>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</si>
  <si>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</si>
  <si>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</si>
  <si>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</si>
  <si>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</si>
  <si>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</si>
  <si>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</si>
  <si>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</si>
  <si>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</si>
  <si>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</si>
  <si>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</si>
  <si>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</si>
  <si>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</si>
  <si>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</si>
  <si>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</si>
  <si>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</si>
  <si>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</si>
  <si>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</si>
  <si>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</si>
  <si>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</si>
  <si>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</si>
  <si>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</si>
  <si>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</si>
  <si>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</si>
  <si>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</si>
  <si>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</si>
  <si>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</si>
  <si>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</si>
  <si>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</si>
  <si>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</si>
  <si>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</si>
  <si>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</si>
  <si>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</si>
  <si>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</si>
  <si>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</si>
  <si>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</si>
  <si>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</si>
  <si>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</si>
  <si>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</si>
  <si>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</si>
  <si>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</si>
  <si>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</si>
  <si>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</si>
  <si>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</si>
  <si>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</si>
  <si>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</si>
  <si>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</si>
  <si>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</si>
  <si>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</si>
  <si>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</si>
  <si>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</si>
  <si>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</si>
  <si>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</si>
  <si>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</si>
  <si>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</si>
  <si>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</si>
  <si>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</si>
  <si>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</si>
  <si>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</si>
  <si>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</si>
  <si>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</si>
  <si>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</si>
  <si>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</si>
  <si>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</si>
  <si>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</si>
  <si>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</si>
  <si>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</si>
  <si>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</si>
  <si>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</si>
  <si>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</si>
  <si>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</si>
  <si>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</si>
  <si>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</si>
  <si>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</si>
  <si>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</si>
  <si>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</si>
  <si>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</si>
  <si>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</si>
  <si>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</si>
  <si>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</si>
  <si>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</si>
  <si>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</si>
  <si>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</si>
  <si>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</si>
  <si>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</si>
  <si>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</si>
  <si>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</si>
  <si>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</si>
  <si>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</si>
  <si>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</si>
  <si>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</si>
  <si>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</si>
  <si>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</si>
  <si>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</si>
  <si>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</si>
  <si>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</si>
  <si>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Q3 2011-2012 (October 2011 to December 2011)</t>
  </si>
  <si>
    <t>2011-2012 Q3 Performance Data</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</si>
  <si>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to Q3 is 3.55%.</t>
  </si>
  <si>
    <t>The chart compares the monthly cumulative absolute forecast error (the blue line) to the incentive target (the orange line), where the target is a cumulative absolute error of 2.75% for the full year. The Cumulative Absolute Percentage Error for Q1 to Q3 is 3.55%.</t>
  </si>
  <si>
    <t>The chart shows the cumulative costs of Operating Margins availability and utilisation. The total costs for Q1 to Q3 were £11.69m (Q1 = £3.99m, Q2 = £3.79m, Q3 = £3.91m).</t>
  </si>
  <si>
    <t>The chart shows the monthly cumulative buy-back cost performance measure. The annual target cost for this incentive is £16.71m. The scheme has upside and downside sharing factors of 50% with a profit cap of £16.71m and a loss collar of £12.38m. The end of Q3 performance is a cost of -£178K (revenue of £178K). The costs under EnCOBBCt for Q3 include the cost of the Force Majeure Options arrangement at Milford Haven.</t>
  </si>
  <si>
    <t>The chart shows the monthly cumulative buy-back cost performance measure. The annual target cost for this incentive is £16.71m. The end of Q3 performance is a cost of -£178K (revenue of £178K). The costs for EnCOBBCt for Q3 include the cost of the Force Majeure Options arrangement at Milford Haven.</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</si>
</sst>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color indexed="63"/>
      </left>
      <right style="thick">
        <color indexed="28"/>
      </right>
      <top style="thin"/>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3" fontId="11" fillId="3" borderId="0" xfId="25" applyNumberFormat="1" applyFont="1" applyFill="1" applyBorder="1" applyAlignment="1" applyProtection="1">
      <alignment horizontal="center"/>
      <protection locked="0"/>
    </xf>
    <xf numFmtId="3" fontId="11" fillId="3" borderId="54" xfId="24" applyNumberFormat="1" applyFont="1" applyFill="1" applyBorder="1" applyAlignment="1" applyProtection="1">
      <alignment horizontal="center"/>
      <protection/>
    </xf>
    <xf numFmtId="3" fontId="11" fillId="3" borderId="15" xfId="24" applyNumberFormat="1" applyFont="1" applyFill="1" applyBorder="1" applyAlignment="1" applyProtection="1">
      <alignment horizontal="center"/>
      <protection/>
    </xf>
    <xf numFmtId="0" fontId="5" fillId="3" borderId="89" xfId="0" applyFont="1" applyFill="1" applyBorder="1" applyAlignment="1" applyProtection="1">
      <alignment horizontal="center" vertical="center"/>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1"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3" xfId="0" applyFont="1" applyFill="1" applyBorder="1" applyAlignment="1" applyProtection="1">
      <alignment horizontal="center" vertical="center" wrapText="1"/>
      <protection locked="0"/>
    </xf>
    <xf numFmtId="0" fontId="11" fillId="3" borderId="154"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protection locked="0"/>
    </xf>
    <xf numFmtId="0" fontId="5" fillId="3" borderId="155"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5"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5"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-994129.1364359986</c:v>
                </c:pt>
                <c:pt idx="7">
                  <c:v>-582272.8964360005</c:v>
                </c:pt>
                <c:pt idx="8">
                  <c:v>-178015.08643600246</c:v>
                </c:pt>
                <c:pt idx="9">
                  <c:v>0</c:v>
                </c:pt>
                <c:pt idx="10">
                  <c:v>0</c:v>
                </c:pt>
                <c:pt idx="11">
                  <c:v>0</c:v>
                </c:pt>
              </c:numCache>
            </c:numRef>
          </c:val>
        </c:ser>
        <c:overlap val="100"/>
        <c:gapWidth val="10"/>
        <c:axId val="1664490"/>
        <c:axId val="14980411"/>
      </c:barChart>
      <c:dateAx>
        <c:axId val="1664490"/>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14980411"/>
        <c:crosses val="autoZero"/>
        <c:auto val="0"/>
        <c:noMultiLvlLbl val="0"/>
      </c:dateAx>
      <c:valAx>
        <c:axId val="14980411"/>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664490"/>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42690788"/>
        <c:axId val="48672773"/>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3093</c:v>
                </c:pt>
                <c:pt idx="7">
                  <c:v>3515</c:v>
                </c:pt>
                <c:pt idx="8">
                  <c:v>3860</c:v>
                </c:pt>
                <c:pt idx="9">
                  <c:v>0</c:v>
                </c:pt>
                <c:pt idx="10">
                  <c:v>0</c:v>
                </c:pt>
                <c:pt idx="11">
                  <c:v>0</c:v>
                </c:pt>
              </c:numCache>
            </c:numRef>
          </c:val>
        </c:ser>
        <c:axId val="42690788"/>
        <c:axId val="48672773"/>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42690788"/>
        <c:axId val="48672773"/>
      </c:lineChart>
      <c:catAx>
        <c:axId val="4269078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672773"/>
        <c:crosses val="autoZero"/>
        <c:auto val="0"/>
        <c:lblOffset val="0"/>
        <c:tickLblSkip val="1"/>
        <c:noMultiLvlLbl val="0"/>
      </c:catAx>
      <c:valAx>
        <c:axId val="48672773"/>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690788"/>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35401774"/>
        <c:axId val="50180511"/>
      </c:barChart>
      <c:catAx>
        <c:axId val="35401774"/>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50180511"/>
        <c:crosses val="autoZero"/>
        <c:auto val="1"/>
        <c:lblOffset val="100"/>
        <c:noMultiLvlLbl val="0"/>
      </c:catAx>
      <c:valAx>
        <c:axId val="50180511"/>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5401774"/>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300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48971416"/>
        <c:axId val="38089561"/>
      </c:barChart>
      <c:catAx>
        <c:axId val="48971416"/>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38089561"/>
        <c:crosses val="autoZero"/>
        <c:auto val="1"/>
        <c:lblOffset val="100"/>
        <c:noMultiLvlLbl val="0"/>
      </c:catAx>
      <c:valAx>
        <c:axId val="38089561"/>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48971416"/>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90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7261730"/>
        <c:axId val="65355571"/>
      </c:scatterChart>
      <c:valAx>
        <c:axId val="7261730"/>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355571"/>
        <c:crosses val="autoZero"/>
        <c:crossBetween val="midCat"/>
        <c:dispUnits/>
        <c:majorUnit val="20"/>
      </c:valAx>
      <c:valAx>
        <c:axId val="653555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261730"/>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1329228"/>
        <c:axId val="59309869"/>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4026774"/>
        <c:axId val="39370055"/>
      </c:lineChart>
      <c:catAx>
        <c:axId val="51329228"/>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9309869"/>
        <c:crosses val="autoZero"/>
        <c:auto val="0"/>
        <c:lblOffset val="100"/>
        <c:tickLblSkip val="1"/>
        <c:noMultiLvlLbl val="0"/>
      </c:catAx>
      <c:valAx>
        <c:axId val="59309869"/>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1329228"/>
        <c:crossesAt val="1"/>
        <c:crossBetween val="between"/>
        <c:dispUnits/>
      </c:valAx>
      <c:catAx>
        <c:axId val="64026774"/>
        <c:scaling>
          <c:orientation val="minMax"/>
        </c:scaling>
        <c:axPos val="b"/>
        <c:delete val="1"/>
        <c:majorTickMark val="in"/>
        <c:minorTickMark val="none"/>
        <c:tickLblPos val="nextTo"/>
        <c:crossAx val="39370055"/>
        <c:crosses val="autoZero"/>
        <c:auto val="0"/>
        <c:lblOffset val="100"/>
        <c:tickLblSkip val="1"/>
        <c:noMultiLvlLbl val="0"/>
      </c:catAx>
      <c:valAx>
        <c:axId val="39370055"/>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4026774"/>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8786176"/>
        <c:axId val="34857857"/>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c:v>
                </c:pt>
                <c:pt idx="1">
                  <c:v>0</c:v>
                </c:pt>
                <c:pt idx="2">
                  <c:v>0</c:v>
                </c:pt>
                <c:pt idx="3">
                  <c:v>0</c:v>
                </c:pt>
                <c:pt idx="4">
                  <c:v>0</c:v>
                </c:pt>
                <c:pt idx="5">
                  <c:v>0</c:v>
                </c:pt>
                <c:pt idx="6">
                  <c:v>0</c:v>
                </c:pt>
                <c:pt idx="7">
                  <c:v>0</c:v>
                </c:pt>
                <c:pt idx="8">
                  <c:v>0</c:v>
                </c:pt>
              </c:numCache>
            </c:numRef>
          </c:val>
          <c:smooth val="0"/>
        </c:ser>
        <c:axId val="18786176"/>
        <c:axId val="34857857"/>
      </c:lineChart>
      <c:catAx>
        <c:axId val="1878617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4857857"/>
        <c:crosses val="autoZero"/>
        <c:auto val="0"/>
        <c:lblOffset val="100"/>
        <c:tickLblSkip val="1"/>
        <c:noMultiLvlLbl val="0"/>
      </c:catAx>
      <c:valAx>
        <c:axId val="34857857"/>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8786176"/>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45285258"/>
        <c:axId val="4914139"/>
      </c:scatterChart>
      <c:valAx>
        <c:axId val="45285258"/>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14139"/>
        <c:crosses val="autoZero"/>
        <c:crossBetween val="midCat"/>
        <c:dispUnits/>
        <c:minorUnit val="0.005"/>
      </c:valAx>
      <c:valAx>
        <c:axId val="4914139"/>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5285258"/>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4227252"/>
        <c:axId val="62500949"/>
      </c:barChart>
      <c:catAx>
        <c:axId val="4422725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2500949"/>
        <c:crosses val="autoZero"/>
        <c:auto val="1"/>
        <c:lblOffset val="100"/>
        <c:noMultiLvlLbl val="0"/>
      </c:catAx>
      <c:valAx>
        <c:axId val="62500949"/>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227252"/>
        <c:crossesAt val="1"/>
        <c:crossBetween val="between"/>
        <c:dispUnits/>
      </c:valAx>
      <c:spPr>
        <a:noFill/>
        <a:ln w="12700">
          <a:solidFill>
            <a:srgbClr val="808080"/>
          </a:solidFill>
        </a:ln>
      </c:spPr>
    </c:plotArea>
    <c:legend>
      <c:legendPos val="b"/>
      <c:layout>
        <c:manualLayout>
          <c:xMode val="edge"/>
          <c:yMode val="edge"/>
          <c:x val="0.0987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5637630"/>
        <c:axId val="29412079"/>
      </c:lineChart>
      <c:catAx>
        <c:axId val="2563763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412079"/>
        <c:crosses val="autoZero"/>
        <c:auto val="1"/>
        <c:lblOffset val="100"/>
        <c:noMultiLvlLbl val="0"/>
      </c:catAx>
      <c:valAx>
        <c:axId val="29412079"/>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637630"/>
        <c:crossesAt val="1"/>
        <c:crossBetween val="between"/>
        <c:dispUnits/>
      </c:valAx>
      <c:spPr>
        <a:noFill/>
        <a:ln w="12700">
          <a:solidFill>
            <a:srgbClr val="808080"/>
          </a:solidFill>
        </a:ln>
      </c:spPr>
    </c:plotArea>
    <c:legend>
      <c:legendPos val="b"/>
      <c:layout>
        <c:manualLayout>
          <c:xMode val="edge"/>
          <c:yMode val="edge"/>
          <c:x val="0.252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63382120"/>
        <c:axId val="33568169"/>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3382120"/>
        <c:axId val="33568169"/>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3382120"/>
        <c:axId val="33568169"/>
      </c:lineChart>
      <c:catAx>
        <c:axId val="6338212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568169"/>
        <c:crosses val="autoZero"/>
        <c:auto val="0"/>
        <c:lblOffset val="100"/>
        <c:tickLblSkip val="1"/>
        <c:noMultiLvlLbl val="0"/>
      </c:catAx>
      <c:valAx>
        <c:axId val="33568169"/>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382120"/>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605972"/>
        <c:axId val="5453749"/>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0.03269479569935114</c:v>
                </c:pt>
                <c:pt idx="1">
                  <c:v>0.0337394327311189</c:v>
                </c:pt>
                <c:pt idx="2">
                  <c:v>0.03132118849246266</c:v>
                </c:pt>
                <c:pt idx="3">
                  <c:v>0.031862208724126415</c:v>
                </c:pt>
                <c:pt idx="4">
                  <c:v>0.03245122592025576</c:v>
                </c:pt>
                <c:pt idx="5">
                  <c:v>0.032908613115666174</c:v>
                </c:pt>
                <c:pt idx="6">
                  <c:v>0.03379684090882192</c:v>
                </c:pt>
                <c:pt idx="7">
                  <c:v>0.03421093629355612</c:v>
                </c:pt>
                <c:pt idx="8">
                  <c:v>0.03548578339332921</c:v>
                </c:pt>
              </c:numCache>
            </c:numRef>
          </c:val>
          <c:smooth val="0"/>
        </c:ser>
        <c:axId val="605972"/>
        <c:axId val="5453749"/>
      </c:lineChart>
      <c:catAx>
        <c:axId val="60597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453749"/>
        <c:crosses val="autoZero"/>
        <c:auto val="0"/>
        <c:lblOffset val="100"/>
        <c:tickLblSkip val="1"/>
        <c:noMultiLvlLbl val="0"/>
      </c:catAx>
      <c:valAx>
        <c:axId val="5453749"/>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05972"/>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33678066"/>
        <c:axId val="34667139"/>
      </c:scatterChart>
      <c:valAx>
        <c:axId val="33678066"/>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4667139"/>
        <c:crosses val="autoZero"/>
        <c:crossBetween val="midCat"/>
        <c:dispUnits/>
        <c:majorUnit val="0.25"/>
      </c:valAx>
      <c:valAx>
        <c:axId val="34667139"/>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678066"/>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3568796"/>
        <c:axId val="56574845"/>
      </c:lineChart>
      <c:catAx>
        <c:axId val="4356879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6574845"/>
        <c:crosses val="autoZero"/>
        <c:auto val="0"/>
        <c:lblOffset val="100"/>
        <c:tickLblSkip val="1"/>
        <c:noMultiLvlLbl val="0"/>
      </c:catAx>
      <c:valAx>
        <c:axId val="56574845"/>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568796"/>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39411558"/>
        <c:axId val="19159703"/>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411558"/>
        <c:axId val="19159703"/>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9411558"/>
        <c:axId val="19159703"/>
      </c:lineChart>
      <c:catAx>
        <c:axId val="3941155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159703"/>
        <c:crosses val="autoZero"/>
        <c:auto val="0"/>
        <c:lblOffset val="100"/>
        <c:tickLblSkip val="1"/>
        <c:noMultiLvlLbl val="0"/>
      </c:catAx>
      <c:valAx>
        <c:axId val="19159703"/>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411558"/>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'[2]Graph Data'!$D$109:$D$113</c:f>
              <c:numCache>
                <c:ptCount val="5"/>
                <c:pt idx="0">
                  <c:v>-25</c:v>
                </c:pt>
                <c:pt idx="1">
                  <c:v>-20</c:v>
                </c:pt>
                <c:pt idx="2">
                  <c:v>0</c:v>
                </c:pt>
                <c:pt idx="3">
                  <c:v>20</c:v>
                </c:pt>
                <c:pt idx="4">
                  <c:v>25</c:v>
                </c:pt>
              </c:numCache>
            </c:numRef>
          </c:xVal>
          <c:yVal>
            <c:numRef>
              <c:f>'[2]Graph Data'!$E$109:$E$113</c:f>
              <c:numCache>
                <c:ptCount val="5"/>
                <c:pt idx="0">
                  <c:v>-4</c:v>
                </c:pt>
                <c:pt idx="1">
                  <c:v>-4</c:v>
                </c:pt>
                <c:pt idx="2">
                  <c:v>0</c:v>
                </c:pt>
                <c:pt idx="3">
                  <c:v>5</c:v>
                </c:pt>
                <c:pt idx="4">
                  <c:v>5</c:v>
                </c:pt>
              </c:numCache>
            </c:numRef>
          </c:yVal>
          <c:smooth val="1"/>
        </c:ser>
        <c:axId val="38219600"/>
        <c:axId val="8432081"/>
      </c:scatterChart>
      <c:valAx>
        <c:axId val="38219600"/>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432081"/>
        <c:crosses val="autoZero"/>
        <c:crossBetween val="midCat"/>
        <c:dispUnits/>
      </c:valAx>
      <c:valAx>
        <c:axId val="8432081"/>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219600"/>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8779866"/>
        <c:axId val="11909931"/>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40080516"/>
        <c:axId val="25180325"/>
      </c:lineChart>
      <c:catAx>
        <c:axId val="877986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1909931"/>
        <c:crosses val="autoZero"/>
        <c:auto val="0"/>
        <c:lblOffset val="100"/>
        <c:tickLblSkip val="1"/>
        <c:noMultiLvlLbl val="0"/>
      </c:catAx>
      <c:valAx>
        <c:axId val="11909931"/>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779866"/>
        <c:crossesAt val="1"/>
        <c:crossBetween val="between"/>
        <c:dispUnits/>
      </c:valAx>
      <c:catAx>
        <c:axId val="40080516"/>
        <c:scaling>
          <c:orientation val="minMax"/>
        </c:scaling>
        <c:axPos val="b"/>
        <c:delete val="1"/>
        <c:majorTickMark val="in"/>
        <c:minorTickMark val="none"/>
        <c:tickLblPos val="nextTo"/>
        <c:crossAx val="25180325"/>
        <c:crosses val="autoZero"/>
        <c:auto val="0"/>
        <c:lblOffset val="100"/>
        <c:tickLblSkip val="1"/>
        <c:noMultiLvlLbl val="0"/>
      </c:catAx>
      <c:valAx>
        <c:axId val="25180325"/>
        <c:scaling>
          <c:orientation val="minMax"/>
        </c:scaling>
        <c:axPos val="l"/>
        <c:delete val="1"/>
        <c:majorTickMark val="in"/>
        <c:minorTickMark val="none"/>
        <c:tickLblPos val="nextTo"/>
        <c:crossAx val="40080516"/>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25296334"/>
        <c:axId val="26340415"/>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35737144"/>
        <c:axId val="53198841"/>
      </c:lineChart>
      <c:catAx>
        <c:axId val="2529633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340415"/>
        <c:crosses val="autoZero"/>
        <c:auto val="0"/>
        <c:lblOffset val="100"/>
        <c:tickLblSkip val="1"/>
        <c:noMultiLvlLbl val="0"/>
      </c:catAx>
      <c:valAx>
        <c:axId val="26340415"/>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296334"/>
        <c:crossesAt val="1"/>
        <c:crossBetween val="between"/>
        <c:dispUnits/>
      </c:valAx>
      <c:catAx>
        <c:axId val="35737144"/>
        <c:scaling>
          <c:orientation val="minMax"/>
        </c:scaling>
        <c:axPos val="b"/>
        <c:delete val="1"/>
        <c:majorTickMark val="in"/>
        <c:minorTickMark val="none"/>
        <c:tickLblPos val="nextTo"/>
        <c:crossAx val="53198841"/>
        <c:crosses val="autoZero"/>
        <c:auto val="0"/>
        <c:lblOffset val="100"/>
        <c:tickLblSkip val="1"/>
        <c:noMultiLvlLbl val="0"/>
      </c:catAx>
      <c:valAx>
        <c:axId val="53198841"/>
        <c:scaling>
          <c:orientation val="minMax"/>
        </c:scaling>
        <c:axPos val="l"/>
        <c:delete val="1"/>
        <c:majorTickMark val="in"/>
        <c:minorTickMark val="none"/>
        <c:tickLblPos val="nextTo"/>
        <c:crossAx val="35737144"/>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
          <c:y val="0.07725"/>
          <c:w val="0.96925"/>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9027522"/>
        <c:axId val="14138835"/>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9027522"/>
        <c:axId val="14138835"/>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9027522"/>
        <c:axId val="14138835"/>
      </c:lineChart>
      <c:catAx>
        <c:axId val="902752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4138835"/>
        <c:crosses val="autoZero"/>
        <c:auto val="0"/>
        <c:lblOffset val="100"/>
        <c:tickLblSkip val="1"/>
        <c:noMultiLvlLbl val="0"/>
      </c:catAx>
      <c:valAx>
        <c:axId val="14138835"/>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027522"/>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60140652"/>
        <c:axId val="4394957"/>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60140652"/>
        <c:axId val="4394957"/>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60140652"/>
        <c:axId val="4394957"/>
      </c:lineChart>
      <c:catAx>
        <c:axId val="6014065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94957"/>
        <c:crosses val="autoZero"/>
        <c:auto val="1"/>
        <c:lblOffset val="100"/>
        <c:noMultiLvlLbl val="0"/>
      </c:catAx>
      <c:valAx>
        <c:axId val="4394957"/>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140652"/>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435"/>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554614"/>
        <c:axId val="20447207"/>
      </c:barChart>
      <c:catAx>
        <c:axId val="39554614"/>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20447207"/>
        <c:crosses val="autoZero"/>
        <c:auto val="1"/>
        <c:lblOffset val="100"/>
        <c:noMultiLvlLbl val="0"/>
      </c:catAx>
      <c:valAx>
        <c:axId val="20447207"/>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3955461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49807136"/>
        <c:axId val="45611041"/>
      </c:scatterChart>
      <c:valAx>
        <c:axId val="49807136"/>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45611041"/>
        <c:crosses val="autoZero"/>
        <c:crossBetween val="midCat"/>
        <c:dispUnits/>
        <c:majorUnit val="1"/>
      </c:valAx>
      <c:valAx>
        <c:axId val="45611041"/>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49807136"/>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9083742"/>
        <c:axId val="39100495"/>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1728.6666666666667</c:v>
                </c:pt>
                <c:pt idx="7">
                  <c:v>1595.6666666666667</c:v>
                </c:pt>
                <c:pt idx="8">
                  <c:v>2697</c:v>
                </c:pt>
                <c:pt idx="9">
                  <c:v>0</c:v>
                </c:pt>
                <c:pt idx="10">
                  <c:v>0</c:v>
                </c:pt>
                <c:pt idx="11">
                  <c:v>0</c:v>
                </c:pt>
              </c:numCache>
            </c:numRef>
          </c:val>
        </c:ser>
        <c:axId val="49083742"/>
        <c:axId val="39100495"/>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49083742"/>
        <c:axId val="39100495"/>
      </c:lineChart>
      <c:catAx>
        <c:axId val="4908374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100495"/>
        <c:crosses val="autoZero"/>
        <c:auto val="0"/>
        <c:lblOffset val="100"/>
        <c:tickLblSkip val="1"/>
        <c:noMultiLvlLbl val="0"/>
      </c:catAx>
      <c:valAx>
        <c:axId val="39100495"/>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083742"/>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7846186"/>
        <c:axId val="3506811"/>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Balancing'!$F$84:$F$92</c:f>
              <c:numCache>
                <c:ptCount val="9"/>
                <c:pt idx="0">
                  <c:v>0</c:v>
                </c:pt>
                <c:pt idx="1">
                  <c:v>0</c:v>
                </c:pt>
                <c:pt idx="2">
                  <c:v>0</c:v>
                </c:pt>
                <c:pt idx="3">
                  <c:v>0</c:v>
                </c:pt>
                <c:pt idx="4">
                  <c:v>0</c:v>
                </c:pt>
                <c:pt idx="5">
                  <c:v>0</c:v>
                </c:pt>
                <c:pt idx="6">
                  <c:v>0</c:v>
                </c:pt>
                <c:pt idx="7">
                  <c:v>0</c:v>
                </c:pt>
                <c:pt idx="8">
                  <c:v>0</c:v>
                </c:pt>
              </c:numCache>
            </c:numRef>
          </c:val>
          <c:smooth val="0"/>
        </c:ser>
        <c:axId val="31561300"/>
        <c:axId val="15616245"/>
      </c:lineChart>
      <c:catAx>
        <c:axId val="784618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506811"/>
        <c:crosses val="autoZero"/>
        <c:auto val="0"/>
        <c:lblOffset val="100"/>
        <c:tickLblSkip val="1"/>
        <c:noMultiLvlLbl val="0"/>
      </c:catAx>
      <c:valAx>
        <c:axId val="3506811"/>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7846186"/>
        <c:crossesAt val="1"/>
        <c:crossBetween val="between"/>
        <c:dispUnits/>
      </c:valAx>
      <c:catAx>
        <c:axId val="31561300"/>
        <c:scaling>
          <c:orientation val="minMax"/>
        </c:scaling>
        <c:axPos val="b"/>
        <c:delete val="1"/>
        <c:majorTickMark val="in"/>
        <c:minorTickMark val="none"/>
        <c:tickLblPos val="nextTo"/>
        <c:crossAx val="15616245"/>
        <c:crosses val="autoZero"/>
        <c:auto val="0"/>
        <c:lblOffset val="100"/>
        <c:tickLblSkip val="1"/>
        <c:noMultiLvlLbl val="0"/>
      </c:catAx>
      <c:valAx>
        <c:axId val="15616245"/>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1561300"/>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6328478"/>
        <c:axId val="56956303"/>
      </c:lineChart>
      <c:catAx>
        <c:axId val="632847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6956303"/>
        <c:crosses val="autoZero"/>
        <c:auto val="0"/>
        <c:lblOffset val="100"/>
        <c:tickLblSkip val="1"/>
        <c:noMultiLvlLbl val="0"/>
      </c:catAx>
      <c:valAx>
        <c:axId val="56956303"/>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328478"/>
        <c:crossesAt val="1"/>
        <c:crossBetween val="between"/>
        <c:dispUnits/>
      </c:valAx>
      <c:spPr>
        <a:noFill/>
      </c:spPr>
    </c:plotArea>
    <c:legend>
      <c:legendPos val="b"/>
      <c:layout>
        <c:manualLayout>
          <c:xMode val="edge"/>
          <c:yMode val="edge"/>
          <c:x val="0.149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42844680"/>
        <c:axId val="50057801"/>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Balancing'!$M$84:$M$92</c:f>
              <c:numCache>
                <c:ptCount val="9"/>
                <c:pt idx="0">
                  <c:v>0</c:v>
                </c:pt>
                <c:pt idx="1">
                  <c:v>0</c:v>
                </c:pt>
                <c:pt idx="2">
                  <c:v>0</c:v>
                </c:pt>
                <c:pt idx="3">
                  <c:v>0</c:v>
                </c:pt>
                <c:pt idx="4">
                  <c:v>0</c:v>
                </c:pt>
                <c:pt idx="5">
                  <c:v>0</c:v>
                </c:pt>
                <c:pt idx="6">
                  <c:v>0</c:v>
                </c:pt>
                <c:pt idx="7">
                  <c:v>0</c:v>
                </c:pt>
                <c:pt idx="8">
                  <c:v>0</c:v>
                </c:pt>
              </c:numCache>
            </c:numRef>
          </c:val>
          <c:smooth val="0"/>
        </c:ser>
        <c:axId val="47867026"/>
        <c:axId val="28150051"/>
      </c:lineChart>
      <c:catAx>
        <c:axId val="42844680"/>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0057801"/>
        <c:crosses val="autoZero"/>
        <c:auto val="0"/>
        <c:lblOffset val="100"/>
        <c:tickLblSkip val="1"/>
        <c:noMultiLvlLbl val="0"/>
      </c:catAx>
      <c:valAx>
        <c:axId val="50057801"/>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2844680"/>
        <c:crossesAt val="1"/>
        <c:crossBetween val="between"/>
        <c:dispUnits/>
      </c:valAx>
      <c:catAx>
        <c:axId val="47867026"/>
        <c:scaling>
          <c:orientation val="minMax"/>
        </c:scaling>
        <c:axPos val="b"/>
        <c:delete val="1"/>
        <c:majorTickMark val="in"/>
        <c:minorTickMark val="none"/>
        <c:tickLblPos val="nextTo"/>
        <c:crossAx val="28150051"/>
        <c:crosses val="autoZero"/>
        <c:auto val="0"/>
        <c:lblOffset val="100"/>
        <c:tickLblSkip val="1"/>
        <c:noMultiLvlLbl val="0"/>
      </c:catAx>
      <c:valAx>
        <c:axId val="28150051"/>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47867026"/>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52023868"/>
        <c:axId val="65561629"/>
      </c:lineChart>
      <c:catAx>
        <c:axId val="5202386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5561629"/>
        <c:crosses val="autoZero"/>
        <c:auto val="0"/>
        <c:lblOffset val="100"/>
        <c:tickLblSkip val="1"/>
        <c:noMultiLvlLbl val="0"/>
      </c:catAx>
      <c:valAx>
        <c:axId val="65561629"/>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2023868"/>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53183750"/>
        <c:axId val="8891703"/>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2916464"/>
        <c:axId val="49139313"/>
      </c:lineChart>
      <c:catAx>
        <c:axId val="53183750"/>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8891703"/>
        <c:crosses val="autoZero"/>
        <c:auto val="0"/>
        <c:lblOffset val="100"/>
        <c:tickLblSkip val="1"/>
        <c:noMultiLvlLbl val="0"/>
      </c:catAx>
      <c:valAx>
        <c:axId val="8891703"/>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3183750"/>
        <c:crossesAt val="1"/>
        <c:crossBetween val="between"/>
        <c:dispUnits/>
      </c:valAx>
      <c:catAx>
        <c:axId val="12916464"/>
        <c:scaling>
          <c:orientation val="minMax"/>
        </c:scaling>
        <c:axPos val="b"/>
        <c:delete val="1"/>
        <c:majorTickMark val="in"/>
        <c:minorTickMark val="none"/>
        <c:tickLblPos val="nextTo"/>
        <c:crossAx val="49139313"/>
        <c:crossesAt val="0"/>
        <c:auto val="0"/>
        <c:lblOffset val="100"/>
        <c:tickLblSkip val="1"/>
        <c:noMultiLvlLbl val="0"/>
      </c:catAx>
      <c:valAx>
        <c:axId val="49139313"/>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2916464"/>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39600634"/>
        <c:axId val="20861387"/>
      </c:barChart>
      <c:catAx>
        <c:axId val="39600634"/>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0861387"/>
        <c:crosses val="autoZero"/>
        <c:auto val="0"/>
        <c:lblOffset val="100"/>
        <c:tickLblSkip val="1"/>
        <c:noMultiLvlLbl val="0"/>
      </c:catAx>
      <c:valAx>
        <c:axId val="20861387"/>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9600634"/>
        <c:crossesAt val="1"/>
        <c:crossBetween val="between"/>
        <c:dispUnits>
          <c:builtInUnit val="millions"/>
        </c:dispUnits>
      </c:valAx>
      <c:spPr>
        <a:noFill/>
      </c:spPr>
    </c:plotArea>
    <c:legend>
      <c:legendPos val="b"/>
      <c:layout>
        <c:manualLayout>
          <c:xMode val="edge"/>
          <c:yMode val="edge"/>
          <c:x val="0.283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3534756"/>
        <c:axId val="12050757"/>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3534756"/>
        <c:axId val="12050757"/>
      </c:lineChart>
      <c:catAx>
        <c:axId val="5353475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2050757"/>
        <c:crosses val="autoZero"/>
        <c:auto val="1"/>
        <c:lblOffset val="100"/>
        <c:noMultiLvlLbl val="0"/>
      </c:catAx>
      <c:valAx>
        <c:axId val="12050757"/>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3534756"/>
        <c:crossesAt val="1"/>
        <c:crossBetween val="between"/>
        <c:dispUnits/>
      </c:valAx>
      <c:spPr>
        <a:solidFill>
          <a:srgbClr val="FFFFFF"/>
        </a:solidFill>
      </c:spPr>
    </c:plotArea>
    <c:legend>
      <c:legendPos val="b"/>
      <c:legendEntry>
        <c:idx val="0"/>
        <c:delete val="1"/>
      </c:legendEntry>
      <c:layout>
        <c:manualLayout>
          <c:xMode val="edge"/>
          <c:yMode val="edge"/>
          <c:x val="0.134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41347950"/>
        <c:axId val="36587231"/>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41347950"/>
        <c:axId val="36587231"/>
      </c:lineChart>
      <c:catAx>
        <c:axId val="4134795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6587231"/>
        <c:crosses val="autoZero"/>
        <c:auto val="1"/>
        <c:lblOffset val="100"/>
        <c:noMultiLvlLbl val="0"/>
      </c:catAx>
      <c:valAx>
        <c:axId val="36587231"/>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1347950"/>
        <c:crossesAt val="1"/>
        <c:crossBetween val="between"/>
        <c:dispUnits/>
      </c:valAx>
      <c:spPr>
        <a:solidFill>
          <a:srgbClr val="FFFFFF"/>
        </a:solidFill>
      </c:spPr>
    </c:plotArea>
    <c:legend>
      <c:legendPos val="b"/>
      <c:legendEntry>
        <c:idx val="0"/>
        <c:delete val="1"/>
      </c:legendEntry>
      <c:layout>
        <c:manualLayout>
          <c:xMode val="edge"/>
          <c:yMode val="edge"/>
          <c:x val="0.10375"/>
          <c:y val="0.87425"/>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60849624"/>
        <c:axId val="10775705"/>
      </c:scatterChart>
      <c:valAx>
        <c:axId val="60849624"/>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775705"/>
        <c:crosses val="autoZero"/>
        <c:crossBetween val="midCat"/>
        <c:dispUnits/>
        <c:majorUnit val="0.1"/>
        <c:minorUnit val="0.1"/>
      </c:valAx>
      <c:valAx>
        <c:axId val="10775705"/>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84962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29872482"/>
        <c:axId val="416883"/>
      </c:scatterChart>
      <c:valAx>
        <c:axId val="29872482"/>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6883"/>
        <c:crosses val="autoZero"/>
        <c:crossBetween val="midCat"/>
        <c:dispUnits/>
        <c:majorUnit val="2.5"/>
      </c:valAx>
      <c:valAx>
        <c:axId val="416883"/>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872482"/>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16360136"/>
        <c:axId val="13023497"/>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0.73675</c:v>
                </c:pt>
                <c:pt idx="7">
                  <c:v>0.7692500000000001</c:v>
                </c:pt>
                <c:pt idx="8">
                  <c:v>0.7585</c:v>
                </c:pt>
                <c:pt idx="9">
                  <c:v>0</c:v>
                </c:pt>
                <c:pt idx="10">
                  <c:v>0</c:v>
                </c:pt>
                <c:pt idx="11">
                  <c:v>0</c:v>
                </c:pt>
              </c:numCache>
            </c:numRef>
          </c:val>
        </c:ser>
        <c:axId val="16360136"/>
        <c:axId val="13023497"/>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16360136"/>
        <c:axId val="13023497"/>
      </c:lineChart>
      <c:catAx>
        <c:axId val="1636013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023497"/>
        <c:crosses val="autoZero"/>
        <c:auto val="0"/>
        <c:lblOffset val="100"/>
        <c:tickLblSkip val="1"/>
        <c:noMultiLvlLbl val="0"/>
      </c:catAx>
      <c:valAx>
        <c:axId val="13023497"/>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360136"/>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751948"/>
        <c:axId val="33767533"/>
      </c:barChart>
      <c:catAx>
        <c:axId val="3751948"/>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3767533"/>
        <c:crosses val="autoZero"/>
        <c:auto val="0"/>
        <c:lblOffset val="100"/>
        <c:tickLblSkip val="1"/>
        <c:noMultiLvlLbl val="0"/>
      </c:catAx>
      <c:valAx>
        <c:axId val="33767533"/>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75194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35472342"/>
        <c:axId val="50815623"/>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5472342"/>
        <c:axId val="50815623"/>
      </c:barChart>
      <c:catAx>
        <c:axId val="3547234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0815623"/>
        <c:crosses val="autoZero"/>
        <c:auto val="0"/>
        <c:lblOffset val="100"/>
        <c:tickLblSkip val="1"/>
        <c:noMultiLvlLbl val="0"/>
      </c:catAx>
      <c:valAx>
        <c:axId val="50815623"/>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472342"/>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54687424"/>
        <c:axId val="22424769"/>
      </c:scatterChart>
      <c:valAx>
        <c:axId val="54687424"/>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424769"/>
        <c:crosses val="autoZero"/>
        <c:crossBetween val="midCat"/>
        <c:dispUnits/>
        <c:majorUnit val="500"/>
        <c:minorUnit val="12.6"/>
      </c:valAx>
      <c:valAx>
        <c:axId val="224247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687424"/>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96330"/>
        <c:axId val="4466971"/>
      </c:barChart>
      <c:catAx>
        <c:axId val="496330"/>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466971"/>
        <c:crosses val="autoZero"/>
        <c:auto val="0"/>
        <c:lblOffset val="100"/>
        <c:tickLblSkip val="1"/>
        <c:noMultiLvlLbl val="0"/>
      </c:catAx>
      <c:valAx>
        <c:axId val="4466971"/>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96330"/>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40202740"/>
        <c:axId val="26280341"/>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0202740"/>
        <c:axId val="26280341"/>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40202740"/>
        <c:axId val="26280341"/>
      </c:lineChart>
      <c:catAx>
        <c:axId val="4020274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280341"/>
        <c:crosses val="autoZero"/>
        <c:auto val="0"/>
        <c:lblOffset val="0"/>
        <c:tickLblSkip val="1"/>
        <c:noMultiLvlLbl val="0"/>
      </c:catAx>
      <c:valAx>
        <c:axId val="26280341"/>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202740"/>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35196478"/>
        <c:axId val="48332847"/>
      </c:scatterChart>
      <c:valAx>
        <c:axId val="35196478"/>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332847"/>
        <c:crosses val="autoZero"/>
        <c:crossBetween val="midCat"/>
        <c:dispUnits/>
        <c:majorUnit val="500"/>
      </c:valAx>
      <c:valAx>
        <c:axId val="48332847"/>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196478"/>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50102610"/>
        <c:axId val="48270307"/>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pt idx="6">
                  <c:v>3.23</c:v>
                </c:pt>
                <c:pt idx="7">
                  <c:v>1.05</c:v>
                </c:pt>
                <c:pt idx="8">
                  <c:v>2.4</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50102610"/>
        <c:axId val="48270307"/>
      </c:lineChart>
      <c:dateAx>
        <c:axId val="50102610"/>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48270307"/>
        <c:crosses val="autoZero"/>
        <c:auto val="0"/>
        <c:noMultiLvlLbl val="0"/>
      </c:dateAx>
      <c:valAx>
        <c:axId val="48270307"/>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50102610"/>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31779580"/>
        <c:axId val="17580765"/>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pt idx="6">
                  <c:v>3.93</c:v>
                </c:pt>
                <c:pt idx="7">
                  <c:v>2.42</c:v>
                </c:pt>
                <c:pt idx="8">
                  <c:v>2.29</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31779580"/>
        <c:axId val="17580765"/>
      </c:lineChart>
      <c:dateAx>
        <c:axId val="3177958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580765"/>
        <c:crosses val="autoZero"/>
        <c:auto val="0"/>
        <c:noMultiLvlLbl val="0"/>
      </c:dateAx>
      <c:valAx>
        <c:axId val="17580765"/>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31779580"/>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24009158"/>
        <c:axId val="14755831"/>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pt idx="6">
                  <c:v>1.309</c:v>
                </c:pt>
                <c:pt idx="7">
                  <c:v>1.29</c:v>
                </c:pt>
                <c:pt idx="8">
                  <c:v>1.31</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numCache>
            </c:numRef>
          </c:val>
        </c:ser>
        <c:overlap val="100"/>
        <c:axId val="24009158"/>
        <c:axId val="14755831"/>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24009158"/>
        <c:axId val="14755831"/>
      </c:lineChart>
      <c:dateAx>
        <c:axId val="24009158"/>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4755831"/>
        <c:crosses val="autoZero"/>
        <c:auto val="0"/>
        <c:noMultiLvlLbl val="0"/>
      </c:dateAx>
      <c:valAx>
        <c:axId val="14755831"/>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4009158"/>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51.96091678939249</c:v>
                </c:pt>
                <c:pt idx="7">
                  <c:v>63.20251905719216</c:v>
                </c:pt>
                <c:pt idx="8">
                  <c:v>74.44412132499183</c:v>
                </c:pt>
                <c:pt idx="9">
                  <c:v>85.57098873576966</c:v>
                </c:pt>
                <c:pt idx="10">
                  <c:v>96.6978561465475</c:v>
                </c:pt>
                <c:pt idx="11">
                  <c:v>107.82472355732533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65693616"/>
        <c:axId val="54371633"/>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13.27321278084369</c:v>
                </c:pt>
                <c:pt idx="1">
                  <c:v>24.464015073217276</c:v>
                </c:pt>
                <c:pt idx="2">
                  <c:v>33.01396968692947</c:v>
                </c:pt>
                <c:pt idx="3">
                  <c:v>40.10910328054479</c:v>
                </c:pt>
                <c:pt idx="4">
                  <c:v>46.466109278142696</c:v>
                </c:pt>
                <c:pt idx="5">
                  <c:v>39.73054140310438</c:v>
                </c:pt>
                <c:pt idx="6">
                  <c:v>48.60646910127937</c:v>
                </c:pt>
                <c:pt idx="7">
                  <c:v>59.22590086117561</c:v>
                </c:pt>
                <c:pt idx="8">
                  <c:v>70.37530372870633</c:v>
                </c:pt>
                <c:pt idx="9">
                  <c:v>0</c:v>
                </c:pt>
                <c:pt idx="10">
                  <c:v>0</c:v>
                </c:pt>
                <c:pt idx="11">
                  <c:v>0</c:v>
                </c:pt>
              </c:numCache>
            </c:numRef>
          </c:val>
        </c:ser>
        <c:axId val="65693616"/>
        <c:axId val="54371633"/>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63.62758345605916</c:v>
                </c:pt>
                <c:pt idx="7">
                  <c:v>76.53585239052549</c:v>
                </c:pt>
                <c:pt idx="8">
                  <c:v>89.44412132499183</c:v>
                </c:pt>
                <c:pt idx="9">
                  <c:v>102.23765540243633</c:v>
                </c:pt>
                <c:pt idx="10">
                  <c:v>115.03118947988084</c:v>
                </c:pt>
                <c:pt idx="11">
                  <c:v>127.82472355732533</c:v>
                </c:pt>
              </c:numCache>
            </c:numRef>
          </c:val>
          <c:smooth val="0"/>
        </c:ser>
        <c:axId val="65693616"/>
        <c:axId val="54371633"/>
      </c:lineChart>
      <c:catAx>
        <c:axId val="65693616"/>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4371633"/>
        <c:crosses val="autoZero"/>
        <c:auto val="0"/>
        <c:lblOffset val="100"/>
        <c:tickLblSkip val="1"/>
        <c:noMultiLvlLbl val="0"/>
      </c:catAx>
      <c:valAx>
        <c:axId val="54371633"/>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693616"/>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19582650"/>
        <c:axId val="42026123"/>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1013.183813711138</c:v>
                </c:pt>
                <c:pt idx="5">
                  <c:v>1243.464821888717</c:v>
                </c:pt>
                <c:pt idx="6">
                  <c:v>1468.9005340987171</c:v>
                </c:pt>
                <c:pt idx="7">
                  <c:v>1742.8469136987171</c:v>
                </c:pt>
                <c:pt idx="8">
                  <c:v>2103.016913698717</c:v>
                </c:pt>
                <c:pt idx="9">
                  <c:v>0</c:v>
                </c:pt>
                <c:pt idx="10">
                  <c:v>0</c:v>
                </c:pt>
                <c:pt idx="11">
                  <c:v>0</c:v>
                </c:pt>
              </c:numCache>
            </c:numRef>
          </c:val>
        </c:ser>
        <c:axId val="19582650"/>
        <c:axId val="42026123"/>
      </c:barChart>
      <c:catAx>
        <c:axId val="1958265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2026123"/>
        <c:crosses val="autoZero"/>
        <c:auto val="0"/>
        <c:lblOffset val="100"/>
        <c:tickLblSkip val="1"/>
        <c:noMultiLvlLbl val="0"/>
      </c:catAx>
      <c:valAx>
        <c:axId val="42026123"/>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582650"/>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3058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3058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6401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6401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5339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5339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5539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5539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5168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161222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1049000"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420225"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112%20QuarterlyIncentiveReport%20-%20Q3%20-%20Shrin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n.Dickel\Local%20Settings\Temporary%20Internet%20Files\1112%20QuarterlyIncentiveReport%20-%20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rinkage"/>
    </sheetNames>
    <sheetDataSet>
      <sheetData sheetId="0">
        <row r="37">
          <cell r="E37">
            <v>38.897742959507184</v>
          </cell>
          <cell r="H37">
            <v>60.71931452159283</v>
          </cell>
          <cell r="K37">
            <v>105.75880018083217</v>
          </cell>
          <cell r="N37">
            <v>158.06263218431323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erformance Summary"/>
      <sheetName val="Capacity"/>
      <sheetName val="Demand Forecasting"/>
      <sheetName val="Data Publication"/>
      <sheetName val="Ops Margin"/>
      <sheetName val="Residual Balancing"/>
      <sheetName val="Greenhouse Gas Emissions"/>
      <sheetName val="Unaccounted for Gas"/>
      <sheetName val="Graph Data"/>
    </sheetNames>
    <sheetDataSet>
      <sheetData sheetId="9">
        <row r="109">
          <cell r="D109">
            <v>-25</v>
          </cell>
          <cell r="E109">
            <v>-4</v>
          </cell>
        </row>
        <row r="110">
          <cell r="D110">
            <v>-20</v>
          </cell>
          <cell r="E110">
            <v>-4</v>
          </cell>
        </row>
        <row r="111">
          <cell r="D111">
            <v>0</v>
          </cell>
          <cell r="E111">
            <v>0</v>
          </cell>
        </row>
        <row r="112">
          <cell r="D112">
            <v>20</v>
          </cell>
          <cell r="E112">
            <v>5</v>
          </cell>
        </row>
        <row r="113">
          <cell r="D113">
            <v>25</v>
          </cell>
          <cell r="E11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1" sqref="B1"/>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281</v>
      </c>
      <c r="C4" s="17"/>
    </row>
    <row r="5" spans="1:3" ht="12.75">
      <c r="A5" s="18"/>
      <c r="B5" s="617"/>
      <c r="C5" s="17"/>
    </row>
    <row r="6" spans="1:3" ht="15">
      <c r="A6" s="18"/>
      <c r="B6" s="618" t="s">
        <v>289</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282</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268</v>
      </c>
      <c r="C37" s="17"/>
    </row>
    <row r="38" spans="1:3" ht="12.75">
      <c r="A38" s="133"/>
      <c r="B38" s="619"/>
      <c r="C38" s="17"/>
    </row>
    <row r="39" spans="1:3" ht="28.5">
      <c r="A39" s="133"/>
      <c r="B39" s="623" t="s">
        <v>269</v>
      </c>
      <c r="C39" s="17"/>
    </row>
    <row r="40" spans="1:3" ht="12.75">
      <c r="A40" s="133"/>
      <c r="B40" s="617"/>
      <c r="C40" s="17"/>
    </row>
    <row r="41" spans="1:3" ht="15">
      <c r="A41" s="133"/>
      <c r="B41" s="628" t="s">
        <v>283</v>
      </c>
      <c r="C41" s="17"/>
    </row>
    <row r="42" spans="1:3" ht="12.75">
      <c r="A42" s="133"/>
      <c r="B42" s="617"/>
      <c r="C42" s="17"/>
    </row>
    <row r="43" spans="1:3" ht="14.25">
      <c r="A43" s="133"/>
      <c r="B43" s="629" t="s">
        <v>270</v>
      </c>
      <c r="C43" s="17"/>
    </row>
    <row r="44" spans="1:3" ht="14.25">
      <c r="A44" s="133"/>
      <c r="B44" s="629" t="s">
        <v>271</v>
      </c>
      <c r="C44" s="17"/>
    </row>
    <row r="45" spans="1:3" ht="14.25">
      <c r="A45" s="133"/>
      <c r="B45" s="629" t="s">
        <v>272</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97"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70</v>
      </c>
      <c r="C6" s="785" t="s">
        <v>194</v>
      </c>
      <c r="D6" s="785"/>
      <c r="E6" s="785"/>
      <c r="F6" s="785"/>
      <c r="G6" s="785"/>
      <c r="H6" s="785"/>
      <c r="I6" s="786"/>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8" t="s">
        <v>159</v>
      </c>
      <c r="G9" s="699"/>
      <c r="H9" s="699"/>
      <c r="I9" s="700"/>
    </row>
    <row r="10" spans="2:9" ht="14.25">
      <c r="B10" s="245"/>
      <c r="C10" s="300"/>
      <c r="D10" s="212"/>
      <c r="E10" s="212"/>
      <c r="F10" s="489"/>
      <c r="G10" s="568"/>
      <c r="H10" s="568"/>
      <c r="I10" s="246"/>
    </row>
    <row r="11" spans="2:9" ht="11.25" customHeight="1">
      <c r="B11" s="245"/>
      <c r="C11" s="300"/>
      <c r="D11" s="212"/>
      <c r="E11" s="212"/>
      <c r="F11" s="678" t="s">
        <v>216</v>
      </c>
      <c r="G11" s="679"/>
      <c r="H11" s="679"/>
      <c r="I11" s="680"/>
    </row>
    <row r="12" spans="2:9" ht="14.25">
      <c r="B12" s="245"/>
      <c r="C12" s="300"/>
      <c r="D12" s="212"/>
      <c r="E12" s="212"/>
      <c r="F12" s="490"/>
      <c r="G12" s="514"/>
      <c r="H12" s="199"/>
      <c r="I12" s="246"/>
    </row>
    <row r="13" spans="2:9" ht="11.25" customHeight="1">
      <c r="B13" s="245"/>
      <c r="C13" s="300"/>
      <c r="D13" s="212"/>
      <c r="E13" s="212"/>
      <c r="F13" s="681" t="s">
        <v>196</v>
      </c>
      <c r="G13" s="682"/>
      <c r="H13" s="682"/>
      <c r="I13" s="683"/>
    </row>
    <row r="14" spans="2:9" ht="11.25" customHeight="1">
      <c r="B14" s="245"/>
      <c r="C14" s="300"/>
      <c r="D14" s="212"/>
      <c r="E14" s="212"/>
      <c r="F14" s="681"/>
      <c r="G14" s="682"/>
      <c r="H14" s="682"/>
      <c r="I14" s="683"/>
    </row>
    <row r="15" spans="2:9" ht="11.25" customHeight="1">
      <c r="B15" s="245"/>
      <c r="C15" s="300"/>
      <c r="D15" s="212"/>
      <c r="E15" s="212"/>
      <c r="F15" s="681"/>
      <c r="G15" s="682"/>
      <c r="H15" s="682"/>
      <c r="I15" s="683"/>
    </row>
    <row r="16" spans="2:9" ht="11.25" customHeight="1">
      <c r="B16" s="245"/>
      <c r="C16" s="300"/>
      <c r="D16" s="212"/>
      <c r="E16" s="212"/>
      <c r="F16" s="681"/>
      <c r="G16" s="682"/>
      <c r="H16" s="682"/>
      <c r="I16" s="683"/>
    </row>
    <row r="17" spans="2:9" ht="11.25" customHeight="1">
      <c r="B17" s="245"/>
      <c r="C17" s="300"/>
      <c r="D17" s="212"/>
      <c r="E17" s="212"/>
      <c r="F17" s="681"/>
      <c r="G17" s="682"/>
      <c r="H17" s="682"/>
      <c r="I17" s="683"/>
    </row>
    <row r="18" spans="2:9" ht="11.25" customHeight="1">
      <c r="B18" s="245"/>
      <c r="C18" s="300"/>
      <c r="D18" s="212"/>
      <c r="E18" s="212"/>
      <c r="F18" s="681"/>
      <c r="G18" s="682"/>
      <c r="H18" s="682"/>
      <c r="I18" s="683"/>
    </row>
    <row r="19" spans="2:9" ht="11.25" customHeight="1">
      <c r="B19" s="245"/>
      <c r="C19" s="300"/>
      <c r="D19" s="212"/>
      <c r="E19" s="212"/>
      <c r="F19" s="681"/>
      <c r="G19" s="682"/>
      <c r="H19" s="682"/>
      <c r="I19" s="683"/>
    </row>
    <row r="20" spans="2:9" ht="11.25" customHeight="1">
      <c r="B20" s="245"/>
      <c r="C20" s="300"/>
      <c r="D20" s="212"/>
      <c r="E20" s="212"/>
      <c r="F20" s="681"/>
      <c r="G20" s="682"/>
      <c r="H20" s="682"/>
      <c r="I20" s="683"/>
    </row>
    <row r="21" spans="2:9" ht="11.25" customHeight="1">
      <c r="B21" s="245"/>
      <c r="C21" s="300"/>
      <c r="D21" s="212"/>
      <c r="E21" s="212"/>
      <c r="F21" s="681"/>
      <c r="G21" s="682"/>
      <c r="H21" s="682"/>
      <c r="I21" s="683"/>
    </row>
    <row r="22" spans="2:9" ht="11.25" customHeight="1">
      <c r="B22" s="245"/>
      <c r="C22" s="300"/>
      <c r="D22" s="212"/>
      <c r="E22" s="212"/>
      <c r="F22" s="681"/>
      <c r="G22" s="682"/>
      <c r="H22" s="682"/>
      <c r="I22" s="683"/>
    </row>
    <row r="23" spans="2:9" ht="11.25" customHeight="1">
      <c r="B23" s="245"/>
      <c r="C23" s="300"/>
      <c r="D23" s="212"/>
      <c r="E23" s="212"/>
      <c r="F23" s="681"/>
      <c r="G23" s="682"/>
      <c r="H23" s="682"/>
      <c r="I23" s="683"/>
    </row>
    <row r="24" spans="2:9" ht="11.25" customHeight="1">
      <c r="B24" s="245"/>
      <c r="C24" s="300"/>
      <c r="D24" s="212"/>
      <c r="E24" s="212"/>
      <c r="F24" s="681"/>
      <c r="G24" s="682"/>
      <c r="H24" s="682"/>
      <c r="I24" s="683"/>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9" t="s">
        <v>11</v>
      </c>
      <c r="C52" s="690"/>
      <c r="D52" s="690"/>
      <c r="E52" s="690"/>
      <c r="F52" s="690"/>
      <c r="G52" s="690"/>
      <c r="H52" s="690"/>
      <c r="I52" s="691"/>
    </row>
    <row r="53" spans="2:9" ht="11.25">
      <c r="B53" s="689"/>
      <c r="C53" s="690"/>
      <c r="D53" s="690"/>
      <c r="E53" s="690"/>
      <c r="F53" s="690"/>
      <c r="G53" s="690"/>
      <c r="H53" s="690"/>
      <c r="I53" s="691"/>
    </row>
    <row r="54" spans="2:9" ht="11.25">
      <c r="B54" s="689"/>
      <c r="C54" s="690"/>
      <c r="D54" s="690"/>
      <c r="E54" s="690"/>
      <c r="F54" s="690"/>
      <c r="G54" s="690"/>
      <c r="H54" s="690"/>
      <c r="I54" s="691"/>
    </row>
    <row r="55" spans="2:9" ht="11.25">
      <c r="B55" s="689"/>
      <c r="C55" s="690"/>
      <c r="D55" s="690"/>
      <c r="E55" s="690"/>
      <c r="F55" s="690"/>
      <c r="G55" s="690"/>
      <c r="H55" s="690"/>
      <c r="I55" s="691"/>
    </row>
    <row r="56" spans="2:9" ht="11.25">
      <c r="B56" s="689"/>
      <c r="C56" s="690"/>
      <c r="D56" s="690"/>
      <c r="E56" s="690"/>
      <c r="F56" s="690"/>
      <c r="G56" s="690"/>
      <c r="H56" s="690"/>
      <c r="I56" s="691"/>
    </row>
    <row r="57" spans="2:9" ht="11.25">
      <c r="B57" s="689"/>
      <c r="C57" s="690"/>
      <c r="D57" s="690"/>
      <c r="E57" s="690"/>
      <c r="F57" s="690"/>
      <c r="G57" s="690"/>
      <c r="H57" s="690"/>
      <c r="I57" s="691"/>
    </row>
    <row r="58" spans="2:9" ht="11.25">
      <c r="B58" s="689"/>
      <c r="C58" s="690"/>
      <c r="D58" s="690"/>
      <c r="E58" s="690"/>
      <c r="F58" s="690"/>
      <c r="G58" s="690"/>
      <c r="H58" s="690"/>
      <c r="I58" s="691"/>
    </row>
    <row r="59" spans="2:9" ht="11.25">
      <c r="B59" s="689"/>
      <c r="C59" s="690"/>
      <c r="D59" s="690"/>
      <c r="E59" s="690"/>
      <c r="F59" s="690"/>
      <c r="G59" s="690"/>
      <c r="H59" s="690"/>
      <c r="I59" s="691"/>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41</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v>428</v>
      </c>
      <c r="D70" s="599">
        <f t="shared" si="0"/>
        <v>3093</v>
      </c>
      <c r="E70" s="594"/>
      <c r="F70" s="594"/>
      <c r="G70" s="600"/>
      <c r="H70" s="600"/>
      <c r="I70" s="612"/>
      <c r="J70" s="594"/>
      <c r="K70" s="594"/>
      <c r="M70" s="596"/>
      <c r="N70" s="597"/>
      <c r="O70" s="597"/>
      <c r="P70" s="598"/>
      <c r="Q70" s="597"/>
    </row>
    <row r="71" spans="2:16" s="595" customFormat="1" ht="12.75">
      <c r="B71" s="608">
        <v>40848</v>
      </c>
      <c r="C71" s="594">
        <v>422</v>
      </c>
      <c r="D71" s="599">
        <f t="shared" si="0"/>
        <v>3515</v>
      </c>
      <c r="E71" s="594"/>
      <c r="F71" s="600"/>
      <c r="G71" s="600"/>
      <c r="H71" s="601"/>
      <c r="I71" s="613"/>
      <c r="J71" s="594"/>
      <c r="L71" s="596"/>
      <c r="M71" s="597"/>
      <c r="N71" s="597"/>
      <c r="O71" s="598"/>
      <c r="P71" s="597"/>
    </row>
    <row r="72" spans="2:17" s="595" customFormat="1" ht="12.75">
      <c r="B72" s="608">
        <v>40878</v>
      </c>
      <c r="C72" s="594">
        <v>345</v>
      </c>
      <c r="D72" s="599">
        <f t="shared" si="0"/>
        <v>3860</v>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3860</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6"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A1">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48</v>
      </c>
      <c r="D43" s="5">
        <v>40634</v>
      </c>
      <c r="E43" s="5">
        <v>40664</v>
      </c>
      <c r="F43" s="5">
        <v>40695</v>
      </c>
      <c r="G43" s="5">
        <v>40725</v>
      </c>
      <c r="H43" s="5">
        <v>40756</v>
      </c>
      <c r="I43" s="5">
        <v>40787</v>
      </c>
      <c r="J43" s="5">
        <v>40817</v>
      </c>
      <c r="K43" s="5">
        <v>40848</v>
      </c>
      <c r="L43" s="5">
        <v>40878</v>
      </c>
      <c r="M43" s="5">
        <v>40909</v>
      </c>
      <c r="N43" s="5">
        <v>40940</v>
      </c>
      <c r="O43" s="5">
        <v>40969</v>
      </c>
      <c r="P43" s="8" t="s">
        <v>46</v>
      </c>
      <c r="Q43" s="1"/>
      <c r="R43" s="1"/>
      <c r="S43" s="4" t="s">
        <v>48</v>
      </c>
      <c r="T43" s="5">
        <v>40634</v>
      </c>
      <c r="U43" s="5">
        <v>40664</v>
      </c>
      <c r="V43" s="5">
        <v>40695</v>
      </c>
      <c r="W43" s="5">
        <v>40725</v>
      </c>
      <c r="X43" s="5">
        <v>40756</v>
      </c>
      <c r="Y43" s="5">
        <v>40787</v>
      </c>
      <c r="Z43" s="5">
        <v>40817</v>
      </c>
      <c r="AA43" s="5">
        <v>40848</v>
      </c>
      <c r="AB43" s="5">
        <v>40878</v>
      </c>
      <c r="AC43" s="5">
        <v>40909</v>
      </c>
      <c r="AD43" s="5">
        <v>40940</v>
      </c>
      <c r="AE43" s="5">
        <v>40969</v>
      </c>
      <c r="AF43" s="8" t="s">
        <v>46</v>
      </c>
      <c r="AG43" s="1"/>
      <c r="AH43" s="1"/>
      <c r="AI43" s="4" t="s">
        <v>48</v>
      </c>
      <c r="AJ43" s="5">
        <v>39904</v>
      </c>
      <c r="AK43" s="6">
        <v>39934</v>
      </c>
      <c r="AL43" s="6">
        <v>39965</v>
      </c>
      <c r="AM43" s="6">
        <v>39995</v>
      </c>
      <c r="AN43" s="6">
        <v>40026</v>
      </c>
      <c r="AO43" s="6">
        <v>40057</v>
      </c>
      <c r="AP43" s="6">
        <v>40087</v>
      </c>
      <c r="AQ43" s="6">
        <v>40118</v>
      </c>
      <c r="AR43" s="6">
        <v>40148</v>
      </c>
      <c r="AS43" s="6">
        <v>40179</v>
      </c>
      <c r="AT43" s="6">
        <v>40210</v>
      </c>
      <c r="AU43" s="7">
        <v>40238</v>
      </c>
      <c r="AV43" s="8" t="s">
        <v>46</v>
      </c>
      <c r="AW43" s="1"/>
      <c r="AX43" s="1"/>
      <c r="AY43" s="4" t="s">
        <v>48</v>
      </c>
      <c r="AZ43" s="5">
        <v>39904</v>
      </c>
      <c r="BA43" s="6">
        <v>39934</v>
      </c>
      <c r="BB43" s="6">
        <v>39965</v>
      </c>
      <c r="BC43" s="6">
        <v>39995</v>
      </c>
      <c r="BD43" s="6">
        <v>40026</v>
      </c>
      <c r="BE43" s="6">
        <v>40057</v>
      </c>
      <c r="BF43" s="6">
        <v>40087</v>
      </c>
      <c r="BG43" s="6">
        <v>40118</v>
      </c>
      <c r="BH43" s="6">
        <v>40148</v>
      </c>
      <c r="BI43" s="6">
        <v>40179</v>
      </c>
      <c r="BJ43" s="6">
        <v>40210</v>
      </c>
      <c r="BK43" s="7">
        <v>40238</v>
      </c>
      <c r="BL43" s="8" t="s">
        <v>46</v>
      </c>
      <c r="BM43" s="1"/>
      <c r="BN43" s="1"/>
      <c r="BO43" s="4" t="s">
        <v>48</v>
      </c>
      <c r="BP43" s="5">
        <v>39904</v>
      </c>
      <c r="BQ43" s="6">
        <v>39934</v>
      </c>
      <c r="BR43" s="6">
        <v>39965</v>
      </c>
      <c r="BS43" s="6">
        <v>39995</v>
      </c>
      <c r="BT43" s="6">
        <v>40026</v>
      </c>
      <c r="BU43" s="6">
        <v>40057</v>
      </c>
      <c r="BV43" s="6">
        <v>40087</v>
      </c>
      <c r="BW43" s="6">
        <v>40118</v>
      </c>
      <c r="BX43" s="6">
        <v>40148</v>
      </c>
      <c r="BY43" s="6">
        <v>40179</v>
      </c>
      <c r="BZ43" s="6">
        <v>40210</v>
      </c>
      <c r="CA43" s="7">
        <v>40238</v>
      </c>
      <c r="CB43" s="8" t="s">
        <v>46</v>
      </c>
      <c r="CC43" s="1"/>
      <c r="CD43" s="1"/>
      <c r="CE43" s="4" t="s">
        <v>48</v>
      </c>
      <c r="CF43" s="5">
        <v>39904</v>
      </c>
      <c r="CG43" s="6">
        <v>39934</v>
      </c>
      <c r="CH43" s="6">
        <v>39965</v>
      </c>
      <c r="CI43" s="6">
        <v>39995</v>
      </c>
      <c r="CJ43" s="6">
        <v>40026</v>
      </c>
      <c r="CK43" s="6">
        <v>40057</v>
      </c>
      <c r="CL43" s="6">
        <v>40087</v>
      </c>
      <c r="CM43" s="6">
        <v>40118</v>
      </c>
      <c r="CN43" s="6">
        <v>40148</v>
      </c>
      <c r="CO43" s="6">
        <v>40179</v>
      </c>
      <c r="CP43" s="6">
        <v>40210</v>
      </c>
      <c r="CQ43" s="7">
        <v>40238</v>
      </c>
      <c r="CR43" s="8" t="s">
        <v>46</v>
      </c>
      <c r="CS43" s="1"/>
      <c r="CT43" s="1"/>
      <c r="CU43" s="4" t="s">
        <v>48</v>
      </c>
      <c r="CV43" s="5">
        <v>39904</v>
      </c>
      <c r="CW43" s="6">
        <v>39934</v>
      </c>
      <c r="CX43" s="6">
        <v>39965</v>
      </c>
      <c r="CY43" s="6">
        <v>39995</v>
      </c>
      <c r="CZ43" s="6">
        <v>40026</v>
      </c>
      <c r="DA43" s="6">
        <v>40057</v>
      </c>
      <c r="DB43" s="6">
        <v>40087</v>
      </c>
      <c r="DC43" s="6">
        <v>40118</v>
      </c>
      <c r="DD43" s="6">
        <v>40148</v>
      </c>
      <c r="DE43" s="6">
        <v>40179</v>
      </c>
      <c r="DF43" s="6">
        <v>40210</v>
      </c>
      <c r="DG43" s="7">
        <v>40238</v>
      </c>
      <c r="DH43" s="8" t="s">
        <v>46</v>
      </c>
      <c r="DI43" s="1"/>
      <c r="DJ43" s="1"/>
      <c r="DK43" s="4" t="s">
        <v>48</v>
      </c>
      <c r="DL43" s="5">
        <v>39904</v>
      </c>
      <c r="DM43" s="6">
        <v>39934</v>
      </c>
      <c r="DN43" s="6">
        <v>39965</v>
      </c>
      <c r="DO43" s="6">
        <v>39995</v>
      </c>
      <c r="DP43" s="6">
        <v>40026</v>
      </c>
      <c r="DQ43" s="6">
        <v>40057</v>
      </c>
      <c r="DR43" s="6">
        <v>40087</v>
      </c>
      <c r="DS43" s="6">
        <v>40118</v>
      </c>
      <c r="DT43" s="6">
        <v>40148</v>
      </c>
      <c r="DU43" s="6">
        <v>40179</v>
      </c>
      <c r="DV43" s="6">
        <v>40210</v>
      </c>
      <c r="DW43" s="7">
        <v>40238</v>
      </c>
      <c r="DX43" s="8" t="s">
        <v>46</v>
      </c>
      <c r="DY43" s="1"/>
      <c r="DZ43" s="1"/>
      <c r="EA43" s="4" t="s">
        <v>48</v>
      </c>
      <c r="EB43" s="5">
        <v>39904</v>
      </c>
      <c r="EC43" s="6">
        <v>39934</v>
      </c>
      <c r="ED43" s="6">
        <v>39965</v>
      </c>
      <c r="EE43" s="6">
        <v>39995</v>
      </c>
      <c r="EF43" s="6">
        <v>40026</v>
      </c>
      <c r="EG43" s="6">
        <v>40057</v>
      </c>
      <c r="EH43" s="6">
        <v>40087</v>
      </c>
      <c r="EI43" s="6">
        <v>40118</v>
      </c>
      <c r="EJ43" s="6">
        <v>40148</v>
      </c>
      <c r="EK43" s="6">
        <v>40179</v>
      </c>
      <c r="EL43" s="6">
        <v>40210</v>
      </c>
      <c r="EM43" s="7">
        <v>40238</v>
      </c>
      <c r="EN43" s="8" t="s">
        <v>46</v>
      </c>
      <c r="EO43" s="1"/>
      <c r="EP43" s="1"/>
      <c r="EQ43" s="4" t="s">
        <v>48</v>
      </c>
      <c r="ER43" s="5">
        <v>39904</v>
      </c>
      <c r="ES43" s="6">
        <v>39934</v>
      </c>
      <c r="ET43" s="6">
        <v>39965</v>
      </c>
      <c r="EU43" s="6">
        <v>39995</v>
      </c>
      <c r="EV43" s="6">
        <v>40026</v>
      </c>
      <c r="EW43" s="6">
        <v>40057</v>
      </c>
      <c r="EX43" s="6">
        <v>40087</v>
      </c>
      <c r="EY43" s="6">
        <v>40118</v>
      </c>
      <c r="EZ43" s="6">
        <v>40148</v>
      </c>
      <c r="FA43" s="6">
        <v>40179</v>
      </c>
      <c r="FB43" s="6">
        <v>40210</v>
      </c>
      <c r="FC43" s="7">
        <v>40238</v>
      </c>
      <c r="FD43" s="8" t="s">
        <v>46</v>
      </c>
      <c r="FE43" s="1"/>
      <c r="FF43" s="1"/>
      <c r="FG43" s="4" t="s">
        <v>48</v>
      </c>
      <c r="FH43" s="5">
        <v>39904</v>
      </c>
      <c r="FI43" s="6">
        <v>39934</v>
      </c>
      <c r="FJ43" s="6">
        <v>39965</v>
      </c>
      <c r="FK43" s="6">
        <v>39995</v>
      </c>
      <c r="FL43" s="6">
        <v>40026</v>
      </c>
      <c r="FM43" s="6">
        <v>40057</v>
      </c>
      <c r="FN43" s="6">
        <v>40087</v>
      </c>
      <c r="FO43" s="6">
        <v>40118</v>
      </c>
      <c r="FP43" s="6">
        <v>40148</v>
      </c>
      <c r="FQ43" s="6">
        <v>40179</v>
      </c>
      <c r="FR43" s="6">
        <v>40210</v>
      </c>
      <c r="FS43" s="7">
        <v>40238</v>
      </c>
      <c r="FT43" s="8" t="s">
        <v>46</v>
      </c>
      <c r="FU43" s="1"/>
      <c r="FV43" s="1"/>
      <c r="FW43" s="4" t="s">
        <v>48</v>
      </c>
      <c r="FX43" s="5">
        <v>39904</v>
      </c>
      <c r="FY43" s="6">
        <v>39934</v>
      </c>
      <c r="FZ43" s="6">
        <v>39965</v>
      </c>
      <c r="GA43" s="6">
        <v>39995</v>
      </c>
      <c r="GB43" s="6">
        <v>40026</v>
      </c>
      <c r="GC43" s="6">
        <v>40057</v>
      </c>
      <c r="GD43" s="6">
        <v>40087</v>
      </c>
      <c r="GE43" s="6">
        <v>40118</v>
      </c>
      <c r="GF43" s="6">
        <v>40148</v>
      </c>
      <c r="GG43" s="6">
        <v>40179</v>
      </c>
      <c r="GH43" s="6">
        <v>40210</v>
      </c>
      <c r="GI43" s="7">
        <v>40238</v>
      </c>
      <c r="GJ43" s="8" t="s">
        <v>46</v>
      </c>
      <c r="GK43" s="1"/>
      <c r="GL43" s="1"/>
      <c r="GM43" s="4" t="s">
        <v>48</v>
      </c>
      <c r="GN43" s="5">
        <v>39904</v>
      </c>
      <c r="GO43" s="6">
        <v>39934</v>
      </c>
      <c r="GP43" s="6">
        <v>39965</v>
      </c>
      <c r="GQ43" s="6">
        <v>39995</v>
      </c>
      <c r="GR43" s="6">
        <v>40026</v>
      </c>
      <c r="GS43" s="6">
        <v>40057</v>
      </c>
      <c r="GT43" s="6">
        <v>40087</v>
      </c>
      <c r="GU43" s="6">
        <v>40118</v>
      </c>
      <c r="GV43" s="6">
        <v>40148</v>
      </c>
      <c r="GW43" s="6">
        <v>40179</v>
      </c>
      <c r="GX43" s="6">
        <v>40210</v>
      </c>
      <c r="GY43" s="7">
        <v>40238</v>
      </c>
      <c r="GZ43" s="8" t="s">
        <v>46</v>
      </c>
      <c r="HA43" s="1"/>
      <c r="HB43" s="1"/>
      <c r="HC43" s="4" t="s">
        <v>48</v>
      </c>
      <c r="HD43" s="5">
        <v>39904</v>
      </c>
      <c r="HE43" s="6">
        <v>39934</v>
      </c>
      <c r="HF43" s="6">
        <v>39965</v>
      </c>
      <c r="HG43" s="6">
        <v>39995</v>
      </c>
      <c r="HH43" s="6">
        <v>40026</v>
      </c>
      <c r="HI43" s="6">
        <v>40057</v>
      </c>
      <c r="HJ43" s="6">
        <v>40087</v>
      </c>
      <c r="HK43" s="6">
        <v>40118</v>
      </c>
      <c r="HL43" s="6">
        <v>40148</v>
      </c>
      <c r="HM43" s="6">
        <v>40179</v>
      </c>
      <c r="HN43" s="6">
        <v>40210</v>
      </c>
      <c r="HO43" s="7">
        <v>40238</v>
      </c>
      <c r="HP43" s="8" t="s">
        <v>46</v>
      </c>
      <c r="HQ43" s="1"/>
      <c r="HR43" s="1"/>
      <c r="HS43" s="4" t="s">
        <v>48</v>
      </c>
      <c r="HT43" s="5">
        <v>39904</v>
      </c>
      <c r="HU43" s="6">
        <v>39934</v>
      </c>
      <c r="HV43" s="6">
        <v>39965</v>
      </c>
      <c r="HW43" s="6">
        <v>39995</v>
      </c>
      <c r="HX43" s="6">
        <v>40026</v>
      </c>
      <c r="HY43" s="6">
        <v>40057</v>
      </c>
      <c r="HZ43" s="6">
        <v>40087</v>
      </c>
      <c r="IA43" s="6">
        <v>40118</v>
      </c>
      <c r="IB43" s="6">
        <v>40148</v>
      </c>
      <c r="IC43" s="6">
        <v>40179</v>
      </c>
      <c r="ID43" s="6">
        <v>40210</v>
      </c>
      <c r="IE43" s="7">
        <v>40238</v>
      </c>
      <c r="IF43" s="8" t="s">
        <v>46</v>
      </c>
      <c r="IG43" s="1"/>
      <c r="IH43" s="1"/>
      <c r="II43" s="4" t="s">
        <v>48</v>
      </c>
      <c r="IJ43" s="5">
        <v>39904</v>
      </c>
      <c r="IK43" s="6">
        <v>39934</v>
      </c>
      <c r="IL43" s="6">
        <v>39965</v>
      </c>
      <c r="IM43" s="6">
        <v>39995</v>
      </c>
      <c r="IN43" s="6">
        <v>40026</v>
      </c>
      <c r="IO43" s="6">
        <v>40057</v>
      </c>
      <c r="IP43" s="6">
        <v>40087</v>
      </c>
      <c r="IQ43" s="6">
        <v>40118</v>
      </c>
      <c r="IR43" s="6">
        <v>40148</v>
      </c>
      <c r="IS43" s="6">
        <v>40179</v>
      </c>
      <c r="IT43" s="6">
        <v>40210</v>
      </c>
      <c r="IU43" s="7">
        <v>40238</v>
      </c>
      <c r="IV43" s="8" t="s">
        <v>46</v>
      </c>
    </row>
    <row r="44" spans="1:256" ht="13.5" customHeight="1">
      <c r="A44" s="1"/>
      <c r="B44" s="791"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8"/>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8"/>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8"/>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8"/>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8"/>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8"/>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8"/>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8"/>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8"/>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8"/>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8"/>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8"/>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8"/>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8"/>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8"/>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8"/>
      <c r="C45" s="84" t="s">
        <v>183</v>
      </c>
      <c r="D45" s="76">
        <v>29</v>
      </c>
      <c r="E45" s="77">
        <v>30</v>
      </c>
      <c r="F45" s="77">
        <v>29</v>
      </c>
      <c r="G45" s="77">
        <v>30</v>
      </c>
      <c r="H45" s="77">
        <v>30</v>
      </c>
      <c r="I45" s="77">
        <v>29</v>
      </c>
      <c r="J45" s="77">
        <v>30</v>
      </c>
      <c r="K45" s="77">
        <v>29</v>
      </c>
      <c r="L45" s="77">
        <v>30</v>
      </c>
      <c r="M45" s="77">
        <v>30</v>
      </c>
      <c r="N45" s="77">
        <v>27</v>
      </c>
      <c r="O45" s="78">
        <v>30</v>
      </c>
      <c r="P45" s="79"/>
      <c r="Q45" s="1"/>
      <c r="R45" s="788"/>
      <c r="S45" s="50"/>
      <c r="T45" s="60"/>
      <c r="U45" s="61"/>
      <c r="V45" s="61"/>
      <c r="W45" s="61"/>
      <c r="X45" s="61"/>
      <c r="Y45" s="61"/>
      <c r="Z45" s="61"/>
      <c r="AA45" s="61"/>
      <c r="AB45" s="61"/>
      <c r="AC45" s="61"/>
      <c r="AD45" s="61"/>
      <c r="AE45" s="62"/>
      <c r="AF45" s="79"/>
      <c r="AG45" s="1"/>
      <c r="AH45" s="788"/>
      <c r="AI45" s="50"/>
      <c r="AJ45" s="60"/>
      <c r="AK45" s="61"/>
      <c r="AL45" s="61"/>
      <c r="AM45" s="61"/>
      <c r="AN45" s="61"/>
      <c r="AO45" s="61"/>
      <c r="AP45" s="61"/>
      <c r="AQ45" s="61"/>
      <c r="AR45" s="61"/>
      <c r="AS45" s="61"/>
      <c r="AT45" s="61"/>
      <c r="AU45" s="62"/>
      <c r="AV45" s="79"/>
      <c r="AW45" s="1"/>
      <c r="AX45" s="788"/>
      <c r="AY45" s="50"/>
      <c r="AZ45" s="60"/>
      <c r="BA45" s="61"/>
      <c r="BB45" s="61"/>
      <c r="BC45" s="61"/>
      <c r="BD45" s="61"/>
      <c r="BE45" s="61"/>
      <c r="BF45" s="61"/>
      <c r="BG45" s="61"/>
      <c r="BH45" s="61"/>
      <c r="BI45" s="61"/>
      <c r="BJ45" s="61"/>
      <c r="BK45" s="62"/>
      <c r="BL45" s="79"/>
      <c r="BM45" s="1"/>
      <c r="BN45" s="788"/>
      <c r="BO45" s="50"/>
      <c r="BP45" s="60"/>
      <c r="BQ45" s="61"/>
      <c r="BR45" s="61"/>
      <c r="BS45" s="61"/>
      <c r="BT45" s="61"/>
      <c r="BU45" s="61"/>
      <c r="BV45" s="61"/>
      <c r="BW45" s="61"/>
      <c r="BX45" s="61"/>
      <c r="BY45" s="61"/>
      <c r="BZ45" s="61"/>
      <c r="CA45" s="62"/>
      <c r="CB45" s="79"/>
      <c r="CC45" s="1"/>
      <c r="CD45" s="788"/>
      <c r="CE45" s="50"/>
      <c r="CF45" s="60"/>
      <c r="CG45" s="61"/>
      <c r="CH45" s="61"/>
      <c r="CI45" s="61"/>
      <c r="CJ45" s="61"/>
      <c r="CK45" s="61"/>
      <c r="CL45" s="61"/>
      <c r="CM45" s="61"/>
      <c r="CN45" s="61"/>
      <c r="CO45" s="61"/>
      <c r="CP45" s="61"/>
      <c r="CQ45" s="62"/>
      <c r="CR45" s="79"/>
      <c r="CS45" s="1"/>
      <c r="CT45" s="788"/>
      <c r="CU45" s="50"/>
      <c r="CV45" s="60"/>
      <c r="CW45" s="61"/>
      <c r="CX45" s="61"/>
      <c r="CY45" s="61"/>
      <c r="CZ45" s="61"/>
      <c r="DA45" s="61"/>
      <c r="DB45" s="61"/>
      <c r="DC45" s="61"/>
      <c r="DD45" s="61"/>
      <c r="DE45" s="61"/>
      <c r="DF45" s="61"/>
      <c r="DG45" s="62"/>
      <c r="DH45" s="79"/>
      <c r="DI45" s="1"/>
      <c r="DJ45" s="788"/>
      <c r="DK45" s="50"/>
      <c r="DL45" s="60"/>
      <c r="DM45" s="61"/>
      <c r="DN45" s="61"/>
      <c r="DO45" s="61"/>
      <c r="DP45" s="61"/>
      <c r="DQ45" s="61"/>
      <c r="DR45" s="61"/>
      <c r="DS45" s="61"/>
      <c r="DT45" s="61"/>
      <c r="DU45" s="61"/>
      <c r="DV45" s="61"/>
      <c r="DW45" s="62"/>
      <c r="DX45" s="79"/>
      <c r="DY45" s="1"/>
      <c r="DZ45" s="788"/>
      <c r="EA45" s="50"/>
      <c r="EB45" s="60"/>
      <c r="EC45" s="61"/>
      <c r="ED45" s="61"/>
      <c r="EE45" s="61"/>
      <c r="EF45" s="61"/>
      <c r="EG45" s="61"/>
      <c r="EH45" s="61"/>
      <c r="EI45" s="61"/>
      <c r="EJ45" s="61"/>
      <c r="EK45" s="61"/>
      <c r="EL45" s="61"/>
      <c r="EM45" s="62"/>
      <c r="EN45" s="79"/>
      <c r="EO45" s="1"/>
      <c r="EP45" s="788"/>
      <c r="EQ45" s="50"/>
      <c r="ER45" s="60"/>
      <c r="ES45" s="61"/>
      <c r="ET45" s="61"/>
      <c r="EU45" s="61"/>
      <c r="EV45" s="61"/>
      <c r="EW45" s="61"/>
      <c r="EX45" s="61"/>
      <c r="EY45" s="61"/>
      <c r="EZ45" s="61"/>
      <c r="FA45" s="61"/>
      <c r="FB45" s="61"/>
      <c r="FC45" s="62"/>
      <c r="FD45" s="79"/>
      <c r="FE45" s="1"/>
      <c r="FF45" s="788"/>
      <c r="FG45" s="50"/>
      <c r="FH45" s="60"/>
      <c r="FI45" s="61"/>
      <c r="FJ45" s="61"/>
      <c r="FK45" s="61"/>
      <c r="FL45" s="61"/>
      <c r="FM45" s="61"/>
      <c r="FN45" s="61"/>
      <c r="FO45" s="61"/>
      <c r="FP45" s="61"/>
      <c r="FQ45" s="61"/>
      <c r="FR45" s="61"/>
      <c r="FS45" s="62"/>
      <c r="FT45" s="79"/>
      <c r="FU45" s="1"/>
      <c r="FV45" s="788"/>
      <c r="FW45" s="50"/>
      <c r="FX45" s="60"/>
      <c r="FY45" s="61"/>
      <c r="FZ45" s="61"/>
      <c r="GA45" s="61"/>
      <c r="GB45" s="61"/>
      <c r="GC45" s="61"/>
      <c r="GD45" s="61"/>
      <c r="GE45" s="61"/>
      <c r="GF45" s="61"/>
      <c r="GG45" s="61"/>
      <c r="GH45" s="61"/>
      <c r="GI45" s="62"/>
      <c r="GJ45" s="79"/>
      <c r="GK45" s="1"/>
      <c r="GL45" s="788"/>
      <c r="GM45" s="50"/>
      <c r="GN45" s="60"/>
      <c r="GO45" s="61"/>
      <c r="GP45" s="61"/>
      <c r="GQ45" s="61"/>
      <c r="GR45" s="61"/>
      <c r="GS45" s="61"/>
      <c r="GT45" s="61"/>
      <c r="GU45" s="61"/>
      <c r="GV45" s="61"/>
      <c r="GW45" s="61"/>
      <c r="GX45" s="61"/>
      <c r="GY45" s="62"/>
      <c r="GZ45" s="79"/>
      <c r="HA45" s="1"/>
      <c r="HB45" s="788"/>
      <c r="HC45" s="50"/>
      <c r="HD45" s="60"/>
      <c r="HE45" s="61"/>
      <c r="HF45" s="61"/>
      <c r="HG45" s="61"/>
      <c r="HH45" s="61"/>
      <c r="HI45" s="61"/>
      <c r="HJ45" s="61"/>
      <c r="HK45" s="61"/>
      <c r="HL45" s="61"/>
      <c r="HM45" s="61"/>
      <c r="HN45" s="61"/>
      <c r="HO45" s="62"/>
      <c r="HP45" s="79"/>
      <c r="HQ45" s="1"/>
      <c r="HR45" s="788"/>
      <c r="HS45" s="50"/>
      <c r="HT45" s="60"/>
      <c r="HU45" s="61"/>
      <c r="HV45" s="61"/>
      <c r="HW45" s="61"/>
      <c r="HX45" s="61"/>
      <c r="HY45" s="61"/>
      <c r="HZ45" s="61"/>
      <c r="IA45" s="61"/>
      <c r="IB45" s="61"/>
      <c r="IC45" s="61"/>
      <c r="ID45" s="61"/>
      <c r="IE45" s="62"/>
      <c r="IF45" s="79"/>
      <c r="IG45" s="1"/>
      <c r="IH45" s="788"/>
      <c r="II45" s="50"/>
      <c r="IJ45" s="60"/>
      <c r="IK45" s="61"/>
      <c r="IL45" s="61"/>
      <c r="IM45" s="61"/>
      <c r="IN45" s="61"/>
      <c r="IO45" s="61"/>
      <c r="IP45" s="61"/>
      <c r="IQ45" s="61"/>
      <c r="IR45" s="61"/>
      <c r="IS45" s="61"/>
      <c r="IT45" s="61"/>
      <c r="IU45" s="62"/>
      <c r="IV45" s="79"/>
    </row>
    <row r="46" spans="1:256" ht="13.5" thickBot="1">
      <c r="A46" s="1"/>
      <c r="B46" s="790"/>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90"/>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90"/>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90"/>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90"/>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90"/>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90"/>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90"/>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90"/>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90"/>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90"/>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90"/>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90"/>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90"/>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90"/>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90"/>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51</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8"/>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8"/>
      <c r="S48" s="80"/>
      <c r="T48" s="81"/>
      <c r="U48" s="81"/>
      <c r="V48" s="81"/>
      <c r="W48" s="81"/>
      <c r="X48" s="81"/>
      <c r="Y48" s="81"/>
      <c r="Z48" s="81"/>
      <c r="AA48" s="81"/>
      <c r="AB48" s="81"/>
      <c r="AC48" s="81"/>
      <c r="AD48" s="81"/>
      <c r="AE48" s="82"/>
      <c r="AF48" s="83"/>
      <c r="AG48" s="1"/>
      <c r="AH48" s="788"/>
      <c r="AI48" s="80"/>
      <c r="AJ48" s="81"/>
      <c r="AK48" s="81"/>
      <c r="AL48" s="81"/>
      <c r="AM48" s="81"/>
      <c r="AN48" s="81"/>
      <c r="AO48" s="81"/>
      <c r="AP48" s="81"/>
      <c r="AQ48" s="81"/>
      <c r="AR48" s="81"/>
      <c r="AS48" s="81"/>
      <c r="AT48" s="81"/>
      <c r="AU48" s="82"/>
      <c r="AV48" s="83"/>
      <c r="AW48" s="1"/>
      <c r="AX48" s="788"/>
      <c r="AY48" s="80"/>
      <c r="AZ48" s="81"/>
      <c r="BA48" s="81"/>
      <c r="BB48" s="81"/>
      <c r="BC48" s="81"/>
      <c r="BD48" s="81"/>
      <c r="BE48" s="81"/>
      <c r="BF48" s="81"/>
      <c r="BG48" s="81"/>
      <c r="BH48" s="81"/>
      <c r="BI48" s="81"/>
      <c r="BJ48" s="81"/>
      <c r="BK48" s="82"/>
      <c r="BL48" s="83"/>
      <c r="BM48" s="1"/>
      <c r="BN48" s="788"/>
      <c r="BO48" s="80"/>
      <c r="BP48" s="81"/>
      <c r="BQ48" s="81"/>
      <c r="BR48" s="81"/>
      <c r="BS48" s="81"/>
      <c r="BT48" s="81"/>
      <c r="BU48" s="81"/>
      <c r="BV48" s="81"/>
      <c r="BW48" s="81"/>
      <c r="BX48" s="81"/>
      <c r="BY48" s="81"/>
      <c r="BZ48" s="81"/>
      <c r="CA48" s="82"/>
      <c r="CB48" s="83"/>
      <c r="CC48" s="1"/>
      <c r="CD48" s="788"/>
      <c r="CE48" s="80"/>
      <c r="CF48" s="81"/>
      <c r="CG48" s="81"/>
      <c r="CH48" s="81"/>
      <c r="CI48" s="81"/>
      <c r="CJ48" s="81"/>
      <c r="CK48" s="81"/>
      <c r="CL48" s="81"/>
      <c r="CM48" s="81"/>
      <c r="CN48" s="81"/>
      <c r="CO48" s="81"/>
      <c r="CP48" s="81"/>
      <c r="CQ48" s="82"/>
      <c r="CR48" s="83"/>
      <c r="CS48" s="1"/>
      <c r="CT48" s="788"/>
      <c r="CU48" s="80"/>
      <c r="CV48" s="81"/>
      <c r="CW48" s="81"/>
      <c r="CX48" s="81"/>
      <c r="CY48" s="81"/>
      <c r="CZ48" s="81"/>
      <c r="DA48" s="81"/>
      <c r="DB48" s="81"/>
      <c r="DC48" s="81"/>
      <c r="DD48" s="81"/>
      <c r="DE48" s="81"/>
      <c r="DF48" s="81"/>
      <c r="DG48" s="82"/>
      <c r="DH48" s="83"/>
      <c r="DI48" s="1"/>
      <c r="DJ48" s="788"/>
      <c r="DK48" s="80"/>
      <c r="DL48" s="81"/>
      <c r="DM48" s="81"/>
      <c r="DN48" s="81"/>
      <c r="DO48" s="81"/>
      <c r="DP48" s="81"/>
      <c r="DQ48" s="81"/>
      <c r="DR48" s="81"/>
      <c r="DS48" s="81"/>
      <c r="DT48" s="81"/>
      <c r="DU48" s="81"/>
      <c r="DV48" s="81"/>
      <c r="DW48" s="82"/>
      <c r="DX48" s="83"/>
      <c r="DY48" s="1"/>
      <c r="DZ48" s="788"/>
      <c r="EA48" s="80"/>
      <c r="EB48" s="81"/>
      <c r="EC48" s="81"/>
      <c r="ED48" s="81"/>
      <c r="EE48" s="81"/>
      <c r="EF48" s="81"/>
      <c r="EG48" s="81"/>
      <c r="EH48" s="81"/>
      <c r="EI48" s="81"/>
      <c r="EJ48" s="81"/>
      <c r="EK48" s="81"/>
      <c r="EL48" s="81"/>
      <c r="EM48" s="82"/>
      <c r="EN48" s="83"/>
      <c r="EO48" s="1"/>
      <c r="EP48" s="788"/>
      <c r="EQ48" s="80"/>
      <c r="ER48" s="81"/>
      <c r="ES48" s="81"/>
      <c r="ET48" s="81"/>
      <c r="EU48" s="81"/>
      <c r="EV48" s="81"/>
      <c r="EW48" s="81"/>
      <c r="EX48" s="81"/>
      <c r="EY48" s="81"/>
      <c r="EZ48" s="81"/>
      <c r="FA48" s="81"/>
      <c r="FB48" s="81"/>
      <c r="FC48" s="82"/>
      <c r="FD48" s="83"/>
      <c r="FE48" s="1"/>
      <c r="FF48" s="788"/>
      <c r="FG48" s="80"/>
      <c r="FH48" s="81"/>
      <c r="FI48" s="81"/>
      <c r="FJ48" s="81"/>
      <c r="FK48" s="81"/>
      <c r="FL48" s="81"/>
      <c r="FM48" s="81"/>
      <c r="FN48" s="81"/>
      <c r="FO48" s="81"/>
      <c r="FP48" s="81"/>
      <c r="FQ48" s="81"/>
      <c r="FR48" s="81"/>
      <c r="FS48" s="82"/>
      <c r="FT48" s="83"/>
      <c r="FU48" s="1"/>
      <c r="FV48" s="788"/>
      <c r="FW48" s="80"/>
      <c r="FX48" s="81"/>
      <c r="FY48" s="81"/>
      <c r="FZ48" s="81"/>
      <c r="GA48" s="81"/>
      <c r="GB48" s="81"/>
      <c r="GC48" s="81"/>
      <c r="GD48" s="81"/>
      <c r="GE48" s="81"/>
      <c r="GF48" s="81"/>
      <c r="GG48" s="81"/>
      <c r="GH48" s="81"/>
      <c r="GI48" s="82"/>
      <c r="GJ48" s="83"/>
      <c r="GK48" s="1"/>
      <c r="GL48" s="788"/>
      <c r="GM48" s="80"/>
      <c r="GN48" s="81"/>
      <c r="GO48" s="81"/>
      <c r="GP48" s="81"/>
      <c r="GQ48" s="81"/>
      <c r="GR48" s="81"/>
      <c r="GS48" s="81"/>
      <c r="GT48" s="81"/>
      <c r="GU48" s="81"/>
      <c r="GV48" s="81"/>
      <c r="GW48" s="81"/>
      <c r="GX48" s="81"/>
      <c r="GY48" s="82"/>
      <c r="GZ48" s="83"/>
      <c r="HA48" s="1"/>
      <c r="HB48" s="788"/>
      <c r="HC48" s="80"/>
      <c r="HD48" s="81"/>
      <c r="HE48" s="81"/>
      <c r="HF48" s="81"/>
      <c r="HG48" s="81"/>
      <c r="HH48" s="81"/>
      <c r="HI48" s="81"/>
      <c r="HJ48" s="81"/>
      <c r="HK48" s="81"/>
      <c r="HL48" s="81"/>
      <c r="HM48" s="81"/>
      <c r="HN48" s="81"/>
      <c r="HO48" s="82"/>
      <c r="HP48" s="83"/>
      <c r="HQ48" s="1"/>
      <c r="HR48" s="788"/>
      <c r="HS48" s="80"/>
      <c r="HT48" s="81"/>
      <c r="HU48" s="81"/>
      <c r="HV48" s="81"/>
      <c r="HW48" s="81"/>
      <c r="HX48" s="81"/>
      <c r="HY48" s="81"/>
      <c r="HZ48" s="81"/>
      <c r="IA48" s="81"/>
      <c r="IB48" s="81"/>
      <c r="IC48" s="81"/>
      <c r="ID48" s="81"/>
      <c r="IE48" s="82"/>
      <c r="IF48" s="83"/>
      <c r="IG48" s="1"/>
      <c r="IH48" s="788"/>
      <c r="II48" s="80"/>
      <c r="IJ48" s="81"/>
      <c r="IK48" s="81"/>
      <c r="IL48" s="81"/>
      <c r="IM48" s="81"/>
      <c r="IN48" s="81"/>
      <c r="IO48" s="81"/>
      <c r="IP48" s="81"/>
      <c r="IQ48" s="81"/>
      <c r="IR48" s="81"/>
      <c r="IS48" s="81"/>
      <c r="IT48" s="81"/>
      <c r="IU48" s="82"/>
      <c r="IV48" s="83"/>
    </row>
    <row r="49" spans="1:256" ht="13.5" thickBot="1">
      <c r="A49" s="1"/>
      <c r="B49" s="789"/>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9"/>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9"/>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9"/>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9"/>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9"/>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9"/>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9"/>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9"/>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9"/>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9"/>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9"/>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9"/>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9"/>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9"/>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9"/>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276</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277</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278</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22</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11.299247653169061</v>
      </c>
      <c r="E115" s="92">
        <f>D115+F115/3</f>
        <v>22.598495306338123</v>
      </c>
      <c r="F115" s="92">
        <f>('[1]Shrinkage'!$E$37-'Graph Data'!F116)</f>
        <v>33.897742959507184</v>
      </c>
      <c r="G115" s="92">
        <f>F115+(I115-F115)/3</f>
        <v>39.504933480202396</v>
      </c>
      <c r="H115" s="92">
        <f>I115-(I115-F115)/3</f>
        <v>45.112124000897616</v>
      </c>
      <c r="I115" s="92">
        <f>('[1]Shrinkage'!$H$37-'Graph Data'!I116)</f>
        <v>50.71931452159283</v>
      </c>
      <c r="J115" s="92">
        <f>I115+(L115-I115)/3</f>
        <v>64.06580974133928</v>
      </c>
      <c r="K115" s="92">
        <f>L115-(L115-I115)/3</f>
        <v>77.41230496108572</v>
      </c>
      <c r="L115" s="92">
        <f>('[1]Shrinkage'!$K$37-'Graph Data'!L116)</f>
        <v>90.75880018083217</v>
      </c>
      <c r="M115" s="92">
        <f>L115+(O115-L115)/3</f>
        <v>106.52674418199253</v>
      </c>
      <c r="N115" s="92">
        <f>O115-(O115-L115)/3</f>
        <v>122.29468818315287</v>
      </c>
      <c r="O115" s="92">
        <f>('[1]Shrinkage'!$N$37-'Graph Data'!O116)</f>
        <v>138.06263218431323</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41</v>
      </c>
      <c r="C128" s="14" t="s">
        <v>84</v>
      </c>
      <c r="D128" s="14" t="s">
        <v>96</v>
      </c>
      <c r="E128" s="22" t="s">
        <v>23</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178.54401789831002</v>
      </c>
      <c r="D133" s="3">
        <f t="shared" si="8"/>
        <v>1013.183813711138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230.28100817757914</v>
      </c>
      <c r="D134" s="3">
        <f t="shared" si="8"/>
        <v>1243.464821888717</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225.43571221</v>
      </c>
      <c r="D135" s="3">
        <f t="shared" si="8"/>
        <v>1468.9005340987171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273.94637959999994</v>
      </c>
      <c r="D136" s="3">
        <f t="shared" si="8"/>
        <v>1742.8469136987171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360.17</v>
      </c>
      <c r="D137" s="3">
        <f t="shared" si="8"/>
        <v>2103.016913698717</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2103.016913698717</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2103.016913698717</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2103.016913698717</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2103.016913698717</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41</v>
      </c>
      <c r="C151" s="126" t="s">
        <v>163</v>
      </c>
      <c r="D151" s="126" t="s">
        <v>180</v>
      </c>
      <c r="E151" s="126" t="s">
        <v>164</v>
      </c>
      <c r="F151" s="126" t="s">
        <v>186</v>
      </c>
      <c r="G151" s="126" t="s">
        <v>18</v>
      </c>
      <c r="H151" s="126" t="s">
        <v>19</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
      <selection activeCell="A2" sqref="A2"/>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20</v>
      </c>
      <c r="C2" s="634"/>
      <c r="D2" s="634"/>
      <c r="E2" s="634"/>
      <c r="F2" s="634"/>
      <c r="G2" s="161"/>
      <c r="H2" s="161"/>
      <c r="I2" s="656" t="s">
        <v>290</v>
      </c>
      <c r="J2" s="656"/>
      <c r="K2" s="656"/>
      <c r="L2" s="656"/>
      <c r="M2" s="656"/>
      <c r="N2" s="656"/>
      <c r="O2" s="656"/>
      <c r="P2" s="656"/>
      <c r="Q2" s="656"/>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9" t="s">
        <v>294</v>
      </c>
      <c r="C23" s="659"/>
      <c r="D23" s="659"/>
      <c r="E23" s="659"/>
      <c r="F23" s="659"/>
      <c r="G23" s="659"/>
      <c r="H23" s="659"/>
      <c r="I23" s="659"/>
      <c r="J23" s="659"/>
      <c r="K23" s="167"/>
      <c r="L23" s="658" t="s">
        <v>292</v>
      </c>
      <c r="M23" s="658"/>
      <c r="N23" s="658"/>
      <c r="O23" s="658"/>
      <c r="P23" s="658"/>
      <c r="Q23" s="658"/>
      <c r="R23" s="658"/>
      <c r="S23" s="658"/>
      <c r="T23" s="658"/>
    </row>
    <row r="24" spans="2:20" ht="12.75" customHeight="1">
      <c r="B24" s="659"/>
      <c r="C24" s="659"/>
      <c r="D24" s="659"/>
      <c r="E24" s="659"/>
      <c r="F24" s="659"/>
      <c r="G24" s="659"/>
      <c r="H24" s="659"/>
      <c r="I24" s="659"/>
      <c r="J24" s="659"/>
      <c r="K24" s="167"/>
      <c r="L24" s="658"/>
      <c r="M24" s="658"/>
      <c r="N24" s="658"/>
      <c r="O24" s="658"/>
      <c r="P24" s="658"/>
      <c r="Q24" s="658"/>
      <c r="R24" s="658"/>
      <c r="S24" s="658"/>
      <c r="T24" s="658"/>
    </row>
    <row r="25" spans="2:20" ht="6.75" customHeight="1">
      <c r="B25" s="659"/>
      <c r="C25" s="659"/>
      <c r="D25" s="659"/>
      <c r="E25" s="659"/>
      <c r="F25" s="659"/>
      <c r="G25" s="659"/>
      <c r="H25" s="659"/>
      <c r="I25" s="659"/>
      <c r="J25" s="659"/>
      <c r="K25" s="167"/>
      <c r="L25" s="658"/>
      <c r="M25" s="658"/>
      <c r="N25" s="658"/>
      <c r="O25" s="658"/>
      <c r="P25" s="658"/>
      <c r="Q25" s="658"/>
      <c r="R25" s="658"/>
      <c r="S25" s="658"/>
      <c r="T25" s="658"/>
    </row>
    <row r="26" spans="2:20" ht="39.75" customHeight="1">
      <c r="B26" s="660"/>
      <c r="C26" s="660"/>
      <c r="D26" s="660"/>
      <c r="E26" s="660"/>
      <c r="F26" s="660"/>
      <c r="G26" s="660"/>
      <c r="H26" s="660"/>
      <c r="I26" s="660"/>
      <c r="J26" s="660"/>
      <c r="K26" s="168"/>
      <c r="L26" s="658"/>
      <c r="M26" s="658"/>
      <c r="N26" s="658"/>
      <c r="O26" s="658"/>
      <c r="P26" s="658"/>
      <c r="Q26" s="658"/>
      <c r="R26" s="658"/>
      <c r="S26" s="658"/>
      <c r="T26" s="658"/>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57" t="s">
        <v>0</v>
      </c>
      <c r="C47" s="657"/>
      <c r="D47" s="657"/>
      <c r="E47" s="657"/>
      <c r="F47" s="657"/>
      <c r="G47" s="657"/>
      <c r="H47" s="657"/>
      <c r="I47" s="657"/>
      <c r="J47" s="657"/>
      <c r="K47" s="169"/>
      <c r="L47" s="658" t="s">
        <v>14</v>
      </c>
      <c r="M47" s="658"/>
      <c r="N47" s="658"/>
      <c r="O47" s="658"/>
      <c r="P47" s="658"/>
      <c r="Q47" s="658"/>
      <c r="R47" s="658"/>
      <c r="S47" s="658"/>
      <c r="T47" s="658"/>
    </row>
    <row r="48" spans="2:20" ht="12.75" customHeight="1">
      <c r="B48" s="657"/>
      <c r="C48" s="657"/>
      <c r="D48" s="657"/>
      <c r="E48" s="657"/>
      <c r="F48" s="657"/>
      <c r="G48" s="657"/>
      <c r="H48" s="657"/>
      <c r="I48" s="657"/>
      <c r="J48" s="657"/>
      <c r="K48" s="169"/>
      <c r="L48" s="658"/>
      <c r="M48" s="658"/>
      <c r="N48" s="658"/>
      <c r="O48" s="658"/>
      <c r="P48" s="658"/>
      <c r="Q48" s="658"/>
      <c r="R48" s="658"/>
      <c r="S48" s="658"/>
      <c r="T48" s="658"/>
    </row>
    <row r="49" spans="2:20" ht="8.25" customHeight="1">
      <c r="B49" s="657"/>
      <c r="C49" s="657"/>
      <c r="D49" s="657"/>
      <c r="E49" s="657"/>
      <c r="F49" s="657"/>
      <c r="G49" s="657"/>
      <c r="H49" s="657"/>
      <c r="I49" s="657"/>
      <c r="J49" s="657"/>
      <c r="K49" s="169"/>
      <c r="L49" s="658"/>
      <c r="M49" s="658"/>
      <c r="N49" s="658"/>
      <c r="O49" s="658"/>
      <c r="P49" s="658"/>
      <c r="Q49" s="658"/>
      <c r="R49" s="658"/>
      <c r="S49" s="658"/>
      <c r="T49" s="658"/>
    </row>
    <row r="50" spans="2:20" ht="13.5" customHeight="1">
      <c r="B50" s="657"/>
      <c r="C50" s="657"/>
      <c r="D50" s="657"/>
      <c r="E50" s="657"/>
      <c r="F50" s="657"/>
      <c r="G50" s="657"/>
      <c r="H50" s="657"/>
      <c r="I50" s="657"/>
      <c r="J50" s="657"/>
      <c r="K50" s="169"/>
      <c r="L50" s="658"/>
      <c r="M50" s="658"/>
      <c r="N50" s="658"/>
      <c r="O50" s="658"/>
      <c r="P50" s="658"/>
      <c r="Q50" s="658"/>
      <c r="R50" s="658"/>
      <c r="S50" s="658"/>
      <c r="T50" s="658"/>
    </row>
    <row r="51" spans="2:20" ht="5.25" customHeight="1">
      <c r="B51" s="657"/>
      <c r="C51" s="657"/>
      <c r="D51" s="657"/>
      <c r="E51" s="657"/>
      <c r="F51" s="657"/>
      <c r="G51" s="657"/>
      <c r="H51" s="657"/>
      <c r="I51" s="657"/>
      <c r="J51" s="657"/>
      <c r="K51" s="169"/>
      <c r="L51" s="658"/>
      <c r="M51" s="658"/>
      <c r="N51" s="658"/>
      <c r="O51" s="658"/>
      <c r="P51" s="658"/>
      <c r="Q51" s="658"/>
      <c r="R51" s="658"/>
      <c r="S51" s="658"/>
      <c r="T51" s="658"/>
    </row>
    <row r="52" spans="2:20" ht="5.25" customHeight="1">
      <c r="B52" s="657"/>
      <c r="C52" s="657"/>
      <c r="D52" s="657"/>
      <c r="E52" s="657"/>
      <c r="F52" s="657"/>
      <c r="G52" s="657"/>
      <c r="H52" s="657"/>
      <c r="I52" s="657"/>
      <c r="J52" s="657"/>
      <c r="K52" s="169"/>
      <c r="L52" s="658"/>
      <c r="M52" s="658"/>
      <c r="N52" s="658"/>
      <c r="O52" s="658"/>
      <c r="P52" s="658"/>
      <c r="Q52" s="658"/>
      <c r="R52" s="658"/>
      <c r="S52" s="658"/>
      <c r="T52" s="658"/>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8" t="s">
        <v>9</v>
      </c>
      <c r="C74" s="658"/>
      <c r="D74" s="658"/>
      <c r="E74" s="658"/>
      <c r="F74" s="658"/>
      <c r="G74" s="658"/>
      <c r="H74" s="658"/>
      <c r="I74" s="658"/>
      <c r="J74" s="658"/>
      <c r="K74" s="169"/>
      <c r="L74" s="658" t="s">
        <v>10</v>
      </c>
      <c r="M74" s="658"/>
      <c r="N74" s="658"/>
      <c r="O74" s="658"/>
      <c r="P74" s="658"/>
      <c r="Q74" s="658"/>
      <c r="R74" s="658"/>
      <c r="S74" s="658"/>
      <c r="T74" s="658"/>
    </row>
    <row r="75" spans="2:20" ht="7.5" customHeight="1">
      <c r="B75" s="658"/>
      <c r="C75" s="658"/>
      <c r="D75" s="658"/>
      <c r="E75" s="658"/>
      <c r="F75" s="658"/>
      <c r="G75" s="658"/>
      <c r="H75" s="658"/>
      <c r="I75" s="658"/>
      <c r="J75" s="658"/>
      <c r="K75" s="169"/>
      <c r="L75" s="658"/>
      <c r="M75" s="658"/>
      <c r="N75" s="658"/>
      <c r="O75" s="658"/>
      <c r="P75" s="658"/>
      <c r="Q75" s="658"/>
      <c r="R75" s="658"/>
      <c r="S75" s="658"/>
      <c r="T75" s="658"/>
    </row>
    <row r="76" spans="2:20" ht="5.25" customHeight="1">
      <c r="B76" s="658"/>
      <c r="C76" s="658"/>
      <c r="D76" s="658"/>
      <c r="E76" s="658"/>
      <c r="F76" s="658"/>
      <c r="G76" s="658"/>
      <c r="H76" s="658"/>
      <c r="I76" s="658"/>
      <c r="J76" s="658"/>
      <c r="K76" s="169"/>
      <c r="L76" s="658"/>
      <c r="M76" s="658"/>
      <c r="N76" s="658"/>
      <c r="O76" s="658"/>
      <c r="P76" s="658"/>
      <c r="Q76" s="658"/>
      <c r="R76" s="658"/>
      <c r="S76" s="658"/>
      <c r="T76" s="658"/>
    </row>
    <row r="77" spans="2:20" ht="6.75" customHeight="1">
      <c r="B77" s="658"/>
      <c r="C77" s="658"/>
      <c r="D77" s="658"/>
      <c r="E77" s="658"/>
      <c r="F77" s="658"/>
      <c r="G77" s="658"/>
      <c r="H77" s="658"/>
      <c r="I77" s="658"/>
      <c r="J77" s="658"/>
      <c r="K77" s="169"/>
      <c r="L77" s="658"/>
      <c r="M77" s="658"/>
      <c r="N77" s="658"/>
      <c r="O77" s="658"/>
      <c r="P77" s="658"/>
      <c r="Q77" s="658"/>
      <c r="R77" s="658"/>
      <c r="S77" s="658"/>
      <c r="T77" s="658"/>
    </row>
    <row r="78" spans="2:20" ht="0.75" customHeight="1" hidden="1">
      <c r="B78" s="658"/>
      <c r="C78" s="658"/>
      <c r="D78" s="658"/>
      <c r="E78" s="658"/>
      <c r="F78" s="658"/>
      <c r="G78" s="658"/>
      <c r="H78" s="658"/>
      <c r="I78" s="658"/>
      <c r="J78" s="658"/>
      <c r="K78" s="169"/>
      <c r="L78" s="658"/>
      <c r="M78" s="658"/>
      <c r="N78" s="658"/>
      <c r="O78" s="658"/>
      <c r="P78" s="658"/>
      <c r="Q78" s="658"/>
      <c r="R78" s="658"/>
      <c r="S78" s="658"/>
      <c r="T78" s="658"/>
    </row>
    <row r="79" spans="2:20" ht="12.75" hidden="1">
      <c r="B79" s="658"/>
      <c r="C79" s="658"/>
      <c r="D79" s="658"/>
      <c r="E79" s="658"/>
      <c r="F79" s="658"/>
      <c r="G79" s="658"/>
      <c r="H79" s="658"/>
      <c r="I79" s="658"/>
      <c r="J79" s="658"/>
      <c r="K79" s="169"/>
      <c r="L79" s="658"/>
      <c r="M79" s="658"/>
      <c r="N79" s="658"/>
      <c r="O79" s="658"/>
      <c r="P79" s="658"/>
      <c r="Q79" s="658"/>
      <c r="R79" s="658"/>
      <c r="S79" s="658"/>
      <c r="T79" s="658"/>
    </row>
    <row r="80" spans="2:20" ht="3.75" customHeight="1" hidden="1">
      <c r="B80" s="658"/>
      <c r="C80" s="658"/>
      <c r="D80" s="658"/>
      <c r="E80" s="658"/>
      <c r="F80" s="658"/>
      <c r="G80" s="658"/>
      <c r="H80" s="658"/>
      <c r="I80" s="658"/>
      <c r="J80" s="658"/>
      <c r="K80" s="169"/>
      <c r="L80" s="658"/>
      <c r="M80" s="658"/>
      <c r="N80" s="658"/>
      <c r="O80" s="658"/>
      <c r="P80" s="658"/>
      <c r="Q80" s="658"/>
      <c r="R80" s="658"/>
      <c r="S80" s="658"/>
      <c r="T80" s="658"/>
    </row>
    <row r="81" spans="2:20" ht="1.5" customHeight="1">
      <c r="B81" s="658"/>
      <c r="C81" s="658"/>
      <c r="D81" s="658"/>
      <c r="E81" s="658"/>
      <c r="F81" s="658"/>
      <c r="G81" s="658"/>
      <c r="H81" s="658"/>
      <c r="I81" s="658"/>
      <c r="J81" s="658"/>
      <c r="K81" s="169"/>
      <c r="L81" s="658"/>
      <c r="M81" s="658"/>
      <c r="N81" s="658"/>
      <c r="O81" s="658"/>
      <c r="P81" s="658"/>
      <c r="Q81" s="658"/>
      <c r="R81" s="658"/>
      <c r="S81" s="658"/>
      <c r="T81" s="658"/>
    </row>
    <row r="82" spans="2:20" ht="7.5" customHeight="1">
      <c r="B82" s="658"/>
      <c r="C82" s="658"/>
      <c r="D82" s="658"/>
      <c r="E82" s="658"/>
      <c r="F82" s="658"/>
      <c r="G82" s="658"/>
      <c r="H82" s="658"/>
      <c r="I82" s="658"/>
      <c r="J82" s="658"/>
      <c r="K82" s="169"/>
      <c r="L82" s="658"/>
      <c r="M82" s="658"/>
      <c r="N82" s="658"/>
      <c r="O82" s="658"/>
      <c r="P82" s="658"/>
      <c r="Q82" s="658"/>
      <c r="R82" s="658"/>
      <c r="S82" s="658"/>
      <c r="T82" s="658"/>
    </row>
    <row r="83" spans="2:20" ht="43.5" customHeight="1">
      <c r="B83" s="658"/>
      <c r="C83" s="658"/>
      <c r="D83" s="658"/>
      <c r="E83" s="658"/>
      <c r="F83" s="658"/>
      <c r="G83" s="658"/>
      <c r="H83" s="658"/>
      <c r="I83" s="658"/>
      <c r="J83" s="658"/>
      <c r="K83" s="169"/>
      <c r="L83" s="658"/>
      <c r="M83" s="658"/>
      <c r="N83" s="658"/>
      <c r="O83" s="658"/>
      <c r="P83" s="658"/>
      <c r="Q83" s="658"/>
      <c r="R83" s="658"/>
      <c r="S83" s="658"/>
      <c r="T83" s="658"/>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284</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61" t="s">
        <v>6</v>
      </c>
      <c r="C105" s="662"/>
      <c r="D105" s="662"/>
      <c r="E105" s="662"/>
      <c r="F105" s="662"/>
      <c r="G105" s="662"/>
      <c r="H105" s="662"/>
      <c r="I105" s="662"/>
      <c r="J105" s="663"/>
      <c r="K105" s="173"/>
      <c r="L105" s="661" t="s">
        <v>12</v>
      </c>
      <c r="M105" s="662"/>
      <c r="N105" s="662"/>
      <c r="O105" s="662"/>
      <c r="P105" s="662"/>
      <c r="Q105" s="662"/>
      <c r="R105" s="662"/>
      <c r="S105" s="662"/>
      <c r="T105" s="663"/>
    </row>
    <row r="106" spans="2:20" ht="0.75" customHeight="1">
      <c r="B106" s="664"/>
      <c r="C106" s="665"/>
      <c r="D106" s="665"/>
      <c r="E106" s="665"/>
      <c r="F106" s="665"/>
      <c r="G106" s="665"/>
      <c r="H106" s="665"/>
      <c r="I106" s="665"/>
      <c r="J106" s="666"/>
      <c r="K106" s="173"/>
      <c r="L106" s="664"/>
      <c r="M106" s="665"/>
      <c r="N106" s="665"/>
      <c r="O106" s="665"/>
      <c r="P106" s="665"/>
      <c r="Q106" s="665"/>
      <c r="R106" s="665"/>
      <c r="S106" s="665"/>
      <c r="T106" s="666"/>
    </row>
    <row r="107" spans="2:20" ht="12.75" customHeight="1" hidden="1">
      <c r="B107" s="664"/>
      <c r="C107" s="665"/>
      <c r="D107" s="665"/>
      <c r="E107" s="665"/>
      <c r="F107" s="665"/>
      <c r="G107" s="665"/>
      <c r="H107" s="665"/>
      <c r="I107" s="665"/>
      <c r="J107" s="666"/>
      <c r="K107" s="173"/>
      <c r="L107" s="664"/>
      <c r="M107" s="665"/>
      <c r="N107" s="665"/>
      <c r="O107" s="665"/>
      <c r="P107" s="665"/>
      <c r="Q107" s="665"/>
      <c r="R107" s="665"/>
      <c r="S107" s="665"/>
      <c r="T107" s="666"/>
    </row>
    <row r="108" spans="2:20" ht="14.25" customHeight="1" hidden="1">
      <c r="B108" s="664"/>
      <c r="C108" s="665"/>
      <c r="D108" s="665"/>
      <c r="E108" s="665"/>
      <c r="F108" s="665"/>
      <c r="G108" s="665"/>
      <c r="H108" s="665"/>
      <c r="I108" s="665"/>
      <c r="J108" s="666"/>
      <c r="K108" s="173"/>
      <c r="L108" s="664"/>
      <c r="M108" s="665"/>
      <c r="N108" s="665"/>
      <c r="O108" s="665"/>
      <c r="P108" s="665"/>
      <c r="Q108" s="665"/>
      <c r="R108" s="665"/>
      <c r="S108" s="665"/>
      <c r="T108" s="666"/>
    </row>
    <row r="109" spans="2:20" ht="12.75" customHeight="1" hidden="1">
      <c r="B109" s="664"/>
      <c r="C109" s="665"/>
      <c r="D109" s="665"/>
      <c r="E109" s="665"/>
      <c r="F109" s="665"/>
      <c r="G109" s="665"/>
      <c r="H109" s="665"/>
      <c r="I109" s="665"/>
      <c r="J109" s="666"/>
      <c r="K109" s="173"/>
      <c r="L109" s="664"/>
      <c r="M109" s="665"/>
      <c r="N109" s="665"/>
      <c r="O109" s="665"/>
      <c r="P109" s="665"/>
      <c r="Q109" s="665"/>
      <c r="R109" s="665"/>
      <c r="S109" s="665"/>
      <c r="T109" s="666"/>
    </row>
    <row r="110" spans="2:20" ht="12.75" customHeight="1">
      <c r="B110" s="664"/>
      <c r="C110" s="665"/>
      <c r="D110" s="665"/>
      <c r="E110" s="665"/>
      <c r="F110" s="665"/>
      <c r="G110" s="665"/>
      <c r="H110" s="665"/>
      <c r="I110" s="665"/>
      <c r="J110" s="666"/>
      <c r="K110" s="173"/>
      <c r="L110" s="664"/>
      <c r="M110" s="665"/>
      <c r="N110" s="665"/>
      <c r="O110" s="665"/>
      <c r="P110" s="665"/>
      <c r="Q110" s="665"/>
      <c r="R110" s="665"/>
      <c r="S110" s="665"/>
      <c r="T110" s="666"/>
    </row>
    <row r="111" spans="2:20" ht="12.75" customHeight="1" hidden="1">
      <c r="B111" s="664"/>
      <c r="C111" s="665"/>
      <c r="D111" s="665"/>
      <c r="E111" s="665"/>
      <c r="F111" s="665"/>
      <c r="G111" s="665"/>
      <c r="H111" s="665"/>
      <c r="I111" s="665"/>
      <c r="J111" s="666"/>
      <c r="K111" s="173"/>
      <c r="L111" s="664"/>
      <c r="M111" s="665"/>
      <c r="N111" s="665"/>
      <c r="O111" s="665"/>
      <c r="P111" s="665"/>
      <c r="Q111" s="665"/>
      <c r="R111" s="665"/>
      <c r="S111" s="665"/>
      <c r="T111" s="666"/>
    </row>
    <row r="112" spans="2:20" ht="11.25" customHeight="1">
      <c r="B112" s="664"/>
      <c r="C112" s="665"/>
      <c r="D112" s="665"/>
      <c r="E112" s="665"/>
      <c r="F112" s="665"/>
      <c r="G112" s="665"/>
      <c r="H112" s="665"/>
      <c r="I112" s="665"/>
      <c r="J112" s="666"/>
      <c r="K112" s="173"/>
      <c r="L112" s="664"/>
      <c r="M112" s="665"/>
      <c r="N112" s="665"/>
      <c r="O112" s="665"/>
      <c r="P112" s="665"/>
      <c r="Q112" s="665"/>
      <c r="R112" s="665"/>
      <c r="S112" s="665"/>
      <c r="T112" s="666"/>
    </row>
    <row r="113" spans="2:20" ht="12.75" customHeight="1" hidden="1">
      <c r="B113" s="664"/>
      <c r="C113" s="665"/>
      <c r="D113" s="665"/>
      <c r="E113" s="665"/>
      <c r="F113" s="665"/>
      <c r="G113" s="665"/>
      <c r="H113" s="665"/>
      <c r="I113" s="665"/>
      <c r="J113" s="666"/>
      <c r="K113" s="173"/>
      <c r="L113" s="664"/>
      <c r="M113" s="665"/>
      <c r="N113" s="665"/>
      <c r="O113" s="665"/>
      <c r="P113" s="665"/>
      <c r="Q113" s="665"/>
      <c r="R113" s="665"/>
      <c r="S113" s="665"/>
      <c r="T113" s="666"/>
    </row>
    <row r="114" spans="2:20" ht="36.75" customHeight="1">
      <c r="B114" s="667"/>
      <c r="C114" s="668"/>
      <c r="D114" s="668"/>
      <c r="E114" s="668"/>
      <c r="F114" s="668"/>
      <c r="G114" s="668"/>
      <c r="H114" s="668"/>
      <c r="I114" s="668"/>
      <c r="J114" s="669"/>
      <c r="K114" s="173"/>
      <c r="L114" s="667"/>
      <c r="M114" s="668"/>
      <c r="N114" s="668"/>
      <c r="O114" s="668"/>
      <c r="P114" s="668"/>
      <c r="Q114" s="668"/>
      <c r="R114" s="668"/>
      <c r="S114" s="668"/>
      <c r="T114" s="669"/>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8" t="s">
        <v>3</v>
      </c>
      <c r="C136" s="658"/>
      <c r="D136" s="658"/>
      <c r="E136" s="658"/>
      <c r="F136" s="658"/>
      <c r="G136" s="658"/>
      <c r="H136" s="658"/>
      <c r="I136" s="658"/>
      <c r="J136" s="658"/>
      <c r="K136" s="169"/>
      <c r="L136" s="661" t="s">
        <v>4</v>
      </c>
      <c r="M136" s="662"/>
      <c r="N136" s="662"/>
      <c r="O136" s="662"/>
      <c r="P136" s="662"/>
      <c r="Q136" s="662"/>
      <c r="R136" s="662"/>
      <c r="S136" s="662"/>
      <c r="T136" s="663"/>
    </row>
    <row r="137" spans="2:20" ht="12.75" hidden="1">
      <c r="B137" s="658"/>
      <c r="C137" s="658"/>
      <c r="D137" s="658"/>
      <c r="E137" s="658"/>
      <c r="F137" s="658"/>
      <c r="G137" s="658"/>
      <c r="H137" s="658"/>
      <c r="I137" s="658"/>
      <c r="J137" s="658"/>
      <c r="K137" s="169"/>
      <c r="L137" s="664"/>
      <c r="M137" s="665"/>
      <c r="N137" s="665"/>
      <c r="O137" s="665"/>
      <c r="P137" s="665"/>
      <c r="Q137" s="665"/>
      <c r="R137" s="665"/>
      <c r="S137" s="665"/>
      <c r="T137" s="666"/>
    </row>
    <row r="138" spans="2:20" ht="6.75" customHeight="1" hidden="1">
      <c r="B138" s="658"/>
      <c r="C138" s="658"/>
      <c r="D138" s="658"/>
      <c r="E138" s="658"/>
      <c r="F138" s="658"/>
      <c r="G138" s="658"/>
      <c r="H138" s="658"/>
      <c r="I138" s="658"/>
      <c r="J138" s="658"/>
      <c r="K138" s="169"/>
      <c r="L138" s="664"/>
      <c r="M138" s="665"/>
      <c r="N138" s="665"/>
      <c r="O138" s="665"/>
      <c r="P138" s="665"/>
      <c r="Q138" s="665"/>
      <c r="R138" s="665"/>
      <c r="S138" s="665"/>
      <c r="T138" s="666"/>
    </row>
    <row r="139" spans="2:20" ht="3" customHeight="1">
      <c r="B139" s="658"/>
      <c r="C139" s="658"/>
      <c r="D139" s="658"/>
      <c r="E139" s="658"/>
      <c r="F139" s="658"/>
      <c r="G139" s="658"/>
      <c r="H139" s="658"/>
      <c r="I139" s="658"/>
      <c r="J139" s="658"/>
      <c r="K139" s="169"/>
      <c r="L139" s="664"/>
      <c r="M139" s="665"/>
      <c r="N139" s="665"/>
      <c r="O139" s="665"/>
      <c r="P139" s="665"/>
      <c r="Q139" s="665"/>
      <c r="R139" s="665"/>
      <c r="S139" s="665"/>
      <c r="T139" s="666"/>
    </row>
    <row r="140" spans="2:20" ht="0.75" customHeight="1">
      <c r="B140" s="658"/>
      <c r="C140" s="658"/>
      <c r="D140" s="658"/>
      <c r="E140" s="658"/>
      <c r="F140" s="658"/>
      <c r="G140" s="658"/>
      <c r="H140" s="658"/>
      <c r="I140" s="658"/>
      <c r="J140" s="658"/>
      <c r="K140" s="169"/>
      <c r="L140" s="664"/>
      <c r="M140" s="665"/>
      <c r="N140" s="665"/>
      <c r="O140" s="665"/>
      <c r="P140" s="665"/>
      <c r="Q140" s="665"/>
      <c r="R140" s="665"/>
      <c r="S140" s="665"/>
      <c r="T140" s="666"/>
    </row>
    <row r="141" spans="2:20" ht="5.25" customHeight="1">
      <c r="B141" s="658"/>
      <c r="C141" s="658"/>
      <c r="D141" s="658"/>
      <c r="E141" s="658"/>
      <c r="F141" s="658"/>
      <c r="G141" s="658"/>
      <c r="H141" s="658"/>
      <c r="I141" s="658"/>
      <c r="J141" s="658"/>
      <c r="K141" s="169"/>
      <c r="L141" s="664"/>
      <c r="M141" s="665"/>
      <c r="N141" s="665"/>
      <c r="O141" s="665"/>
      <c r="P141" s="665"/>
      <c r="Q141" s="665"/>
      <c r="R141" s="665"/>
      <c r="S141" s="665"/>
      <c r="T141" s="666"/>
    </row>
    <row r="142" spans="2:20" ht="9" customHeight="1">
      <c r="B142" s="658"/>
      <c r="C142" s="658"/>
      <c r="D142" s="658"/>
      <c r="E142" s="658"/>
      <c r="F142" s="658"/>
      <c r="G142" s="658"/>
      <c r="H142" s="658"/>
      <c r="I142" s="658"/>
      <c r="J142" s="658"/>
      <c r="K142" s="169"/>
      <c r="L142" s="664"/>
      <c r="M142" s="665"/>
      <c r="N142" s="665"/>
      <c r="O142" s="665"/>
      <c r="P142" s="665"/>
      <c r="Q142" s="665"/>
      <c r="R142" s="665"/>
      <c r="S142" s="665"/>
      <c r="T142" s="666"/>
    </row>
    <row r="143" spans="2:20" ht="0.75" customHeight="1">
      <c r="B143" s="658"/>
      <c r="C143" s="658"/>
      <c r="D143" s="658"/>
      <c r="E143" s="658"/>
      <c r="F143" s="658"/>
      <c r="G143" s="658"/>
      <c r="H143" s="658"/>
      <c r="I143" s="658"/>
      <c r="J143" s="658"/>
      <c r="K143" s="169"/>
      <c r="L143" s="664"/>
      <c r="M143" s="665"/>
      <c r="N143" s="665"/>
      <c r="O143" s="665"/>
      <c r="P143" s="665"/>
      <c r="Q143" s="665"/>
      <c r="R143" s="665"/>
      <c r="S143" s="665"/>
      <c r="T143" s="666"/>
    </row>
    <row r="144" spans="2:20" ht="51" customHeight="1">
      <c r="B144" s="658"/>
      <c r="C144" s="658"/>
      <c r="D144" s="658"/>
      <c r="E144" s="658"/>
      <c r="F144" s="658"/>
      <c r="G144" s="658"/>
      <c r="H144" s="658"/>
      <c r="I144" s="658"/>
      <c r="J144" s="658"/>
      <c r="K144" s="169"/>
      <c r="L144" s="667"/>
      <c r="M144" s="668"/>
      <c r="N144" s="668"/>
      <c r="O144" s="668"/>
      <c r="P144" s="668"/>
      <c r="Q144" s="668"/>
      <c r="R144" s="668"/>
      <c r="S144" s="668"/>
      <c r="T144" s="669"/>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3"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C1">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275</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70</v>
      </c>
      <c r="D4" s="647" t="s">
        <v>176</v>
      </c>
      <c r="E4" s="647"/>
      <c r="F4" s="647"/>
      <c r="G4" s="647"/>
      <c r="H4" s="647"/>
      <c r="I4" s="647"/>
      <c r="J4" s="647"/>
      <c r="K4" s="647"/>
      <c r="L4" s="647"/>
      <c r="M4" s="647"/>
      <c r="N4" s="648"/>
      <c r="O4" s="648"/>
      <c r="P4" s="648"/>
      <c r="Q4" s="64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38" t="s">
        <v>159</v>
      </c>
      <c r="M6" s="676"/>
      <c r="N6" s="676"/>
      <c r="O6" s="676"/>
      <c r="P6" s="676"/>
      <c r="Q6" s="677"/>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78" t="s">
        <v>197</v>
      </c>
      <c r="M8" s="679"/>
      <c r="N8" s="679"/>
      <c r="O8" s="679"/>
      <c r="P8" s="679"/>
      <c r="Q8" s="680"/>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81" t="s">
        <v>257</v>
      </c>
      <c r="M10" s="682"/>
      <c r="N10" s="682"/>
      <c r="O10" s="682"/>
      <c r="P10" s="682"/>
      <c r="Q10" s="683"/>
    </row>
    <row r="11" spans="3:17" s="135" customFormat="1" ht="15" customHeight="1">
      <c r="C11" s="232"/>
      <c r="D11" s="136"/>
      <c r="E11" s="137"/>
      <c r="F11" s="137"/>
      <c r="G11" s="137"/>
      <c r="H11" s="137"/>
      <c r="I11" s="137"/>
      <c r="J11" s="137"/>
      <c r="K11" s="137"/>
      <c r="L11" s="681"/>
      <c r="M11" s="682"/>
      <c r="N11" s="682"/>
      <c r="O11" s="682"/>
      <c r="P11" s="682"/>
      <c r="Q11" s="683"/>
    </row>
    <row r="12" spans="3:17" s="135" customFormat="1" ht="15">
      <c r="C12" s="232"/>
      <c r="D12" s="136"/>
      <c r="E12" s="137"/>
      <c r="F12" s="137"/>
      <c r="G12" s="137"/>
      <c r="H12" s="137"/>
      <c r="I12" s="137"/>
      <c r="J12" s="137"/>
      <c r="K12" s="137"/>
      <c r="L12" s="681"/>
      <c r="M12" s="682"/>
      <c r="N12" s="682"/>
      <c r="O12" s="682"/>
      <c r="P12" s="682"/>
      <c r="Q12" s="683"/>
    </row>
    <row r="13" spans="3:17" s="135" customFormat="1" ht="15">
      <c r="C13" s="232"/>
      <c r="D13" s="136"/>
      <c r="E13" s="137"/>
      <c r="F13" s="137"/>
      <c r="G13" s="137"/>
      <c r="H13" s="137"/>
      <c r="I13" s="137"/>
      <c r="J13" s="137"/>
      <c r="K13" s="137"/>
      <c r="L13" s="681"/>
      <c r="M13" s="682"/>
      <c r="N13" s="682"/>
      <c r="O13" s="682"/>
      <c r="P13" s="682"/>
      <c r="Q13" s="683"/>
    </row>
    <row r="14" spans="3:17" s="135" customFormat="1" ht="15" customHeight="1">
      <c r="C14" s="232"/>
      <c r="D14" s="136"/>
      <c r="E14" s="137"/>
      <c r="F14" s="137"/>
      <c r="G14" s="137"/>
      <c r="H14" s="137"/>
      <c r="I14" s="137"/>
      <c r="J14" s="137"/>
      <c r="K14" s="137"/>
      <c r="L14" s="681"/>
      <c r="M14" s="682"/>
      <c r="N14" s="682"/>
      <c r="O14" s="682"/>
      <c r="P14" s="682"/>
      <c r="Q14" s="683"/>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409.5">
      <c r="C49" s="650" t="s">
        <v>295</v>
      </c>
      <c r="D49" s="651"/>
      <c r="E49" s="651"/>
      <c r="F49" s="651"/>
      <c r="G49" s="651"/>
      <c r="H49" s="651"/>
      <c r="I49" s="651"/>
      <c r="J49" s="651"/>
      <c r="K49" s="651"/>
      <c r="L49" s="651"/>
      <c r="M49" s="651"/>
      <c r="N49" s="651"/>
      <c r="O49" s="651"/>
      <c r="P49" s="651"/>
      <c r="Q49" s="639"/>
    </row>
    <row r="50" spans="3:17" s="135" customFormat="1" ht="15">
      <c r="C50" s="640"/>
      <c r="D50" s="641"/>
      <c r="E50" s="641"/>
      <c r="F50" s="641"/>
      <c r="G50" s="641"/>
      <c r="H50" s="641"/>
      <c r="I50" s="641"/>
      <c r="J50" s="641"/>
      <c r="K50" s="641"/>
      <c r="L50" s="641"/>
      <c r="M50" s="641"/>
      <c r="N50" s="641"/>
      <c r="O50" s="641"/>
      <c r="P50" s="641"/>
      <c r="Q50" s="642"/>
    </row>
    <row r="51" spans="3:17" s="135" customFormat="1" ht="15">
      <c r="C51" s="643"/>
      <c r="D51" s="644"/>
      <c r="E51" s="644"/>
      <c r="F51" s="644"/>
      <c r="G51" s="644"/>
      <c r="H51" s="644"/>
      <c r="I51" s="644"/>
      <c r="J51" s="644"/>
      <c r="K51" s="644"/>
      <c r="L51" s="644"/>
      <c r="M51" s="644"/>
      <c r="N51" s="644"/>
      <c r="O51" s="644"/>
      <c r="P51" s="644"/>
      <c r="Q51" s="645"/>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76</v>
      </c>
      <c r="E54" s="195" t="s">
        <v>199</v>
      </c>
      <c r="F54" s="194" t="s">
        <v>47</v>
      </c>
      <c r="G54" s="195" t="s">
        <v>200</v>
      </c>
      <c r="H54" s="194" t="s">
        <v>47</v>
      </c>
      <c r="I54" s="195" t="s">
        <v>201</v>
      </c>
      <c r="J54" s="194" t="s">
        <v>47</v>
      </c>
      <c r="K54" s="195" t="s">
        <v>202</v>
      </c>
      <c r="L54" s="194" t="s">
        <v>47</v>
      </c>
      <c r="M54" s="195" t="s">
        <v>203</v>
      </c>
      <c r="N54" s="194" t="s">
        <v>47</v>
      </c>
      <c r="O54" s="195" t="s">
        <v>204</v>
      </c>
      <c r="P54" s="196" t="s">
        <v>47</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77</v>
      </c>
      <c r="D56" s="674" t="s">
        <v>78</v>
      </c>
      <c r="E56" s="675"/>
      <c r="F56" s="674" t="s">
        <v>79</v>
      </c>
      <c r="G56" s="675"/>
      <c r="H56" s="674" t="s">
        <v>177</v>
      </c>
      <c r="I56" s="675"/>
      <c r="J56" s="674" t="s">
        <v>81</v>
      </c>
      <c r="K56" s="675"/>
      <c r="L56" s="674" t="s">
        <v>178</v>
      </c>
      <c r="M56" s="675"/>
      <c r="N56" s="674" t="s">
        <v>80</v>
      </c>
      <c r="O56" s="675"/>
      <c r="P56" s="674" t="s">
        <v>286</v>
      </c>
      <c r="Q56" s="652"/>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53" t="s">
        <v>46</v>
      </c>
      <c r="Q58" s="654"/>
    </row>
    <row r="59" spans="2:17" ht="15">
      <c r="B59" s="209"/>
      <c r="C59" s="257" t="str">
        <f>C54</f>
        <v>EnCOBBIPt</v>
      </c>
      <c r="D59" s="184">
        <f>SUM(D61:D67)</f>
        <v>-422426</v>
      </c>
      <c r="E59" s="184">
        <f>SUM(E61:E67)</f>
        <v>-856046</v>
      </c>
      <c r="F59" s="184">
        <f>SUM(F61:F67)</f>
        <v>-28662</v>
      </c>
      <c r="G59" s="184">
        <v>-40671.36</v>
      </c>
      <c r="H59" s="184">
        <v>-21604.93</v>
      </c>
      <c r="I59" s="184">
        <v>-21642.01</v>
      </c>
      <c r="J59" s="184">
        <v>396922.43966400134</v>
      </c>
      <c r="K59" s="184">
        <v>411856.2399999981</v>
      </c>
      <c r="L59" s="184">
        <v>404257.809999998</v>
      </c>
      <c r="M59" s="184"/>
      <c r="N59" s="184"/>
      <c r="O59" s="184"/>
      <c r="P59" s="655">
        <f>SUM(D59:O59)</f>
        <v>-178015.81033600256</v>
      </c>
      <c r="Q59" s="646"/>
    </row>
    <row r="60" spans="2:17" ht="28.5">
      <c r="B60" s="209"/>
      <c r="C60" s="258" t="s">
        <v>98</v>
      </c>
      <c r="D60" s="185">
        <f>D59</f>
        <v>-422426</v>
      </c>
      <c r="E60" s="185">
        <f>D60+E59</f>
        <v>-1278472</v>
      </c>
      <c r="F60" s="185">
        <f>E60+F59</f>
        <v>-1307134</v>
      </c>
      <c r="G60" s="185">
        <v>-1347804.6361</v>
      </c>
      <c r="H60" s="185">
        <v>-1369409.5661</v>
      </c>
      <c r="I60" s="185">
        <v>-1391051.5761</v>
      </c>
      <c r="J60" s="185">
        <f aca="true" t="shared" si="0" ref="J60:O60">IF(J59="","",I60+J59)</f>
        <v>-994129.1364359986</v>
      </c>
      <c r="K60" s="185">
        <f t="shared" si="0"/>
        <v>-582272.8964360005</v>
      </c>
      <c r="L60" s="185">
        <f t="shared" si="0"/>
        <v>-178015.08643600246</v>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635">
        <v>508399.9796640013</v>
      </c>
      <c r="K61" s="635">
        <v>491999.99999999814</v>
      </c>
      <c r="L61" s="635">
        <v>508399.999999998</v>
      </c>
      <c r="M61" s="182"/>
      <c r="N61" s="182"/>
      <c r="O61" s="182"/>
      <c r="P61" s="672">
        <f aca="true" t="shared" si="1" ref="P61:P67">SUM(D61:O61)</f>
        <v>1508799.9796639974</v>
      </c>
      <c r="Q61" s="673"/>
    </row>
    <row r="62" spans="2:17" ht="15">
      <c r="B62" s="209"/>
      <c r="C62" s="261" t="str">
        <f>G54</f>
        <v>AOEnCRDt</v>
      </c>
      <c r="D62" s="187">
        <v>-7697</v>
      </c>
      <c r="E62" s="187">
        <v>-6003</v>
      </c>
      <c r="F62" s="187">
        <v>-5931</v>
      </c>
      <c r="G62" s="210">
        <v>-7817.59</v>
      </c>
      <c r="H62" s="210">
        <v>-7792.38999999999</v>
      </c>
      <c r="I62" s="210">
        <v>-4966.7</v>
      </c>
      <c r="J62" s="182">
        <v>-4809.39</v>
      </c>
      <c r="K62" s="182">
        <v>-5642.7</v>
      </c>
      <c r="L62" s="182">
        <v>-2987.9</v>
      </c>
      <c r="M62" s="182"/>
      <c r="N62" s="182"/>
      <c r="O62" s="182"/>
      <c r="P62" s="672">
        <f t="shared" si="1"/>
        <v>-53647.669999999984</v>
      </c>
      <c r="Q62" s="673"/>
    </row>
    <row r="63" spans="2:17" ht="15">
      <c r="B63" s="209"/>
      <c r="C63" s="261" t="str">
        <f>I54</f>
        <v>REVICt</v>
      </c>
      <c r="D63" s="187">
        <v>-14146</v>
      </c>
      <c r="E63" s="187">
        <v>-14867</v>
      </c>
      <c r="F63" s="187">
        <v>-7794</v>
      </c>
      <c r="G63" s="210">
        <v>-10812.8</v>
      </c>
      <c r="H63" s="210">
        <v>-13052.7</v>
      </c>
      <c r="I63" s="210">
        <v>-15133.5</v>
      </c>
      <c r="J63" s="182">
        <v>-19375</v>
      </c>
      <c r="K63" s="182">
        <v>-17863.2</v>
      </c>
      <c r="L63" s="182">
        <v>-21286.78</v>
      </c>
      <c r="M63" s="182"/>
      <c r="N63" s="182"/>
      <c r="O63" s="182"/>
      <c r="P63" s="672">
        <f t="shared" si="1"/>
        <v>-134330.97999999998</v>
      </c>
      <c r="Q63" s="673"/>
    </row>
    <row r="64" spans="2:17" ht="28.5">
      <c r="B64" s="209"/>
      <c r="C64" s="261" t="str">
        <f>K54</f>
        <v>(ANOEnCRt - EnCNOIRt)</v>
      </c>
      <c r="D64" s="187">
        <v>0</v>
      </c>
      <c r="E64" s="187">
        <v>0</v>
      </c>
      <c r="F64" s="187">
        <v>0</v>
      </c>
      <c r="G64" s="210">
        <v>0</v>
      </c>
      <c r="H64" s="210">
        <v>0</v>
      </c>
      <c r="I64" s="210">
        <v>0</v>
      </c>
      <c r="J64" s="188">
        <v>-55973.6</v>
      </c>
      <c r="K64" s="188">
        <v>-54168</v>
      </c>
      <c r="L64" s="188">
        <v>-55973.6</v>
      </c>
      <c r="M64" s="188"/>
      <c r="N64" s="188"/>
      <c r="O64" s="188"/>
      <c r="P64" s="672">
        <f t="shared" si="1"/>
        <v>-166115.2</v>
      </c>
      <c r="Q64" s="673"/>
    </row>
    <row r="65" spans="2:17" ht="15">
      <c r="B65" s="209"/>
      <c r="C65" s="261" t="str">
        <f>M54</f>
        <v>RCORt</v>
      </c>
      <c r="D65" s="187">
        <v>-10738</v>
      </c>
      <c r="E65" s="187">
        <v>-35510</v>
      </c>
      <c r="F65" s="187">
        <v>-14937</v>
      </c>
      <c r="G65" s="210">
        <v>-22040.97</v>
      </c>
      <c r="H65" s="210">
        <v>-759.84</v>
      </c>
      <c r="I65" s="210">
        <v>-1541.81</v>
      </c>
      <c r="J65" s="182">
        <v>-31319.55</v>
      </c>
      <c r="K65" s="182">
        <v>-2469.86</v>
      </c>
      <c r="L65" s="182">
        <v>-23893.91</v>
      </c>
      <c r="M65" s="182"/>
      <c r="N65" s="182"/>
      <c r="O65" s="182"/>
      <c r="P65" s="672">
        <f t="shared" si="1"/>
        <v>-143210.94</v>
      </c>
      <c r="Q65" s="673"/>
    </row>
    <row r="66" spans="2:17" ht="15">
      <c r="B66" s="209"/>
      <c r="C66" s="262" t="str">
        <f>O54</f>
        <v>RLOCt</v>
      </c>
      <c r="D66" s="189">
        <v>-389845</v>
      </c>
      <c r="E66" s="189">
        <v>-799666</v>
      </c>
      <c r="F66" s="180">
        <v>0</v>
      </c>
      <c r="G66" s="181">
        <v>0</v>
      </c>
      <c r="H66" s="181">
        <v>0</v>
      </c>
      <c r="I66" s="181">
        <v>0</v>
      </c>
      <c r="J66" s="182">
        <v>0</v>
      </c>
      <c r="K66" s="190">
        <v>0</v>
      </c>
      <c r="L66" s="182">
        <v>0</v>
      </c>
      <c r="M66" s="182"/>
      <c r="N66" s="182"/>
      <c r="O66" s="182"/>
      <c r="P66" s="672">
        <f t="shared" si="1"/>
        <v>-1189511</v>
      </c>
      <c r="Q66" s="673"/>
    </row>
    <row r="67" spans="2:17" ht="15.75" thickBot="1">
      <c r="B67" s="209"/>
      <c r="C67" s="263" t="str">
        <f>Q54</f>
        <v>RADDt</v>
      </c>
      <c r="D67" s="191">
        <v>0</v>
      </c>
      <c r="E67" s="191">
        <v>0</v>
      </c>
      <c r="F67" s="191">
        <v>0</v>
      </c>
      <c r="G67" s="192">
        <v>0</v>
      </c>
      <c r="H67" s="192">
        <v>0</v>
      </c>
      <c r="I67" s="192">
        <v>0</v>
      </c>
      <c r="J67" s="193">
        <v>0</v>
      </c>
      <c r="K67" s="193">
        <v>0</v>
      </c>
      <c r="L67" s="193">
        <v>0</v>
      </c>
      <c r="M67" s="193"/>
      <c r="N67" s="193"/>
      <c r="O67" s="193"/>
      <c r="P67" s="670">
        <f t="shared" si="1"/>
        <v>0</v>
      </c>
      <c r="Q67" s="671"/>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24</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8"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3">
      <selection activeCell="K71" sqref="K71"/>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74</v>
      </c>
      <c r="C1" s="297"/>
      <c r="D1" s="297"/>
      <c r="E1" s="297"/>
      <c r="F1" s="297"/>
      <c r="G1" s="297"/>
      <c r="H1" s="297"/>
      <c r="I1" s="297"/>
      <c r="J1" s="297"/>
      <c r="K1" s="684"/>
    </row>
    <row r="2" spans="2:11" ht="11.25">
      <c r="B2" s="245"/>
      <c r="C2" s="212"/>
      <c r="D2" s="212"/>
      <c r="E2" s="212"/>
      <c r="F2" s="212"/>
      <c r="G2" s="212"/>
      <c r="H2" s="212"/>
      <c r="I2" s="212"/>
      <c r="J2" s="212"/>
      <c r="K2" s="685"/>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70</v>
      </c>
      <c r="C6" s="695" t="s">
        <v>288</v>
      </c>
      <c r="D6" s="696"/>
      <c r="E6" s="696"/>
      <c r="F6" s="696"/>
      <c r="G6" s="696"/>
      <c r="H6" s="696"/>
      <c r="I6" s="696"/>
      <c r="J6" s="696"/>
      <c r="K6" s="697"/>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8" t="s">
        <v>159</v>
      </c>
      <c r="I10" s="699"/>
      <c r="J10" s="699"/>
      <c r="K10" s="700"/>
    </row>
    <row r="11" spans="2:11" ht="14.25">
      <c r="B11" s="245"/>
      <c r="C11" s="270"/>
      <c r="D11" s="212"/>
      <c r="E11" s="212"/>
      <c r="F11" s="212"/>
      <c r="G11" s="212"/>
      <c r="H11" s="148"/>
      <c r="I11" s="149"/>
      <c r="J11" s="199"/>
      <c r="K11" s="246"/>
    </row>
    <row r="12" spans="2:11" ht="11.25" customHeight="1">
      <c r="B12" s="245"/>
      <c r="C12" s="270"/>
      <c r="D12" s="212"/>
      <c r="E12" s="212"/>
      <c r="F12" s="212"/>
      <c r="G12" s="212"/>
      <c r="H12" s="678" t="s">
        <v>208</v>
      </c>
      <c r="I12" s="679"/>
      <c r="J12" s="679"/>
      <c r="K12" s="680"/>
    </row>
    <row r="13" spans="2:11" ht="14.25">
      <c r="B13" s="245"/>
      <c r="C13" s="270"/>
      <c r="D13" s="212"/>
      <c r="E13" s="212"/>
      <c r="F13" s="212"/>
      <c r="G13" s="212"/>
      <c r="H13" s="148"/>
      <c r="I13" s="149"/>
      <c r="J13" s="199"/>
      <c r="K13" s="246"/>
    </row>
    <row r="14" spans="2:11" ht="11.25" customHeight="1">
      <c r="B14" s="245"/>
      <c r="C14" s="270"/>
      <c r="D14" s="212"/>
      <c r="E14" s="212"/>
      <c r="F14" s="212"/>
      <c r="G14" s="212"/>
      <c r="H14" s="681" t="s">
        <v>260</v>
      </c>
      <c r="I14" s="682"/>
      <c r="J14" s="682"/>
      <c r="K14" s="683"/>
    </row>
    <row r="15" spans="2:11" ht="11.25" customHeight="1">
      <c r="B15" s="245"/>
      <c r="C15" s="270"/>
      <c r="D15" s="212"/>
      <c r="E15" s="212"/>
      <c r="F15" s="212"/>
      <c r="G15" s="212"/>
      <c r="H15" s="681"/>
      <c r="I15" s="682"/>
      <c r="J15" s="682"/>
      <c r="K15" s="683"/>
    </row>
    <row r="16" spans="2:11" ht="11.25" customHeight="1">
      <c r="B16" s="245"/>
      <c r="C16" s="270"/>
      <c r="D16" s="212"/>
      <c r="E16" s="212"/>
      <c r="F16" s="212"/>
      <c r="G16" s="212"/>
      <c r="H16" s="681"/>
      <c r="I16" s="682"/>
      <c r="J16" s="682"/>
      <c r="K16" s="683"/>
    </row>
    <row r="17" spans="2:11" ht="11.25" customHeight="1">
      <c r="B17" s="245"/>
      <c r="C17" s="270"/>
      <c r="D17" s="212"/>
      <c r="E17" s="212"/>
      <c r="F17" s="212"/>
      <c r="G17" s="212"/>
      <c r="H17" s="681"/>
      <c r="I17" s="682"/>
      <c r="J17" s="682"/>
      <c r="K17" s="683"/>
    </row>
    <row r="18" spans="2:11" ht="11.25" customHeight="1">
      <c r="B18" s="245"/>
      <c r="C18" s="270"/>
      <c r="D18" s="212"/>
      <c r="E18" s="212"/>
      <c r="F18" s="212"/>
      <c r="G18" s="212"/>
      <c r="H18" s="681"/>
      <c r="I18" s="682"/>
      <c r="J18" s="682"/>
      <c r="K18" s="683"/>
    </row>
    <row r="19" spans="2:11" ht="11.25" customHeight="1">
      <c r="B19" s="245"/>
      <c r="C19" s="270"/>
      <c r="D19" s="212"/>
      <c r="E19" s="212"/>
      <c r="F19" s="212"/>
      <c r="G19" s="212"/>
      <c r="H19" s="681"/>
      <c r="I19" s="682"/>
      <c r="J19" s="682"/>
      <c r="K19" s="683"/>
    </row>
    <row r="20" spans="2:11" ht="21.75" customHeight="1">
      <c r="B20" s="245"/>
      <c r="C20" s="270"/>
      <c r="D20" s="212"/>
      <c r="E20" s="212"/>
      <c r="F20" s="212"/>
      <c r="G20" s="212"/>
      <c r="H20" s="681"/>
      <c r="I20" s="682"/>
      <c r="J20" s="682"/>
      <c r="K20" s="683"/>
    </row>
    <row r="21" spans="2:11" ht="11.25" customHeight="1">
      <c r="B21" s="245"/>
      <c r="C21" s="270"/>
      <c r="D21" s="212"/>
      <c r="E21" s="212"/>
      <c r="F21" s="212"/>
      <c r="G21" s="212"/>
      <c r="H21" s="681"/>
      <c r="I21" s="682"/>
      <c r="J21" s="682"/>
      <c r="K21" s="683"/>
    </row>
    <row r="22" spans="2:11" ht="11.25" customHeight="1">
      <c r="B22" s="245"/>
      <c r="C22" s="270"/>
      <c r="D22" s="212"/>
      <c r="E22" s="212"/>
      <c r="F22" s="212"/>
      <c r="G22" s="212"/>
      <c r="H22" s="681"/>
      <c r="I22" s="682"/>
      <c r="J22" s="682"/>
      <c r="K22" s="683"/>
    </row>
    <row r="23" spans="2:11" ht="11.25" customHeight="1">
      <c r="B23" s="245"/>
      <c r="C23" s="270"/>
      <c r="D23" s="212"/>
      <c r="E23" s="212"/>
      <c r="F23" s="212"/>
      <c r="G23" s="212"/>
      <c r="H23" s="681"/>
      <c r="I23" s="682"/>
      <c r="J23" s="682"/>
      <c r="K23" s="683"/>
    </row>
    <row r="24" spans="2:11" ht="20.25" customHeight="1">
      <c r="B24" s="245"/>
      <c r="C24" s="270"/>
      <c r="D24" s="212"/>
      <c r="E24" s="212"/>
      <c r="F24" s="212"/>
      <c r="G24" s="212"/>
      <c r="H24" s="681"/>
      <c r="I24" s="682"/>
      <c r="J24" s="682"/>
      <c r="K24" s="683"/>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6" t="s">
        <v>291</v>
      </c>
      <c r="C58" s="687"/>
      <c r="D58" s="687"/>
      <c r="E58" s="687"/>
      <c r="F58" s="687"/>
      <c r="G58" s="687"/>
      <c r="H58" s="687"/>
      <c r="I58" s="687"/>
      <c r="J58" s="687"/>
      <c r="K58" s="688"/>
    </row>
    <row r="59" spans="2:11" ht="11.25">
      <c r="B59" s="689"/>
      <c r="C59" s="690"/>
      <c r="D59" s="690"/>
      <c r="E59" s="690"/>
      <c r="F59" s="690"/>
      <c r="G59" s="690"/>
      <c r="H59" s="690"/>
      <c r="I59" s="690"/>
      <c r="J59" s="690"/>
      <c r="K59" s="691"/>
    </row>
    <row r="60" spans="2:11" ht="11.25">
      <c r="B60" s="689"/>
      <c r="C60" s="690"/>
      <c r="D60" s="690"/>
      <c r="E60" s="690"/>
      <c r="F60" s="690"/>
      <c r="G60" s="690"/>
      <c r="H60" s="690"/>
      <c r="I60" s="690"/>
      <c r="J60" s="690"/>
      <c r="K60" s="691"/>
    </row>
    <row r="61" spans="2:11" ht="11.25">
      <c r="B61" s="689"/>
      <c r="C61" s="690"/>
      <c r="D61" s="690"/>
      <c r="E61" s="690"/>
      <c r="F61" s="690"/>
      <c r="G61" s="690"/>
      <c r="H61" s="690"/>
      <c r="I61" s="690"/>
      <c r="J61" s="690"/>
      <c r="K61" s="691"/>
    </row>
    <row r="62" spans="2:11" ht="11.25">
      <c r="B62" s="689"/>
      <c r="C62" s="690"/>
      <c r="D62" s="690"/>
      <c r="E62" s="690"/>
      <c r="F62" s="690"/>
      <c r="G62" s="690"/>
      <c r="H62" s="690"/>
      <c r="I62" s="690"/>
      <c r="J62" s="690"/>
      <c r="K62" s="691"/>
    </row>
    <row r="63" spans="2:11" ht="11.25">
      <c r="B63" s="689"/>
      <c r="C63" s="690"/>
      <c r="D63" s="690"/>
      <c r="E63" s="690"/>
      <c r="F63" s="690"/>
      <c r="G63" s="690"/>
      <c r="H63" s="690"/>
      <c r="I63" s="690"/>
      <c r="J63" s="690"/>
      <c r="K63" s="691"/>
    </row>
    <row r="64" spans="2:11" ht="11.25">
      <c r="B64" s="689"/>
      <c r="C64" s="690"/>
      <c r="D64" s="690"/>
      <c r="E64" s="690"/>
      <c r="F64" s="690"/>
      <c r="G64" s="690"/>
      <c r="H64" s="690"/>
      <c r="I64" s="690"/>
      <c r="J64" s="690"/>
      <c r="K64" s="691"/>
    </row>
    <row r="65" spans="2:11" ht="11.25">
      <c r="B65" s="692"/>
      <c r="C65" s="693"/>
      <c r="D65" s="693"/>
      <c r="E65" s="693"/>
      <c r="F65" s="693"/>
      <c r="G65" s="693"/>
      <c r="H65" s="693"/>
      <c r="I65" s="693"/>
      <c r="J65" s="693"/>
      <c r="K65" s="694"/>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41</v>
      </c>
      <c r="C68" s="276" t="s">
        <v>26</v>
      </c>
      <c r="D68" s="277" t="s">
        <v>27</v>
      </c>
      <c r="E68" s="277" t="s">
        <v>28</v>
      </c>
      <c r="F68" s="277" t="s">
        <v>29</v>
      </c>
      <c r="G68" s="277" t="s">
        <v>30</v>
      </c>
      <c r="H68" s="277" t="s">
        <v>68</v>
      </c>
      <c r="I68" s="277" t="s">
        <v>69</v>
      </c>
      <c r="J68" s="277" t="s">
        <v>31</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v>7523.2932200000005</v>
      </c>
      <c r="D75" s="280">
        <v>290.0885600000001</v>
      </c>
      <c r="E75" s="281">
        <f>IF(C75&lt;&gt;"",C75+E74,"")</f>
        <v>47856.43321999999</v>
      </c>
      <c r="F75" s="282">
        <f>IF(D75&lt;&gt;"",D75+F74,"")</f>
        <v>1617.39626</v>
      </c>
      <c r="G75" s="283">
        <f>IF(C75&lt;&gt;"",D75/C75,"")</f>
        <v>0.03855872043227368</v>
      </c>
      <c r="H75" s="288">
        <v>0.0006</v>
      </c>
      <c r="I75" s="288">
        <v>0.1337</v>
      </c>
      <c r="J75" s="283">
        <f aca="true" t="shared" si="3" ref="J75:J80">IF(E75&lt;&gt;"",F75/E75,"")</f>
        <v>0.03379684090882192</v>
      </c>
      <c r="K75" s="306"/>
      <c r="L75" s="278"/>
      <c r="M75" s="285"/>
      <c r="N75" s="285"/>
      <c r="O75" s="270"/>
      <c r="P75" s="286"/>
      <c r="Q75" s="286"/>
      <c r="R75" s="212"/>
      <c r="S75" s="286"/>
    </row>
    <row r="76" spans="2:19" ht="14.25">
      <c r="B76" s="305">
        <v>40848</v>
      </c>
      <c r="C76" s="182">
        <v>8160.34</v>
      </c>
      <c r="D76" s="280">
        <v>298.99</v>
      </c>
      <c r="E76" s="281">
        <f>IF(C76&lt;&gt;"",C76+E75,"")</f>
        <v>56016.77321999999</v>
      </c>
      <c r="F76" s="282">
        <f>IF(D76&lt;&gt;"",D76+F75,"")</f>
        <v>1916.38626</v>
      </c>
      <c r="G76" s="283">
        <f>IF(C76&lt;&gt;"",D76/C76,"")</f>
        <v>0.03663940473068524</v>
      </c>
      <c r="H76" s="288">
        <v>0.0005</v>
      </c>
      <c r="I76" s="288">
        <v>0.0999</v>
      </c>
      <c r="J76" s="283">
        <f t="shared" si="3"/>
        <v>0.03421093629355612</v>
      </c>
      <c r="K76" s="306"/>
      <c r="L76" s="278"/>
      <c r="M76" s="285"/>
      <c r="N76" s="285"/>
      <c r="O76" s="270"/>
      <c r="P76" s="286"/>
      <c r="Q76" s="286"/>
      <c r="R76" s="212"/>
      <c r="S76" s="286"/>
    </row>
    <row r="77" spans="2:19" ht="14.25">
      <c r="B77" s="305">
        <v>40878</v>
      </c>
      <c r="C77" s="182">
        <v>9357.358</v>
      </c>
      <c r="D77" s="280">
        <v>403.46600000000007</v>
      </c>
      <c r="E77" s="281">
        <f aca="true" t="shared" si="4" ref="E77:F80">IF(C77&lt;&gt;"",C77+E76,"")</f>
        <v>65374.13121999999</v>
      </c>
      <c r="F77" s="282">
        <f t="shared" si="4"/>
        <v>2319.85226</v>
      </c>
      <c r="G77" s="283">
        <f t="shared" si="0"/>
        <v>0.04311751244314902</v>
      </c>
      <c r="H77" s="288">
        <v>0.0032</v>
      </c>
      <c r="I77" s="288">
        <v>0.1597</v>
      </c>
      <c r="J77" s="283">
        <f t="shared" si="3"/>
        <v>0.03548578339332921</v>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06">
      <selection activeCell="J63" sqref="J63:Q75"/>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70</v>
      </c>
      <c r="C6" s="721" t="s">
        <v>280</v>
      </c>
      <c r="D6" s="722"/>
      <c r="E6" s="722"/>
      <c r="F6" s="722"/>
      <c r="G6" s="722"/>
      <c r="H6" s="722"/>
      <c r="I6" s="722"/>
      <c r="J6" s="722"/>
      <c r="K6" s="722"/>
      <c r="L6" s="722"/>
      <c r="M6" s="722"/>
      <c r="N6" s="722"/>
      <c r="O6" s="722"/>
      <c r="P6" s="722"/>
      <c r="Q6" s="723"/>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719" t="s">
        <v>102</v>
      </c>
      <c r="E8" s="719"/>
      <c r="F8" s="719"/>
      <c r="G8" s="719" t="s">
        <v>103</v>
      </c>
      <c r="H8" s="719"/>
      <c r="I8" s="719"/>
      <c r="J8" s="719" t="s">
        <v>104</v>
      </c>
      <c r="K8" s="719"/>
      <c r="L8" s="719"/>
      <c r="M8" s="293"/>
      <c r="N8" s="293"/>
      <c r="O8" s="293"/>
      <c r="P8" s="293"/>
      <c r="Q8" s="298"/>
      <c r="S8" s="293"/>
      <c r="T8" s="315"/>
    </row>
    <row r="9" spans="2:20" s="314" customFormat="1" ht="89.25" customHeight="1">
      <c r="B9" s="353" t="s">
        <v>99</v>
      </c>
      <c r="C9" s="316" t="s">
        <v>109</v>
      </c>
      <c r="D9" s="720" t="s">
        <v>110</v>
      </c>
      <c r="E9" s="720"/>
      <c r="F9" s="720"/>
      <c r="G9" s="720" t="s">
        <v>112</v>
      </c>
      <c r="H9" s="720"/>
      <c r="I9" s="720"/>
      <c r="J9" s="720" t="s">
        <v>111</v>
      </c>
      <c r="K9" s="720"/>
      <c r="L9" s="720"/>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719" t="s">
        <v>105</v>
      </c>
      <c r="E11" s="719"/>
      <c r="F11" s="719"/>
      <c r="G11" s="719" t="s">
        <v>106</v>
      </c>
      <c r="H11" s="719"/>
      <c r="I11" s="719"/>
      <c r="J11" s="719" t="s">
        <v>107</v>
      </c>
      <c r="K11" s="719"/>
      <c r="L11" s="719"/>
      <c r="M11" s="719" t="s">
        <v>108</v>
      </c>
      <c r="N11" s="719"/>
      <c r="O11" s="719"/>
      <c r="P11" s="212"/>
      <c r="Q11" s="246"/>
    </row>
    <row r="12" spans="2:17" ht="68.25" customHeight="1">
      <c r="B12" s="353" t="s">
        <v>99</v>
      </c>
      <c r="C12" s="318" t="s">
        <v>119</v>
      </c>
      <c r="D12" s="720" t="s">
        <v>113</v>
      </c>
      <c r="E12" s="720"/>
      <c r="F12" s="720"/>
      <c r="G12" s="720" t="s">
        <v>114</v>
      </c>
      <c r="H12" s="720"/>
      <c r="I12" s="720"/>
      <c r="J12" s="720" t="s">
        <v>115</v>
      </c>
      <c r="K12" s="720"/>
      <c r="L12" s="720"/>
      <c r="M12" s="720" t="s">
        <v>218</v>
      </c>
      <c r="N12" s="720"/>
      <c r="O12" s="720"/>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8" t="s">
        <v>159</v>
      </c>
      <c r="K15" s="699"/>
      <c r="L15" s="699"/>
      <c r="M15" s="699"/>
      <c r="N15" s="699"/>
      <c r="O15" s="699"/>
      <c r="P15" s="699"/>
      <c r="Q15" s="700"/>
    </row>
    <row r="16" spans="2:17" ht="14.25" customHeight="1">
      <c r="B16" s="245"/>
      <c r="C16" s="212"/>
      <c r="D16" s="212"/>
      <c r="E16" s="212"/>
      <c r="F16" s="212"/>
      <c r="G16" s="212"/>
      <c r="H16" s="212"/>
      <c r="I16" s="212"/>
      <c r="J16" s="730"/>
      <c r="K16" s="731"/>
      <c r="L16" s="731"/>
      <c r="M16" s="731"/>
      <c r="N16" s="731"/>
      <c r="O16" s="731"/>
      <c r="P16" s="731"/>
      <c r="Q16" s="685"/>
    </row>
    <row r="17" spans="2:17" ht="11.25" customHeight="1">
      <c r="B17" s="245"/>
      <c r="C17" s="212"/>
      <c r="D17" s="212"/>
      <c r="E17" s="212"/>
      <c r="F17" s="212"/>
      <c r="G17" s="212"/>
      <c r="H17" s="212"/>
      <c r="I17" s="212"/>
      <c r="J17" s="678" t="s">
        <v>211</v>
      </c>
      <c r="K17" s="679"/>
      <c r="L17" s="679"/>
      <c r="M17" s="679"/>
      <c r="N17" s="679"/>
      <c r="O17" s="679"/>
      <c r="P17" s="679"/>
      <c r="Q17" s="680"/>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4" t="s">
        <v>25</v>
      </c>
      <c r="K19" s="725"/>
      <c r="L19" s="725"/>
      <c r="M19" s="725"/>
      <c r="N19" s="725"/>
      <c r="O19" s="725"/>
      <c r="P19" s="725"/>
      <c r="Q19" s="726"/>
    </row>
    <row r="20" spans="2:17" ht="11.25" customHeight="1">
      <c r="B20" s="245"/>
      <c r="C20" s="212"/>
      <c r="D20" s="212"/>
      <c r="E20" s="212"/>
      <c r="F20" s="212"/>
      <c r="G20" s="212"/>
      <c r="H20" s="212"/>
      <c r="I20" s="212"/>
      <c r="J20" s="724"/>
      <c r="K20" s="725"/>
      <c r="L20" s="725"/>
      <c r="M20" s="725"/>
      <c r="N20" s="725"/>
      <c r="O20" s="725"/>
      <c r="P20" s="725"/>
      <c r="Q20" s="726"/>
    </row>
    <row r="21" spans="2:17" ht="11.25" customHeight="1">
      <c r="B21" s="245"/>
      <c r="C21" s="212"/>
      <c r="D21" s="212"/>
      <c r="E21" s="212"/>
      <c r="F21" s="212"/>
      <c r="G21" s="212"/>
      <c r="H21" s="212"/>
      <c r="I21" s="212"/>
      <c r="J21" s="724"/>
      <c r="K21" s="725"/>
      <c r="L21" s="725"/>
      <c r="M21" s="725"/>
      <c r="N21" s="725"/>
      <c r="O21" s="725"/>
      <c r="P21" s="725"/>
      <c r="Q21" s="726"/>
    </row>
    <row r="22" spans="2:17" ht="11.25" customHeight="1">
      <c r="B22" s="245"/>
      <c r="C22" s="212"/>
      <c r="D22" s="212"/>
      <c r="E22" s="212"/>
      <c r="F22" s="212"/>
      <c r="G22" s="212"/>
      <c r="H22" s="212"/>
      <c r="I22" s="212"/>
      <c r="J22" s="724"/>
      <c r="K22" s="725"/>
      <c r="L22" s="725"/>
      <c r="M22" s="725"/>
      <c r="N22" s="725"/>
      <c r="O22" s="725"/>
      <c r="P22" s="725"/>
      <c r="Q22" s="726"/>
    </row>
    <row r="23" spans="2:17" ht="11.25" customHeight="1">
      <c r="B23" s="245"/>
      <c r="C23" s="212"/>
      <c r="D23" s="212"/>
      <c r="E23" s="212"/>
      <c r="F23" s="212"/>
      <c r="G23" s="212"/>
      <c r="H23" s="212"/>
      <c r="I23" s="212"/>
      <c r="J23" s="724"/>
      <c r="K23" s="725"/>
      <c r="L23" s="725"/>
      <c r="M23" s="725"/>
      <c r="N23" s="725"/>
      <c r="O23" s="725"/>
      <c r="P23" s="725"/>
      <c r="Q23" s="726"/>
    </row>
    <row r="24" spans="2:17" ht="11.25" customHeight="1">
      <c r="B24" s="245"/>
      <c r="C24" s="212"/>
      <c r="D24" s="212"/>
      <c r="E24" s="212"/>
      <c r="F24" s="212"/>
      <c r="G24" s="212"/>
      <c r="H24" s="212"/>
      <c r="I24" s="212"/>
      <c r="J24" s="724"/>
      <c r="K24" s="725"/>
      <c r="L24" s="725"/>
      <c r="M24" s="725"/>
      <c r="N24" s="725"/>
      <c r="O24" s="725"/>
      <c r="P24" s="725"/>
      <c r="Q24" s="726"/>
    </row>
    <row r="25" spans="2:17" ht="11.25" customHeight="1">
      <c r="B25" s="245"/>
      <c r="C25" s="212"/>
      <c r="D25" s="212"/>
      <c r="E25" s="212"/>
      <c r="F25" s="212"/>
      <c r="G25" s="212"/>
      <c r="H25" s="212"/>
      <c r="I25" s="212"/>
      <c r="J25" s="724"/>
      <c r="K25" s="725"/>
      <c r="L25" s="725"/>
      <c r="M25" s="725"/>
      <c r="N25" s="725"/>
      <c r="O25" s="725"/>
      <c r="P25" s="725"/>
      <c r="Q25" s="726"/>
    </row>
    <row r="26" spans="2:17" ht="11.25" customHeight="1">
      <c r="B26" s="245"/>
      <c r="C26" s="212"/>
      <c r="D26" s="212"/>
      <c r="E26" s="212"/>
      <c r="F26" s="212"/>
      <c r="G26" s="212"/>
      <c r="H26" s="212"/>
      <c r="I26" s="212"/>
      <c r="J26" s="724"/>
      <c r="K26" s="725"/>
      <c r="L26" s="725"/>
      <c r="M26" s="725"/>
      <c r="N26" s="725"/>
      <c r="O26" s="725"/>
      <c r="P26" s="725"/>
      <c r="Q26" s="726"/>
    </row>
    <row r="27" spans="2:17" ht="11.25" customHeight="1">
      <c r="B27" s="245"/>
      <c r="C27" s="212"/>
      <c r="D27" s="212"/>
      <c r="E27" s="212"/>
      <c r="F27" s="212"/>
      <c r="G27" s="212"/>
      <c r="H27" s="212"/>
      <c r="I27" s="212"/>
      <c r="J27" s="724"/>
      <c r="K27" s="725"/>
      <c r="L27" s="725"/>
      <c r="M27" s="725"/>
      <c r="N27" s="725"/>
      <c r="O27" s="725"/>
      <c r="P27" s="725"/>
      <c r="Q27" s="726"/>
    </row>
    <row r="28" spans="2:17" ht="11.25" customHeight="1">
      <c r="B28" s="245"/>
      <c r="C28" s="212"/>
      <c r="D28" s="212"/>
      <c r="E28" s="212"/>
      <c r="F28" s="212"/>
      <c r="G28" s="212"/>
      <c r="H28" s="212"/>
      <c r="I28" s="212"/>
      <c r="J28" s="724"/>
      <c r="K28" s="725"/>
      <c r="L28" s="725"/>
      <c r="M28" s="725"/>
      <c r="N28" s="725"/>
      <c r="O28" s="725"/>
      <c r="P28" s="725"/>
      <c r="Q28" s="726"/>
    </row>
    <row r="29" spans="2:17" ht="11.25">
      <c r="B29" s="245"/>
      <c r="C29" s="212"/>
      <c r="D29" s="212"/>
      <c r="E29" s="212"/>
      <c r="F29" s="212"/>
      <c r="G29" s="212"/>
      <c r="H29" s="212"/>
      <c r="I29" s="212"/>
      <c r="J29" s="724"/>
      <c r="K29" s="725"/>
      <c r="L29" s="725"/>
      <c r="M29" s="725"/>
      <c r="N29" s="725"/>
      <c r="O29" s="725"/>
      <c r="P29" s="725"/>
      <c r="Q29" s="726"/>
    </row>
    <row r="30" spans="2:17" ht="11.25">
      <c r="B30" s="245"/>
      <c r="C30" s="212"/>
      <c r="D30" s="212"/>
      <c r="E30" s="212"/>
      <c r="F30" s="212"/>
      <c r="G30" s="212"/>
      <c r="H30" s="212"/>
      <c r="I30" s="212"/>
      <c r="J30" s="724"/>
      <c r="K30" s="725"/>
      <c r="L30" s="725"/>
      <c r="M30" s="725"/>
      <c r="N30" s="725"/>
      <c r="O30" s="725"/>
      <c r="P30" s="725"/>
      <c r="Q30" s="726"/>
    </row>
    <row r="31" spans="2:17" ht="11.25">
      <c r="B31" s="245"/>
      <c r="C31" s="212"/>
      <c r="D31" s="212"/>
      <c r="E31" s="212"/>
      <c r="F31" s="212"/>
      <c r="G31" s="212"/>
      <c r="H31" s="212"/>
      <c r="I31" s="212"/>
      <c r="J31" s="724"/>
      <c r="K31" s="725"/>
      <c r="L31" s="725"/>
      <c r="M31" s="725"/>
      <c r="N31" s="725"/>
      <c r="O31" s="725"/>
      <c r="P31" s="725"/>
      <c r="Q31" s="726"/>
    </row>
    <row r="32" spans="2:17" ht="11.25">
      <c r="B32" s="245"/>
      <c r="C32" s="212"/>
      <c r="D32" s="212"/>
      <c r="E32" s="212"/>
      <c r="F32" s="212"/>
      <c r="G32" s="212"/>
      <c r="H32" s="212"/>
      <c r="I32" s="212"/>
      <c r="J32" s="724"/>
      <c r="K32" s="725"/>
      <c r="L32" s="725"/>
      <c r="M32" s="725"/>
      <c r="N32" s="725"/>
      <c r="O32" s="725"/>
      <c r="P32" s="725"/>
      <c r="Q32" s="726"/>
    </row>
    <row r="33" spans="2:17" ht="11.25">
      <c r="B33" s="245"/>
      <c r="C33" s="212"/>
      <c r="D33" s="212"/>
      <c r="E33" s="212"/>
      <c r="F33" s="212"/>
      <c r="G33" s="212"/>
      <c r="H33" s="212"/>
      <c r="I33" s="212"/>
      <c r="J33" s="724"/>
      <c r="K33" s="725"/>
      <c r="L33" s="725"/>
      <c r="M33" s="725"/>
      <c r="N33" s="725"/>
      <c r="O33" s="725"/>
      <c r="P33" s="725"/>
      <c r="Q33" s="726"/>
    </row>
    <row r="34" spans="2:17" ht="11.25">
      <c r="B34" s="245"/>
      <c r="C34" s="212"/>
      <c r="D34" s="212"/>
      <c r="E34" s="212"/>
      <c r="F34" s="212"/>
      <c r="G34" s="212"/>
      <c r="H34" s="212"/>
      <c r="I34" s="212"/>
      <c r="J34" s="727"/>
      <c r="K34" s="728"/>
      <c r="L34" s="728"/>
      <c r="M34" s="728"/>
      <c r="N34" s="728"/>
      <c r="O34" s="728"/>
      <c r="P34" s="728"/>
      <c r="Q34" s="729"/>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9" t="s">
        <v>7</v>
      </c>
      <c r="C63" s="690"/>
      <c r="D63" s="690"/>
      <c r="E63" s="690"/>
      <c r="F63" s="690"/>
      <c r="G63" s="690"/>
      <c r="H63" s="690"/>
      <c r="I63" s="212"/>
      <c r="J63" s="690" t="s">
        <v>8</v>
      </c>
      <c r="K63" s="690"/>
      <c r="L63" s="690"/>
      <c r="M63" s="690"/>
      <c r="N63" s="690"/>
      <c r="O63" s="690"/>
      <c r="P63" s="690"/>
      <c r="Q63" s="691"/>
    </row>
    <row r="64" spans="2:17" ht="11.25">
      <c r="B64" s="689"/>
      <c r="C64" s="690"/>
      <c r="D64" s="690"/>
      <c r="E64" s="690"/>
      <c r="F64" s="690"/>
      <c r="G64" s="690"/>
      <c r="H64" s="690"/>
      <c r="I64" s="212"/>
      <c r="J64" s="690"/>
      <c r="K64" s="690"/>
      <c r="L64" s="690"/>
      <c r="M64" s="690"/>
      <c r="N64" s="690"/>
      <c r="O64" s="690"/>
      <c r="P64" s="690"/>
      <c r="Q64" s="691"/>
    </row>
    <row r="65" spans="2:17" ht="11.25">
      <c r="B65" s="689"/>
      <c r="C65" s="690"/>
      <c r="D65" s="690"/>
      <c r="E65" s="690"/>
      <c r="F65" s="690"/>
      <c r="G65" s="690"/>
      <c r="H65" s="690"/>
      <c r="I65" s="212"/>
      <c r="J65" s="690"/>
      <c r="K65" s="690"/>
      <c r="L65" s="690"/>
      <c r="M65" s="690"/>
      <c r="N65" s="690"/>
      <c r="O65" s="690"/>
      <c r="P65" s="690"/>
      <c r="Q65" s="691"/>
    </row>
    <row r="66" spans="2:17" ht="11.25">
      <c r="B66" s="689"/>
      <c r="C66" s="690"/>
      <c r="D66" s="690"/>
      <c r="E66" s="690"/>
      <c r="F66" s="690"/>
      <c r="G66" s="690"/>
      <c r="H66" s="690"/>
      <c r="I66" s="212"/>
      <c r="J66" s="690"/>
      <c r="K66" s="690"/>
      <c r="L66" s="690"/>
      <c r="M66" s="690"/>
      <c r="N66" s="690"/>
      <c r="O66" s="690"/>
      <c r="P66" s="690"/>
      <c r="Q66" s="691"/>
    </row>
    <row r="67" spans="2:17" ht="11.25">
      <c r="B67" s="689"/>
      <c r="C67" s="690"/>
      <c r="D67" s="690"/>
      <c r="E67" s="690"/>
      <c r="F67" s="690"/>
      <c r="G67" s="690"/>
      <c r="H67" s="690"/>
      <c r="I67" s="212"/>
      <c r="J67" s="690"/>
      <c r="K67" s="690"/>
      <c r="L67" s="690"/>
      <c r="M67" s="690"/>
      <c r="N67" s="690"/>
      <c r="O67" s="690"/>
      <c r="P67" s="690"/>
      <c r="Q67" s="691"/>
    </row>
    <row r="68" spans="2:17" ht="11.25">
      <c r="B68" s="689"/>
      <c r="C68" s="690"/>
      <c r="D68" s="690"/>
      <c r="E68" s="690"/>
      <c r="F68" s="690"/>
      <c r="G68" s="690"/>
      <c r="H68" s="690"/>
      <c r="I68" s="212"/>
      <c r="J68" s="690"/>
      <c r="K68" s="690"/>
      <c r="L68" s="690"/>
      <c r="M68" s="690"/>
      <c r="N68" s="690"/>
      <c r="O68" s="690"/>
      <c r="P68" s="690"/>
      <c r="Q68" s="691"/>
    </row>
    <row r="69" spans="2:17" ht="11.25">
      <c r="B69" s="689"/>
      <c r="C69" s="690"/>
      <c r="D69" s="690"/>
      <c r="E69" s="690"/>
      <c r="F69" s="690"/>
      <c r="G69" s="690"/>
      <c r="H69" s="690"/>
      <c r="I69" s="212"/>
      <c r="J69" s="690"/>
      <c r="K69" s="690"/>
      <c r="L69" s="690"/>
      <c r="M69" s="690"/>
      <c r="N69" s="690"/>
      <c r="O69" s="690"/>
      <c r="P69" s="690"/>
      <c r="Q69" s="691"/>
    </row>
    <row r="70" spans="2:17" ht="11.25">
      <c r="B70" s="689"/>
      <c r="C70" s="690"/>
      <c r="D70" s="690"/>
      <c r="E70" s="690"/>
      <c r="F70" s="690"/>
      <c r="G70" s="690"/>
      <c r="H70" s="690"/>
      <c r="I70" s="212"/>
      <c r="J70" s="690"/>
      <c r="K70" s="690"/>
      <c r="L70" s="690"/>
      <c r="M70" s="690"/>
      <c r="N70" s="690"/>
      <c r="O70" s="690"/>
      <c r="P70" s="690"/>
      <c r="Q70" s="691"/>
    </row>
    <row r="71" spans="2:17" ht="11.25">
      <c r="B71" s="689"/>
      <c r="C71" s="690"/>
      <c r="D71" s="690"/>
      <c r="E71" s="690"/>
      <c r="F71" s="690"/>
      <c r="G71" s="690"/>
      <c r="H71" s="690"/>
      <c r="I71" s="212"/>
      <c r="J71" s="690"/>
      <c r="K71" s="690"/>
      <c r="L71" s="690"/>
      <c r="M71" s="690"/>
      <c r="N71" s="690"/>
      <c r="O71" s="690"/>
      <c r="P71" s="690"/>
      <c r="Q71" s="691"/>
    </row>
    <row r="72" spans="2:17" ht="11.25">
      <c r="B72" s="689"/>
      <c r="C72" s="690"/>
      <c r="D72" s="690"/>
      <c r="E72" s="690"/>
      <c r="F72" s="690"/>
      <c r="G72" s="690"/>
      <c r="H72" s="690"/>
      <c r="I72" s="212"/>
      <c r="J72" s="690"/>
      <c r="K72" s="690"/>
      <c r="L72" s="690"/>
      <c r="M72" s="690"/>
      <c r="N72" s="690"/>
      <c r="O72" s="690"/>
      <c r="P72" s="690"/>
      <c r="Q72" s="691"/>
    </row>
    <row r="73" spans="2:17" ht="11.25">
      <c r="B73" s="689"/>
      <c r="C73" s="690"/>
      <c r="D73" s="690"/>
      <c r="E73" s="690"/>
      <c r="F73" s="690"/>
      <c r="G73" s="690"/>
      <c r="H73" s="690"/>
      <c r="I73" s="212"/>
      <c r="J73" s="690"/>
      <c r="K73" s="690"/>
      <c r="L73" s="690"/>
      <c r="M73" s="690"/>
      <c r="N73" s="690"/>
      <c r="O73" s="690"/>
      <c r="P73" s="690"/>
      <c r="Q73" s="691"/>
    </row>
    <row r="74" spans="2:17" ht="11.25">
      <c r="B74" s="689"/>
      <c r="C74" s="690"/>
      <c r="D74" s="690"/>
      <c r="E74" s="690"/>
      <c r="F74" s="690"/>
      <c r="G74" s="690"/>
      <c r="H74" s="690"/>
      <c r="I74" s="212"/>
      <c r="J74" s="690"/>
      <c r="K74" s="690"/>
      <c r="L74" s="690"/>
      <c r="M74" s="690"/>
      <c r="N74" s="690"/>
      <c r="O74" s="690"/>
      <c r="P74" s="690"/>
      <c r="Q74" s="691"/>
    </row>
    <row r="75" spans="2:17" ht="24" customHeight="1">
      <c r="B75" s="689"/>
      <c r="C75" s="690"/>
      <c r="D75" s="690"/>
      <c r="E75" s="690"/>
      <c r="F75" s="690"/>
      <c r="G75" s="690"/>
      <c r="H75" s="690"/>
      <c r="I75" s="212"/>
      <c r="J75" s="690"/>
      <c r="K75" s="690"/>
      <c r="L75" s="690"/>
      <c r="M75" s="690"/>
      <c r="N75" s="690"/>
      <c r="O75" s="690"/>
      <c r="P75" s="690"/>
      <c r="Q75" s="691"/>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7" t="s">
        <v>48</v>
      </c>
      <c r="D79" s="708"/>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46</v>
      </c>
      <c r="V79" s="212"/>
      <c r="W79" s="323"/>
      <c r="X79" s="323"/>
      <c r="Y79" s="323"/>
      <c r="Z79" s="323"/>
      <c r="AA79" s="323"/>
      <c r="AB79" s="323"/>
      <c r="AC79" s="323"/>
      <c r="AD79" s="323"/>
      <c r="AE79" s="323"/>
      <c r="AF79" s="323"/>
      <c r="AG79" s="323"/>
      <c r="AH79" s="323"/>
      <c r="AI79" s="293"/>
    </row>
    <row r="80" spans="2:35" ht="14.25">
      <c r="B80" s="704" t="s">
        <v>222</v>
      </c>
      <c r="C80" s="709" t="s">
        <v>50</v>
      </c>
      <c r="D80" s="710"/>
      <c r="E80" s="324">
        <v>3607.603484536546</v>
      </c>
      <c r="F80" s="325">
        <v>-46.35110715938116</v>
      </c>
      <c r="G80" s="325">
        <v>-109.433731594412</v>
      </c>
      <c r="H80" s="325">
        <v>-94.22009645196796</v>
      </c>
      <c r="I80" s="325">
        <v>-179.68800097073125</v>
      </c>
      <c r="J80" s="325">
        <v>-351.99025206624697</v>
      </c>
      <c r="K80" s="182">
        <v>-369.77</v>
      </c>
      <c r="L80" s="182">
        <v>-348.93</v>
      </c>
      <c r="M80" s="325">
        <v>-622.61</v>
      </c>
      <c r="N80" s="325"/>
      <c r="O80" s="325"/>
      <c r="P80" s="326"/>
      <c r="Q80" s="357">
        <f>SUM(E80:P80)</f>
        <v>1484.610296293807</v>
      </c>
      <c r="S80" s="327"/>
      <c r="V80" s="212"/>
      <c r="W80" s="328"/>
      <c r="X80" s="328"/>
      <c r="Y80" s="328"/>
      <c r="Z80" s="328"/>
      <c r="AA80" s="328"/>
      <c r="AB80" s="328"/>
      <c r="AC80" s="328"/>
      <c r="AD80" s="328"/>
      <c r="AE80" s="328"/>
      <c r="AF80" s="328"/>
      <c r="AG80" s="328"/>
      <c r="AH80" s="328"/>
      <c r="AI80" s="328"/>
    </row>
    <row r="81" spans="2:35" ht="15" thickBot="1">
      <c r="B81" s="705"/>
      <c r="C81" s="711" t="s">
        <v>49</v>
      </c>
      <c r="D81" s="712"/>
      <c r="E81" s="329">
        <v>3396.468421052631</v>
      </c>
      <c r="F81" s="182">
        <v>-134.2848373235122</v>
      </c>
      <c r="G81" s="182">
        <v>-255.78064252097423</v>
      </c>
      <c r="H81" s="182">
        <v>3303.236842105262</v>
      </c>
      <c r="I81" s="182">
        <v>3226.457894736842</v>
      </c>
      <c r="J81" s="182">
        <v>-722.5803151217515</v>
      </c>
      <c r="K81" s="182">
        <v>-2151.75</v>
      </c>
      <c r="L81" s="182">
        <v>-1736.11</v>
      </c>
      <c r="M81" s="182">
        <v>-1873.59</v>
      </c>
      <c r="N81" s="182"/>
      <c r="O81" s="182"/>
      <c r="P81" s="330"/>
      <c r="Q81" s="357">
        <f>SUM(E81:P81)</f>
        <v>3052.0673629284984</v>
      </c>
      <c r="V81" s="212"/>
      <c r="W81" s="328"/>
      <c r="X81" s="328"/>
      <c r="Y81" s="328"/>
      <c r="Z81" s="328"/>
      <c r="AA81" s="328"/>
      <c r="AB81" s="328"/>
      <c r="AC81" s="328"/>
      <c r="AD81" s="328"/>
      <c r="AE81" s="328"/>
      <c r="AF81" s="328"/>
      <c r="AG81" s="328"/>
      <c r="AH81" s="328"/>
      <c r="AI81" s="328"/>
    </row>
    <row r="82" spans="2:35" ht="15.75" thickBot="1">
      <c r="B82" s="705"/>
      <c r="C82" s="713" t="s">
        <v>116</v>
      </c>
      <c r="D82" s="714"/>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-2521.52</v>
      </c>
      <c r="L82" s="332">
        <f t="shared" si="1"/>
        <v>-2085.04</v>
      </c>
      <c r="M82" s="332">
        <f t="shared" si="1"/>
        <v>-2496.2</v>
      </c>
      <c r="N82" s="332">
        <f t="shared" si="1"/>
        <v>0</v>
      </c>
      <c r="O82" s="332">
        <f t="shared" si="1"/>
        <v>0</v>
      </c>
      <c r="P82" s="332">
        <f t="shared" si="1"/>
        <v>0</v>
      </c>
      <c r="Q82" s="358">
        <f t="shared" si="1"/>
        <v>4536.677659222305</v>
      </c>
      <c r="V82" s="212"/>
      <c r="W82" s="212"/>
      <c r="X82" s="212"/>
      <c r="Y82" s="212"/>
      <c r="Z82" s="212"/>
      <c r="AA82" s="212"/>
      <c r="AB82" s="212"/>
      <c r="AC82" s="212"/>
      <c r="AD82" s="212"/>
      <c r="AE82" s="212"/>
      <c r="AF82" s="212"/>
      <c r="AG82" s="212"/>
      <c r="AH82" s="212"/>
      <c r="AI82" s="212"/>
    </row>
    <row r="83" spans="2:35" ht="15">
      <c r="B83" s="705"/>
      <c r="C83" s="709" t="s">
        <v>117</v>
      </c>
      <c r="D83" s="710"/>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v>2456.150296293807</v>
      </c>
      <c r="L83" s="333">
        <f t="shared" si="3"/>
        <v>2107.220296293807</v>
      </c>
      <c r="M83" s="333">
        <f t="shared" si="3"/>
        <v>1484.610296293807</v>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6"/>
      <c r="C84" s="711" t="s">
        <v>118</v>
      </c>
      <c r="D84" s="712"/>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v>6661.767362928498</v>
      </c>
      <c r="L84" s="310">
        <f t="shared" si="3"/>
        <v>4925.6573629284985</v>
      </c>
      <c r="M84" s="310">
        <f t="shared" si="3"/>
        <v>3052.0673629284984</v>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3" t="s">
        <v>71</v>
      </c>
      <c r="C85" s="715" t="s">
        <v>52</v>
      </c>
      <c r="D85" s="716"/>
      <c r="E85" s="324">
        <v>440</v>
      </c>
      <c r="F85" s="325">
        <v>1053</v>
      </c>
      <c r="G85" s="325">
        <v>1894</v>
      </c>
      <c r="H85" s="325">
        <v>1467</v>
      </c>
      <c r="I85" s="325">
        <v>2493</v>
      </c>
      <c r="J85" s="325">
        <v>3759</v>
      </c>
      <c r="K85" s="325">
        <v>3722</v>
      </c>
      <c r="L85" s="325">
        <v>3749</v>
      </c>
      <c r="M85" s="325">
        <v>5523</v>
      </c>
      <c r="N85" s="325"/>
      <c r="O85" s="325"/>
      <c r="P85" s="326"/>
      <c r="Q85" s="359">
        <f>SUM(E85:P85)</f>
        <v>24100</v>
      </c>
    </row>
    <row r="86" spans="2:17" ht="14.25">
      <c r="B86" s="701"/>
      <c r="C86" s="717" t="s">
        <v>53</v>
      </c>
      <c r="D86" s="718"/>
      <c r="E86" s="335">
        <v>13</v>
      </c>
      <c r="F86" s="289">
        <v>200</v>
      </c>
      <c r="G86" s="289">
        <v>104</v>
      </c>
      <c r="H86" s="289">
        <v>281</v>
      </c>
      <c r="I86" s="289">
        <v>274</v>
      </c>
      <c r="J86" s="289">
        <v>573</v>
      </c>
      <c r="K86" s="289">
        <v>721</v>
      </c>
      <c r="L86" s="289">
        <v>407</v>
      </c>
      <c r="M86" s="289">
        <v>944</v>
      </c>
      <c r="N86" s="289"/>
      <c r="O86" s="289"/>
      <c r="P86" s="336"/>
      <c r="Q86" s="360">
        <f>SUM(E86:P86)</f>
        <v>3517</v>
      </c>
    </row>
    <row r="87" spans="2:17" ht="14.25">
      <c r="B87" s="701"/>
      <c r="C87" s="717" t="s">
        <v>54</v>
      </c>
      <c r="D87" s="718"/>
      <c r="E87" s="335">
        <v>32</v>
      </c>
      <c r="F87" s="289">
        <v>217</v>
      </c>
      <c r="G87" s="289">
        <v>126</v>
      </c>
      <c r="H87" s="289">
        <v>272</v>
      </c>
      <c r="I87" s="289">
        <v>235</v>
      </c>
      <c r="J87" s="289">
        <v>489</v>
      </c>
      <c r="K87" s="289">
        <v>743</v>
      </c>
      <c r="L87" s="289">
        <v>631</v>
      </c>
      <c r="M87" s="289">
        <v>1624</v>
      </c>
      <c r="N87" s="289"/>
      <c r="O87" s="289"/>
      <c r="P87" s="336"/>
      <c r="Q87" s="360">
        <f>SUM(E87:P87)</f>
        <v>4369</v>
      </c>
    </row>
    <row r="88" spans="2:17" ht="14.25">
      <c r="B88" s="701"/>
      <c r="C88" s="717" t="s">
        <v>229</v>
      </c>
      <c r="D88" s="718"/>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v>1728.6666666666667</v>
      </c>
      <c r="L88" s="338">
        <f>IF(L85="","",AVERAGE(L85:L87))</f>
        <v>1595.6666666666667</v>
      </c>
      <c r="M88" s="338">
        <f>IF(M85="","",AVERAGE(M85:M87))</f>
        <v>2697</v>
      </c>
      <c r="N88" s="338">
        <f>IF(N85="","",AVERAGE(N85:N87))</f>
      </c>
      <c r="O88" s="338">
        <f>IF(O85="","",AVERAGE(O85:O87))</f>
      </c>
      <c r="P88" s="338">
        <f>IF(P85="","",AVERAGE(P85:P87))</f>
      </c>
      <c r="Q88" s="360"/>
    </row>
    <row r="89" spans="2:17" ht="15" thickBot="1">
      <c r="B89" s="702"/>
      <c r="C89" s="711" t="s">
        <v>167</v>
      </c>
      <c r="D89" s="712"/>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01" t="s">
        <v>51</v>
      </c>
      <c r="C90" s="715" t="s">
        <v>55</v>
      </c>
      <c r="D90" s="716"/>
      <c r="E90" s="342">
        <v>0.751</v>
      </c>
      <c r="F90" s="343">
        <v>0.742</v>
      </c>
      <c r="G90" s="343">
        <v>0.739</v>
      </c>
      <c r="H90" s="343">
        <v>0.769</v>
      </c>
      <c r="I90" s="343">
        <v>0.77</v>
      </c>
      <c r="J90" s="343">
        <v>0.637</v>
      </c>
      <c r="K90" s="343">
        <v>0.55</v>
      </c>
      <c r="L90" s="343">
        <v>0.592</v>
      </c>
      <c r="M90" s="343">
        <v>0.608</v>
      </c>
      <c r="N90" s="343"/>
      <c r="O90" s="343"/>
      <c r="P90" s="343"/>
      <c r="Q90" s="362">
        <f>AVERAGE(E90:P90)</f>
        <v>0.6842222222222221</v>
      </c>
    </row>
    <row r="91" spans="2:17" ht="14.25">
      <c r="B91" s="701"/>
      <c r="C91" s="717" t="s">
        <v>56</v>
      </c>
      <c r="D91" s="718"/>
      <c r="E91" s="342">
        <v>0.986</v>
      </c>
      <c r="F91" s="343">
        <v>0.867</v>
      </c>
      <c r="G91" s="343">
        <v>0.844</v>
      </c>
      <c r="H91" s="343">
        <v>0.958</v>
      </c>
      <c r="I91" s="343">
        <v>0.947</v>
      </c>
      <c r="J91" s="343">
        <v>0.904</v>
      </c>
      <c r="K91" s="343">
        <v>0.636</v>
      </c>
      <c r="L91" s="343">
        <v>0.601</v>
      </c>
      <c r="M91" s="343">
        <v>0.581</v>
      </c>
      <c r="N91" s="343"/>
      <c r="O91" s="343"/>
      <c r="P91" s="343"/>
      <c r="Q91" s="362">
        <f>AVERAGE(E91:P91)</f>
        <v>0.8137777777777777</v>
      </c>
    </row>
    <row r="92" spans="2:17" ht="14.25">
      <c r="B92" s="701"/>
      <c r="C92" s="717" t="s">
        <v>57</v>
      </c>
      <c r="D92" s="718"/>
      <c r="E92" s="342">
        <v>0.993</v>
      </c>
      <c r="F92" s="343">
        <v>0.98</v>
      </c>
      <c r="G92" s="343">
        <v>0.979</v>
      </c>
      <c r="H92" s="343">
        <v>0.974</v>
      </c>
      <c r="I92" s="343">
        <v>0.962</v>
      </c>
      <c r="J92" s="343">
        <v>0.886</v>
      </c>
      <c r="K92" s="343">
        <v>0.831</v>
      </c>
      <c r="L92" s="343">
        <v>0.917</v>
      </c>
      <c r="M92" s="343">
        <v>0.867</v>
      </c>
      <c r="N92" s="343"/>
      <c r="O92" s="343"/>
      <c r="P92" s="343"/>
      <c r="Q92" s="362">
        <f>AVERAGE(E92:P92)</f>
        <v>0.932111111111111</v>
      </c>
    </row>
    <row r="93" spans="2:17" ht="14.25">
      <c r="B93" s="701"/>
      <c r="C93" s="717" t="s">
        <v>58</v>
      </c>
      <c r="D93" s="718"/>
      <c r="E93" s="342">
        <v>0.989</v>
      </c>
      <c r="F93" s="343">
        <v>0.989</v>
      </c>
      <c r="G93" s="343">
        <v>0.978</v>
      </c>
      <c r="H93" s="343">
        <v>0.984</v>
      </c>
      <c r="I93" s="343">
        <v>0.978</v>
      </c>
      <c r="J93" s="343">
        <v>0.967</v>
      </c>
      <c r="K93" s="343">
        <v>0.93</v>
      </c>
      <c r="L93" s="343">
        <v>0.967</v>
      </c>
      <c r="M93" s="343">
        <v>0.978</v>
      </c>
      <c r="N93" s="343"/>
      <c r="O93" s="343"/>
      <c r="P93" s="343"/>
      <c r="Q93" s="362">
        <f>AVERAGE(E93:P93)</f>
        <v>0.9733333333333333</v>
      </c>
    </row>
    <row r="94" spans="2:17" ht="14.25">
      <c r="B94" s="701"/>
      <c r="C94" s="717" t="s">
        <v>166</v>
      </c>
      <c r="D94" s="718"/>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v>0.73675</v>
      </c>
      <c r="L94" s="345">
        <f>IF(L90="","",AVERAGE(L90:L93))</f>
        <v>0.7692500000000001</v>
      </c>
      <c r="M94" s="345">
        <f>IF(M90="","",AVERAGE(M90:M93))</f>
        <v>0.7585</v>
      </c>
      <c r="N94" s="345">
        <f>IF(N90="","",AVERAGE(N90:N93))</f>
      </c>
      <c r="O94" s="345">
        <f>IF(O90="","",AVERAGE(O90:O93))</f>
      </c>
      <c r="P94" s="345">
        <f>IF(P90="","",AVERAGE(P90:P93))</f>
      </c>
      <c r="Q94" s="363"/>
    </row>
    <row r="95" spans="2:17" ht="15" thickBot="1">
      <c r="B95" s="702"/>
      <c r="C95" s="711" t="s">
        <v>170</v>
      </c>
      <c r="D95" s="712"/>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4"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9.42187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70</v>
      </c>
      <c r="C6" s="742" t="s">
        <v>285</v>
      </c>
      <c r="D6" s="743"/>
      <c r="E6" s="743"/>
      <c r="F6" s="743"/>
      <c r="G6" s="743"/>
      <c r="H6" s="743"/>
      <c r="I6" s="743"/>
      <c r="J6" s="743"/>
      <c r="K6" s="743"/>
      <c r="L6" s="743"/>
      <c r="M6" s="743"/>
      <c r="N6" s="743"/>
      <c r="O6" s="744"/>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5" t="s">
        <v>159</v>
      </c>
      <c r="I9" s="746"/>
      <c r="J9" s="746"/>
      <c r="K9" s="746"/>
      <c r="L9" s="746"/>
      <c r="M9" s="746"/>
      <c r="N9" s="746"/>
      <c r="O9" s="747"/>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8" t="s">
        <v>212</v>
      </c>
      <c r="I11" s="749"/>
      <c r="J11" s="749"/>
      <c r="K11" s="749"/>
      <c r="L11" s="749"/>
      <c r="M11" s="749"/>
      <c r="N11" s="749"/>
      <c r="O11" s="750"/>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51" t="s">
        <v>287</v>
      </c>
      <c r="I13" s="752"/>
      <c r="J13" s="752"/>
      <c r="K13" s="752"/>
      <c r="L13" s="752"/>
      <c r="M13" s="752"/>
      <c r="N13" s="752"/>
      <c r="O13" s="753"/>
      <c r="P13" s="373"/>
      <c r="Q13" s="369"/>
      <c r="R13" s="368"/>
    </row>
    <row r="14" spans="1:18" ht="12.75" customHeight="1">
      <c r="A14" s="368"/>
      <c r="B14" s="447"/>
      <c r="C14" s="372"/>
      <c r="D14" s="372"/>
      <c r="E14" s="372"/>
      <c r="F14" s="372"/>
      <c r="G14" s="372"/>
      <c r="H14" s="751"/>
      <c r="I14" s="752"/>
      <c r="J14" s="752"/>
      <c r="K14" s="752"/>
      <c r="L14" s="752"/>
      <c r="M14" s="752"/>
      <c r="N14" s="752"/>
      <c r="O14" s="753"/>
      <c r="P14" s="373"/>
      <c r="Q14" s="369"/>
      <c r="R14" s="368"/>
    </row>
    <row r="15" spans="1:18" ht="12.75">
      <c r="A15" s="368"/>
      <c r="B15" s="447"/>
      <c r="C15" s="372"/>
      <c r="D15" s="372"/>
      <c r="E15" s="372"/>
      <c r="F15" s="372"/>
      <c r="G15" s="372"/>
      <c r="H15" s="751"/>
      <c r="I15" s="752"/>
      <c r="J15" s="752"/>
      <c r="K15" s="752"/>
      <c r="L15" s="752"/>
      <c r="M15" s="752"/>
      <c r="N15" s="752"/>
      <c r="O15" s="753"/>
      <c r="P15" s="373"/>
      <c r="Q15" s="369"/>
      <c r="R15" s="368"/>
    </row>
    <row r="16" spans="1:18" ht="12.75">
      <c r="A16" s="368"/>
      <c r="B16" s="447"/>
      <c r="C16" s="372"/>
      <c r="D16" s="372"/>
      <c r="E16" s="372"/>
      <c r="F16" s="372"/>
      <c r="G16" s="372"/>
      <c r="H16" s="751"/>
      <c r="I16" s="752"/>
      <c r="J16" s="752"/>
      <c r="K16" s="752"/>
      <c r="L16" s="752"/>
      <c r="M16" s="752"/>
      <c r="N16" s="752"/>
      <c r="O16" s="753"/>
      <c r="P16" s="373"/>
      <c r="Q16" s="369"/>
      <c r="R16" s="368"/>
    </row>
    <row r="17" spans="1:18" ht="12.75">
      <c r="A17" s="368"/>
      <c r="B17" s="447"/>
      <c r="C17" s="372"/>
      <c r="D17" s="372"/>
      <c r="E17" s="372"/>
      <c r="F17" s="372"/>
      <c r="G17" s="372"/>
      <c r="H17" s="751"/>
      <c r="I17" s="752"/>
      <c r="J17" s="752"/>
      <c r="K17" s="752"/>
      <c r="L17" s="752"/>
      <c r="M17" s="752"/>
      <c r="N17" s="752"/>
      <c r="O17" s="753"/>
      <c r="P17" s="373"/>
      <c r="Q17" s="369"/>
      <c r="R17" s="368"/>
    </row>
    <row r="18" spans="1:18" ht="12.75">
      <c r="A18" s="368"/>
      <c r="B18" s="447"/>
      <c r="C18" s="372"/>
      <c r="D18" s="372"/>
      <c r="E18" s="372"/>
      <c r="F18" s="372"/>
      <c r="G18" s="372"/>
      <c r="H18" s="751"/>
      <c r="I18" s="752"/>
      <c r="J18" s="752"/>
      <c r="K18" s="752"/>
      <c r="L18" s="752"/>
      <c r="M18" s="752"/>
      <c r="N18" s="752"/>
      <c r="O18" s="753"/>
      <c r="P18" s="373"/>
      <c r="Q18" s="369"/>
      <c r="R18" s="368"/>
    </row>
    <row r="19" spans="1:18" ht="12.75">
      <c r="A19" s="368"/>
      <c r="B19" s="447"/>
      <c r="C19" s="372"/>
      <c r="D19" s="372"/>
      <c r="E19" s="372"/>
      <c r="F19" s="372"/>
      <c r="G19" s="372"/>
      <c r="H19" s="751"/>
      <c r="I19" s="752"/>
      <c r="J19" s="752"/>
      <c r="K19" s="752"/>
      <c r="L19" s="752"/>
      <c r="M19" s="752"/>
      <c r="N19" s="752"/>
      <c r="O19" s="753"/>
      <c r="P19" s="373"/>
      <c r="Q19" s="369"/>
      <c r="R19" s="368"/>
    </row>
    <row r="20" spans="1:17" ht="12.75">
      <c r="A20" s="368"/>
      <c r="B20" s="447"/>
      <c r="C20" s="372"/>
      <c r="D20" s="372"/>
      <c r="E20" s="372"/>
      <c r="F20" s="372"/>
      <c r="G20" s="372"/>
      <c r="H20" s="751"/>
      <c r="I20" s="752"/>
      <c r="J20" s="752"/>
      <c r="K20" s="752"/>
      <c r="L20" s="752"/>
      <c r="M20" s="752"/>
      <c r="N20" s="752"/>
      <c r="O20" s="753"/>
      <c r="P20" s="369"/>
      <c r="Q20" s="368"/>
    </row>
    <row r="21" spans="1:17" ht="12.75">
      <c r="A21" s="368"/>
      <c r="B21" s="447"/>
      <c r="C21" s="372"/>
      <c r="D21" s="372"/>
      <c r="E21" s="372"/>
      <c r="F21" s="372"/>
      <c r="G21" s="372"/>
      <c r="H21" s="751"/>
      <c r="I21" s="752"/>
      <c r="J21" s="752"/>
      <c r="K21" s="752"/>
      <c r="L21" s="752"/>
      <c r="M21" s="752"/>
      <c r="N21" s="752"/>
      <c r="O21" s="753"/>
      <c r="P21" s="369"/>
      <c r="Q21" s="368"/>
    </row>
    <row r="22" spans="1:17" ht="12.75">
      <c r="A22" s="368"/>
      <c r="B22" s="447"/>
      <c r="C22" s="372"/>
      <c r="D22" s="372"/>
      <c r="E22" s="372"/>
      <c r="F22" s="372"/>
      <c r="G22" s="372"/>
      <c r="H22" s="751"/>
      <c r="I22" s="752"/>
      <c r="J22" s="752"/>
      <c r="K22" s="752"/>
      <c r="L22" s="752"/>
      <c r="M22" s="752"/>
      <c r="N22" s="752"/>
      <c r="O22" s="753"/>
      <c r="P22" s="369"/>
      <c r="Q22" s="368"/>
    </row>
    <row r="23" spans="1:17" ht="12.75">
      <c r="A23" s="368"/>
      <c r="B23" s="447"/>
      <c r="C23" s="372"/>
      <c r="D23" s="372"/>
      <c r="E23" s="372"/>
      <c r="F23" s="372"/>
      <c r="G23" s="372"/>
      <c r="H23" s="751"/>
      <c r="I23" s="752"/>
      <c r="J23" s="752"/>
      <c r="K23" s="752"/>
      <c r="L23" s="752"/>
      <c r="M23" s="752"/>
      <c r="N23" s="752"/>
      <c r="O23" s="753"/>
      <c r="P23" s="369"/>
      <c r="Q23" s="368"/>
    </row>
    <row r="24" spans="1:17" ht="12.75">
      <c r="A24" s="368"/>
      <c r="B24" s="447"/>
      <c r="C24" s="372"/>
      <c r="D24" s="372"/>
      <c r="E24" s="372"/>
      <c r="F24" s="372"/>
      <c r="G24" s="372"/>
      <c r="H24" s="751"/>
      <c r="I24" s="752"/>
      <c r="J24" s="752"/>
      <c r="K24" s="752"/>
      <c r="L24" s="752"/>
      <c r="M24" s="752"/>
      <c r="N24" s="752"/>
      <c r="O24" s="753"/>
      <c r="P24" s="369"/>
      <c r="Q24" s="368"/>
    </row>
    <row r="25" spans="1:17" ht="12.75">
      <c r="A25" s="368"/>
      <c r="B25" s="447"/>
      <c r="C25" s="372"/>
      <c r="D25" s="372"/>
      <c r="E25" s="372"/>
      <c r="F25" s="372"/>
      <c r="G25" s="372"/>
      <c r="H25" s="751"/>
      <c r="I25" s="752"/>
      <c r="J25" s="752"/>
      <c r="K25" s="752"/>
      <c r="L25" s="752"/>
      <c r="M25" s="752"/>
      <c r="N25" s="752"/>
      <c r="O25" s="753"/>
      <c r="P25" s="369"/>
      <c r="Q25" s="368"/>
    </row>
    <row r="26" spans="1:17" ht="12.75">
      <c r="A26" s="368"/>
      <c r="B26" s="447"/>
      <c r="C26" s="372"/>
      <c r="D26" s="372"/>
      <c r="E26" s="372"/>
      <c r="F26" s="372"/>
      <c r="G26" s="372"/>
      <c r="H26" s="754"/>
      <c r="I26" s="755"/>
      <c r="J26" s="755"/>
      <c r="K26" s="755"/>
      <c r="L26" s="755"/>
      <c r="M26" s="755"/>
      <c r="N26" s="755"/>
      <c r="O26" s="756"/>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6" t="s">
        <v>235</v>
      </c>
      <c r="C31" s="738" t="s">
        <v>236</v>
      </c>
      <c r="D31" s="739"/>
      <c r="E31" s="740"/>
      <c r="F31" s="738" t="s">
        <v>237</v>
      </c>
      <c r="G31" s="739"/>
      <c r="H31" s="741"/>
      <c r="I31" s="738" t="s">
        <v>238</v>
      </c>
      <c r="J31" s="739"/>
      <c r="K31" s="741"/>
      <c r="L31" s="738" t="s">
        <v>239</v>
      </c>
      <c r="M31" s="739"/>
      <c r="N31" s="740"/>
      <c r="O31" s="451"/>
      <c r="P31" s="369"/>
      <c r="Q31" s="368"/>
    </row>
    <row r="32" spans="1:17" ht="15.75" thickBot="1">
      <c r="A32" s="368"/>
      <c r="B32" s="737"/>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46</v>
      </c>
      <c r="P32" s="369"/>
      <c r="Q32" s="368"/>
    </row>
    <row r="33" spans="1:17" ht="14.25">
      <c r="A33" s="368"/>
      <c r="B33" s="453" t="s">
        <v>240</v>
      </c>
      <c r="C33" s="454">
        <v>13.27321278084369</v>
      </c>
      <c r="D33" s="454">
        <v>11.190802292373585</v>
      </c>
      <c r="E33" s="380">
        <v>8.549954613712199</v>
      </c>
      <c r="F33" s="454">
        <v>7.095133593615319</v>
      </c>
      <c r="G33" s="454">
        <v>6.357005997597908</v>
      </c>
      <c r="H33" s="380">
        <v>-6.7355678750383134</v>
      </c>
      <c r="I33" s="454">
        <v>8.875927698174994</v>
      </c>
      <c r="J33" s="454">
        <v>10.619431759896235</v>
      </c>
      <c r="K33" s="380">
        <v>11.14940286753072</v>
      </c>
      <c r="L33" s="454"/>
      <c r="M33" s="454"/>
      <c r="N33" s="454"/>
      <c r="O33" s="455"/>
      <c r="P33" s="369"/>
      <c r="Q33" s="368"/>
    </row>
    <row r="34" spans="1:17" ht="14.25">
      <c r="A34" s="368"/>
      <c r="B34" s="456" t="s">
        <v>241</v>
      </c>
      <c r="C34" s="457">
        <f>C33</f>
        <v>13.27321278084369</v>
      </c>
      <c r="D34" s="457">
        <f aca="true" t="shared" si="0" ref="D34:N34">IF(D33&gt;0,C34+D33,"")</f>
        <v>24.464015073217276</v>
      </c>
      <c r="E34" s="457">
        <f t="shared" si="0"/>
        <v>33.01396968692947</v>
      </c>
      <c r="F34" s="381">
        <f t="shared" si="0"/>
        <v>40.10910328054479</v>
      </c>
      <c r="G34" s="457">
        <f t="shared" si="0"/>
        <v>46.466109278142696</v>
      </c>
      <c r="H34" s="457">
        <f>G34+H33</f>
        <v>39.73054140310438</v>
      </c>
      <c r="I34" s="381">
        <f t="shared" si="0"/>
        <v>48.60646910127937</v>
      </c>
      <c r="J34" s="457">
        <f t="shared" si="0"/>
        <v>59.22590086117561</v>
      </c>
      <c r="K34" s="457">
        <f t="shared" si="0"/>
        <v>70.37530372870633</v>
      </c>
      <c r="L34" s="381">
        <f t="shared" si="0"/>
      </c>
      <c r="M34" s="457">
        <f t="shared" si="0"/>
      </c>
      <c r="N34" s="457">
        <f t="shared" si="0"/>
      </c>
      <c r="O34" s="458"/>
      <c r="P34" s="369"/>
      <c r="Q34" s="368"/>
    </row>
    <row r="35" spans="1:17" ht="14.25">
      <c r="A35" s="368"/>
      <c r="B35" s="456" t="s">
        <v>242</v>
      </c>
      <c r="C35" s="454"/>
      <c r="D35" s="454"/>
      <c r="E35" s="382">
        <v>33.897742959507184</v>
      </c>
      <c r="F35" s="454"/>
      <c r="G35" s="454"/>
      <c r="H35" s="382">
        <v>16.821571562085644</v>
      </c>
      <c r="I35" s="383"/>
      <c r="J35" s="454"/>
      <c r="K35" s="382">
        <v>38.724806803399</v>
      </c>
      <c r="L35" s="454"/>
      <c r="M35" s="454"/>
      <c r="N35" s="382">
        <v>38.3806022323335</v>
      </c>
      <c r="O35" s="459">
        <f>N36</f>
        <v>127.82472355732533</v>
      </c>
      <c r="P35" s="369"/>
      <c r="Q35" s="368"/>
    </row>
    <row r="36" spans="1:17" ht="14.25">
      <c r="A36" s="368"/>
      <c r="B36" s="456" t="s">
        <v>249</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63.62758345605916</v>
      </c>
      <c r="J36" s="384">
        <f>SUM(I36+$K$35/3)</f>
        <v>76.53585239052549</v>
      </c>
      <c r="K36" s="385">
        <f>(H36+K35)</f>
        <v>89.44412132499183</v>
      </c>
      <c r="L36" s="384">
        <f>SUM(K36+$N$35/3)</f>
        <v>102.23765540243633</v>
      </c>
      <c r="M36" s="384">
        <f>SUM(L36+$N$35/3)</f>
        <v>115.03118947988084</v>
      </c>
      <c r="N36" s="385">
        <f>(K36+N35)</f>
        <v>127.82472355732533</v>
      </c>
      <c r="O36" s="458"/>
      <c r="P36" s="369"/>
      <c r="Q36" s="368"/>
    </row>
    <row r="37" spans="1:17" ht="14.25">
      <c r="A37" s="368"/>
      <c r="B37" s="456" t="s">
        <v>250</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75.29425012272583</v>
      </c>
      <c r="J37" s="384">
        <f>(H37+(K37-H37)*2/3)</f>
        <v>89.86918572385883</v>
      </c>
      <c r="K37" s="385">
        <f>(K36+15)</f>
        <v>104.44412132499183</v>
      </c>
      <c r="L37" s="384">
        <f>(K37+(N37-K37)/3)</f>
        <v>118.904322069103</v>
      </c>
      <c r="M37" s="384">
        <f>(K37+(N37-K37)*2/3)</f>
        <v>133.36452281321417</v>
      </c>
      <c r="N37" s="385">
        <f>(N36+20)</f>
        <v>147.82472355732534</v>
      </c>
      <c r="O37" s="458"/>
      <c r="P37" s="369"/>
      <c r="Q37" s="368"/>
    </row>
    <row r="38" spans="1:17" ht="15" thickBot="1">
      <c r="A38" s="368"/>
      <c r="B38" s="460" t="s">
        <v>251</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51.96091678939249</v>
      </c>
      <c r="J38" s="386">
        <f>H38+(K38-H38)*2/3</f>
        <v>63.20251905719216</v>
      </c>
      <c r="K38" s="387">
        <f>(K36-15)</f>
        <v>74.44412132499183</v>
      </c>
      <c r="L38" s="386">
        <f>K38+(N38-K38)/3</f>
        <v>85.57098873576966</v>
      </c>
      <c r="M38" s="386">
        <f>K38+(N38-K38)*2/3</f>
        <v>96.6978561465475</v>
      </c>
      <c r="N38" s="387">
        <f>(N36-20)</f>
        <v>107.82472355732533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7" t="s">
        <v>13</v>
      </c>
      <c r="C70" s="758"/>
      <c r="D70" s="758"/>
      <c r="E70" s="758"/>
      <c r="F70" s="758"/>
      <c r="G70" s="758"/>
      <c r="H70" s="758"/>
      <c r="I70" s="758"/>
      <c r="J70" s="758"/>
      <c r="K70" s="758"/>
      <c r="L70" s="758"/>
      <c r="M70" s="758"/>
      <c r="N70" s="758"/>
      <c r="O70" s="759"/>
      <c r="P70" s="369"/>
      <c r="Q70" s="368"/>
    </row>
    <row r="71" spans="1:17" ht="12.75" customHeight="1">
      <c r="A71" s="368"/>
      <c r="B71" s="757"/>
      <c r="C71" s="758"/>
      <c r="D71" s="758"/>
      <c r="E71" s="758"/>
      <c r="F71" s="758"/>
      <c r="G71" s="758"/>
      <c r="H71" s="758"/>
      <c r="I71" s="758"/>
      <c r="J71" s="758"/>
      <c r="K71" s="758"/>
      <c r="L71" s="758"/>
      <c r="M71" s="758"/>
      <c r="N71" s="758"/>
      <c r="O71" s="759"/>
      <c r="P71" s="369"/>
      <c r="Q71" s="368"/>
    </row>
    <row r="72" spans="1:17" ht="12.75" customHeight="1">
      <c r="A72" s="368"/>
      <c r="B72" s="757"/>
      <c r="C72" s="758"/>
      <c r="D72" s="758"/>
      <c r="E72" s="758"/>
      <c r="F72" s="758"/>
      <c r="G72" s="758"/>
      <c r="H72" s="758"/>
      <c r="I72" s="758"/>
      <c r="J72" s="758"/>
      <c r="K72" s="758"/>
      <c r="L72" s="758"/>
      <c r="M72" s="758"/>
      <c r="N72" s="758"/>
      <c r="O72" s="759"/>
      <c r="P72" s="369"/>
      <c r="Q72" s="368"/>
    </row>
    <row r="73" spans="1:17" ht="12.75" customHeight="1">
      <c r="A73" s="368"/>
      <c r="B73" s="757"/>
      <c r="C73" s="758"/>
      <c r="D73" s="758"/>
      <c r="E73" s="758"/>
      <c r="F73" s="758"/>
      <c r="G73" s="758"/>
      <c r="H73" s="758"/>
      <c r="I73" s="758"/>
      <c r="J73" s="758"/>
      <c r="K73" s="758"/>
      <c r="L73" s="758"/>
      <c r="M73" s="758"/>
      <c r="N73" s="758"/>
      <c r="O73" s="759"/>
      <c r="P73" s="369"/>
      <c r="Q73" s="368"/>
    </row>
    <row r="74" spans="1:17" ht="12.75" customHeight="1">
      <c r="A74" s="368"/>
      <c r="B74" s="757"/>
      <c r="C74" s="758"/>
      <c r="D74" s="758"/>
      <c r="E74" s="758"/>
      <c r="F74" s="758"/>
      <c r="G74" s="758"/>
      <c r="H74" s="758"/>
      <c r="I74" s="758"/>
      <c r="J74" s="758"/>
      <c r="K74" s="758"/>
      <c r="L74" s="758"/>
      <c r="M74" s="758"/>
      <c r="N74" s="758"/>
      <c r="O74" s="759"/>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236</v>
      </c>
      <c r="D78" s="733"/>
      <c r="E78" s="734"/>
      <c r="F78" s="732" t="s">
        <v>237</v>
      </c>
      <c r="G78" s="733"/>
      <c r="H78" s="735"/>
      <c r="I78" s="732" t="s">
        <v>238</v>
      </c>
      <c r="J78" s="733"/>
      <c r="K78" s="735"/>
      <c r="L78" s="732" t="s">
        <v>239</v>
      </c>
      <c r="M78" s="733"/>
      <c r="N78" s="734"/>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46</v>
      </c>
      <c r="P79" s="369"/>
      <c r="Q79" s="368"/>
    </row>
    <row r="80" spans="1:17" ht="14.25">
      <c r="A80" s="368"/>
      <c r="B80" s="473" t="s">
        <v>253</v>
      </c>
      <c r="C80" s="395">
        <v>750.51756</v>
      </c>
      <c r="D80" s="396">
        <v>631.807096</v>
      </c>
      <c r="E80" s="397">
        <v>461.04827800000004</v>
      </c>
      <c r="F80" s="398">
        <v>355.616003</v>
      </c>
      <c r="G80" s="399">
        <v>363.24194300000016</v>
      </c>
      <c r="H80" s="400">
        <v>344.79928500000005</v>
      </c>
      <c r="I80" s="398">
        <v>462.55138300000004</v>
      </c>
      <c r="J80" s="399">
        <v>522.284322</v>
      </c>
      <c r="K80" s="400">
        <v>514.976251</v>
      </c>
      <c r="L80" s="401"/>
      <c r="M80" s="402"/>
      <c r="N80" s="403"/>
      <c r="O80" s="474">
        <f>SUM(C80:N80)</f>
        <v>4406.842121</v>
      </c>
      <c r="P80" s="369"/>
      <c r="Q80" s="368"/>
    </row>
    <row r="81" spans="1:17" ht="14.25">
      <c r="A81" s="368"/>
      <c r="B81" s="473" t="s">
        <v>245</v>
      </c>
      <c r="C81" s="404">
        <f>C80</f>
        <v>750.51756</v>
      </c>
      <c r="D81" s="405">
        <f>+D80+C81</f>
        <v>1382.324656</v>
      </c>
      <c r="E81" s="406">
        <f>+E80+D81</f>
        <v>1843.372934</v>
      </c>
      <c r="F81" s="636">
        <f aca="true" t="shared" si="1" ref="F81:K81">IF(F80&gt;0,F80+E81,"")</f>
        <v>2198.988937</v>
      </c>
      <c r="G81" s="637">
        <f t="shared" si="1"/>
        <v>2562.23088</v>
      </c>
      <c r="H81" s="637">
        <f t="shared" si="1"/>
        <v>2907.030165</v>
      </c>
      <c r="I81" s="636">
        <f t="shared" si="1"/>
        <v>3369.581548</v>
      </c>
      <c r="J81" s="637">
        <f t="shared" si="1"/>
        <v>3891.86587</v>
      </c>
      <c r="K81" s="637">
        <f t="shared" si="1"/>
        <v>4406.842121</v>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880.2242628398172</v>
      </c>
      <c r="I82" s="407"/>
      <c r="J82" s="410"/>
      <c r="K82" s="411">
        <v>1364.95912130933</v>
      </c>
      <c r="L82" s="407"/>
      <c r="M82" s="412"/>
      <c r="N82" s="411">
        <v>1359.0201380438248</v>
      </c>
      <c r="O82" s="476">
        <f>E82+H82+K82+N82</f>
        <v>5222.521597064582</v>
      </c>
      <c r="P82" s="369"/>
      <c r="Q82" s="368"/>
    </row>
    <row r="83" spans="1:17" ht="14.25">
      <c r="A83" s="368"/>
      <c r="B83" s="473" t="s">
        <v>254</v>
      </c>
      <c r="C83" s="413"/>
      <c r="D83" s="414"/>
      <c r="E83" s="415">
        <f>E82</f>
        <v>1618.31807487161</v>
      </c>
      <c r="F83" s="416"/>
      <c r="G83" s="417"/>
      <c r="H83" s="418">
        <f>H82+E83</f>
        <v>2498.542337711427</v>
      </c>
      <c r="I83" s="416"/>
      <c r="J83" s="417"/>
      <c r="K83" s="418">
        <f>K82+H83</f>
        <v>3863.501459020757</v>
      </c>
      <c r="L83" s="416"/>
      <c r="M83" s="417"/>
      <c r="N83" s="418">
        <f>N82+K83</f>
        <v>5222.521597064582</v>
      </c>
      <c r="O83" s="477"/>
      <c r="P83" s="369"/>
      <c r="Q83" s="368"/>
    </row>
    <row r="84" spans="1:17" ht="15" thickBot="1">
      <c r="A84" s="368"/>
      <c r="B84" s="473" t="s">
        <v>246</v>
      </c>
      <c r="C84" s="792">
        <v>56.07010618387896</v>
      </c>
      <c r="D84" s="793">
        <v>55.41797620929257</v>
      </c>
      <c r="E84" s="794">
        <v>56.111972176808024</v>
      </c>
      <c r="F84" s="795">
        <v>53.31731545130294</v>
      </c>
      <c r="G84" s="796">
        <v>52.928151712463375</v>
      </c>
      <c r="H84" s="797">
        <v>52.35639162610761</v>
      </c>
      <c r="I84" s="795">
        <v>56.39762369612136</v>
      </c>
      <c r="J84" s="796">
        <v>60.11444187454422</v>
      </c>
      <c r="K84" s="797">
        <v>58.381885071161925</v>
      </c>
      <c r="L84" s="795">
        <v>57.1500184469536</v>
      </c>
      <c r="M84" s="796">
        <v>56.796875</v>
      </c>
      <c r="N84" s="797">
        <v>57.05</v>
      </c>
      <c r="O84" s="477"/>
      <c r="P84" s="369"/>
      <c r="Q84" s="368"/>
    </row>
    <row r="85" spans="1:17" ht="12.75">
      <c r="A85" s="368"/>
      <c r="B85" s="798"/>
      <c r="C85" s="799"/>
      <c r="D85" s="799"/>
      <c r="E85" s="800">
        <f>SUMPRODUCT(C80:E80,C84:E84)/E81</f>
        <v>55.85706296605374</v>
      </c>
      <c r="F85" s="799"/>
      <c r="G85" s="799"/>
      <c r="H85" s="799"/>
      <c r="I85" s="799"/>
      <c r="J85" s="799"/>
      <c r="K85" s="799"/>
      <c r="L85" s="801"/>
      <c r="M85" s="801"/>
      <c r="N85" s="801"/>
      <c r="O85" s="802"/>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236</v>
      </c>
      <c r="D109" s="733"/>
      <c r="E109" s="734"/>
      <c r="F109" s="732" t="s">
        <v>237</v>
      </c>
      <c r="G109" s="733"/>
      <c r="H109" s="735"/>
      <c r="I109" s="732" t="s">
        <v>238</v>
      </c>
      <c r="J109" s="733"/>
      <c r="K109" s="735"/>
      <c r="L109" s="732" t="s">
        <v>239</v>
      </c>
      <c r="M109" s="733"/>
      <c r="N109" s="734"/>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46</v>
      </c>
      <c r="P110" s="369"/>
      <c r="Q110" s="368"/>
    </row>
    <row r="111" spans="1:17" ht="14.25">
      <c r="A111" s="368"/>
      <c r="B111" s="473" t="s">
        <v>16</v>
      </c>
      <c r="C111" s="420">
        <v>1.5262585</v>
      </c>
      <c r="D111" s="421">
        <v>1.5173532000000007</v>
      </c>
      <c r="E111" s="422">
        <v>1.7104983</v>
      </c>
      <c r="F111" s="401">
        <v>3.7318413000000006</v>
      </c>
      <c r="G111" s="402">
        <v>3.0084605999999994</v>
      </c>
      <c r="H111" s="403">
        <v>1.2486462</v>
      </c>
      <c r="I111" s="401">
        <v>1.3986876999999995</v>
      </c>
      <c r="J111" s="402">
        <v>3.1269556000000005</v>
      </c>
      <c r="K111" s="403">
        <v>1.5543119000000003</v>
      </c>
      <c r="L111" s="401"/>
      <c r="M111" s="402"/>
      <c r="N111" s="403"/>
      <c r="O111" s="480">
        <f>SUM(C111:N111)</f>
        <v>18.823013300000003</v>
      </c>
      <c r="P111" s="369"/>
      <c r="Q111" s="368"/>
    </row>
    <row r="112" spans="1:17" ht="14.25">
      <c r="A112" s="368"/>
      <c r="B112" s="473" t="s">
        <v>17</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v>14.1417458</v>
      </c>
      <c r="J112" s="428">
        <f t="shared" si="2"/>
        <v>17.2687014</v>
      </c>
      <c r="K112" s="429">
        <f t="shared" si="2"/>
        <v>18.823013300000003</v>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254</v>
      </c>
      <c r="C114" s="416"/>
      <c r="D114" s="432"/>
      <c r="E114" s="433">
        <f>E113</f>
        <v>28.513770042796</v>
      </c>
      <c r="F114" s="416"/>
      <c r="G114" s="417"/>
      <c r="H114" s="434">
        <f>H113+E114</f>
        <v>29.949438125175885</v>
      </c>
      <c r="I114" s="416"/>
      <c r="J114" s="417"/>
      <c r="K114" s="434">
        <v>135</v>
      </c>
      <c r="L114" s="416"/>
      <c r="M114" s="417"/>
      <c r="N114" s="434">
        <f>N113+K114</f>
        <v>257.3505285812291</v>
      </c>
      <c r="O114" s="477"/>
      <c r="P114" s="369"/>
      <c r="Q114" s="368"/>
    </row>
    <row r="115" spans="1:17" ht="15" thickBot="1">
      <c r="A115" s="368"/>
      <c r="B115" s="473" t="s">
        <v>248</v>
      </c>
      <c r="C115" s="792">
        <v>56.540186344580555</v>
      </c>
      <c r="D115" s="793">
        <v>55.65319521555863</v>
      </c>
      <c r="E115" s="794">
        <v>62.1355133764237</v>
      </c>
      <c r="F115" s="803">
        <v>57.38097667171467</v>
      </c>
      <c r="G115" s="804">
        <v>48.28265134203633</v>
      </c>
      <c r="H115" s="805">
        <v>64.15119752032572</v>
      </c>
      <c r="I115" s="803">
        <v>57.91502746093163</v>
      </c>
      <c r="J115" s="804">
        <v>55.72873074132924</v>
      </c>
      <c r="K115" s="805">
        <v>54.921261298970954</v>
      </c>
      <c r="L115" s="803"/>
      <c r="M115" s="804"/>
      <c r="N115" s="805"/>
      <c r="O115" s="477"/>
      <c r="P115" s="369"/>
      <c r="Q115" s="368"/>
    </row>
    <row r="116" spans="1:20" ht="12.75">
      <c r="A116" s="368"/>
      <c r="B116" s="806"/>
      <c r="C116" s="807"/>
      <c r="D116" s="807"/>
      <c r="E116" s="807"/>
      <c r="F116" s="807"/>
      <c r="G116" s="807"/>
      <c r="H116" s="807"/>
      <c r="I116" s="807"/>
      <c r="J116" s="807"/>
      <c r="K116" s="807"/>
      <c r="L116" s="807"/>
      <c r="M116" s="807"/>
      <c r="N116" s="807"/>
      <c r="O116" s="808"/>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0"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B53" sqref="B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75</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70</v>
      </c>
      <c r="C6" s="722" t="s">
        <v>261</v>
      </c>
      <c r="D6" s="722"/>
      <c r="E6" s="722"/>
      <c r="F6" s="722"/>
      <c r="G6" s="722"/>
      <c r="H6" s="723"/>
      <c r="I6" s="317"/>
      <c r="J6" s="486"/>
      <c r="K6" s="487"/>
    </row>
    <row r="7" spans="2:8" ht="11.25">
      <c r="B7" s="245"/>
      <c r="C7" s="212"/>
      <c r="D7" s="212"/>
      <c r="E7" s="212"/>
      <c r="F7" s="212"/>
      <c r="G7" s="212"/>
      <c r="H7" s="246"/>
    </row>
    <row r="8" spans="2:8" ht="15">
      <c r="B8" s="245"/>
      <c r="C8" s="212"/>
      <c r="D8" s="212"/>
      <c r="E8" s="212"/>
      <c r="F8" s="212"/>
      <c r="G8" s="698" t="s">
        <v>159</v>
      </c>
      <c r="H8" s="700"/>
    </row>
    <row r="9" spans="2:8" ht="14.25">
      <c r="B9" s="245"/>
      <c r="C9" s="212"/>
      <c r="D9" s="212"/>
      <c r="E9" s="212"/>
      <c r="F9" s="212"/>
      <c r="G9" s="489"/>
      <c r="H9" s="504"/>
    </row>
    <row r="10" spans="2:8" ht="11.25" customHeight="1">
      <c r="B10" s="245"/>
      <c r="C10" s="212"/>
      <c r="D10" s="212"/>
      <c r="E10" s="212"/>
      <c r="F10" s="212"/>
      <c r="G10" s="678" t="s">
        <v>212</v>
      </c>
      <c r="H10" s="680"/>
    </row>
    <row r="11" spans="2:8" ht="14.25">
      <c r="B11" s="245"/>
      <c r="C11" s="212"/>
      <c r="D11" s="212"/>
      <c r="E11" s="212"/>
      <c r="F11" s="212"/>
      <c r="G11" s="490"/>
      <c r="H11" s="505"/>
    </row>
    <row r="12" spans="2:8" ht="11.25" customHeight="1">
      <c r="B12" s="245"/>
      <c r="C12" s="212"/>
      <c r="D12" s="212"/>
      <c r="E12" s="212"/>
      <c r="F12" s="212"/>
      <c r="G12" s="760" t="s">
        <v>279</v>
      </c>
      <c r="H12" s="761"/>
    </row>
    <row r="13" spans="2:8" ht="11.25" customHeight="1">
      <c r="B13" s="245"/>
      <c r="C13" s="212"/>
      <c r="D13" s="212"/>
      <c r="E13" s="212"/>
      <c r="F13" s="212"/>
      <c r="G13" s="760"/>
      <c r="H13" s="761"/>
    </row>
    <row r="14" spans="2:8" ht="11.25" customHeight="1">
      <c r="B14" s="245"/>
      <c r="C14" s="212"/>
      <c r="D14" s="212"/>
      <c r="E14" s="212"/>
      <c r="F14" s="212"/>
      <c r="G14" s="760"/>
      <c r="H14" s="761"/>
    </row>
    <row r="15" spans="2:8" ht="11.25" customHeight="1">
      <c r="B15" s="245"/>
      <c r="C15" s="212"/>
      <c r="D15" s="212"/>
      <c r="E15" s="212"/>
      <c r="F15" s="212"/>
      <c r="G15" s="760"/>
      <c r="H15" s="761"/>
    </row>
    <row r="16" spans="2:8" ht="11.25" customHeight="1">
      <c r="B16" s="245"/>
      <c r="C16" s="212"/>
      <c r="D16" s="212"/>
      <c r="E16" s="212"/>
      <c r="F16" s="212"/>
      <c r="G16" s="760"/>
      <c r="H16" s="761"/>
    </row>
    <row r="17" spans="2:8" ht="11.25" customHeight="1">
      <c r="B17" s="245"/>
      <c r="C17" s="212"/>
      <c r="D17" s="212"/>
      <c r="E17" s="212"/>
      <c r="F17" s="212"/>
      <c r="G17" s="760"/>
      <c r="H17" s="761"/>
    </row>
    <row r="18" spans="2:8" ht="11.25" customHeight="1">
      <c r="B18" s="245"/>
      <c r="C18" s="212"/>
      <c r="D18" s="212"/>
      <c r="E18" s="212"/>
      <c r="F18" s="212"/>
      <c r="G18" s="760"/>
      <c r="H18" s="761"/>
    </row>
    <row r="19" spans="2:8" ht="11.25" customHeight="1">
      <c r="B19" s="245"/>
      <c r="C19" s="212"/>
      <c r="D19" s="212"/>
      <c r="E19" s="212"/>
      <c r="F19" s="212"/>
      <c r="G19" s="760"/>
      <c r="H19" s="761"/>
    </row>
    <row r="20" spans="2:8" ht="11.25">
      <c r="B20" s="245"/>
      <c r="C20" s="212"/>
      <c r="D20" s="212"/>
      <c r="E20" s="212"/>
      <c r="F20" s="212"/>
      <c r="G20" s="762"/>
      <c r="H20" s="763"/>
    </row>
    <row r="21" spans="2:8" ht="11.25">
      <c r="B21" s="245"/>
      <c r="C21" s="212"/>
      <c r="D21" s="212"/>
      <c r="E21" s="212"/>
      <c r="F21" s="212"/>
      <c r="G21" s="762"/>
      <c r="H21" s="763"/>
    </row>
    <row r="22" spans="2:8" ht="11.25">
      <c r="B22" s="506"/>
      <c r="C22" s="146"/>
      <c r="D22" s="212"/>
      <c r="E22" s="212"/>
      <c r="F22" s="212"/>
      <c r="G22" s="762"/>
      <c r="H22" s="763"/>
    </row>
    <row r="23" spans="2:8" ht="11.25">
      <c r="B23" s="507"/>
      <c r="C23" s="137"/>
      <c r="D23" s="212"/>
      <c r="E23" s="212"/>
      <c r="F23" s="212"/>
      <c r="G23" s="762"/>
      <c r="H23" s="763"/>
    </row>
    <row r="24" spans="2:8" ht="11.25">
      <c r="B24" s="245"/>
      <c r="C24" s="212"/>
      <c r="D24" s="212"/>
      <c r="E24" s="212"/>
      <c r="F24" s="212"/>
      <c r="G24" s="762"/>
      <c r="H24" s="763"/>
    </row>
    <row r="25" spans="2:8" ht="11.25">
      <c r="B25" s="245"/>
      <c r="C25" s="212"/>
      <c r="D25" s="212"/>
      <c r="E25" s="212"/>
      <c r="F25" s="212"/>
      <c r="G25" s="762"/>
      <c r="H25" s="763"/>
    </row>
    <row r="26" spans="2:8" ht="11.25">
      <c r="B26" s="245"/>
      <c r="C26" s="212"/>
      <c r="D26" s="212"/>
      <c r="E26" s="212"/>
      <c r="F26" s="212"/>
      <c r="G26" s="762"/>
      <c r="H26" s="763"/>
    </row>
    <row r="27" spans="2:8" ht="11.25">
      <c r="B27" s="245"/>
      <c r="C27" s="212"/>
      <c r="D27" s="212"/>
      <c r="E27" s="212"/>
      <c r="F27" s="212"/>
      <c r="G27" s="764"/>
      <c r="H27" s="765"/>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9" t="s">
        <v>293</v>
      </c>
      <c r="C52" s="690"/>
      <c r="D52" s="690"/>
      <c r="E52" s="690"/>
      <c r="F52" s="690"/>
      <c r="G52" s="690"/>
      <c r="H52" s="691"/>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41</v>
      </c>
      <c r="C56" s="491" t="s">
        <v>266</v>
      </c>
      <c r="D56" s="491" t="s">
        <v>267</v>
      </c>
      <c r="E56" s="492" t="s">
        <v>15</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v>1.309</v>
      </c>
      <c r="D63" s="498">
        <v>0</v>
      </c>
      <c r="E63" s="330">
        <v>1050</v>
      </c>
      <c r="F63" s="212"/>
      <c r="G63" s="212"/>
      <c r="H63" s="246"/>
      <c r="K63" s="142"/>
      <c r="L63" s="499"/>
    </row>
    <row r="64" spans="2:12" ht="15.75">
      <c r="B64" s="305">
        <v>40848</v>
      </c>
      <c r="C64" s="498">
        <v>1.29</v>
      </c>
      <c r="D64" s="498">
        <v>0</v>
      </c>
      <c r="E64" s="330">
        <v>1050</v>
      </c>
      <c r="F64" s="212"/>
      <c r="G64" s="212"/>
      <c r="H64" s="246"/>
      <c r="K64" s="264"/>
      <c r="L64" s="499"/>
    </row>
    <row r="65" spans="2:12" ht="15.75">
      <c r="B65" s="305">
        <v>40878</v>
      </c>
      <c r="C65" s="498">
        <v>1.31</v>
      </c>
      <c r="D65" s="498">
        <v>0</v>
      </c>
      <c r="E65" s="330">
        <v>1050</v>
      </c>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C1">
      <selection activeCell="B71" sqref="B71:H79"/>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73</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70</v>
      </c>
      <c r="C6" s="770" t="s">
        <v>224</v>
      </c>
      <c r="D6" s="771"/>
      <c r="E6" s="771"/>
      <c r="F6" s="771"/>
      <c r="G6" s="771"/>
      <c r="H6" s="771"/>
      <c r="I6" s="771"/>
      <c r="J6" s="771"/>
      <c r="K6" s="771"/>
      <c r="L6" s="771"/>
      <c r="M6" s="771"/>
      <c r="N6" s="771"/>
      <c r="O6" s="771"/>
      <c r="P6" s="772"/>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8" t="s">
        <v>159</v>
      </c>
      <c r="K8" s="699"/>
      <c r="L8" s="699"/>
      <c r="M8" s="699"/>
      <c r="N8" s="699"/>
      <c r="O8" s="699"/>
      <c r="P8" s="700"/>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78" t="s">
        <v>213</v>
      </c>
      <c r="K10" s="679"/>
      <c r="L10" s="679"/>
      <c r="M10" s="679"/>
      <c r="N10" s="679"/>
      <c r="O10" s="679"/>
      <c r="P10" s="680"/>
    </row>
    <row r="11" spans="2:16" ht="11.25" customHeight="1">
      <c r="B11" s="232"/>
      <c r="C11" s="279"/>
      <c r="D11" s="279"/>
      <c r="E11" s="279"/>
      <c r="F11" s="279"/>
      <c r="G11" s="279"/>
      <c r="H11" s="279"/>
      <c r="I11" s="279"/>
      <c r="J11" s="678"/>
      <c r="K11" s="679"/>
      <c r="L11" s="679"/>
      <c r="M11" s="679"/>
      <c r="N11" s="679"/>
      <c r="O11" s="679"/>
      <c r="P11" s="680"/>
    </row>
    <row r="12" spans="2:16" ht="14.25" customHeight="1">
      <c r="B12" s="232"/>
      <c r="C12" s="279"/>
      <c r="D12" s="279"/>
      <c r="E12" s="279"/>
      <c r="F12" s="279"/>
      <c r="G12" s="279"/>
      <c r="H12" s="279"/>
      <c r="I12" s="279"/>
      <c r="J12" s="678"/>
      <c r="K12" s="679"/>
      <c r="L12" s="679"/>
      <c r="M12" s="679"/>
      <c r="N12" s="679"/>
      <c r="O12" s="679"/>
      <c r="P12" s="680"/>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81" t="s">
        <v>21</v>
      </c>
      <c r="K14" s="682"/>
      <c r="L14" s="682"/>
      <c r="M14" s="682"/>
      <c r="N14" s="682"/>
      <c r="O14" s="682"/>
      <c r="P14" s="683"/>
    </row>
    <row r="15" spans="2:16" ht="11.25" customHeight="1">
      <c r="B15" s="232"/>
      <c r="C15" s="279"/>
      <c r="D15" s="279"/>
      <c r="E15" s="279"/>
      <c r="F15" s="279"/>
      <c r="G15" s="279"/>
      <c r="H15" s="279"/>
      <c r="I15" s="279"/>
      <c r="J15" s="681"/>
      <c r="K15" s="682"/>
      <c r="L15" s="682"/>
      <c r="M15" s="682"/>
      <c r="N15" s="682"/>
      <c r="O15" s="682"/>
      <c r="P15" s="683"/>
    </row>
    <row r="16" spans="2:16" ht="11.25" customHeight="1">
      <c r="B16" s="232"/>
      <c r="C16" s="279"/>
      <c r="D16" s="279"/>
      <c r="E16" s="279"/>
      <c r="F16" s="279"/>
      <c r="G16" s="279"/>
      <c r="H16" s="279"/>
      <c r="I16" s="279"/>
      <c r="J16" s="681"/>
      <c r="K16" s="682"/>
      <c r="L16" s="682"/>
      <c r="M16" s="682"/>
      <c r="N16" s="682"/>
      <c r="O16" s="682"/>
      <c r="P16" s="683"/>
    </row>
    <row r="17" spans="2:16" ht="11.25" customHeight="1">
      <c r="B17" s="232"/>
      <c r="C17" s="279"/>
      <c r="D17" s="279"/>
      <c r="E17" s="279"/>
      <c r="F17" s="279"/>
      <c r="G17" s="279"/>
      <c r="H17" s="279"/>
      <c r="I17" s="279"/>
      <c r="J17" s="681"/>
      <c r="K17" s="682"/>
      <c r="L17" s="682"/>
      <c r="M17" s="682"/>
      <c r="N17" s="682"/>
      <c r="O17" s="682"/>
      <c r="P17" s="683"/>
    </row>
    <row r="18" spans="2:16" ht="14.25" customHeight="1">
      <c r="B18" s="232"/>
      <c r="C18" s="279"/>
      <c r="D18" s="279"/>
      <c r="E18" s="279"/>
      <c r="F18" s="279"/>
      <c r="G18" s="279"/>
      <c r="H18" s="279"/>
      <c r="I18" s="279"/>
      <c r="J18" s="681"/>
      <c r="K18" s="682"/>
      <c r="L18" s="682"/>
      <c r="M18" s="682"/>
      <c r="N18" s="682"/>
      <c r="O18" s="682"/>
      <c r="P18" s="683"/>
    </row>
    <row r="19" spans="2:16" ht="24.75" customHeight="1">
      <c r="B19" s="232"/>
      <c r="C19" s="279"/>
      <c r="D19" s="279"/>
      <c r="E19" s="279"/>
      <c r="F19" s="279"/>
      <c r="G19" s="279"/>
      <c r="H19" s="279"/>
      <c r="I19" s="279"/>
      <c r="J19" s="681"/>
      <c r="K19" s="682"/>
      <c r="L19" s="682"/>
      <c r="M19" s="682"/>
      <c r="N19" s="682"/>
      <c r="O19" s="682"/>
      <c r="P19" s="683"/>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8" t="s">
        <v>159</v>
      </c>
      <c r="K25" s="699"/>
      <c r="L25" s="699"/>
      <c r="M25" s="699"/>
      <c r="N25" s="699"/>
      <c r="O25" s="699"/>
      <c r="P25" s="700"/>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78" t="s">
        <v>214</v>
      </c>
      <c r="K27" s="679"/>
      <c r="L27" s="679"/>
      <c r="M27" s="679"/>
      <c r="N27" s="679"/>
      <c r="O27" s="679"/>
      <c r="P27" s="680"/>
    </row>
    <row r="28" spans="2:16" ht="11.25" customHeight="1">
      <c r="B28" s="232"/>
      <c r="C28" s="279"/>
      <c r="D28" s="279"/>
      <c r="E28" s="279"/>
      <c r="F28" s="279"/>
      <c r="G28" s="279"/>
      <c r="H28" s="279"/>
      <c r="I28" s="279"/>
      <c r="J28" s="678"/>
      <c r="K28" s="679"/>
      <c r="L28" s="679"/>
      <c r="M28" s="679"/>
      <c r="N28" s="679"/>
      <c r="O28" s="679"/>
      <c r="P28" s="680"/>
    </row>
    <row r="29" spans="2:16" ht="12.75" customHeight="1">
      <c r="B29" s="232"/>
      <c r="C29" s="279"/>
      <c r="D29" s="279"/>
      <c r="E29" s="279"/>
      <c r="F29" s="279"/>
      <c r="G29" s="279"/>
      <c r="H29" s="279"/>
      <c r="I29" s="279"/>
      <c r="J29" s="678"/>
      <c r="K29" s="679"/>
      <c r="L29" s="679"/>
      <c r="M29" s="679"/>
      <c r="N29" s="679"/>
      <c r="O29" s="679"/>
      <c r="P29" s="680"/>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81" t="s">
        <v>156</v>
      </c>
      <c r="K31" s="682"/>
      <c r="L31" s="682"/>
      <c r="M31" s="682"/>
      <c r="N31" s="682"/>
      <c r="O31" s="682"/>
      <c r="P31" s="683"/>
    </row>
    <row r="32" spans="2:16" ht="11.25" customHeight="1">
      <c r="B32" s="232"/>
      <c r="C32" s="279"/>
      <c r="D32" s="279"/>
      <c r="E32" s="279"/>
      <c r="F32" s="279"/>
      <c r="G32" s="279"/>
      <c r="H32" s="279"/>
      <c r="I32" s="279"/>
      <c r="J32" s="681"/>
      <c r="K32" s="682"/>
      <c r="L32" s="682"/>
      <c r="M32" s="682"/>
      <c r="N32" s="682"/>
      <c r="O32" s="682"/>
      <c r="P32" s="683"/>
    </row>
    <row r="33" spans="2:16" ht="11.25" customHeight="1">
      <c r="B33" s="232"/>
      <c r="C33" s="279"/>
      <c r="D33" s="279"/>
      <c r="E33" s="279"/>
      <c r="F33" s="279"/>
      <c r="G33" s="279"/>
      <c r="H33" s="279"/>
      <c r="I33" s="279"/>
      <c r="J33" s="681"/>
      <c r="K33" s="682"/>
      <c r="L33" s="682"/>
      <c r="M33" s="682"/>
      <c r="N33" s="682"/>
      <c r="O33" s="682"/>
      <c r="P33" s="683"/>
    </row>
    <row r="34" spans="2:16" ht="11.25" customHeight="1">
      <c r="B34" s="232"/>
      <c r="C34" s="279"/>
      <c r="D34" s="279"/>
      <c r="E34" s="279"/>
      <c r="F34" s="279"/>
      <c r="G34" s="279"/>
      <c r="H34" s="279"/>
      <c r="I34" s="279"/>
      <c r="J34" s="681"/>
      <c r="K34" s="682"/>
      <c r="L34" s="682"/>
      <c r="M34" s="682"/>
      <c r="N34" s="682"/>
      <c r="O34" s="682"/>
      <c r="P34" s="683"/>
    </row>
    <row r="35" spans="2:16" ht="11.25" customHeight="1">
      <c r="B35" s="232"/>
      <c r="C35" s="279"/>
      <c r="D35" s="279"/>
      <c r="E35" s="279"/>
      <c r="F35" s="279"/>
      <c r="G35" s="279"/>
      <c r="H35" s="279"/>
      <c r="I35" s="279"/>
      <c r="J35" s="681"/>
      <c r="K35" s="682"/>
      <c r="L35" s="682"/>
      <c r="M35" s="682"/>
      <c r="N35" s="682"/>
      <c r="O35" s="682"/>
      <c r="P35" s="683"/>
    </row>
    <row r="36" spans="2:16" ht="11.25" customHeight="1">
      <c r="B36" s="232"/>
      <c r="C36" s="279"/>
      <c r="D36" s="279"/>
      <c r="E36" s="279"/>
      <c r="F36" s="279"/>
      <c r="G36" s="279"/>
      <c r="H36" s="279"/>
      <c r="I36" s="279"/>
      <c r="J36" s="681"/>
      <c r="K36" s="682"/>
      <c r="L36" s="682"/>
      <c r="M36" s="682"/>
      <c r="N36" s="682"/>
      <c r="O36" s="682"/>
      <c r="P36" s="683"/>
    </row>
    <row r="37" spans="2:16" ht="11.25" customHeight="1">
      <c r="B37" s="232"/>
      <c r="C37" s="279"/>
      <c r="D37" s="279"/>
      <c r="E37" s="279"/>
      <c r="F37" s="279"/>
      <c r="G37" s="279"/>
      <c r="H37" s="279"/>
      <c r="I37" s="279"/>
      <c r="J37" s="681"/>
      <c r="K37" s="682"/>
      <c r="L37" s="682"/>
      <c r="M37" s="682"/>
      <c r="N37" s="682"/>
      <c r="O37" s="682"/>
      <c r="P37" s="683"/>
    </row>
    <row r="38" spans="2:16" ht="12.75" customHeight="1">
      <c r="B38" s="232"/>
      <c r="C38" s="279"/>
      <c r="D38" s="279"/>
      <c r="E38" s="279"/>
      <c r="F38" s="279"/>
      <c r="G38" s="279"/>
      <c r="H38" s="279"/>
      <c r="I38" s="279"/>
      <c r="J38" s="681"/>
      <c r="K38" s="682"/>
      <c r="L38" s="682"/>
      <c r="M38" s="682"/>
      <c r="N38" s="682"/>
      <c r="O38" s="682"/>
      <c r="P38" s="683"/>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77" t="s">
        <v>1</v>
      </c>
      <c r="C71" s="778"/>
      <c r="D71" s="778"/>
      <c r="E71" s="778"/>
      <c r="F71" s="778"/>
      <c r="G71" s="778"/>
      <c r="H71" s="778"/>
      <c r="I71" s="279"/>
      <c r="J71" s="775" t="s">
        <v>2</v>
      </c>
      <c r="K71" s="775"/>
      <c r="L71" s="775"/>
      <c r="M71" s="775"/>
      <c r="N71" s="775"/>
      <c r="O71" s="775"/>
      <c r="P71" s="776"/>
      <c r="Q71" s="134"/>
    </row>
    <row r="72" spans="2:17" ht="12.75" customHeight="1">
      <c r="B72" s="777"/>
      <c r="C72" s="778"/>
      <c r="D72" s="778"/>
      <c r="E72" s="778"/>
      <c r="F72" s="778"/>
      <c r="G72" s="778"/>
      <c r="H72" s="778"/>
      <c r="I72" s="279"/>
      <c r="J72" s="775"/>
      <c r="K72" s="775"/>
      <c r="L72" s="775"/>
      <c r="M72" s="775"/>
      <c r="N72" s="775"/>
      <c r="O72" s="775"/>
      <c r="P72" s="776"/>
      <c r="Q72" s="134"/>
    </row>
    <row r="73" spans="2:17" ht="12.75" customHeight="1">
      <c r="B73" s="777"/>
      <c r="C73" s="778"/>
      <c r="D73" s="778"/>
      <c r="E73" s="778"/>
      <c r="F73" s="778"/>
      <c r="G73" s="778"/>
      <c r="H73" s="778"/>
      <c r="I73" s="279"/>
      <c r="J73" s="775"/>
      <c r="K73" s="775"/>
      <c r="L73" s="775"/>
      <c r="M73" s="775"/>
      <c r="N73" s="775"/>
      <c r="O73" s="775"/>
      <c r="P73" s="776"/>
      <c r="Q73" s="134"/>
    </row>
    <row r="74" spans="2:17" ht="12.75" customHeight="1">
      <c r="B74" s="777"/>
      <c r="C74" s="778"/>
      <c r="D74" s="778"/>
      <c r="E74" s="778"/>
      <c r="F74" s="778"/>
      <c r="G74" s="778"/>
      <c r="H74" s="778"/>
      <c r="I74" s="279"/>
      <c r="J74" s="775"/>
      <c r="K74" s="775"/>
      <c r="L74" s="775"/>
      <c r="M74" s="775"/>
      <c r="N74" s="775"/>
      <c r="O74" s="775"/>
      <c r="P74" s="776"/>
      <c r="Q74" s="134"/>
    </row>
    <row r="75" spans="2:17" ht="12.75" customHeight="1">
      <c r="B75" s="777"/>
      <c r="C75" s="778"/>
      <c r="D75" s="778"/>
      <c r="E75" s="778"/>
      <c r="F75" s="778"/>
      <c r="G75" s="778"/>
      <c r="H75" s="778"/>
      <c r="I75" s="279"/>
      <c r="J75" s="775"/>
      <c r="K75" s="775"/>
      <c r="L75" s="775"/>
      <c r="M75" s="775"/>
      <c r="N75" s="775"/>
      <c r="O75" s="775"/>
      <c r="P75" s="776"/>
      <c r="Q75" s="134"/>
    </row>
    <row r="76" spans="2:17" ht="12.75" customHeight="1">
      <c r="B76" s="777"/>
      <c r="C76" s="778"/>
      <c r="D76" s="778"/>
      <c r="E76" s="778"/>
      <c r="F76" s="778"/>
      <c r="G76" s="778"/>
      <c r="H76" s="778"/>
      <c r="I76" s="279"/>
      <c r="J76" s="775"/>
      <c r="K76" s="775"/>
      <c r="L76" s="775"/>
      <c r="M76" s="775"/>
      <c r="N76" s="775"/>
      <c r="O76" s="775"/>
      <c r="P76" s="776"/>
      <c r="Q76" s="134"/>
    </row>
    <row r="77" spans="2:17" ht="12.75" customHeight="1">
      <c r="B77" s="777"/>
      <c r="C77" s="778"/>
      <c r="D77" s="778"/>
      <c r="E77" s="778"/>
      <c r="F77" s="778"/>
      <c r="G77" s="778"/>
      <c r="H77" s="778"/>
      <c r="I77" s="279"/>
      <c r="J77" s="775"/>
      <c r="K77" s="775"/>
      <c r="L77" s="775"/>
      <c r="M77" s="775"/>
      <c r="N77" s="775"/>
      <c r="O77" s="775"/>
      <c r="P77" s="776"/>
      <c r="Q77" s="134"/>
    </row>
    <row r="78" spans="2:17" ht="12.75" customHeight="1">
      <c r="B78" s="777"/>
      <c r="C78" s="778"/>
      <c r="D78" s="778"/>
      <c r="E78" s="778"/>
      <c r="F78" s="778"/>
      <c r="G78" s="778"/>
      <c r="H78" s="778"/>
      <c r="I78" s="279"/>
      <c r="J78" s="775"/>
      <c r="K78" s="775"/>
      <c r="L78" s="775"/>
      <c r="M78" s="775"/>
      <c r="N78" s="775"/>
      <c r="O78" s="775"/>
      <c r="P78" s="776"/>
      <c r="Q78" s="134"/>
    </row>
    <row r="79" spans="2:17" ht="12.75" customHeight="1">
      <c r="B79" s="777"/>
      <c r="C79" s="778"/>
      <c r="D79" s="778"/>
      <c r="E79" s="778"/>
      <c r="F79" s="778"/>
      <c r="G79" s="778"/>
      <c r="H79" s="778"/>
      <c r="I79" s="279"/>
      <c r="J79" s="775"/>
      <c r="K79" s="775"/>
      <c r="L79" s="775"/>
      <c r="M79" s="775"/>
      <c r="N79" s="775"/>
      <c r="O79" s="775"/>
      <c r="P79" s="776"/>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6" t="s">
        <v>59</v>
      </c>
      <c r="D82" s="767"/>
      <c r="E82" s="767"/>
      <c r="F82" s="767"/>
      <c r="G82" s="767"/>
      <c r="H82" s="767"/>
      <c r="I82" s="773"/>
      <c r="J82" s="766" t="s">
        <v>60</v>
      </c>
      <c r="K82" s="767"/>
      <c r="L82" s="767"/>
      <c r="M82" s="767"/>
      <c r="N82" s="767"/>
      <c r="O82" s="767"/>
      <c r="P82" s="774"/>
      <c r="Q82" s="314"/>
    </row>
    <row r="83" spans="2:17" ht="71.25">
      <c r="B83" s="558" t="s">
        <v>41</v>
      </c>
      <c r="C83" s="524" t="s">
        <v>62</v>
      </c>
      <c r="D83" s="525" t="s">
        <v>32</v>
      </c>
      <c r="E83" s="525" t="s">
        <v>33</v>
      </c>
      <c r="F83" s="525" t="s">
        <v>34</v>
      </c>
      <c r="G83" s="525" t="s">
        <v>190</v>
      </c>
      <c r="H83" s="525" t="s">
        <v>35</v>
      </c>
      <c r="I83" s="526" t="s">
        <v>36</v>
      </c>
      <c r="J83" s="524" t="s">
        <v>72</v>
      </c>
      <c r="K83" s="525" t="s">
        <v>37</v>
      </c>
      <c r="L83" s="525" t="s">
        <v>38</v>
      </c>
      <c r="M83" s="525" t="s">
        <v>165</v>
      </c>
      <c r="N83" s="525" t="s">
        <v>223</v>
      </c>
      <c r="O83" s="525" t="s">
        <v>39</v>
      </c>
      <c r="P83" s="559" t="s">
        <v>40</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v>-22672.8296</v>
      </c>
      <c r="D90" s="529">
        <f t="shared" si="0"/>
        <v>18101.596799999996</v>
      </c>
      <c r="E90" s="282">
        <f aca="true" t="shared" si="3" ref="E90:E95">IF(C90="","",C90/1000)</f>
        <v>-22.6728296</v>
      </c>
      <c r="F90" s="530">
        <f>IF(D90="","",D90/10^6)</f>
        <v>0.018101596799999994</v>
      </c>
      <c r="G90" s="280">
        <v>3.23</v>
      </c>
      <c r="H90" s="280">
        <v>0</v>
      </c>
      <c r="I90" s="336">
        <v>42.68</v>
      </c>
      <c r="J90" s="528">
        <v>-87209.54409999997</v>
      </c>
      <c r="K90" s="529">
        <f aca="true" t="shared" si="4" ref="K90:K95">IF(J90="","",J90+K89)</f>
        <v>84950.18520000004</v>
      </c>
      <c r="L90" s="530">
        <f aca="true" t="shared" si="5" ref="L90:L95">IF(J90="","",J90/1000)</f>
        <v>-87.20954409999997</v>
      </c>
      <c r="M90" s="338">
        <f>IF(K90="","",K90/1000000)</f>
        <v>0.08495018520000004</v>
      </c>
      <c r="N90" s="280">
        <v>3.93</v>
      </c>
      <c r="O90" s="280">
        <v>0.57</v>
      </c>
      <c r="P90" s="561">
        <v>15.56</v>
      </c>
      <c r="Q90" s="532"/>
    </row>
    <row r="91" spans="2:17" ht="14.25">
      <c r="B91" s="305">
        <v>40848</v>
      </c>
      <c r="C91" s="528">
        <v>15422.562600000001</v>
      </c>
      <c r="D91" s="529">
        <f>IF(C91="","",(C91+D90))</f>
        <v>33524.1594</v>
      </c>
      <c r="E91" s="282">
        <f t="shared" si="3"/>
        <v>15.422562600000001</v>
      </c>
      <c r="F91" s="530">
        <f>IF(D91="","",D91/10^6)</f>
        <v>0.033524159399999996</v>
      </c>
      <c r="G91" s="280">
        <v>1.05</v>
      </c>
      <c r="H91" s="280">
        <v>0</v>
      </c>
      <c r="I91" s="336">
        <v>7.99</v>
      </c>
      <c r="J91" s="528">
        <v>6228.170100000003</v>
      </c>
      <c r="K91" s="529">
        <f t="shared" si="4"/>
        <v>91178.35530000004</v>
      </c>
      <c r="L91" s="530">
        <f t="shared" si="5"/>
        <v>6.228170100000003</v>
      </c>
      <c r="M91" s="338">
        <f>IF(K91="","",K91/1000000)</f>
        <v>0.09117835530000004</v>
      </c>
      <c r="N91" s="280">
        <v>2.42</v>
      </c>
      <c r="O91" s="280">
        <v>0.03</v>
      </c>
      <c r="P91" s="561">
        <v>8.78</v>
      </c>
      <c r="Q91" s="532"/>
    </row>
    <row r="92" spans="2:17" ht="14.25">
      <c r="B92" s="305">
        <v>40878</v>
      </c>
      <c r="C92" s="528">
        <v>-7574.233</v>
      </c>
      <c r="D92" s="529">
        <f>IF(C92="","",(C92+D91))</f>
        <v>25949.926399999997</v>
      </c>
      <c r="E92" s="282">
        <f t="shared" si="3"/>
        <v>-7.574233</v>
      </c>
      <c r="F92" s="530">
        <f t="shared" si="1"/>
        <v>0.025949926399999997</v>
      </c>
      <c r="G92" s="280">
        <v>2.4</v>
      </c>
      <c r="H92" s="280">
        <v>0</v>
      </c>
      <c r="I92" s="336">
        <v>27.03</v>
      </c>
      <c r="J92" s="528">
        <v>22728.3884</v>
      </c>
      <c r="K92" s="529">
        <f t="shared" si="4"/>
        <v>113906.74370000004</v>
      </c>
      <c r="L92" s="530">
        <f t="shared" si="5"/>
        <v>22.7283884</v>
      </c>
      <c r="M92" s="338">
        <f t="shared" si="2"/>
        <v>0.11390674370000003</v>
      </c>
      <c r="N92" s="280">
        <v>2.29</v>
      </c>
      <c r="O92" s="280">
        <v>0.04</v>
      </c>
      <c r="P92" s="561">
        <v>9.3</v>
      </c>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6" t="s">
        <v>61</v>
      </c>
      <c r="D98" s="767"/>
      <c r="E98" s="767"/>
      <c r="F98" s="767"/>
      <c r="G98" s="767"/>
      <c r="H98" s="768"/>
      <c r="I98" s="768"/>
      <c r="J98" s="768"/>
      <c r="K98" s="768"/>
      <c r="L98" s="768"/>
      <c r="M98" s="769"/>
      <c r="N98" s="212"/>
      <c r="O98" s="212"/>
      <c r="P98" s="246"/>
      <c r="R98" s="212"/>
    </row>
    <row r="99" spans="2:18" ht="42.75">
      <c r="B99" s="558" t="s">
        <v>41</v>
      </c>
      <c r="C99" s="524" t="s">
        <v>43</v>
      </c>
      <c r="D99" s="525" t="s">
        <v>42</v>
      </c>
      <c r="E99" s="525" t="s">
        <v>42</v>
      </c>
      <c r="F99" s="538" t="s">
        <v>44</v>
      </c>
      <c r="G99" s="525" t="s">
        <v>45</v>
      </c>
      <c r="H99" s="525" t="s">
        <v>63</v>
      </c>
      <c r="I99" s="525" t="s">
        <v>86</v>
      </c>
      <c r="J99" s="538" t="s">
        <v>66</v>
      </c>
      <c r="K99" s="525" t="s">
        <v>67</v>
      </c>
      <c r="L99" s="525" t="s">
        <v>64</v>
      </c>
      <c r="M99" s="526" t="s">
        <v>65</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v>207963181.6</v>
      </c>
      <c r="D106" s="546">
        <v>721071888.4</v>
      </c>
      <c r="E106" s="540">
        <f aca="true" t="shared" si="6" ref="E106:E111">IF(D106="","",D106*-1)</f>
        <v>-721071888.4</v>
      </c>
      <c r="F106" s="289">
        <v>83</v>
      </c>
      <c r="G106" s="289">
        <v>-287</v>
      </c>
      <c r="H106" s="289">
        <v>6</v>
      </c>
      <c r="I106" s="541">
        <v>-13</v>
      </c>
      <c r="J106" s="542">
        <v>-25.5</v>
      </c>
      <c r="K106" s="542">
        <v>-62.05</v>
      </c>
      <c r="L106" s="542">
        <v>44.75</v>
      </c>
      <c r="M106" s="545">
        <v>63</v>
      </c>
      <c r="N106" s="212"/>
      <c r="O106" s="212"/>
      <c r="P106" s="246"/>
      <c r="R106" s="212"/>
    </row>
    <row r="107" spans="2:18" ht="14.25">
      <c r="B107" s="305">
        <v>40848</v>
      </c>
      <c r="C107" s="329">
        <v>342160392.5</v>
      </c>
      <c r="D107" s="546">
        <v>125991222.89999999</v>
      </c>
      <c r="E107" s="540">
        <f t="shared" si="6"/>
        <v>-125991222.89999999</v>
      </c>
      <c r="F107" s="289">
        <v>121</v>
      </c>
      <c r="G107" s="289">
        <v>-53</v>
      </c>
      <c r="H107" s="289">
        <v>9</v>
      </c>
      <c r="I107" s="541">
        <v>-6</v>
      </c>
      <c r="J107" s="542">
        <v>-51.25</v>
      </c>
      <c r="K107" s="542">
        <v>-60.65</v>
      </c>
      <c r="L107" s="542">
        <v>54.6</v>
      </c>
      <c r="M107" s="545">
        <v>63.5</v>
      </c>
      <c r="N107" s="212"/>
      <c r="O107" s="212"/>
      <c r="P107" s="246"/>
      <c r="R107" s="212"/>
    </row>
    <row r="108" spans="2:18" ht="14.25">
      <c r="B108" s="305">
        <v>40878</v>
      </c>
      <c r="C108" s="329">
        <v>250136098.5</v>
      </c>
      <c r="D108" s="546">
        <v>285216697.2</v>
      </c>
      <c r="E108" s="540">
        <f t="shared" si="6"/>
        <v>-285216697.2</v>
      </c>
      <c r="F108" s="289">
        <v>94</v>
      </c>
      <c r="G108" s="289">
        <v>-136</v>
      </c>
      <c r="H108" s="289">
        <v>11</v>
      </c>
      <c r="I108" s="541">
        <v>-9</v>
      </c>
      <c r="J108" s="542">
        <v>-36</v>
      </c>
      <c r="K108" s="542">
        <v>-58.5</v>
      </c>
      <c r="L108" s="542">
        <v>52.95</v>
      </c>
      <c r="M108" s="545">
        <v>60</v>
      </c>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J27:P29"/>
    <mergeCell ref="J31:P38"/>
    <mergeCell ref="C98:M98"/>
    <mergeCell ref="C6:P6"/>
    <mergeCell ref="C82:I82"/>
    <mergeCell ref="J82:P82"/>
    <mergeCell ref="J25:P25"/>
    <mergeCell ref="J8:P8"/>
    <mergeCell ref="J10:P12"/>
    <mergeCell ref="J71:P79"/>
    <mergeCell ref="B71:H79"/>
    <mergeCell ref="J14:P19"/>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2" sqref="B2"/>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70</v>
      </c>
      <c r="C6" s="783" t="s">
        <v>273</v>
      </c>
      <c r="D6" s="783"/>
      <c r="E6" s="783"/>
      <c r="F6" s="783"/>
      <c r="G6" s="783"/>
      <c r="H6" s="783"/>
      <c r="I6" s="784"/>
    </row>
    <row r="7" spans="2:9" ht="11.25">
      <c r="B7" s="245"/>
      <c r="C7" s="300"/>
      <c r="D7" s="212"/>
      <c r="E7" s="212"/>
      <c r="F7" s="212"/>
      <c r="G7" s="212"/>
      <c r="H7" s="212"/>
      <c r="I7" s="246"/>
    </row>
    <row r="8" spans="2:9" ht="15">
      <c r="B8" s="245"/>
      <c r="C8" s="300"/>
      <c r="D8" s="212"/>
      <c r="E8" s="212"/>
      <c r="F8" s="698" t="s">
        <v>159</v>
      </c>
      <c r="G8" s="699"/>
      <c r="H8" s="699"/>
      <c r="I8" s="700"/>
    </row>
    <row r="9" spans="2:9" ht="14.25">
      <c r="B9" s="245"/>
      <c r="C9" s="300"/>
      <c r="D9" s="212"/>
      <c r="E9" s="212"/>
      <c r="F9" s="489"/>
      <c r="G9" s="568"/>
      <c r="H9" s="568"/>
      <c r="I9" s="228"/>
    </row>
    <row r="10" spans="2:9" ht="11.25">
      <c r="B10" s="245"/>
      <c r="C10" s="300"/>
      <c r="D10" s="212"/>
      <c r="E10" s="212"/>
      <c r="F10" s="678" t="s">
        <v>215</v>
      </c>
      <c r="G10" s="679"/>
      <c r="H10" s="679"/>
      <c r="I10" s="680"/>
    </row>
    <row r="11" spans="2:9" ht="15.75" customHeight="1">
      <c r="B11" s="245"/>
      <c r="C11" s="300"/>
      <c r="D11" s="212"/>
      <c r="E11" s="212"/>
      <c r="F11" s="678"/>
      <c r="G11" s="679"/>
      <c r="H11" s="679"/>
      <c r="I11" s="680"/>
    </row>
    <row r="12" spans="2:9" ht="14.25">
      <c r="B12" s="245"/>
      <c r="C12" s="300"/>
      <c r="D12" s="212"/>
      <c r="E12" s="212"/>
      <c r="F12" s="148"/>
      <c r="G12" s="149"/>
      <c r="H12" s="569"/>
      <c r="I12" s="582"/>
    </row>
    <row r="13" spans="2:9" ht="11.25" customHeight="1">
      <c r="B13" s="245"/>
      <c r="C13" s="300"/>
      <c r="D13" s="212"/>
      <c r="E13" s="212"/>
      <c r="F13" s="780" t="s">
        <v>274</v>
      </c>
      <c r="G13" s="781"/>
      <c r="H13" s="781"/>
      <c r="I13" s="782"/>
    </row>
    <row r="14" spans="2:9" ht="11.25" customHeight="1">
      <c r="B14" s="245"/>
      <c r="C14" s="300"/>
      <c r="D14" s="212"/>
      <c r="E14" s="212"/>
      <c r="F14" s="780"/>
      <c r="G14" s="781"/>
      <c r="H14" s="781"/>
      <c r="I14" s="782"/>
    </row>
    <row r="15" spans="2:9" ht="11.25" customHeight="1">
      <c r="B15" s="245"/>
      <c r="C15" s="300"/>
      <c r="D15" s="212"/>
      <c r="E15" s="212"/>
      <c r="F15" s="780"/>
      <c r="G15" s="781"/>
      <c r="H15" s="781"/>
      <c r="I15" s="782"/>
    </row>
    <row r="16" spans="2:9" ht="11.25" customHeight="1">
      <c r="B16" s="245"/>
      <c r="C16" s="300"/>
      <c r="D16" s="212"/>
      <c r="E16" s="212"/>
      <c r="F16" s="780"/>
      <c r="G16" s="781"/>
      <c r="H16" s="781"/>
      <c r="I16" s="782"/>
    </row>
    <row r="17" spans="2:9" ht="11.25" customHeight="1">
      <c r="B17" s="245"/>
      <c r="C17" s="300"/>
      <c r="D17" s="212"/>
      <c r="E17" s="212"/>
      <c r="F17" s="780"/>
      <c r="G17" s="781"/>
      <c r="H17" s="781"/>
      <c r="I17" s="782"/>
    </row>
    <row r="18" spans="2:9" ht="11.25" customHeight="1">
      <c r="B18" s="245"/>
      <c r="C18" s="300"/>
      <c r="D18" s="212"/>
      <c r="E18" s="212"/>
      <c r="F18" s="780"/>
      <c r="G18" s="781"/>
      <c r="H18" s="781"/>
      <c r="I18" s="782"/>
    </row>
    <row r="19" spans="2:9" ht="21.75" customHeight="1">
      <c r="B19" s="245"/>
      <c r="C19" s="300"/>
      <c r="D19" s="212"/>
      <c r="E19" s="212"/>
      <c r="F19" s="780"/>
      <c r="G19" s="781"/>
      <c r="H19" s="781"/>
      <c r="I19" s="782"/>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9" t="s">
        <v>5</v>
      </c>
      <c r="C50" s="775"/>
      <c r="D50" s="775"/>
      <c r="E50" s="775"/>
      <c r="F50" s="775"/>
      <c r="G50" s="775"/>
      <c r="H50" s="775"/>
      <c r="I50" s="776"/>
    </row>
    <row r="51" spans="2:9" ht="11.25" customHeight="1">
      <c r="B51" s="779"/>
      <c r="C51" s="775"/>
      <c r="D51" s="775"/>
      <c r="E51" s="775"/>
      <c r="F51" s="775"/>
      <c r="G51" s="775"/>
      <c r="H51" s="775"/>
      <c r="I51" s="776"/>
    </row>
    <row r="52" spans="2:9" ht="11.25" customHeight="1">
      <c r="B52" s="779"/>
      <c r="C52" s="775"/>
      <c r="D52" s="775"/>
      <c r="E52" s="775"/>
      <c r="F52" s="775"/>
      <c r="G52" s="775"/>
      <c r="H52" s="775"/>
      <c r="I52" s="776"/>
    </row>
    <row r="53" spans="2:9" ht="11.25" customHeight="1">
      <c r="B53" s="779"/>
      <c r="C53" s="775"/>
      <c r="D53" s="775"/>
      <c r="E53" s="775"/>
      <c r="F53" s="775"/>
      <c r="G53" s="775"/>
      <c r="H53" s="775"/>
      <c r="I53" s="776"/>
    </row>
    <row r="54" spans="2:9" ht="11.25" customHeight="1">
      <c r="B54" s="779"/>
      <c r="C54" s="775"/>
      <c r="D54" s="775"/>
      <c r="E54" s="775"/>
      <c r="F54" s="775"/>
      <c r="G54" s="775"/>
      <c r="H54" s="775"/>
      <c r="I54" s="776"/>
    </row>
    <row r="55" spans="2:9" ht="11.25" customHeight="1">
      <c r="B55" s="779"/>
      <c r="C55" s="775"/>
      <c r="D55" s="775"/>
      <c r="E55" s="775"/>
      <c r="F55" s="775"/>
      <c r="G55" s="775"/>
      <c r="H55" s="775"/>
      <c r="I55" s="776"/>
    </row>
    <row r="56" spans="2:9" ht="11.25" customHeight="1">
      <c r="B56" s="779"/>
      <c r="C56" s="775"/>
      <c r="D56" s="775"/>
      <c r="E56" s="775"/>
      <c r="F56" s="775"/>
      <c r="G56" s="775"/>
      <c r="H56" s="775"/>
      <c r="I56" s="776"/>
    </row>
    <row r="57" spans="2:9" ht="11.25" customHeight="1">
      <c r="B57" s="779"/>
      <c r="C57" s="775"/>
      <c r="D57" s="775"/>
      <c r="E57" s="775"/>
      <c r="F57" s="775"/>
      <c r="G57" s="775"/>
      <c r="H57" s="775"/>
      <c r="I57" s="776"/>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41</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178.54401789831002</v>
      </c>
      <c r="D66" s="577">
        <f aca="true" t="shared" si="0" ref="D66:D73">IF(C66&gt;0,C66+D65,"")</f>
        <v>1013.183813711138</v>
      </c>
      <c r="E66" s="328"/>
      <c r="F66" s="328"/>
      <c r="G66" s="328"/>
      <c r="H66" s="328"/>
      <c r="I66" s="585"/>
      <c r="J66" s="279"/>
    </row>
    <row r="67" spans="2:10" ht="14.25">
      <c r="B67" s="305">
        <v>40787</v>
      </c>
      <c r="C67" s="182">
        <v>230.28100817757914</v>
      </c>
      <c r="D67" s="577">
        <f t="shared" si="0"/>
        <v>1243.464821888717</v>
      </c>
      <c r="E67" s="328"/>
      <c r="F67" s="328"/>
      <c r="G67" s="328"/>
      <c r="H67" s="328"/>
      <c r="I67" s="585"/>
      <c r="J67" s="279"/>
    </row>
    <row r="68" spans="2:9" ht="14.25">
      <c r="B68" s="305">
        <v>40817</v>
      </c>
      <c r="C68" s="182">
        <v>225.43571221</v>
      </c>
      <c r="D68" s="577">
        <f>IF(C68&gt;0,C68+D67,"")</f>
        <v>1468.9005340987171</v>
      </c>
      <c r="E68" s="328"/>
      <c r="F68" s="328"/>
      <c r="G68" s="328"/>
      <c r="H68" s="578"/>
      <c r="I68" s="586"/>
    </row>
    <row r="69" spans="2:9" ht="14.25">
      <c r="B69" s="305">
        <v>40848</v>
      </c>
      <c r="C69" s="182">
        <v>273.94637959999994</v>
      </c>
      <c r="D69" s="577">
        <f>IF(C69&gt;0,C69+D68,"")</f>
        <v>1742.8469136987171</v>
      </c>
      <c r="E69" s="328"/>
      <c r="F69" s="328"/>
      <c r="G69" s="328"/>
      <c r="H69" s="578"/>
      <c r="I69" s="586"/>
    </row>
    <row r="70" spans="2:10" ht="14.25">
      <c r="B70" s="305">
        <v>40878</v>
      </c>
      <c r="C70" s="182">
        <v>360.17</v>
      </c>
      <c r="D70" s="577">
        <f>IF(C70&gt;0,C70+D69,"")</f>
        <v>2103.016913698717</v>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2103.016913698717</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2012-02-03T09:26:30Z</cp:lastPrinted>
  <dcterms:created xsi:type="dcterms:W3CDTF">2010-09-06T06:56:51Z</dcterms:created>
  <dcterms:modified xsi:type="dcterms:W3CDTF">2012-03-09T13:56:30Z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