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7.xml" ContentType="application/vnd.openxmlformats-officedocument.drawing+xml"/>
  <Override PartName="/xl/ctrlProps/ctrlProp19.xml" ContentType="application/vnd.ms-excel.controlproperties+xml"/>
  <Override PartName="/xl/drawings/drawing8.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9.xml" ContentType="application/vnd.openxmlformats-officedocument.drawing+xml"/>
  <Override PartName="/xl/ctrlProps/ctrlProp22.xml" ContentType="application/vnd.ms-excel.controlproperties+xml"/>
  <Override PartName="/xl/drawings/drawing10.xml" ContentType="application/vnd.openxmlformats-officedocument.drawing+xml"/>
  <Override PartName="/xl/ctrlProps/ctrlProp23.xml" ContentType="application/vnd.ms-excel.controlproperties+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codeName="{F2B83AC3-3A92-4FF1-8D57-CA5CB3A19BB1}"/>
  <workbookPr filterPrivacy="1" codeName="ThisWorkbook" defaultThemeVersion="124226"/>
  <bookViews>
    <workbookView xWindow="0" yWindow="0" windowWidth="20490" windowHeight="9900" tabRatio="871"/>
  </bookViews>
  <sheets>
    <sheet name="Front Sheet" sheetId="50" r:id="rId1"/>
    <sheet name="Tariff Network Code Calculation" sheetId="39" state="hidden" r:id="rId2"/>
    <sheet name="Drop Down Inputs" sheetId="41" state="hidden" r:id="rId3"/>
    <sheet name="Revenue Input" sheetId="1" state="hidden" r:id="rId4"/>
    <sheet name="User Inputs" sheetId="32" r:id="rId5"/>
    <sheet name="Entry Interruption Prob's" sheetId="45" state="hidden" r:id="rId6"/>
    <sheet name="Exit Interruption Prob's" sheetId="46" state="hidden" r:id="rId7"/>
    <sheet name="Locations &amp; Types" sheetId="33" state="hidden" r:id="rId8"/>
    <sheet name="Existing Contracts - Entry" sheetId="35" r:id="rId9"/>
    <sheet name="18-19 FCC - Entry" sheetId="52" state="hidden" r:id="rId10"/>
    <sheet name="19-20 FCC - Entry" sheetId="53" state="hidden" r:id="rId11"/>
    <sheet name="20-21 FCC - Entry" sheetId="66" r:id="rId12"/>
    <sheet name="21-22 FCC - Entry" sheetId="67" r:id="rId13"/>
    <sheet name="22-23 FCC - Entry" sheetId="79" r:id="rId14"/>
    <sheet name="18-19 FCC - Exit" sheetId="55" state="hidden" r:id="rId15"/>
    <sheet name="19-20 FCC - Exit" sheetId="56" state="hidden" r:id="rId16"/>
    <sheet name="23-24 FCC - Entry" sheetId="87" r:id="rId17"/>
    <sheet name="24-25 FCC - Entry" sheetId="89" r:id="rId18"/>
    <sheet name="20-21 FCC - Exit" sheetId="68" r:id="rId19"/>
    <sheet name="21-22 FCC - Exit" sheetId="69" r:id="rId20"/>
    <sheet name="22-23 FCC - Exit" sheetId="80" r:id="rId21"/>
    <sheet name="23-24 FCC - Exit" sheetId="88" r:id="rId22"/>
    <sheet name="24-25 FCC - Exit" sheetId="90" r:id="rId23"/>
    <sheet name="Distance Matrix" sheetId="2" state="hidden" r:id="rId24"/>
    <sheet name="Distances En-En" sheetId="47" state="hidden" r:id="rId25"/>
    <sheet name="Distances Ex-Ex" sheetId="48" state="hidden" r:id="rId26"/>
    <sheet name="Nearest Location Prices" sheetId="49" state="hidden" r:id="rId27"/>
    <sheet name="Entry Capacity Split" sheetId="64" r:id="rId28"/>
    <sheet name="Exit Capacity Split" sheetId="65" r:id="rId29"/>
    <sheet name="Entry Prices" sheetId="19" r:id="rId30"/>
    <sheet name="Exit Prices" sheetId="18" r:id="rId31"/>
    <sheet name="Entry Anticipated Rev. Recovery" sheetId="43" r:id="rId32"/>
    <sheet name="Exit Anticipated Rev. Recovery" sheetId="44" r:id="rId33"/>
    <sheet name="Entry Prices Summary" sheetId="76" r:id="rId34"/>
    <sheet name="Exit Prices Summary" sheetId="78" r:id="rId35"/>
    <sheet name="Anticipated Entry Bookings" sheetId="37" state="hidden" r:id="rId36"/>
    <sheet name="Anticipated Exit Bookings" sheetId="38" state="hidden" r:id="rId37"/>
  </sheets>
  <externalReferences>
    <externalReference r:id="rId38"/>
  </externalReferences>
  <definedNames>
    <definedName name="_xlnm._FilterDatabase" localSheetId="18" hidden="1">'20-21 FCC - Exit'!$A$2:$C$231</definedName>
    <definedName name="_xlnm._FilterDatabase" localSheetId="6" hidden="1">'Exit Interruption Prob''s'!$A$1:$F$222</definedName>
    <definedName name="Adjustment_Types" localSheetId="27">'[1]Drop Down Inputs'!$C$2:$C$6</definedName>
    <definedName name="Adjustment_Types" localSheetId="28">'[1]Drop Down Inputs'!$C$2:$C$6</definedName>
    <definedName name="Adjustment_Types">'Drop Down Inputs'!$C$2:$C$6</definedName>
    <definedName name="Entry_Adjustment_Denominators" localSheetId="27">'[1]Drop Down Inputs'!$A$23:$A$26</definedName>
    <definedName name="Entry_Adjustment_Denominators" localSheetId="28">'[1]Drop Down Inputs'!$A$23:$A$26</definedName>
    <definedName name="Entry_Adjustment_Denominators">'Drop Down Inputs'!$A$30:$A$33</definedName>
    <definedName name="Entry_Booking_Scenarios" localSheetId="27">'[1]Anticipated Entry Bookings'!$C$1:$G$1</definedName>
    <definedName name="Entry_Booking_Scenarios" localSheetId="28">'[1]Anticipated Entry Bookings'!$C$1:$G$1</definedName>
    <definedName name="Entry_Booking_Scenarios">'Anticipated Entry Bookings'!$C$1:$C$1</definedName>
    <definedName name="Entry_CRRC_Denominators" localSheetId="27">'[1]Drop Down Inputs'!$A$2:$A$5</definedName>
    <definedName name="Entry_CRRC_Denominators" localSheetId="28">'[1]Drop Down Inputs'!$A$2:$A$5</definedName>
    <definedName name="Entry_CRRC_Denominators">'Drop Down Inputs'!$A$2:$A$5</definedName>
    <definedName name="Entry_Flow_Scenarios" localSheetId="27">'[1]Drop Down Inputs'!$I$2:$I$3</definedName>
    <definedName name="Entry_Flow_Scenarios" localSheetId="28">'[1]Drop Down Inputs'!$I$2:$I$3</definedName>
    <definedName name="Entry_Flow_Scenarios">'Drop Down Inputs'!$I$2:$I$3</definedName>
    <definedName name="Entry_Forecast_Inputs">'Drop Down Inputs'!$A$37:$A21</definedName>
    <definedName name="Entry_Forecast_Scenarios" localSheetId="27">'[1]16-17 FCC - Entry'!$C$1:$F$1</definedName>
    <definedName name="Entry_Forecast_Scenarios" localSheetId="28">'[1]16-17 FCC - Entry'!$C$1:$F$1</definedName>
    <definedName name="Exit_Adjustment_Denominators" localSheetId="27">'[1]Drop Down Inputs'!$C$23:$C$26</definedName>
    <definedName name="Exit_Adjustment_Denominators" localSheetId="28">'[1]Drop Down Inputs'!$C$23:$C$26</definedName>
    <definedName name="Exit_Adjustment_Denominators">'Drop Down Inputs'!$C$30:$C$33</definedName>
    <definedName name="Exit_Booking_Scenarios" localSheetId="27">'[1]Anticipated Exit Bookings'!$B$1:$F$1</definedName>
    <definedName name="Exit_Booking_Scenarios" localSheetId="28">'[1]Anticipated Exit Bookings'!$B$1:$F$1</definedName>
    <definedName name="Exit_Booking_Scenarios">'Anticipated Exit Bookings'!$C$1:$C$1</definedName>
    <definedName name="Exit_CRRC_Denominators" localSheetId="27">'[1]Drop Down Inputs'!$E$2:$E$5</definedName>
    <definedName name="Exit_CRRC_Denominators" localSheetId="28">'[1]Drop Down Inputs'!$E$2:$E$5</definedName>
    <definedName name="Exit_CRRC_Denominators">'Drop Down Inputs'!$E$2:$E$5</definedName>
    <definedName name="Exit_Flow_Scenarios" localSheetId="27">'[1]Drop Down Inputs'!$K$2:$K$3</definedName>
    <definedName name="Exit_Flow_Scenarios" localSheetId="28">'[1]Drop Down Inputs'!$K$2:$K$3</definedName>
    <definedName name="Exit_Flow_Scenarios">'Drop Down Inputs'!$K$2:$K$3</definedName>
    <definedName name="Exit_Forecast_Inputs">'Drop Down Inputs'!$B$37:$B$37</definedName>
    <definedName name="Exit_Forecast_Scenarios" localSheetId="27">'[1]16-17 FCC - Exit'!$C$1:$F$1</definedName>
    <definedName name="Exit_Forecast_Scenarios" localSheetId="28">'[1]16-17 FCC - Exit'!$C$1:$F$1</definedName>
    <definedName name="Gas_Year" localSheetId="27">'[1]Drop Down Inputs'!$A$15:$A$18</definedName>
    <definedName name="Gas_Year" localSheetId="28">'[1]Drop Down Inputs'!$A$15:$A$18</definedName>
    <definedName name="Gas_Year">'Drop Down Inputs'!$A$15:$A$27</definedName>
    <definedName name="Model_Type">'Drop Down Inputs'!$M$2:$M$3</definedName>
    <definedName name="solver_adj" localSheetId="31" hidden="1">'Entry Anticipated Rev. Recovery'!#REF!</definedName>
    <definedName name="solver_adj" localSheetId="32" hidden="1">'Exit Anticipated Rev. Recovery'!$C$17</definedName>
    <definedName name="solver_adj" localSheetId="4" hidden="1">'User Inputs'!$D$64</definedName>
    <definedName name="solver_cvg" localSheetId="31" hidden="1">0.0001</definedName>
    <definedName name="solver_cvg" localSheetId="32" hidden="1">0.0001</definedName>
    <definedName name="solver_cvg" localSheetId="4" hidden="1">0.0001</definedName>
    <definedName name="solver_drv" localSheetId="31" hidden="1">2</definedName>
    <definedName name="solver_drv" localSheetId="32" hidden="1">1</definedName>
    <definedName name="solver_drv" localSheetId="4" hidden="1">2</definedName>
    <definedName name="solver_eng" localSheetId="31" hidden="1">1</definedName>
    <definedName name="solver_eng" localSheetId="32" hidden="1">1</definedName>
    <definedName name="solver_eng" localSheetId="4" hidden="1">1</definedName>
    <definedName name="solver_est" localSheetId="31" hidden="1">1</definedName>
    <definedName name="solver_est" localSheetId="32" hidden="1">1</definedName>
    <definedName name="solver_itr" localSheetId="31" hidden="1">2147483647</definedName>
    <definedName name="solver_itr" localSheetId="32" hidden="1">2147483647</definedName>
    <definedName name="solver_lin" localSheetId="4" hidden="1">2</definedName>
    <definedName name="solver_mip" localSheetId="31" hidden="1">2147483647</definedName>
    <definedName name="solver_mip" localSheetId="32" hidden="1">2147483647</definedName>
    <definedName name="solver_mni" localSheetId="31" hidden="1">30</definedName>
    <definedName name="solver_mni" localSheetId="32" hidden="1">30</definedName>
    <definedName name="solver_mrt" localSheetId="31" hidden="1">0.075</definedName>
    <definedName name="solver_mrt" localSheetId="32" hidden="1">0.075</definedName>
    <definedName name="solver_msl" localSheetId="31" hidden="1">2</definedName>
    <definedName name="solver_msl" localSheetId="32" hidden="1">2</definedName>
    <definedName name="solver_neg" localSheetId="31" hidden="1">2</definedName>
    <definedName name="solver_neg" localSheetId="32" hidden="1">2</definedName>
    <definedName name="solver_neg" localSheetId="4" hidden="1">2</definedName>
    <definedName name="solver_nod" localSheetId="31" hidden="1">2147483647</definedName>
    <definedName name="solver_nod" localSheetId="32" hidden="1">2147483647</definedName>
    <definedName name="solver_num" localSheetId="31" hidden="1">0</definedName>
    <definedName name="solver_num" localSheetId="32" hidden="1">0</definedName>
    <definedName name="solver_num" localSheetId="4" hidden="1">0</definedName>
    <definedName name="solver_nwt" localSheetId="31" hidden="1">1</definedName>
    <definedName name="solver_nwt" localSheetId="32" hidden="1">1</definedName>
    <definedName name="solver_opt" localSheetId="31" hidden="1">'Entry Anticipated Rev. Recovery'!$C$10</definedName>
    <definedName name="solver_opt" localSheetId="32" hidden="1">'Exit Anticipated Rev. Recovery'!$C$8</definedName>
    <definedName name="solver_opt" localSheetId="4" hidden="1">'User Inputs'!$D$54</definedName>
    <definedName name="solver_pre" localSheetId="31" hidden="1">0.000001</definedName>
    <definedName name="solver_pre" localSheetId="32" hidden="1">0.000001</definedName>
    <definedName name="solver_pre" localSheetId="4" hidden="1">0.0001</definedName>
    <definedName name="solver_rbv" localSheetId="31" hidden="1">2</definedName>
    <definedName name="solver_rbv" localSheetId="32" hidden="1">2</definedName>
    <definedName name="solver_rlx" localSheetId="31" hidden="1">2</definedName>
    <definedName name="solver_rlx" localSheetId="32" hidden="1">2</definedName>
    <definedName name="solver_rsd" localSheetId="31" hidden="1">0</definedName>
    <definedName name="solver_rsd" localSheetId="32" hidden="1">0</definedName>
    <definedName name="solver_scl" localSheetId="31" hidden="1">2</definedName>
    <definedName name="solver_scl" localSheetId="32" hidden="1">2</definedName>
    <definedName name="solver_sho" localSheetId="31" hidden="1">2</definedName>
    <definedName name="solver_sho" localSheetId="32" hidden="1">2</definedName>
    <definedName name="solver_ssz" localSheetId="31" hidden="1">100</definedName>
    <definedName name="solver_ssz" localSheetId="32" hidden="1">0</definedName>
    <definedName name="solver_tim" localSheetId="31" hidden="1">2147483647</definedName>
    <definedName name="solver_tim" localSheetId="32" hidden="1">2147483647</definedName>
    <definedName name="solver_tol" localSheetId="31" hidden="1">0.01</definedName>
    <definedName name="solver_tol" localSheetId="32" hidden="1">0.01</definedName>
    <definedName name="solver_typ" localSheetId="31" hidden="1">3</definedName>
    <definedName name="solver_typ" localSheetId="32" hidden="1">3</definedName>
    <definedName name="solver_typ" localSheetId="4" hidden="1">3</definedName>
    <definedName name="solver_val" localSheetId="31" hidden="1">0</definedName>
    <definedName name="solver_val" localSheetId="32" hidden="1">0</definedName>
    <definedName name="solver_val" localSheetId="4" hidden="1">0</definedName>
    <definedName name="solver_ver" localSheetId="31" hidden="1">3</definedName>
    <definedName name="solver_ver" localSheetId="32" hidden="1">3</definedName>
    <definedName name="solver_ver" localSheetId="4" hidden="1">3</definedName>
    <definedName name="Yes_or_No" localSheetId="27">'[1]Drop Down Inputs'!$G$2:$G$3</definedName>
    <definedName name="Yes_or_No" localSheetId="28">'[1]Drop Down Inputs'!$G$2:$G$3</definedName>
    <definedName name="Yes_or_No">'Drop Down Inputs'!$G$2:$G$3</definedName>
  </definedNames>
  <calcPr calcId="171027"/>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3" i="32" l="1"/>
  <c r="C10" i="32"/>
  <c r="D7" i="32"/>
  <c r="B231" i="90" l="1"/>
  <c r="B230" i="90"/>
  <c r="B229" i="90"/>
  <c r="B228" i="90"/>
  <c r="B227" i="90"/>
  <c r="B226" i="90"/>
  <c r="B225" i="90"/>
  <c r="B224" i="90"/>
  <c r="B223" i="90"/>
  <c r="B222" i="90"/>
  <c r="B221" i="90"/>
  <c r="B220" i="90"/>
  <c r="B219" i="90"/>
  <c r="B218" i="90"/>
  <c r="B217" i="90"/>
  <c r="B216" i="90"/>
  <c r="B215" i="90"/>
  <c r="B214" i="90"/>
  <c r="B213" i="90"/>
  <c r="B212" i="90"/>
  <c r="B211" i="90"/>
  <c r="B210" i="90"/>
  <c r="B209" i="90"/>
  <c r="B208" i="90"/>
  <c r="B207" i="90"/>
  <c r="B206" i="90"/>
  <c r="B205" i="90"/>
  <c r="B204" i="90"/>
  <c r="B203" i="90"/>
  <c r="B202" i="90"/>
  <c r="B201" i="90"/>
  <c r="B200" i="90"/>
  <c r="B199" i="90"/>
  <c r="B198" i="90"/>
  <c r="B197" i="90"/>
  <c r="B196" i="90"/>
  <c r="B195" i="90"/>
  <c r="B194" i="90"/>
  <c r="B193" i="90"/>
  <c r="B192" i="90"/>
  <c r="B191" i="90"/>
  <c r="B190" i="90"/>
  <c r="B189" i="90"/>
  <c r="B188" i="90"/>
  <c r="B187" i="90"/>
  <c r="B186" i="90"/>
  <c r="B185" i="90"/>
  <c r="B184" i="90"/>
  <c r="B183" i="90"/>
  <c r="B182" i="90"/>
  <c r="B181" i="90"/>
  <c r="B180" i="90"/>
  <c r="B179" i="90"/>
  <c r="B178" i="90"/>
  <c r="B177" i="90"/>
  <c r="B176" i="90"/>
  <c r="B175" i="90"/>
  <c r="B174" i="90"/>
  <c r="B173" i="90"/>
  <c r="B172" i="90"/>
  <c r="B171" i="90"/>
  <c r="B170" i="90"/>
  <c r="B169" i="90"/>
  <c r="B168" i="90"/>
  <c r="B167" i="90"/>
  <c r="B166" i="90"/>
  <c r="B165" i="90"/>
  <c r="B164" i="90"/>
  <c r="B163" i="90"/>
  <c r="B162" i="90"/>
  <c r="B161" i="90"/>
  <c r="B160" i="90"/>
  <c r="B159" i="90"/>
  <c r="B158" i="90"/>
  <c r="B157" i="90"/>
  <c r="B156" i="90"/>
  <c r="B155" i="90"/>
  <c r="B154" i="90"/>
  <c r="B153" i="90"/>
  <c r="B152" i="90"/>
  <c r="B151" i="90"/>
  <c r="B150" i="90"/>
  <c r="B149" i="90"/>
  <c r="B148" i="90"/>
  <c r="B147" i="90"/>
  <c r="B146" i="90"/>
  <c r="B145" i="90"/>
  <c r="B144" i="90"/>
  <c r="B143" i="90"/>
  <c r="B142" i="90"/>
  <c r="B141" i="90"/>
  <c r="B140" i="90"/>
  <c r="B139" i="90"/>
  <c r="B138" i="90"/>
  <c r="B137" i="90"/>
  <c r="B136" i="90"/>
  <c r="B135" i="90"/>
  <c r="B134" i="90"/>
  <c r="B133" i="90"/>
  <c r="B132" i="90"/>
  <c r="B131" i="90"/>
  <c r="B130" i="90"/>
  <c r="B129" i="90"/>
  <c r="B128" i="90"/>
  <c r="B127" i="90"/>
  <c r="B126" i="90"/>
  <c r="B125" i="90"/>
  <c r="B124" i="90"/>
  <c r="B123" i="90"/>
  <c r="B122" i="90"/>
  <c r="B121" i="90"/>
  <c r="B120" i="90"/>
  <c r="B119" i="90"/>
  <c r="B118" i="90"/>
  <c r="B117" i="90"/>
  <c r="B116" i="90"/>
  <c r="B115" i="90"/>
  <c r="B114" i="90"/>
  <c r="B113" i="90"/>
  <c r="B112" i="90"/>
  <c r="B111" i="90"/>
  <c r="B110" i="90"/>
  <c r="B109" i="90"/>
  <c r="B108" i="90"/>
  <c r="B107" i="90"/>
  <c r="B106" i="90"/>
  <c r="B105" i="90"/>
  <c r="B104" i="90"/>
  <c r="B103" i="90"/>
  <c r="B102" i="90"/>
  <c r="B101" i="90"/>
  <c r="B100" i="90"/>
  <c r="B99" i="90"/>
  <c r="B98" i="90"/>
  <c r="B97" i="90"/>
  <c r="B96" i="90"/>
  <c r="B95" i="90"/>
  <c r="B94" i="90"/>
  <c r="B93" i="90"/>
  <c r="B92" i="90"/>
  <c r="B91" i="90"/>
  <c r="B90" i="90"/>
  <c r="B89" i="90"/>
  <c r="B88" i="90"/>
  <c r="B87" i="90"/>
  <c r="B86" i="90"/>
  <c r="B85" i="90"/>
  <c r="B84" i="90"/>
  <c r="B83" i="90"/>
  <c r="B82" i="90"/>
  <c r="B81" i="90"/>
  <c r="B80" i="90"/>
  <c r="B79" i="90"/>
  <c r="B78" i="90"/>
  <c r="B77" i="90"/>
  <c r="B76" i="90"/>
  <c r="B75" i="90"/>
  <c r="B74" i="90"/>
  <c r="B73" i="90"/>
  <c r="B72" i="90"/>
  <c r="B71" i="90"/>
  <c r="B70" i="90"/>
  <c r="B69" i="90"/>
  <c r="B68" i="90"/>
  <c r="B67" i="90"/>
  <c r="B66" i="90"/>
  <c r="B65" i="90"/>
  <c r="B64" i="90"/>
  <c r="B63" i="90"/>
  <c r="B62" i="90"/>
  <c r="B61" i="90"/>
  <c r="B60" i="90"/>
  <c r="B59" i="90"/>
  <c r="B58" i="90"/>
  <c r="B57" i="90"/>
  <c r="B56" i="90"/>
  <c r="B55" i="90"/>
  <c r="B54" i="90"/>
  <c r="B53" i="90"/>
  <c r="B52" i="90"/>
  <c r="B51" i="90"/>
  <c r="B50" i="90"/>
  <c r="B49" i="90"/>
  <c r="B48" i="90"/>
  <c r="B47" i="90"/>
  <c r="B46" i="90"/>
  <c r="B45" i="90"/>
  <c r="B44" i="90"/>
  <c r="B43" i="90"/>
  <c r="B42" i="90"/>
  <c r="B41" i="90"/>
  <c r="B40" i="90"/>
  <c r="B39" i="90"/>
  <c r="B38" i="90"/>
  <c r="B37" i="90"/>
  <c r="B36" i="90"/>
  <c r="B35" i="90"/>
  <c r="B34" i="90"/>
  <c r="B33" i="90"/>
  <c r="B32" i="90"/>
  <c r="B31" i="90"/>
  <c r="B30" i="90"/>
  <c r="B29" i="90"/>
  <c r="B28" i="90"/>
  <c r="B27" i="90"/>
  <c r="B26" i="90"/>
  <c r="B25" i="90"/>
  <c r="B24" i="90"/>
  <c r="B23" i="90"/>
  <c r="B22" i="90"/>
  <c r="B21" i="90"/>
  <c r="B20" i="90"/>
  <c r="B19" i="90"/>
  <c r="B18" i="90"/>
  <c r="B17" i="90"/>
  <c r="B16" i="90"/>
  <c r="B15" i="90"/>
  <c r="B14" i="90"/>
  <c r="B13" i="90"/>
  <c r="B12" i="90"/>
  <c r="B11" i="90"/>
  <c r="B10" i="90"/>
  <c r="B9" i="90"/>
  <c r="B8" i="90"/>
  <c r="B7" i="90"/>
  <c r="B6" i="90"/>
  <c r="B5" i="90"/>
  <c r="B4" i="90"/>
  <c r="B3" i="90"/>
  <c r="B29" i="89"/>
  <c r="B28" i="89"/>
  <c r="B27" i="89"/>
  <c r="B26" i="89"/>
  <c r="B24" i="89"/>
  <c r="B23" i="89"/>
  <c r="B22" i="89"/>
  <c r="B21" i="89"/>
  <c r="B20" i="89"/>
  <c r="B19" i="89"/>
  <c r="B18" i="89"/>
  <c r="B17" i="89"/>
  <c r="B16" i="89"/>
  <c r="B15" i="89"/>
  <c r="B14" i="89"/>
  <c r="B13" i="89"/>
  <c r="B12" i="89"/>
  <c r="B11" i="89"/>
  <c r="B10" i="89"/>
  <c r="B9" i="89"/>
  <c r="B8" i="89"/>
  <c r="B7" i="89"/>
  <c r="B6" i="89"/>
  <c r="B5" i="89"/>
  <c r="B4" i="89"/>
  <c r="B3" i="89"/>
  <c r="R3" i="76" l="1"/>
  <c r="Q3" i="78"/>
  <c r="B231" i="88" l="1"/>
  <c r="B230" i="88"/>
  <c r="B229" i="88"/>
  <c r="B228" i="88"/>
  <c r="B227" i="88"/>
  <c r="B226" i="88"/>
  <c r="B225" i="88"/>
  <c r="B224" i="88"/>
  <c r="B223" i="88"/>
  <c r="B222" i="88"/>
  <c r="B221" i="88"/>
  <c r="B220" i="88"/>
  <c r="B219" i="88"/>
  <c r="B218" i="88"/>
  <c r="B217" i="88"/>
  <c r="B216" i="88"/>
  <c r="B215" i="88"/>
  <c r="B214" i="88"/>
  <c r="B213" i="88"/>
  <c r="B212" i="88"/>
  <c r="B211" i="88"/>
  <c r="B210" i="88"/>
  <c r="B209" i="88"/>
  <c r="B208" i="88"/>
  <c r="B207" i="88"/>
  <c r="B206" i="88"/>
  <c r="B205" i="88"/>
  <c r="B204" i="88"/>
  <c r="B203" i="88"/>
  <c r="B202" i="88"/>
  <c r="B201" i="88"/>
  <c r="B200" i="88"/>
  <c r="B199" i="88"/>
  <c r="B198" i="88"/>
  <c r="B197" i="88"/>
  <c r="B196" i="88"/>
  <c r="B195" i="88"/>
  <c r="B194" i="88"/>
  <c r="B193" i="88"/>
  <c r="B192" i="88"/>
  <c r="B191" i="88"/>
  <c r="B190" i="88"/>
  <c r="B189" i="88"/>
  <c r="B188" i="88"/>
  <c r="B187" i="88"/>
  <c r="B186" i="88"/>
  <c r="B185" i="88"/>
  <c r="B184" i="88"/>
  <c r="B183" i="88"/>
  <c r="B182" i="88"/>
  <c r="B181" i="88"/>
  <c r="B180" i="88"/>
  <c r="B179" i="88"/>
  <c r="B178" i="88"/>
  <c r="B177" i="88"/>
  <c r="B176" i="88"/>
  <c r="B175" i="88"/>
  <c r="B174" i="88"/>
  <c r="B173" i="88"/>
  <c r="B172" i="88"/>
  <c r="B171" i="88"/>
  <c r="B170" i="88"/>
  <c r="B169" i="88"/>
  <c r="B168" i="88"/>
  <c r="B167" i="88"/>
  <c r="B166" i="88"/>
  <c r="B165" i="88"/>
  <c r="B164" i="88"/>
  <c r="B163" i="88"/>
  <c r="B162" i="88"/>
  <c r="B161" i="88"/>
  <c r="B160" i="88"/>
  <c r="B159" i="88"/>
  <c r="B158" i="88"/>
  <c r="B157" i="88"/>
  <c r="B156" i="88"/>
  <c r="B155" i="88"/>
  <c r="B154" i="88"/>
  <c r="B153" i="88"/>
  <c r="B152" i="88"/>
  <c r="B151" i="88"/>
  <c r="B150" i="88"/>
  <c r="B149" i="88"/>
  <c r="B148" i="88"/>
  <c r="B147" i="88"/>
  <c r="B146" i="88"/>
  <c r="B145" i="88"/>
  <c r="B144" i="88"/>
  <c r="B143" i="88"/>
  <c r="B142" i="88"/>
  <c r="B141" i="88"/>
  <c r="B140" i="88"/>
  <c r="B139" i="88"/>
  <c r="B138" i="88"/>
  <c r="B137" i="88"/>
  <c r="B136" i="88"/>
  <c r="B135" i="88"/>
  <c r="B134" i="88"/>
  <c r="B133" i="88"/>
  <c r="B132" i="88"/>
  <c r="B131" i="88"/>
  <c r="B130" i="88"/>
  <c r="B129" i="88"/>
  <c r="B128" i="88"/>
  <c r="B127" i="88"/>
  <c r="B126" i="88"/>
  <c r="B125" i="88"/>
  <c r="B124" i="88"/>
  <c r="B123" i="88"/>
  <c r="B122" i="88"/>
  <c r="B121" i="88"/>
  <c r="B120" i="88"/>
  <c r="B119" i="88"/>
  <c r="B118" i="88"/>
  <c r="B117" i="88"/>
  <c r="B116" i="88"/>
  <c r="B115" i="88"/>
  <c r="B114" i="88"/>
  <c r="B113" i="88"/>
  <c r="B112" i="88"/>
  <c r="B111" i="88"/>
  <c r="B110" i="88"/>
  <c r="B109" i="88"/>
  <c r="B108" i="88"/>
  <c r="B107" i="88"/>
  <c r="B106" i="88"/>
  <c r="B105" i="88"/>
  <c r="B104" i="88"/>
  <c r="B103" i="88"/>
  <c r="B102" i="88"/>
  <c r="B101" i="88"/>
  <c r="B100" i="88"/>
  <c r="B99" i="88"/>
  <c r="B98" i="88"/>
  <c r="B97" i="88"/>
  <c r="B96" i="88"/>
  <c r="B95" i="88"/>
  <c r="B94" i="88"/>
  <c r="B93" i="88"/>
  <c r="B92" i="88"/>
  <c r="B91" i="88"/>
  <c r="B90" i="88"/>
  <c r="B89" i="88"/>
  <c r="B88" i="88"/>
  <c r="B87" i="88"/>
  <c r="B86" i="88"/>
  <c r="B85" i="88"/>
  <c r="B84" i="88"/>
  <c r="B83" i="88"/>
  <c r="B82" i="88"/>
  <c r="B81" i="88"/>
  <c r="B80" i="88"/>
  <c r="B79" i="88"/>
  <c r="B78" i="88"/>
  <c r="B77" i="88"/>
  <c r="B76" i="88"/>
  <c r="B75" i="88"/>
  <c r="B74" i="88"/>
  <c r="B73" i="88"/>
  <c r="B72" i="88"/>
  <c r="B71" i="88"/>
  <c r="B70" i="88"/>
  <c r="B69" i="88"/>
  <c r="B68" i="88"/>
  <c r="B67" i="88"/>
  <c r="B66" i="88"/>
  <c r="B65" i="88"/>
  <c r="B64" i="88"/>
  <c r="B63" i="88"/>
  <c r="B62" i="88"/>
  <c r="B61" i="88"/>
  <c r="B60" i="88"/>
  <c r="B59" i="88"/>
  <c r="B58" i="88"/>
  <c r="B57" i="88"/>
  <c r="B56" i="88"/>
  <c r="B55" i="88"/>
  <c r="B54" i="88"/>
  <c r="B53" i="88"/>
  <c r="B52" i="88"/>
  <c r="B51" i="88"/>
  <c r="B50" i="88"/>
  <c r="B49" i="88"/>
  <c r="B48" i="88"/>
  <c r="B47" i="88"/>
  <c r="B46" i="88"/>
  <c r="B45" i="88"/>
  <c r="B44" i="88"/>
  <c r="B43" i="88"/>
  <c r="B42" i="88"/>
  <c r="B41" i="88"/>
  <c r="B40" i="88"/>
  <c r="B39" i="88"/>
  <c r="B38" i="88"/>
  <c r="B37" i="88"/>
  <c r="B36" i="88"/>
  <c r="B35" i="88"/>
  <c r="B34" i="88"/>
  <c r="B33" i="88"/>
  <c r="B32" i="88"/>
  <c r="B31" i="88"/>
  <c r="B30" i="88"/>
  <c r="B29" i="88"/>
  <c r="B28" i="88"/>
  <c r="B27" i="88"/>
  <c r="B26" i="88"/>
  <c r="B25" i="88"/>
  <c r="B24" i="88"/>
  <c r="B23" i="88"/>
  <c r="B22" i="88"/>
  <c r="B21" i="88"/>
  <c r="B20" i="88"/>
  <c r="B19" i="88"/>
  <c r="B18" i="88"/>
  <c r="B17" i="88"/>
  <c r="B16" i="88"/>
  <c r="B15" i="88"/>
  <c r="B14" i="88"/>
  <c r="B13" i="88"/>
  <c r="B12" i="88"/>
  <c r="B11" i="88"/>
  <c r="B10" i="88"/>
  <c r="B9" i="88"/>
  <c r="B8" i="88"/>
  <c r="B7" i="88"/>
  <c r="B6" i="88"/>
  <c r="B5" i="88"/>
  <c r="B4" i="88"/>
  <c r="B3" i="88"/>
  <c r="B29" i="87"/>
  <c r="B28" i="87"/>
  <c r="B27" i="87"/>
  <c r="B26" i="87"/>
  <c r="B24" i="87"/>
  <c r="B23" i="87"/>
  <c r="B22" i="87"/>
  <c r="B21" i="87"/>
  <c r="B20" i="87"/>
  <c r="B19" i="87"/>
  <c r="B18" i="87"/>
  <c r="B17" i="87"/>
  <c r="B16" i="87"/>
  <c r="B15" i="87"/>
  <c r="B14" i="87"/>
  <c r="B13" i="87"/>
  <c r="B12" i="87"/>
  <c r="B11" i="87"/>
  <c r="B10" i="87"/>
  <c r="B9" i="87"/>
  <c r="B8" i="87"/>
  <c r="B7" i="87"/>
  <c r="B6" i="87"/>
  <c r="B5" i="87"/>
  <c r="B4" i="87"/>
  <c r="B3" i="87"/>
  <c r="B30" i="35"/>
  <c r="C236" i="2" l="1"/>
  <c r="A221" i="78" l="1"/>
  <c r="A222" i="78"/>
  <c r="B222" i="78" s="1"/>
  <c r="A223" i="78"/>
  <c r="B223" i="78" s="1"/>
  <c r="A224" i="78"/>
  <c r="B224" i="78" s="1"/>
  <c r="A225" i="78"/>
  <c r="B225" i="78" s="1"/>
  <c r="A226" i="78"/>
  <c r="B226" i="78" s="1"/>
  <c r="A227" i="78"/>
  <c r="B227" i="78" s="1"/>
  <c r="A228" i="78"/>
  <c r="B228" i="78" s="1"/>
  <c r="A229" i="78"/>
  <c r="B229" i="78" s="1"/>
  <c r="A230" i="78"/>
  <c r="B230" i="78" s="1"/>
  <c r="A231" i="78"/>
  <c r="B231" i="78" s="1"/>
  <c r="A232" i="78"/>
  <c r="B232" i="78" s="1"/>
  <c r="A220" i="78"/>
  <c r="E222" i="46"/>
  <c r="E223" i="46"/>
  <c r="E224" i="46"/>
  <c r="E225" i="46"/>
  <c r="E226" i="46"/>
  <c r="E227" i="46"/>
  <c r="E228" i="46"/>
  <c r="E229" i="46"/>
  <c r="E230" i="46"/>
  <c r="AD223" i="2" l="1"/>
  <c r="J25" i="37"/>
  <c r="K223" i="44"/>
  <c r="N223" i="44"/>
  <c r="T223" i="44"/>
  <c r="K224" i="44"/>
  <c r="N224" i="44"/>
  <c r="T224" i="44"/>
  <c r="K225" i="44"/>
  <c r="N225" i="44"/>
  <c r="T225" i="44"/>
  <c r="K226" i="44"/>
  <c r="N226" i="44"/>
  <c r="T226" i="44"/>
  <c r="K227" i="44"/>
  <c r="N227" i="44"/>
  <c r="T227" i="44"/>
  <c r="K228" i="44"/>
  <c r="N228" i="44"/>
  <c r="T228" i="44"/>
  <c r="K229" i="44"/>
  <c r="N229" i="44"/>
  <c r="T229" i="44"/>
  <c r="K230" i="44"/>
  <c r="N230" i="44"/>
  <c r="T230" i="44"/>
  <c r="K231" i="44"/>
  <c r="N231" i="44"/>
  <c r="T231" i="44"/>
  <c r="AD224" i="2" l="1"/>
  <c r="AD225" i="2"/>
  <c r="AD226" i="2"/>
  <c r="AD227" i="2"/>
  <c r="AD228" i="2"/>
  <c r="AD229" i="2"/>
  <c r="AD230" i="2"/>
  <c r="AD231" i="2"/>
  <c r="AD222" i="2"/>
  <c r="D236" i="2"/>
  <c r="E236" i="2"/>
  <c r="F236" i="2"/>
  <c r="G236" i="2"/>
  <c r="H236" i="2"/>
  <c r="I236" i="2"/>
  <c r="J236" i="2"/>
  <c r="K236" i="2"/>
  <c r="L236" i="2"/>
  <c r="M236" i="2"/>
  <c r="N236" i="2"/>
  <c r="O236" i="2"/>
  <c r="P236" i="2"/>
  <c r="Q236" i="2"/>
  <c r="R236" i="2"/>
  <c r="S236" i="2"/>
  <c r="T236" i="2"/>
  <c r="U236" i="2"/>
  <c r="V236" i="2"/>
  <c r="X236" i="2"/>
  <c r="Y236" i="2"/>
  <c r="Z236" i="2"/>
  <c r="AA236" i="2"/>
  <c r="AB236" i="2"/>
  <c r="AC236" i="2"/>
  <c r="W236" i="2"/>
  <c r="B223" i="80"/>
  <c r="B224" i="80"/>
  <c r="B225" i="80"/>
  <c r="B226" i="80"/>
  <c r="B227" i="80"/>
  <c r="B228" i="80"/>
  <c r="B229" i="80"/>
  <c r="B230" i="80"/>
  <c r="B231" i="80"/>
  <c r="B223" i="69"/>
  <c r="B224" i="69"/>
  <c r="B225" i="69"/>
  <c r="B226" i="69"/>
  <c r="B227" i="69"/>
  <c r="B228" i="69"/>
  <c r="B229" i="69"/>
  <c r="B230" i="69"/>
  <c r="B231" i="69"/>
  <c r="B223" i="68"/>
  <c r="B224" i="68"/>
  <c r="B225" i="68"/>
  <c r="B226" i="68"/>
  <c r="B227" i="68"/>
  <c r="B228" i="68"/>
  <c r="B229" i="68"/>
  <c r="B230" i="68"/>
  <c r="B231" i="68"/>
  <c r="B223" i="56"/>
  <c r="B224" i="56"/>
  <c r="B225" i="56"/>
  <c r="B226" i="56"/>
  <c r="B227" i="56"/>
  <c r="B228" i="56"/>
  <c r="B229" i="56"/>
  <c r="B230" i="56"/>
  <c r="B231" i="56"/>
  <c r="B223" i="55"/>
  <c r="B224" i="55"/>
  <c r="B225" i="55"/>
  <c r="B226" i="55"/>
  <c r="B227" i="55"/>
  <c r="B228" i="55"/>
  <c r="B229" i="55"/>
  <c r="B230" i="55"/>
  <c r="B231" i="55"/>
  <c r="B223" i="18"/>
  <c r="B224" i="18"/>
  <c r="B225" i="18"/>
  <c r="B226" i="18"/>
  <c r="B227" i="18"/>
  <c r="B228" i="18"/>
  <c r="B237" i="65" s="1"/>
  <c r="B229" i="18"/>
  <c r="B230" i="18"/>
  <c r="B231" i="18"/>
  <c r="B234" i="65" l="1"/>
  <c r="E234" i="65" s="1"/>
  <c r="F224" i="46"/>
  <c r="F237" i="65"/>
  <c r="F227" i="46"/>
  <c r="B233" i="65"/>
  <c r="E233" i="65" s="1"/>
  <c r="F223" i="46"/>
  <c r="B240" i="65"/>
  <c r="F240" i="65" s="1"/>
  <c r="F230" i="46"/>
  <c r="B236" i="65"/>
  <c r="F236" i="65" s="1"/>
  <c r="F226" i="46"/>
  <c r="B232" i="65"/>
  <c r="F232" i="65" s="1"/>
  <c r="F222" i="46"/>
  <c r="B238" i="65"/>
  <c r="C238" i="65" s="1"/>
  <c r="F228" i="46"/>
  <c r="B239" i="65"/>
  <c r="F239" i="65" s="1"/>
  <c r="F229" i="46"/>
  <c r="B235" i="65"/>
  <c r="F235" i="65" s="1"/>
  <c r="F225" i="46"/>
  <c r="G234" i="65" l="1"/>
  <c r="C233" i="65"/>
  <c r="E232" i="65"/>
  <c r="G240" i="65"/>
  <c r="D240" i="65"/>
  <c r="H232" i="65"/>
  <c r="D237" i="65"/>
  <c r="C236" i="65"/>
  <c r="G239" i="65"/>
  <c r="E238" i="65"/>
  <c r="D234" i="65"/>
  <c r="H234" i="65"/>
  <c r="G237" i="65"/>
  <c r="E237" i="65"/>
  <c r="E240" i="65"/>
  <c r="F234" i="65"/>
  <c r="D232" i="65"/>
  <c r="C234" i="65"/>
  <c r="C237" i="65"/>
  <c r="C232" i="65"/>
  <c r="H240" i="65"/>
  <c r="H237" i="65"/>
  <c r="C240" i="65"/>
  <c r="H233" i="65"/>
  <c r="G232" i="65"/>
  <c r="D236" i="65"/>
  <c r="D233" i="65"/>
  <c r="D235" i="65"/>
  <c r="E235" i="65"/>
  <c r="G235" i="65"/>
  <c r="G238" i="65"/>
  <c r="H239" i="65"/>
  <c r="C239" i="65"/>
  <c r="H238" i="65"/>
  <c r="F238" i="65"/>
  <c r="H236" i="65"/>
  <c r="F233" i="65"/>
  <c r="C235" i="65"/>
  <c r="D239" i="65"/>
  <c r="E239" i="65"/>
  <c r="G236" i="65"/>
  <c r="D238" i="65"/>
  <c r="G233" i="65"/>
  <c r="H235" i="65"/>
  <c r="E236" i="65"/>
  <c r="C13" i="64"/>
  <c r="D13" i="64"/>
  <c r="E13" i="64"/>
  <c r="F13" i="64"/>
  <c r="G13" i="64"/>
  <c r="H13" i="64"/>
  <c r="C14" i="64"/>
  <c r="D14" i="64"/>
  <c r="E14" i="64"/>
  <c r="F14" i="64"/>
  <c r="G14" i="64"/>
  <c r="H14" i="64"/>
  <c r="C15" i="64"/>
  <c r="D15" i="64"/>
  <c r="E15" i="64"/>
  <c r="F15" i="64"/>
  <c r="G15" i="64"/>
  <c r="H15" i="64"/>
  <c r="C16" i="64"/>
  <c r="D16" i="64"/>
  <c r="E16" i="64"/>
  <c r="F16" i="64"/>
  <c r="G16" i="64"/>
  <c r="H16" i="64"/>
  <c r="C17" i="64"/>
  <c r="D17" i="64"/>
  <c r="E17" i="64"/>
  <c r="F17" i="64"/>
  <c r="G17" i="64"/>
  <c r="H17" i="64"/>
  <c r="C18" i="64"/>
  <c r="D18" i="64"/>
  <c r="E18" i="64"/>
  <c r="F18" i="64"/>
  <c r="G18" i="64"/>
  <c r="H18" i="64"/>
  <c r="C19" i="64"/>
  <c r="D19" i="64"/>
  <c r="E19" i="64"/>
  <c r="F19" i="64"/>
  <c r="G19" i="64"/>
  <c r="H19" i="64"/>
  <c r="C20" i="64"/>
  <c r="D20" i="64"/>
  <c r="E20" i="64"/>
  <c r="F20" i="64"/>
  <c r="G20" i="64"/>
  <c r="H20" i="64"/>
  <c r="C21" i="64"/>
  <c r="D21" i="64"/>
  <c r="E21" i="64"/>
  <c r="F21" i="64"/>
  <c r="G21" i="64"/>
  <c r="H21" i="64"/>
  <c r="C22" i="64"/>
  <c r="D22" i="64"/>
  <c r="E22" i="64"/>
  <c r="F22" i="64"/>
  <c r="G22" i="64"/>
  <c r="H22" i="64"/>
  <c r="C23" i="64"/>
  <c r="D23" i="64"/>
  <c r="E23" i="64"/>
  <c r="F23" i="64"/>
  <c r="G23" i="64"/>
  <c r="H23" i="64"/>
  <c r="C24" i="64"/>
  <c r="D24" i="64"/>
  <c r="E24" i="64"/>
  <c r="F24" i="64"/>
  <c r="G24" i="64"/>
  <c r="H24" i="64"/>
  <c r="C25" i="64"/>
  <c r="D25" i="64"/>
  <c r="E25" i="64"/>
  <c r="F25" i="64"/>
  <c r="G25" i="64"/>
  <c r="H25" i="64"/>
  <c r="C26" i="64"/>
  <c r="D26" i="64"/>
  <c r="E26" i="64"/>
  <c r="F26" i="64"/>
  <c r="G26" i="64"/>
  <c r="H26" i="64"/>
  <c r="C27" i="64"/>
  <c r="D27" i="64"/>
  <c r="E27" i="64"/>
  <c r="F27" i="64"/>
  <c r="G27" i="64"/>
  <c r="H27" i="64"/>
  <c r="C28" i="64"/>
  <c r="D28" i="64"/>
  <c r="E28" i="64"/>
  <c r="F28" i="64"/>
  <c r="G28" i="64"/>
  <c r="H28" i="64"/>
  <c r="C29" i="64"/>
  <c r="D29" i="64"/>
  <c r="E29" i="64"/>
  <c r="F29" i="64"/>
  <c r="G29" i="64"/>
  <c r="H29" i="64"/>
  <c r="C30" i="64"/>
  <c r="D30" i="64"/>
  <c r="E30" i="64"/>
  <c r="F30" i="64"/>
  <c r="G30" i="64"/>
  <c r="H30" i="64"/>
  <c r="C31" i="64"/>
  <c r="D31" i="64"/>
  <c r="E31" i="64"/>
  <c r="F31" i="64"/>
  <c r="G31" i="64"/>
  <c r="H31" i="64"/>
  <c r="C32" i="64"/>
  <c r="D32" i="64"/>
  <c r="E32" i="64"/>
  <c r="F32" i="64"/>
  <c r="G32" i="64"/>
  <c r="H32" i="64"/>
  <c r="C33" i="64"/>
  <c r="D33" i="64"/>
  <c r="E33" i="64"/>
  <c r="F33" i="64"/>
  <c r="G33" i="64"/>
  <c r="H33" i="64"/>
  <c r="C35" i="64"/>
  <c r="D35" i="64"/>
  <c r="E35" i="64"/>
  <c r="F35" i="64"/>
  <c r="G35" i="64"/>
  <c r="H35" i="64"/>
  <c r="C36" i="64"/>
  <c r="D36" i="64"/>
  <c r="E36" i="64"/>
  <c r="F36" i="64"/>
  <c r="G36" i="64"/>
  <c r="H36" i="64"/>
  <c r="C37" i="64"/>
  <c r="D37" i="64"/>
  <c r="E37" i="64"/>
  <c r="F37" i="64"/>
  <c r="G37" i="64"/>
  <c r="H37" i="64"/>
  <c r="C38" i="64"/>
  <c r="D38" i="64"/>
  <c r="E38" i="64"/>
  <c r="F38" i="64"/>
  <c r="G38" i="64"/>
  <c r="H38" i="64"/>
  <c r="H12" i="64"/>
  <c r="G12" i="64"/>
  <c r="F12" i="64"/>
  <c r="E12" i="64"/>
  <c r="D12" i="64"/>
  <c r="C12" i="64"/>
  <c r="J26" i="37" l="1"/>
  <c r="K25" i="43"/>
  <c r="D34" i="64"/>
  <c r="E34" i="64"/>
  <c r="F34" i="64"/>
  <c r="G34" i="64"/>
  <c r="H34" i="64"/>
  <c r="C34" i="64"/>
  <c r="E24" i="45"/>
  <c r="AD3" i="2"/>
  <c r="B25" i="19"/>
  <c r="J29" i="37" l="1"/>
  <c r="J28" i="37"/>
  <c r="J27" i="37"/>
  <c r="J24" i="37"/>
  <c r="J23" i="37"/>
  <c r="J22" i="37"/>
  <c r="J21" i="37"/>
  <c r="J20" i="37"/>
  <c r="J19" i="37"/>
  <c r="J18" i="37"/>
  <c r="J17" i="37"/>
  <c r="J16" i="37"/>
  <c r="J15" i="37"/>
  <c r="J14" i="37"/>
  <c r="J13" i="37"/>
  <c r="J12" i="37"/>
  <c r="J11" i="37"/>
  <c r="J10" i="37"/>
  <c r="J9" i="37"/>
  <c r="J8" i="37"/>
  <c r="J7" i="37"/>
  <c r="J6" i="37"/>
  <c r="J5" i="37"/>
  <c r="J4" i="37"/>
  <c r="J3" i="37"/>
  <c r="B221" i="78"/>
  <c r="B220" i="78"/>
  <c r="A219" i="78"/>
  <c r="B219" i="78" s="1"/>
  <c r="A218" i="78"/>
  <c r="B218" i="78" s="1"/>
  <c r="A217" i="78"/>
  <c r="B217" i="78" s="1"/>
  <c r="A216" i="78"/>
  <c r="B216" i="78" s="1"/>
  <c r="A215" i="78"/>
  <c r="B215" i="78" s="1"/>
  <c r="A214" i="78"/>
  <c r="B214" i="78" s="1"/>
  <c r="A213" i="78"/>
  <c r="B213" i="78" s="1"/>
  <c r="A212" i="78"/>
  <c r="B212" i="78" s="1"/>
  <c r="A211" i="78"/>
  <c r="B211" i="78" s="1"/>
  <c r="A210" i="78"/>
  <c r="B210" i="78" s="1"/>
  <c r="A209" i="78"/>
  <c r="B209" i="78" s="1"/>
  <c r="A208" i="78"/>
  <c r="B208" i="78" s="1"/>
  <c r="A207" i="78"/>
  <c r="B207" i="78" s="1"/>
  <c r="A206" i="78"/>
  <c r="B206" i="78" s="1"/>
  <c r="A205" i="78"/>
  <c r="B205" i="78" s="1"/>
  <c r="A204" i="78"/>
  <c r="B204" i="78" s="1"/>
  <c r="A203" i="78"/>
  <c r="B203" i="78" s="1"/>
  <c r="A202" i="78"/>
  <c r="B202" i="78" s="1"/>
  <c r="A201" i="78"/>
  <c r="B201" i="78" s="1"/>
  <c r="A200" i="78"/>
  <c r="B200" i="78" s="1"/>
  <c r="A199" i="78"/>
  <c r="B199" i="78" s="1"/>
  <c r="A198" i="78"/>
  <c r="B198" i="78" s="1"/>
  <c r="A197" i="78"/>
  <c r="B197" i="78" s="1"/>
  <c r="A196" i="78"/>
  <c r="B196" i="78" s="1"/>
  <c r="A195" i="78"/>
  <c r="B195" i="78" s="1"/>
  <c r="A194" i="78"/>
  <c r="B194" i="78" s="1"/>
  <c r="A193" i="78"/>
  <c r="B193" i="78" s="1"/>
  <c r="A192" i="78"/>
  <c r="B192" i="78" s="1"/>
  <c r="A191" i="78"/>
  <c r="B191" i="78" s="1"/>
  <c r="A190" i="78"/>
  <c r="B190" i="78" s="1"/>
  <c r="A189" i="78"/>
  <c r="B189" i="78" s="1"/>
  <c r="A188" i="78"/>
  <c r="B188" i="78" s="1"/>
  <c r="A187" i="78"/>
  <c r="B187" i="78" s="1"/>
  <c r="A186" i="78"/>
  <c r="B186" i="78" s="1"/>
  <c r="A185" i="78"/>
  <c r="B185" i="78" s="1"/>
  <c r="A184" i="78"/>
  <c r="B184" i="78" s="1"/>
  <c r="A183" i="78"/>
  <c r="B183" i="78" s="1"/>
  <c r="A182" i="78"/>
  <c r="B182" i="78" s="1"/>
  <c r="A181" i="78"/>
  <c r="B181" i="78" s="1"/>
  <c r="A180" i="78"/>
  <c r="B180" i="78" s="1"/>
  <c r="A179" i="78"/>
  <c r="B179" i="78" s="1"/>
  <c r="A178" i="78"/>
  <c r="B178" i="78" s="1"/>
  <c r="A177" i="78"/>
  <c r="B177" i="78" s="1"/>
  <c r="A176" i="78"/>
  <c r="B176" i="78" s="1"/>
  <c r="A175" i="78"/>
  <c r="B175" i="78" s="1"/>
  <c r="A174" i="78"/>
  <c r="B174" i="78" s="1"/>
  <c r="A173" i="78"/>
  <c r="B173" i="78" s="1"/>
  <c r="A172" i="78"/>
  <c r="B172" i="78" s="1"/>
  <c r="A171" i="78"/>
  <c r="B171" i="78" s="1"/>
  <c r="A170" i="78"/>
  <c r="B170" i="78" s="1"/>
  <c r="A169" i="78"/>
  <c r="B169" i="78" s="1"/>
  <c r="A168" i="78"/>
  <c r="B168" i="78" s="1"/>
  <c r="A167" i="78"/>
  <c r="B167" i="78" s="1"/>
  <c r="A166" i="78"/>
  <c r="B166" i="78" s="1"/>
  <c r="A165" i="78"/>
  <c r="B165" i="78" s="1"/>
  <c r="A164" i="78"/>
  <c r="B164" i="78" s="1"/>
  <c r="A163" i="78"/>
  <c r="B163" i="78" s="1"/>
  <c r="A162" i="78"/>
  <c r="B162" i="78" s="1"/>
  <c r="A161" i="78"/>
  <c r="B161" i="78" s="1"/>
  <c r="A160" i="78"/>
  <c r="B160" i="78" s="1"/>
  <c r="A159" i="78"/>
  <c r="B159" i="78" s="1"/>
  <c r="A158" i="78"/>
  <c r="B158" i="78" s="1"/>
  <c r="A157" i="78"/>
  <c r="B157" i="78" s="1"/>
  <c r="A156" i="78"/>
  <c r="B156" i="78" s="1"/>
  <c r="A155" i="78"/>
  <c r="B155" i="78" s="1"/>
  <c r="A154" i="78"/>
  <c r="B154" i="78" s="1"/>
  <c r="A153" i="78"/>
  <c r="B153" i="78" s="1"/>
  <c r="A152" i="78"/>
  <c r="B152" i="78" s="1"/>
  <c r="A151" i="78"/>
  <c r="B151" i="78" s="1"/>
  <c r="A150" i="78"/>
  <c r="B150" i="78" s="1"/>
  <c r="A149" i="78"/>
  <c r="B149" i="78" s="1"/>
  <c r="A148" i="78"/>
  <c r="B148" i="78" s="1"/>
  <c r="A147" i="78"/>
  <c r="B147" i="78" s="1"/>
  <c r="A146" i="78"/>
  <c r="B146" i="78" s="1"/>
  <c r="A145" i="78"/>
  <c r="B145" i="78" s="1"/>
  <c r="A144" i="78"/>
  <c r="B144" i="78" s="1"/>
  <c r="A143" i="78"/>
  <c r="B143" i="78" s="1"/>
  <c r="A142" i="78"/>
  <c r="B142" i="78" s="1"/>
  <c r="A141" i="78"/>
  <c r="B141" i="78" s="1"/>
  <c r="A140" i="78"/>
  <c r="B140" i="78" s="1"/>
  <c r="A139" i="78"/>
  <c r="B139" i="78" s="1"/>
  <c r="A138" i="78"/>
  <c r="B138" i="78" s="1"/>
  <c r="A137" i="78"/>
  <c r="B137" i="78" s="1"/>
  <c r="A136" i="78"/>
  <c r="B136" i="78" s="1"/>
  <c r="A135" i="78"/>
  <c r="B135" i="78" s="1"/>
  <c r="A134" i="78"/>
  <c r="B134" i="78" s="1"/>
  <c r="A133" i="78"/>
  <c r="B133" i="78" s="1"/>
  <c r="A132" i="78"/>
  <c r="B132" i="78" s="1"/>
  <c r="A131" i="78"/>
  <c r="B131" i="78" s="1"/>
  <c r="A130" i="78"/>
  <c r="B130" i="78" s="1"/>
  <c r="A129" i="78"/>
  <c r="B129" i="78" s="1"/>
  <c r="A128" i="78"/>
  <c r="B128" i="78" s="1"/>
  <c r="A127" i="78"/>
  <c r="B127" i="78" s="1"/>
  <c r="A126" i="78"/>
  <c r="B126" i="78" s="1"/>
  <c r="A125" i="78"/>
  <c r="B125" i="78" s="1"/>
  <c r="A124" i="78"/>
  <c r="B124" i="78" s="1"/>
  <c r="A123" i="78"/>
  <c r="B123" i="78" s="1"/>
  <c r="A122" i="78"/>
  <c r="B122" i="78" s="1"/>
  <c r="A121" i="78"/>
  <c r="B121" i="78" s="1"/>
  <c r="A120" i="78"/>
  <c r="B120" i="78" s="1"/>
  <c r="A119" i="78"/>
  <c r="B119" i="78" s="1"/>
  <c r="A118" i="78"/>
  <c r="B118" i="78" s="1"/>
  <c r="A117" i="78"/>
  <c r="B117" i="78" s="1"/>
  <c r="A116" i="78"/>
  <c r="B116" i="78" s="1"/>
  <c r="A115" i="78"/>
  <c r="B115" i="78" s="1"/>
  <c r="A114" i="78"/>
  <c r="B114" i="78" s="1"/>
  <c r="A113" i="78"/>
  <c r="B113" i="78" s="1"/>
  <c r="A112" i="78"/>
  <c r="B112" i="78" s="1"/>
  <c r="A111" i="78"/>
  <c r="B111" i="78" s="1"/>
  <c r="A110" i="78"/>
  <c r="B110" i="78" s="1"/>
  <c r="A109" i="78"/>
  <c r="B109" i="78" s="1"/>
  <c r="A108" i="78"/>
  <c r="B108" i="78" s="1"/>
  <c r="A107" i="78"/>
  <c r="B107" i="78" s="1"/>
  <c r="A106" i="78"/>
  <c r="B106" i="78" s="1"/>
  <c r="A105" i="78"/>
  <c r="B105" i="78" s="1"/>
  <c r="A104" i="78"/>
  <c r="B104" i="78" s="1"/>
  <c r="A103" i="78"/>
  <c r="B103" i="78" s="1"/>
  <c r="A102" i="78"/>
  <c r="B102" i="78" s="1"/>
  <c r="A101" i="78"/>
  <c r="B101" i="78" s="1"/>
  <c r="A100" i="78"/>
  <c r="B100" i="78" s="1"/>
  <c r="A99" i="78"/>
  <c r="B99" i="78" s="1"/>
  <c r="A98" i="78"/>
  <c r="B98" i="78" s="1"/>
  <c r="A97" i="78"/>
  <c r="B97" i="78" s="1"/>
  <c r="A96" i="78"/>
  <c r="B96" i="78" s="1"/>
  <c r="A95" i="78"/>
  <c r="B95" i="78" s="1"/>
  <c r="A94" i="78"/>
  <c r="B94" i="78" s="1"/>
  <c r="A93" i="78"/>
  <c r="B93" i="78" s="1"/>
  <c r="A92" i="78"/>
  <c r="B92" i="78" s="1"/>
  <c r="A91" i="78"/>
  <c r="B91" i="78" s="1"/>
  <c r="A90" i="78"/>
  <c r="B90" i="78" s="1"/>
  <c r="A89" i="78"/>
  <c r="B89" i="78" s="1"/>
  <c r="A88" i="78"/>
  <c r="B88" i="78" s="1"/>
  <c r="A87" i="78"/>
  <c r="B87" i="78" s="1"/>
  <c r="A86" i="78"/>
  <c r="B86" i="78" s="1"/>
  <c r="A85" i="78"/>
  <c r="B85" i="78" s="1"/>
  <c r="A84" i="78"/>
  <c r="B84" i="78" s="1"/>
  <c r="A83" i="78"/>
  <c r="B83" i="78" s="1"/>
  <c r="A82" i="78"/>
  <c r="B82" i="78" s="1"/>
  <c r="A81" i="78"/>
  <c r="B81" i="78" s="1"/>
  <c r="A80" i="78"/>
  <c r="B80" i="78" s="1"/>
  <c r="A79" i="78"/>
  <c r="B79" i="78" s="1"/>
  <c r="A78" i="78"/>
  <c r="B78" i="78" s="1"/>
  <c r="A77" i="78"/>
  <c r="B77" i="78" s="1"/>
  <c r="A76" i="78"/>
  <c r="B76" i="78" s="1"/>
  <c r="A75" i="78"/>
  <c r="B75" i="78" s="1"/>
  <c r="A74" i="78"/>
  <c r="B74" i="78" s="1"/>
  <c r="A73" i="78"/>
  <c r="B73" i="78" s="1"/>
  <c r="A72" i="78"/>
  <c r="B72" i="78" s="1"/>
  <c r="A71" i="78"/>
  <c r="B71" i="78" s="1"/>
  <c r="A70" i="78"/>
  <c r="B70" i="78" s="1"/>
  <c r="A69" i="78"/>
  <c r="B69" i="78" s="1"/>
  <c r="A68" i="78"/>
  <c r="B68" i="78" s="1"/>
  <c r="A67" i="78"/>
  <c r="B67" i="78" s="1"/>
  <c r="A66" i="78"/>
  <c r="B66" i="78" s="1"/>
  <c r="A65" i="78"/>
  <c r="B65" i="78" s="1"/>
  <c r="A64" i="78"/>
  <c r="B64" i="78" s="1"/>
  <c r="A63" i="78"/>
  <c r="B63" i="78" s="1"/>
  <c r="A62" i="78"/>
  <c r="B62" i="78" s="1"/>
  <c r="A61" i="78"/>
  <c r="B61" i="78" s="1"/>
  <c r="A60" i="78"/>
  <c r="B60" i="78" s="1"/>
  <c r="A59" i="78"/>
  <c r="B59" i="78" s="1"/>
  <c r="A58" i="78"/>
  <c r="B58" i="78" s="1"/>
  <c r="A57" i="78"/>
  <c r="B57" i="78" s="1"/>
  <c r="A56" i="78"/>
  <c r="B56" i="78" s="1"/>
  <c r="A55" i="78"/>
  <c r="B55" i="78" s="1"/>
  <c r="A54" i="78"/>
  <c r="B54" i="78" s="1"/>
  <c r="A53" i="78"/>
  <c r="B53" i="78" s="1"/>
  <c r="A52" i="78"/>
  <c r="B52" i="78" s="1"/>
  <c r="A51" i="78"/>
  <c r="B51" i="78" s="1"/>
  <c r="A50" i="78"/>
  <c r="B50" i="78" s="1"/>
  <c r="A49" i="78"/>
  <c r="B49" i="78" s="1"/>
  <c r="A48" i="78"/>
  <c r="B48" i="78" s="1"/>
  <c r="A47" i="78"/>
  <c r="B47" i="78" s="1"/>
  <c r="A46" i="78"/>
  <c r="B46" i="78" s="1"/>
  <c r="A45" i="78"/>
  <c r="B45" i="78" s="1"/>
  <c r="A44" i="78"/>
  <c r="B44" i="78" s="1"/>
  <c r="A43" i="78"/>
  <c r="B43" i="78" s="1"/>
  <c r="A42" i="78"/>
  <c r="B42" i="78" s="1"/>
  <c r="A41" i="78"/>
  <c r="B41" i="78" s="1"/>
  <c r="A40" i="78"/>
  <c r="B40" i="78" s="1"/>
  <c r="A39" i="78"/>
  <c r="B39" i="78" s="1"/>
  <c r="A38" i="78"/>
  <c r="B38" i="78" s="1"/>
  <c r="A37" i="78"/>
  <c r="B37" i="78" s="1"/>
  <c r="A36" i="78"/>
  <c r="B36" i="78" s="1"/>
  <c r="A35" i="78"/>
  <c r="B35" i="78" s="1"/>
  <c r="A34" i="78"/>
  <c r="B34" i="78" s="1"/>
  <c r="A33" i="78"/>
  <c r="B33" i="78" s="1"/>
  <c r="A32" i="78"/>
  <c r="B32" i="78" s="1"/>
  <c r="A31" i="78"/>
  <c r="B31" i="78" s="1"/>
  <c r="A30" i="78"/>
  <c r="B30" i="78" s="1"/>
  <c r="A29" i="78"/>
  <c r="B29" i="78" s="1"/>
  <c r="A28" i="78"/>
  <c r="B28" i="78" s="1"/>
  <c r="A27" i="78"/>
  <c r="B27" i="78" s="1"/>
  <c r="A26" i="78"/>
  <c r="B26" i="78" s="1"/>
  <c r="A25" i="78"/>
  <c r="B25" i="78" s="1"/>
  <c r="A24" i="78"/>
  <c r="B24" i="78" s="1"/>
  <c r="A23" i="78"/>
  <c r="B23" i="78" s="1"/>
  <c r="A22" i="78"/>
  <c r="B22" i="78" s="1"/>
  <c r="A21" i="78"/>
  <c r="B21" i="78" s="1"/>
  <c r="A20" i="78"/>
  <c r="B20" i="78" s="1"/>
  <c r="A19" i="78"/>
  <c r="B19" i="78" s="1"/>
  <c r="A18" i="78"/>
  <c r="B18" i="78" s="1"/>
  <c r="A17" i="78"/>
  <c r="B17" i="78" s="1"/>
  <c r="A16" i="78"/>
  <c r="B16" i="78" s="1"/>
  <c r="A15" i="78"/>
  <c r="B15" i="78" s="1"/>
  <c r="A14" i="78"/>
  <c r="B14" i="78" s="1"/>
  <c r="A13" i="78"/>
  <c r="B13" i="78" s="1"/>
  <c r="A12" i="78"/>
  <c r="B12" i="78" s="1"/>
  <c r="A11" i="78"/>
  <c r="B11" i="78" s="1"/>
  <c r="A10" i="78"/>
  <c r="B10" i="78" s="1"/>
  <c r="A9" i="78"/>
  <c r="B9" i="78" s="1"/>
  <c r="A8" i="78"/>
  <c r="B8" i="78" s="1"/>
  <c r="A7" i="78"/>
  <c r="B7" i="78" s="1"/>
  <c r="A6" i="78"/>
  <c r="B6" i="78" s="1"/>
  <c r="A5" i="78"/>
  <c r="B5" i="78" s="1"/>
  <c r="A4" i="78"/>
  <c r="P3" i="78"/>
  <c r="A1" i="78"/>
  <c r="A30" i="76"/>
  <c r="A29" i="76"/>
  <c r="A28" i="76"/>
  <c r="A27" i="76"/>
  <c r="A25" i="76"/>
  <c r="A24" i="76"/>
  <c r="A23" i="76"/>
  <c r="A22" i="76"/>
  <c r="A21" i="76"/>
  <c r="A20" i="76"/>
  <c r="A19" i="76"/>
  <c r="A18" i="76"/>
  <c r="A17" i="76"/>
  <c r="A16" i="76"/>
  <c r="A15" i="76"/>
  <c r="A14" i="76"/>
  <c r="A13" i="76"/>
  <c r="A12" i="76"/>
  <c r="A11" i="76"/>
  <c r="A10" i="76"/>
  <c r="A9" i="76"/>
  <c r="A8" i="76"/>
  <c r="A7" i="76"/>
  <c r="A6" i="76"/>
  <c r="A5" i="76"/>
  <c r="A4" i="76"/>
  <c r="Q3" i="76"/>
  <c r="A1" i="76"/>
  <c r="T222" i="44"/>
  <c r="N222" i="44"/>
  <c r="K222" i="44"/>
  <c r="T221" i="44"/>
  <c r="N221" i="44"/>
  <c r="K221" i="44"/>
  <c r="T220" i="44"/>
  <c r="N220" i="44"/>
  <c r="K220" i="44"/>
  <c r="T219" i="44"/>
  <c r="N219" i="44"/>
  <c r="K219" i="44"/>
  <c r="T218" i="44"/>
  <c r="N218" i="44"/>
  <c r="K218" i="44"/>
  <c r="T217" i="44"/>
  <c r="N217" i="44"/>
  <c r="K217" i="44"/>
  <c r="T216" i="44"/>
  <c r="N216" i="44"/>
  <c r="K216" i="44"/>
  <c r="T215" i="44"/>
  <c r="N215" i="44"/>
  <c r="K215" i="44"/>
  <c r="T214" i="44"/>
  <c r="N214" i="44"/>
  <c r="K214" i="44"/>
  <c r="T213" i="44"/>
  <c r="N213" i="44"/>
  <c r="K213" i="44"/>
  <c r="T212" i="44"/>
  <c r="N212" i="44"/>
  <c r="K212" i="44"/>
  <c r="T211" i="44"/>
  <c r="N211" i="44"/>
  <c r="K211" i="44"/>
  <c r="T210" i="44"/>
  <c r="N210" i="44"/>
  <c r="K210" i="44"/>
  <c r="T209" i="44"/>
  <c r="N209" i="44"/>
  <c r="K209" i="44"/>
  <c r="T208" i="44"/>
  <c r="N208" i="44"/>
  <c r="K208" i="44"/>
  <c r="T207" i="44"/>
  <c r="N207" i="44"/>
  <c r="K207" i="44"/>
  <c r="T206" i="44"/>
  <c r="N206" i="44"/>
  <c r="K206" i="44"/>
  <c r="T205" i="44"/>
  <c r="N205" i="44"/>
  <c r="K205" i="44"/>
  <c r="T204" i="44"/>
  <c r="N204" i="44"/>
  <c r="K204" i="44"/>
  <c r="T203" i="44"/>
  <c r="N203" i="44"/>
  <c r="K203" i="44"/>
  <c r="T202" i="44"/>
  <c r="N202" i="44"/>
  <c r="K202" i="44"/>
  <c r="T201" i="44"/>
  <c r="N201" i="44"/>
  <c r="K201" i="44"/>
  <c r="T200" i="44"/>
  <c r="N200" i="44"/>
  <c r="K200" i="44"/>
  <c r="T199" i="44"/>
  <c r="N199" i="44"/>
  <c r="K199" i="44"/>
  <c r="T198" i="44"/>
  <c r="N198" i="44"/>
  <c r="K198" i="44"/>
  <c r="T197" i="44"/>
  <c r="N197" i="44"/>
  <c r="K197" i="44"/>
  <c r="T196" i="44"/>
  <c r="N196" i="44"/>
  <c r="K196" i="44"/>
  <c r="T195" i="44"/>
  <c r="N195" i="44"/>
  <c r="K195" i="44"/>
  <c r="T194" i="44"/>
  <c r="N194" i="44"/>
  <c r="K194" i="44"/>
  <c r="T193" i="44"/>
  <c r="N193" i="44"/>
  <c r="K193" i="44"/>
  <c r="T192" i="44"/>
  <c r="N192" i="44"/>
  <c r="K192" i="44"/>
  <c r="T191" i="44"/>
  <c r="N191" i="44"/>
  <c r="K191" i="44"/>
  <c r="T190" i="44"/>
  <c r="N190" i="44"/>
  <c r="K190" i="44"/>
  <c r="T189" i="44"/>
  <c r="N189" i="44"/>
  <c r="K189" i="44"/>
  <c r="T188" i="44"/>
  <c r="N188" i="44"/>
  <c r="K188" i="44"/>
  <c r="T187" i="44"/>
  <c r="N187" i="44"/>
  <c r="K187" i="44"/>
  <c r="T186" i="44"/>
  <c r="N186" i="44"/>
  <c r="K186" i="44"/>
  <c r="T185" i="44"/>
  <c r="N185" i="44"/>
  <c r="K185" i="44"/>
  <c r="T184" i="44"/>
  <c r="N184" i="44"/>
  <c r="K184" i="44"/>
  <c r="T183" i="44"/>
  <c r="N183" i="44"/>
  <c r="K183" i="44"/>
  <c r="T182" i="44"/>
  <c r="N182" i="44"/>
  <c r="K182" i="44"/>
  <c r="T181" i="44"/>
  <c r="N181" i="44"/>
  <c r="K181" i="44"/>
  <c r="T180" i="44"/>
  <c r="N180" i="44"/>
  <c r="K180" i="44"/>
  <c r="T179" i="44"/>
  <c r="N179" i="44"/>
  <c r="K179" i="44"/>
  <c r="T178" i="44"/>
  <c r="N178" i="44"/>
  <c r="K178" i="44"/>
  <c r="T177" i="44"/>
  <c r="N177" i="44"/>
  <c r="K177" i="44"/>
  <c r="T176" i="44"/>
  <c r="N176" i="44"/>
  <c r="K176" i="44"/>
  <c r="T175" i="44"/>
  <c r="N175" i="44"/>
  <c r="K175" i="44"/>
  <c r="T174" i="44"/>
  <c r="N174" i="44"/>
  <c r="K174" i="44"/>
  <c r="T173" i="44"/>
  <c r="N173" i="44"/>
  <c r="K173" i="44"/>
  <c r="T172" i="44"/>
  <c r="N172" i="44"/>
  <c r="K172" i="44"/>
  <c r="T171" i="44"/>
  <c r="N171" i="44"/>
  <c r="K171" i="44"/>
  <c r="T170" i="44"/>
  <c r="N170" i="44"/>
  <c r="K170" i="44"/>
  <c r="T169" i="44"/>
  <c r="N169" i="44"/>
  <c r="K169" i="44"/>
  <c r="T168" i="44"/>
  <c r="N168" i="44"/>
  <c r="K168" i="44"/>
  <c r="T167" i="44"/>
  <c r="N167" i="44"/>
  <c r="K167" i="44"/>
  <c r="T166" i="44"/>
  <c r="N166" i="44"/>
  <c r="K166" i="44"/>
  <c r="T165" i="44"/>
  <c r="N165" i="44"/>
  <c r="K165" i="44"/>
  <c r="T164" i="44"/>
  <c r="N164" i="44"/>
  <c r="K164" i="44"/>
  <c r="T163" i="44"/>
  <c r="N163" i="44"/>
  <c r="K163" i="44"/>
  <c r="T162" i="44"/>
  <c r="N162" i="44"/>
  <c r="K162" i="44"/>
  <c r="T161" i="44"/>
  <c r="N161" i="44"/>
  <c r="K161" i="44"/>
  <c r="T160" i="44"/>
  <c r="N160" i="44"/>
  <c r="K160" i="44"/>
  <c r="T159" i="44"/>
  <c r="N159" i="44"/>
  <c r="K159" i="44"/>
  <c r="T158" i="44"/>
  <c r="N158" i="44"/>
  <c r="K158" i="44"/>
  <c r="T157" i="44"/>
  <c r="N157" i="44"/>
  <c r="K157" i="44"/>
  <c r="T156" i="44"/>
  <c r="N156" i="44"/>
  <c r="K156" i="44"/>
  <c r="T155" i="44"/>
  <c r="N155" i="44"/>
  <c r="K155" i="44"/>
  <c r="T154" i="44"/>
  <c r="N154" i="44"/>
  <c r="K154" i="44"/>
  <c r="T153" i="44"/>
  <c r="N153" i="44"/>
  <c r="K153" i="44"/>
  <c r="T152" i="44"/>
  <c r="N152" i="44"/>
  <c r="K152" i="44"/>
  <c r="T151" i="44"/>
  <c r="N151" i="44"/>
  <c r="K151" i="44"/>
  <c r="T150" i="44"/>
  <c r="N150" i="44"/>
  <c r="K150" i="44"/>
  <c r="T149" i="44"/>
  <c r="N149" i="44"/>
  <c r="K149" i="44"/>
  <c r="T148" i="44"/>
  <c r="N148" i="44"/>
  <c r="K148" i="44"/>
  <c r="T147" i="44"/>
  <c r="N147" i="44"/>
  <c r="K147" i="44"/>
  <c r="T146" i="44"/>
  <c r="N146" i="44"/>
  <c r="K146" i="44"/>
  <c r="T145" i="44"/>
  <c r="N145" i="44"/>
  <c r="K145" i="44"/>
  <c r="T144" i="44"/>
  <c r="N144" i="44"/>
  <c r="K144" i="44"/>
  <c r="T143" i="44"/>
  <c r="N143" i="44"/>
  <c r="K143" i="44"/>
  <c r="T142" i="44"/>
  <c r="N142" i="44"/>
  <c r="K142" i="44"/>
  <c r="T141" i="44"/>
  <c r="N141" i="44"/>
  <c r="K141" i="44"/>
  <c r="T140" i="44"/>
  <c r="N140" i="44"/>
  <c r="K140" i="44"/>
  <c r="T139" i="44"/>
  <c r="N139" i="44"/>
  <c r="K139" i="44"/>
  <c r="T138" i="44"/>
  <c r="N138" i="44"/>
  <c r="K138" i="44"/>
  <c r="T137" i="44"/>
  <c r="N137" i="44"/>
  <c r="K137" i="44"/>
  <c r="T136" i="44"/>
  <c r="N136" i="44"/>
  <c r="K136" i="44"/>
  <c r="T134" i="44"/>
  <c r="N134" i="44"/>
  <c r="K134" i="44"/>
  <c r="T133" i="44"/>
  <c r="N133" i="44"/>
  <c r="K133" i="44"/>
  <c r="T132" i="44"/>
  <c r="N132" i="44"/>
  <c r="K132" i="44"/>
  <c r="T131" i="44"/>
  <c r="N131" i="44"/>
  <c r="K131" i="44"/>
  <c r="T130" i="44"/>
  <c r="N130" i="44"/>
  <c r="K130" i="44"/>
  <c r="T129" i="44"/>
  <c r="N129" i="44"/>
  <c r="K129" i="44"/>
  <c r="T128" i="44"/>
  <c r="N128" i="44"/>
  <c r="K128" i="44"/>
  <c r="T127" i="44"/>
  <c r="N127" i="44"/>
  <c r="K127" i="44"/>
  <c r="T126" i="44"/>
  <c r="N126" i="44"/>
  <c r="K126" i="44"/>
  <c r="T125" i="44"/>
  <c r="N125" i="44"/>
  <c r="K125" i="44"/>
  <c r="T124" i="44"/>
  <c r="N124" i="44"/>
  <c r="K124" i="44"/>
  <c r="T123" i="44"/>
  <c r="N123" i="44"/>
  <c r="K123" i="44"/>
  <c r="T122" i="44"/>
  <c r="N122" i="44"/>
  <c r="K122" i="44"/>
  <c r="T121" i="44"/>
  <c r="N121" i="44"/>
  <c r="K121" i="44"/>
  <c r="T120" i="44"/>
  <c r="N120" i="44"/>
  <c r="K120" i="44"/>
  <c r="T119" i="44"/>
  <c r="N119" i="44"/>
  <c r="K119" i="44"/>
  <c r="T118" i="44"/>
  <c r="N118" i="44"/>
  <c r="K118" i="44"/>
  <c r="T117" i="44"/>
  <c r="N117" i="44"/>
  <c r="K117" i="44"/>
  <c r="T116" i="44"/>
  <c r="N116" i="44"/>
  <c r="K116" i="44"/>
  <c r="T115" i="44"/>
  <c r="N115" i="44"/>
  <c r="K115" i="44"/>
  <c r="T114" i="44"/>
  <c r="N114" i="44"/>
  <c r="K114" i="44"/>
  <c r="T113" i="44"/>
  <c r="N113" i="44"/>
  <c r="K113" i="44"/>
  <c r="T112" i="44"/>
  <c r="N112" i="44"/>
  <c r="K112" i="44"/>
  <c r="T111" i="44"/>
  <c r="N111" i="44"/>
  <c r="K111" i="44"/>
  <c r="T110" i="44"/>
  <c r="N110" i="44"/>
  <c r="K110" i="44"/>
  <c r="T109" i="44"/>
  <c r="N109" i="44"/>
  <c r="K109" i="44"/>
  <c r="T108" i="44"/>
  <c r="N108" i="44"/>
  <c r="K108" i="44"/>
  <c r="T107" i="44"/>
  <c r="N107" i="44"/>
  <c r="K107" i="44"/>
  <c r="T106" i="44"/>
  <c r="N106" i="44"/>
  <c r="K106" i="44"/>
  <c r="T105" i="44"/>
  <c r="N105" i="44"/>
  <c r="K105" i="44"/>
  <c r="T104" i="44"/>
  <c r="N104" i="44"/>
  <c r="K104" i="44"/>
  <c r="T103" i="44"/>
  <c r="N103" i="44"/>
  <c r="K103" i="44"/>
  <c r="T102" i="44"/>
  <c r="N102" i="44"/>
  <c r="K102" i="44"/>
  <c r="T101" i="44"/>
  <c r="N101" i="44"/>
  <c r="K101" i="44"/>
  <c r="T100" i="44"/>
  <c r="N100" i="44"/>
  <c r="K100" i="44"/>
  <c r="T99" i="44"/>
  <c r="N99" i="44"/>
  <c r="K99" i="44"/>
  <c r="T98" i="44"/>
  <c r="N98" i="44"/>
  <c r="K98" i="44"/>
  <c r="T97" i="44"/>
  <c r="N97" i="44"/>
  <c r="K97" i="44"/>
  <c r="T96" i="44"/>
  <c r="N96" i="44"/>
  <c r="K96" i="44"/>
  <c r="T95" i="44"/>
  <c r="N95" i="44"/>
  <c r="K95" i="44"/>
  <c r="T94" i="44"/>
  <c r="N94" i="44"/>
  <c r="K94" i="44"/>
  <c r="T93" i="44"/>
  <c r="N93" i="44"/>
  <c r="K93" i="44"/>
  <c r="T92" i="44"/>
  <c r="N92" i="44"/>
  <c r="K92" i="44"/>
  <c r="T91" i="44"/>
  <c r="N91" i="44"/>
  <c r="K91" i="44"/>
  <c r="T90" i="44"/>
  <c r="N90" i="44"/>
  <c r="K90" i="44"/>
  <c r="T89" i="44"/>
  <c r="N89" i="44"/>
  <c r="K89" i="44"/>
  <c r="T88" i="44"/>
  <c r="N88" i="44"/>
  <c r="K88" i="44"/>
  <c r="T87" i="44"/>
  <c r="N87" i="44"/>
  <c r="K87" i="44"/>
  <c r="T86" i="44"/>
  <c r="N86" i="44"/>
  <c r="K86" i="44"/>
  <c r="T85" i="44"/>
  <c r="N85" i="44"/>
  <c r="K85" i="44"/>
  <c r="T84" i="44"/>
  <c r="N84" i="44"/>
  <c r="K84" i="44"/>
  <c r="T83" i="44"/>
  <c r="N83" i="44"/>
  <c r="K83" i="44"/>
  <c r="T82" i="44"/>
  <c r="N82" i="44"/>
  <c r="K82" i="44"/>
  <c r="T81" i="44"/>
  <c r="N81" i="44"/>
  <c r="K81" i="44"/>
  <c r="T80" i="44"/>
  <c r="N80" i="44"/>
  <c r="K80" i="44"/>
  <c r="T79" i="44"/>
  <c r="N79" i="44"/>
  <c r="K79" i="44"/>
  <c r="T78" i="44"/>
  <c r="N78" i="44"/>
  <c r="K78" i="44"/>
  <c r="T77" i="44"/>
  <c r="N77" i="44"/>
  <c r="K77" i="44"/>
  <c r="T76" i="44"/>
  <c r="N76" i="44"/>
  <c r="K76" i="44"/>
  <c r="T75" i="44"/>
  <c r="N75" i="44"/>
  <c r="K75" i="44"/>
  <c r="T74" i="44"/>
  <c r="N74" i="44"/>
  <c r="K74" i="44"/>
  <c r="T73" i="44"/>
  <c r="N73" i="44"/>
  <c r="K73" i="44"/>
  <c r="T72" i="44"/>
  <c r="N72" i="44"/>
  <c r="K72" i="44"/>
  <c r="T71" i="44"/>
  <c r="N71" i="44"/>
  <c r="K71" i="44"/>
  <c r="T70" i="44"/>
  <c r="N70" i="44"/>
  <c r="K70" i="44"/>
  <c r="T69" i="44"/>
  <c r="N69" i="44"/>
  <c r="K69" i="44"/>
  <c r="T68" i="44"/>
  <c r="N68" i="44"/>
  <c r="K68" i="44"/>
  <c r="T67" i="44"/>
  <c r="N67" i="44"/>
  <c r="K67" i="44"/>
  <c r="T66" i="44"/>
  <c r="N66" i="44"/>
  <c r="K66" i="44"/>
  <c r="T65" i="44"/>
  <c r="N65" i="44"/>
  <c r="K65" i="44"/>
  <c r="T64" i="44"/>
  <c r="N64" i="44"/>
  <c r="K64" i="44"/>
  <c r="T63" i="44"/>
  <c r="N63" i="44"/>
  <c r="K63" i="44"/>
  <c r="T62" i="44"/>
  <c r="N62" i="44"/>
  <c r="K62" i="44"/>
  <c r="T61" i="44"/>
  <c r="N61" i="44"/>
  <c r="K61" i="44"/>
  <c r="T60" i="44"/>
  <c r="N60" i="44"/>
  <c r="K60" i="44"/>
  <c r="T59" i="44"/>
  <c r="N59" i="44"/>
  <c r="K59" i="44"/>
  <c r="T58" i="44"/>
  <c r="N58" i="44"/>
  <c r="K58" i="44"/>
  <c r="T57" i="44"/>
  <c r="N57" i="44"/>
  <c r="K57" i="44"/>
  <c r="T56" i="44"/>
  <c r="N56" i="44"/>
  <c r="K56" i="44"/>
  <c r="T55" i="44"/>
  <c r="N55" i="44"/>
  <c r="K55" i="44"/>
  <c r="T54" i="44"/>
  <c r="N54" i="44"/>
  <c r="K54" i="44"/>
  <c r="T53" i="44"/>
  <c r="N53" i="44"/>
  <c r="K53" i="44"/>
  <c r="T52" i="44"/>
  <c r="N52" i="44"/>
  <c r="K52" i="44"/>
  <c r="T51" i="44"/>
  <c r="N51" i="44"/>
  <c r="K51" i="44"/>
  <c r="T50" i="44"/>
  <c r="N50" i="44"/>
  <c r="K50" i="44"/>
  <c r="T49" i="44"/>
  <c r="N49" i="44"/>
  <c r="K49" i="44"/>
  <c r="T48" i="44"/>
  <c r="N48" i="44"/>
  <c r="K48" i="44"/>
  <c r="T47" i="44"/>
  <c r="N47" i="44"/>
  <c r="K47" i="44"/>
  <c r="T46" i="44"/>
  <c r="N46" i="44"/>
  <c r="K46" i="44"/>
  <c r="T45" i="44"/>
  <c r="N45" i="44"/>
  <c r="K45" i="44"/>
  <c r="T44" i="44"/>
  <c r="N44" i="44"/>
  <c r="K44" i="44"/>
  <c r="T43" i="44"/>
  <c r="N43" i="44"/>
  <c r="K43" i="44"/>
  <c r="T42" i="44"/>
  <c r="N42" i="44"/>
  <c r="K42" i="44"/>
  <c r="T41" i="44"/>
  <c r="N41" i="44"/>
  <c r="K41" i="44"/>
  <c r="T40" i="44"/>
  <c r="N40" i="44"/>
  <c r="K40" i="44"/>
  <c r="T39" i="44"/>
  <c r="N39" i="44"/>
  <c r="K39" i="44"/>
  <c r="T38" i="44"/>
  <c r="N38" i="44"/>
  <c r="K38" i="44"/>
  <c r="T37" i="44"/>
  <c r="N37" i="44"/>
  <c r="K37" i="44"/>
  <c r="T36" i="44"/>
  <c r="N36" i="44"/>
  <c r="K36" i="44"/>
  <c r="T35" i="44"/>
  <c r="N35" i="44"/>
  <c r="K35" i="44"/>
  <c r="T34" i="44"/>
  <c r="N34" i="44"/>
  <c r="K34" i="44"/>
  <c r="T33" i="44"/>
  <c r="N33" i="44"/>
  <c r="K33" i="44"/>
  <c r="T32" i="44"/>
  <c r="N32" i="44"/>
  <c r="K32" i="44"/>
  <c r="T31" i="44"/>
  <c r="N31" i="44"/>
  <c r="K31" i="44"/>
  <c r="T30" i="44"/>
  <c r="N30" i="44"/>
  <c r="K30" i="44"/>
  <c r="T29" i="44"/>
  <c r="N29" i="44"/>
  <c r="K29" i="44"/>
  <c r="T28" i="44"/>
  <c r="N28" i="44"/>
  <c r="K28" i="44"/>
  <c r="T27" i="44"/>
  <c r="N27" i="44"/>
  <c r="K27" i="44"/>
  <c r="T26" i="44"/>
  <c r="N26" i="44"/>
  <c r="K26" i="44"/>
  <c r="T25" i="44"/>
  <c r="N25" i="44"/>
  <c r="K25" i="44"/>
  <c r="T24" i="44"/>
  <c r="N24" i="44"/>
  <c r="K24" i="44"/>
  <c r="T23" i="44"/>
  <c r="N23" i="44"/>
  <c r="K23" i="44"/>
  <c r="T22" i="44"/>
  <c r="N22" i="44"/>
  <c r="K22" i="44"/>
  <c r="T21" i="44"/>
  <c r="N21" i="44"/>
  <c r="K21" i="44"/>
  <c r="T19" i="44"/>
  <c r="N19" i="44"/>
  <c r="K19" i="44"/>
  <c r="T17" i="44"/>
  <c r="N17" i="44"/>
  <c r="K17" i="44"/>
  <c r="T16" i="44"/>
  <c r="N16" i="44"/>
  <c r="K16" i="44"/>
  <c r="T15" i="44"/>
  <c r="N15" i="44"/>
  <c r="K15" i="44"/>
  <c r="T14" i="44"/>
  <c r="N14" i="44"/>
  <c r="K14" i="44"/>
  <c r="T13" i="44"/>
  <c r="N13" i="44"/>
  <c r="K13" i="44"/>
  <c r="T12" i="44"/>
  <c r="N12" i="44"/>
  <c r="K12" i="44"/>
  <c r="T11" i="44"/>
  <c r="N11" i="44"/>
  <c r="K11" i="44"/>
  <c r="T10" i="44"/>
  <c r="N10" i="44"/>
  <c r="K10" i="44"/>
  <c r="T9" i="44"/>
  <c r="N9" i="44"/>
  <c r="K9" i="44"/>
  <c r="T8" i="44"/>
  <c r="N8" i="44"/>
  <c r="K8" i="44"/>
  <c r="T7" i="44"/>
  <c r="N7" i="44"/>
  <c r="K7" i="44"/>
  <c r="T6" i="44"/>
  <c r="N6" i="44"/>
  <c r="K6" i="44"/>
  <c r="T5" i="44"/>
  <c r="N5" i="44"/>
  <c r="K5" i="44"/>
  <c r="T4" i="44"/>
  <c r="N4" i="44"/>
  <c r="K4" i="44"/>
  <c r="T3" i="44"/>
  <c r="N3" i="44"/>
  <c r="K3" i="44"/>
  <c r="K29" i="43"/>
  <c r="K28" i="43"/>
  <c r="K27" i="43"/>
  <c r="K26" i="43"/>
  <c r="K24" i="43"/>
  <c r="K23" i="43"/>
  <c r="K22" i="43"/>
  <c r="K21" i="43"/>
  <c r="K20" i="43"/>
  <c r="K19" i="43"/>
  <c r="K18" i="43"/>
  <c r="K17" i="43"/>
  <c r="K16" i="43"/>
  <c r="K15" i="43"/>
  <c r="K14" i="43"/>
  <c r="K13" i="43"/>
  <c r="K12" i="43"/>
  <c r="K11" i="43"/>
  <c r="K10" i="43"/>
  <c r="K9" i="43"/>
  <c r="K8" i="43"/>
  <c r="K7" i="43"/>
  <c r="K6" i="43"/>
  <c r="K5" i="43"/>
  <c r="K3" i="43"/>
  <c r="B222" i="18"/>
  <c r="B221" i="18"/>
  <c r="B230" i="65" s="1"/>
  <c r="B220" i="18"/>
  <c r="B219" i="18"/>
  <c r="B218" i="18"/>
  <c r="B217" i="18"/>
  <c r="B226" i="65" s="1"/>
  <c r="B216" i="18"/>
  <c r="B225" i="65" s="1"/>
  <c r="B215" i="18"/>
  <c r="B214" i="18"/>
  <c r="B213" i="18"/>
  <c r="B212" i="18"/>
  <c r="B211" i="18"/>
  <c r="B210" i="18"/>
  <c r="B209" i="18"/>
  <c r="B208" i="18"/>
  <c r="B207" i="18"/>
  <c r="B206" i="18"/>
  <c r="B205" i="18"/>
  <c r="B204" i="18"/>
  <c r="B203" i="18"/>
  <c r="B202" i="18"/>
  <c r="B201" i="18"/>
  <c r="B200" i="18"/>
  <c r="B199" i="18"/>
  <c r="B208" i="65" s="1"/>
  <c r="B198" i="18"/>
  <c r="B197" i="18"/>
  <c r="B196" i="18"/>
  <c r="B195" i="18"/>
  <c r="B204" i="65" s="1"/>
  <c r="B194" i="18"/>
  <c r="B193" i="18"/>
  <c r="B192" i="18"/>
  <c r="B191" i="18"/>
  <c r="B200" i="65" s="1"/>
  <c r="B190" i="18"/>
  <c r="B189" i="18"/>
  <c r="B188" i="18"/>
  <c r="B187" i="18"/>
  <c r="B186" i="18"/>
  <c r="B185" i="18"/>
  <c r="B184" i="18"/>
  <c r="B183" i="18"/>
  <c r="B182" i="18"/>
  <c r="B181" i="18"/>
  <c r="B180" i="18"/>
  <c r="B179" i="18"/>
  <c r="B178" i="18"/>
  <c r="B177" i="18"/>
  <c r="B176" i="18"/>
  <c r="B175" i="18"/>
  <c r="B174" i="18"/>
  <c r="B173" i="18"/>
  <c r="B172" i="18"/>
  <c r="B171" i="18"/>
  <c r="B170" i="18"/>
  <c r="B169" i="18"/>
  <c r="B168" i="18"/>
  <c r="B167" i="18"/>
  <c r="B176" i="65" s="1"/>
  <c r="B166" i="18"/>
  <c r="B165" i="18"/>
  <c r="B164" i="18"/>
  <c r="B163" i="18"/>
  <c r="B162" i="18"/>
  <c r="B161" i="18"/>
  <c r="B160" i="18"/>
  <c r="B169" i="65" s="1"/>
  <c r="B159" i="18"/>
  <c r="B168" i="65" s="1"/>
  <c r="B158" i="18"/>
  <c r="B157" i="18"/>
  <c r="B156" i="18"/>
  <c r="B155" i="18"/>
  <c r="B154" i="18"/>
  <c r="B153" i="18"/>
  <c r="B152" i="18"/>
  <c r="B151" i="18"/>
  <c r="B160" i="65" s="1"/>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100" i="65" s="1"/>
  <c r="B90" i="18"/>
  <c r="B89" i="18"/>
  <c r="B88" i="18"/>
  <c r="B87" i="18"/>
  <c r="B96" i="65" s="1"/>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64" i="65" s="1"/>
  <c r="B54" i="18"/>
  <c r="B53" i="18"/>
  <c r="B52" i="18"/>
  <c r="B51" i="18"/>
  <c r="B50" i="18"/>
  <c r="B49" i="18"/>
  <c r="B48" i="18"/>
  <c r="B47" i="18"/>
  <c r="B56" i="65" s="1"/>
  <c r="B46" i="18"/>
  <c r="B45" i="18"/>
  <c r="B44" i="18"/>
  <c r="B43" i="18"/>
  <c r="B52" i="65" s="1"/>
  <c r="B42" i="18"/>
  <c r="B41" i="18"/>
  <c r="B40" i="18"/>
  <c r="B39" i="18"/>
  <c r="B48" i="65" s="1"/>
  <c r="B38" i="18"/>
  <c r="B37" i="18"/>
  <c r="B36" i="18"/>
  <c r="B35" i="18"/>
  <c r="B34" i="18"/>
  <c r="B33" i="18"/>
  <c r="B32" i="18"/>
  <c r="B31" i="18"/>
  <c r="B40" i="65" s="1"/>
  <c r="B30" i="18"/>
  <c r="B29" i="18"/>
  <c r="B28" i="18"/>
  <c r="B37" i="65" s="1"/>
  <c r="B27" i="18"/>
  <c r="B36" i="65" s="1"/>
  <c r="B26" i="18"/>
  <c r="B25" i="18"/>
  <c r="B24" i="18"/>
  <c r="B23" i="18"/>
  <c r="B32" i="65" s="1"/>
  <c r="B22" i="18"/>
  <c r="B21" i="18"/>
  <c r="B20" i="18"/>
  <c r="B19" i="18"/>
  <c r="B28" i="65" s="1"/>
  <c r="B18" i="18"/>
  <c r="B17" i="18"/>
  <c r="B16" i="18"/>
  <c r="B15" i="18"/>
  <c r="B24" i="65" s="1"/>
  <c r="B14" i="18"/>
  <c r="B13" i="18"/>
  <c r="B12" i="18"/>
  <c r="B11" i="18"/>
  <c r="B10" i="18"/>
  <c r="B9" i="18"/>
  <c r="B8" i="18"/>
  <c r="B7" i="18"/>
  <c r="B6" i="18"/>
  <c r="B5" i="18"/>
  <c r="B4" i="18"/>
  <c r="B3" i="18"/>
  <c r="B12" i="65" s="1"/>
  <c r="C12" i="65" s="1"/>
  <c r="B29" i="19"/>
  <c r="B30" i="76" s="1"/>
  <c r="B28" i="19"/>
  <c r="B29" i="76" s="1"/>
  <c r="B27" i="19"/>
  <c r="B28" i="76" s="1"/>
  <c r="B26" i="19"/>
  <c r="B27" i="76" s="1"/>
  <c r="B24" i="19"/>
  <c r="B25" i="76" s="1"/>
  <c r="B23" i="19"/>
  <c r="B24" i="76" s="1"/>
  <c r="B22" i="19"/>
  <c r="B23" i="76" s="1"/>
  <c r="B21" i="19"/>
  <c r="B22" i="76" s="1"/>
  <c r="B20" i="19"/>
  <c r="B21" i="76" s="1"/>
  <c r="B19" i="19"/>
  <c r="B20" i="76" s="1"/>
  <c r="B18" i="19"/>
  <c r="B19" i="76" s="1"/>
  <c r="B17" i="19"/>
  <c r="B18" i="76" s="1"/>
  <c r="B16" i="19"/>
  <c r="B17" i="76" s="1"/>
  <c r="B15" i="19"/>
  <c r="B16" i="76" s="1"/>
  <c r="B14" i="19"/>
  <c r="B15" i="76" s="1"/>
  <c r="B13" i="19"/>
  <c r="B14" i="76" s="1"/>
  <c r="B12" i="19"/>
  <c r="B13" i="76" s="1"/>
  <c r="B11" i="19"/>
  <c r="B12" i="76" s="1"/>
  <c r="B10" i="19"/>
  <c r="B11" i="76" s="1"/>
  <c r="B9" i="19"/>
  <c r="B10" i="76" s="1"/>
  <c r="B8" i="19"/>
  <c r="B9" i="76" s="1"/>
  <c r="B7" i="19"/>
  <c r="B8" i="76" s="1"/>
  <c r="B6" i="19"/>
  <c r="B7" i="76" s="1"/>
  <c r="B5" i="19"/>
  <c r="B6" i="76" s="1"/>
  <c r="B4" i="19"/>
  <c r="B5" i="76" s="1"/>
  <c r="B3" i="19"/>
  <c r="B4" i="76" s="1"/>
  <c r="AD221" i="2"/>
  <c r="AD220" i="2"/>
  <c r="AD219" i="2"/>
  <c r="AD218" i="2"/>
  <c r="AD217" i="2"/>
  <c r="AD216" i="2"/>
  <c r="AD215" i="2"/>
  <c r="AD214" i="2"/>
  <c r="AD213" i="2"/>
  <c r="AD212" i="2"/>
  <c r="AD211" i="2"/>
  <c r="AD210" i="2"/>
  <c r="AD209" i="2"/>
  <c r="AD208" i="2"/>
  <c r="AD207" i="2"/>
  <c r="AD206" i="2"/>
  <c r="AD205" i="2"/>
  <c r="AD204" i="2"/>
  <c r="AD203" i="2"/>
  <c r="AD202" i="2"/>
  <c r="AD201" i="2"/>
  <c r="AD200" i="2"/>
  <c r="AD199" i="2"/>
  <c r="AD198" i="2"/>
  <c r="AD197" i="2"/>
  <c r="AD196" i="2"/>
  <c r="AD195" i="2"/>
  <c r="AD194" i="2"/>
  <c r="AD193" i="2"/>
  <c r="AD192" i="2"/>
  <c r="AD191" i="2"/>
  <c r="AD190" i="2"/>
  <c r="AD189" i="2"/>
  <c r="AD188" i="2"/>
  <c r="AD187" i="2"/>
  <c r="AD186" i="2"/>
  <c r="AD185" i="2"/>
  <c r="AD184" i="2"/>
  <c r="AD183" i="2"/>
  <c r="AD182" i="2"/>
  <c r="AD181" i="2"/>
  <c r="AD180" i="2"/>
  <c r="AD179" i="2"/>
  <c r="AD178" i="2"/>
  <c r="AD177" i="2"/>
  <c r="AD176" i="2"/>
  <c r="AD175" i="2"/>
  <c r="AD174" i="2"/>
  <c r="AD173" i="2"/>
  <c r="AD172" i="2"/>
  <c r="AD171" i="2"/>
  <c r="AD170" i="2"/>
  <c r="AD169" i="2"/>
  <c r="AD168" i="2"/>
  <c r="AD167" i="2"/>
  <c r="AD166" i="2"/>
  <c r="AD165" i="2"/>
  <c r="AD164" i="2"/>
  <c r="AD163" i="2"/>
  <c r="AD162" i="2"/>
  <c r="AD161" i="2"/>
  <c r="AD160" i="2"/>
  <c r="AD159" i="2"/>
  <c r="AD158" i="2"/>
  <c r="AD157" i="2"/>
  <c r="AD156" i="2"/>
  <c r="AD155" i="2"/>
  <c r="AD154" i="2"/>
  <c r="AD153" i="2"/>
  <c r="AD152" i="2"/>
  <c r="AD151" i="2"/>
  <c r="AD150" i="2"/>
  <c r="AD149" i="2"/>
  <c r="AD148" i="2"/>
  <c r="AD147" i="2"/>
  <c r="AD146" i="2"/>
  <c r="AD145" i="2"/>
  <c r="AD144" i="2"/>
  <c r="AD143" i="2"/>
  <c r="AD142" i="2"/>
  <c r="AD141" i="2"/>
  <c r="AD140" i="2"/>
  <c r="AD139" i="2"/>
  <c r="AD138" i="2"/>
  <c r="AD137" i="2"/>
  <c r="AD136" i="2"/>
  <c r="AD135" i="2"/>
  <c r="AD134" i="2"/>
  <c r="AD133" i="2"/>
  <c r="AD132" i="2"/>
  <c r="AD131" i="2"/>
  <c r="AD130" i="2"/>
  <c r="AD129" i="2"/>
  <c r="AD128" i="2"/>
  <c r="AD127" i="2"/>
  <c r="AD126" i="2"/>
  <c r="AD125" i="2"/>
  <c r="AD124" i="2"/>
  <c r="AD123" i="2"/>
  <c r="AD122" i="2"/>
  <c r="AD121" i="2"/>
  <c r="AD120" i="2"/>
  <c r="AD119" i="2"/>
  <c r="AD118" i="2"/>
  <c r="AD117" i="2"/>
  <c r="AD116" i="2"/>
  <c r="AD115" i="2"/>
  <c r="AD114"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D6" i="2"/>
  <c r="AD5" i="2"/>
  <c r="AD4" i="2"/>
  <c r="B222" i="80"/>
  <c r="B221" i="80"/>
  <c r="B220" i="80"/>
  <c r="B219" i="80"/>
  <c r="B218" i="80"/>
  <c r="B217" i="80"/>
  <c r="B216" i="80"/>
  <c r="B215" i="80"/>
  <c r="B214" i="80"/>
  <c r="B213" i="80"/>
  <c r="B212" i="80"/>
  <c r="B211" i="80"/>
  <c r="B210" i="80"/>
  <c r="B209" i="80"/>
  <c r="B208" i="80"/>
  <c r="B207" i="80"/>
  <c r="B206" i="80"/>
  <c r="B205" i="80"/>
  <c r="B204" i="80"/>
  <c r="B203" i="80"/>
  <c r="B202" i="80"/>
  <c r="B201" i="80"/>
  <c r="B200" i="80"/>
  <c r="B199" i="80"/>
  <c r="B198" i="80"/>
  <c r="B197" i="80"/>
  <c r="B196" i="80"/>
  <c r="B195" i="80"/>
  <c r="B194" i="80"/>
  <c r="B193" i="80"/>
  <c r="B192" i="80"/>
  <c r="B191" i="80"/>
  <c r="B190" i="80"/>
  <c r="B189" i="80"/>
  <c r="B188" i="80"/>
  <c r="B187" i="80"/>
  <c r="B186" i="80"/>
  <c r="B185" i="80"/>
  <c r="B184" i="80"/>
  <c r="B183" i="80"/>
  <c r="B182" i="80"/>
  <c r="B181" i="80"/>
  <c r="B180" i="80"/>
  <c r="B179"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B3" i="80"/>
  <c r="B222" i="69"/>
  <c r="B221" i="69"/>
  <c r="B220" i="69"/>
  <c r="B219" i="69"/>
  <c r="B218" i="69"/>
  <c r="B217" i="69"/>
  <c r="B216" i="69"/>
  <c r="B215" i="69"/>
  <c r="B214" i="69"/>
  <c r="B213" i="69"/>
  <c r="B212" i="69"/>
  <c r="B211" i="69"/>
  <c r="B210" i="69"/>
  <c r="B209" i="69"/>
  <c r="B208" i="69"/>
  <c r="B207" i="69"/>
  <c r="B206" i="69"/>
  <c r="B205" i="69"/>
  <c r="B204" i="69"/>
  <c r="B203" i="69"/>
  <c r="B202" i="69"/>
  <c r="B201" i="69"/>
  <c r="B200" i="69"/>
  <c r="B199" i="69"/>
  <c r="B198" i="69"/>
  <c r="B197" i="69"/>
  <c r="B196" i="69"/>
  <c r="B195" i="69"/>
  <c r="B194" i="69"/>
  <c r="B193" i="69"/>
  <c r="B192" i="69"/>
  <c r="B191" i="69"/>
  <c r="B190" i="69"/>
  <c r="B189" i="69"/>
  <c r="B188" i="69"/>
  <c r="B187" i="69"/>
  <c r="B186" i="69"/>
  <c r="B185" i="69"/>
  <c r="B184" i="69"/>
  <c r="B183" i="69"/>
  <c r="B182" i="69"/>
  <c r="B181" i="69"/>
  <c r="B180" i="69"/>
  <c r="B179" i="69"/>
  <c r="B178" i="69"/>
  <c r="B177" i="69"/>
  <c r="B176" i="69"/>
  <c r="B175" i="69"/>
  <c r="B174" i="69"/>
  <c r="B173" i="69"/>
  <c r="B172" i="69"/>
  <c r="B171" i="69"/>
  <c r="B170" i="69"/>
  <c r="B169" i="69"/>
  <c r="B168" i="69"/>
  <c r="B167" i="69"/>
  <c r="B166" i="69"/>
  <c r="B165" i="69"/>
  <c r="B164" i="69"/>
  <c r="B163" i="69"/>
  <c r="B162" i="69"/>
  <c r="B161" i="69"/>
  <c r="B160" i="69"/>
  <c r="B159" i="69"/>
  <c r="B158" i="69"/>
  <c r="B157" i="69"/>
  <c r="B156" i="69"/>
  <c r="B155" i="69"/>
  <c r="B154" i="69"/>
  <c r="B153" i="69"/>
  <c r="B152" i="69"/>
  <c r="B151" i="69"/>
  <c r="B150" i="69"/>
  <c r="B149" i="69"/>
  <c r="B148" i="69"/>
  <c r="B147" i="69"/>
  <c r="B146" i="69"/>
  <c r="B145" i="69"/>
  <c r="B144" i="69"/>
  <c r="B143" i="69"/>
  <c r="B142" i="69"/>
  <c r="B141" i="69"/>
  <c r="B140" i="69"/>
  <c r="B139" i="69"/>
  <c r="B138" i="69"/>
  <c r="B137" i="69"/>
  <c r="B136" i="69"/>
  <c r="B135" i="69"/>
  <c r="B134" i="69"/>
  <c r="B133" i="69"/>
  <c r="B132" i="69"/>
  <c r="B131" i="69"/>
  <c r="B130" i="69"/>
  <c r="B129" i="69"/>
  <c r="B128" i="69"/>
  <c r="B127" i="69"/>
  <c r="B126" i="69"/>
  <c r="B125" i="69"/>
  <c r="B124" i="69"/>
  <c r="B123" i="69"/>
  <c r="B122" i="69"/>
  <c r="B121" i="69"/>
  <c r="B120" i="69"/>
  <c r="B119" i="69"/>
  <c r="B118" i="69"/>
  <c r="B117" i="69"/>
  <c r="B116" i="69"/>
  <c r="B115" i="69"/>
  <c r="B114" i="69"/>
  <c r="B113" i="69"/>
  <c r="B112" i="69"/>
  <c r="B111" i="69"/>
  <c r="B110" i="69"/>
  <c r="B109" i="69"/>
  <c r="B108" i="69"/>
  <c r="B107" i="69"/>
  <c r="B106" i="69"/>
  <c r="B105" i="69"/>
  <c r="B104" i="69"/>
  <c r="B103" i="69"/>
  <c r="B102" i="69"/>
  <c r="B101" i="69"/>
  <c r="B100" i="69"/>
  <c r="B99" i="69"/>
  <c r="B98" i="69"/>
  <c r="B97" i="69"/>
  <c r="B96" i="69"/>
  <c r="B95" i="69"/>
  <c r="B94" i="69"/>
  <c r="B93" i="69"/>
  <c r="B92" i="69"/>
  <c r="B91" i="69"/>
  <c r="B90" i="69"/>
  <c r="B89" i="69"/>
  <c r="B88" i="69"/>
  <c r="B87" i="69"/>
  <c r="B86" i="69"/>
  <c r="B85" i="69"/>
  <c r="B84" i="69"/>
  <c r="B83" i="69"/>
  <c r="B82" i="69"/>
  <c r="B81" i="69"/>
  <c r="B80" i="69"/>
  <c r="B79" i="69"/>
  <c r="B78" i="69"/>
  <c r="B77" i="69"/>
  <c r="B76" i="69"/>
  <c r="B75" i="69"/>
  <c r="B74" i="69"/>
  <c r="B73" i="69"/>
  <c r="B72" i="69"/>
  <c r="B71" i="69"/>
  <c r="B70" i="69"/>
  <c r="B69" i="69"/>
  <c r="B68" i="69"/>
  <c r="B67" i="69"/>
  <c r="B66" i="69"/>
  <c r="B65" i="69"/>
  <c r="B64" i="69"/>
  <c r="B63" i="69"/>
  <c r="B62" i="69"/>
  <c r="B61" i="69"/>
  <c r="B60" i="69"/>
  <c r="B59" i="69"/>
  <c r="B58" i="69"/>
  <c r="B57" i="69"/>
  <c r="B56" i="69"/>
  <c r="B55" i="69"/>
  <c r="B54" i="69"/>
  <c r="B53" i="69"/>
  <c r="B52" i="69"/>
  <c r="B51" i="69"/>
  <c r="B50" i="69"/>
  <c r="B49" i="69"/>
  <c r="B48" i="69"/>
  <c r="B47" i="69"/>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B7" i="69"/>
  <c r="B6" i="69"/>
  <c r="B5" i="69"/>
  <c r="B4" i="69"/>
  <c r="B3" i="69"/>
  <c r="B222" i="68"/>
  <c r="B221" i="68"/>
  <c r="B220" i="68"/>
  <c r="B219" i="68"/>
  <c r="B218" i="68"/>
  <c r="B217" i="68"/>
  <c r="B216" i="68"/>
  <c r="B215" i="68"/>
  <c r="B214" i="68"/>
  <c r="B213" i="68"/>
  <c r="B212" i="68"/>
  <c r="B211" i="68"/>
  <c r="B210" i="68"/>
  <c r="B209" i="68"/>
  <c r="B208" i="68"/>
  <c r="B207" i="68"/>
  <c r="B206" i="68"/>
  <c r="B205" i="68"/>
  <c r="B204" i="68"/>
  <c r="B203" i="68"/>
  <c r="B202" i="68"/>
  <c r="B201" i="68"/>
  <c r="B200" i="68"/>
  <c r="B199" i="68"/>
  <c r="B198" i="68"/>
  <c r="B197" i="68"/>
  <c r="B196" i="68"/>
  <c r="B195" i="68"/>
  <c r="B194" i="68"/>
  <c r="B193" i="68"/>
  <c r="B192" i="68"/>
  <c r="B191" i="68"/>
  <c r="B190" i="68"/>
  <c r="B189" i="68"/>
  <c r="B188" i="68"/>
  <c r="B187" i="68"/>
  <c r="B186" i="68"/>
  <c r="B185" i="68"/>
  <c r="B184" i="68"/>
  <c r="B183" i="68"/>
  <c r="B182" i="68"/>
  <c r="B181" i="68"/>
  <c r="B180" i="68"/>
  <c r="B179" i="68"/>
  <c r="B178" i="68"/>
  <c r="B177" i="68"/>
  <c r="B176" i="68"/>
  <c r="B175" i="68"/>
  <c r="B174" i="68"/>
  <c r="B173" i="68"/>
  <c r="B172" i="68"/>
  <c r="B171" i="68"/>
  <c r="B170" i="68"/>
  <c r="B169" i="68"/>
  <c r="B168" i="68"/>
  <c r="B167" i="68"/>
  <c r="B166" i="68"/>
  <c r="B165" i="68"/>
  <c r="B164" i="68"/>
  <c r="B163" i="68"/>
  <c r="B162" i="68"/>
  <c r="B161" i="68"/>
  <c r="B160" i="68"/>
  <c r="B159" i="68"/>
  <c r="B158" i="68"/>
  <c r="B157" i="68"/>
  <c r="B156" i="68"/>
  <c r="B155" i="68"/>
  <c r="B154" i="68"/>
  <c r="B153" i="68"/>
  <c r="B152" i="68"/>
  <c r="B151" i="68"/>
  <c r="B150" i="68"/>
  <c r="B149" i="68"/>
  <c r="B148" i="68"/>
  <c r="B147" i="68"/>
  <c r="B146" i="68"/>
  <c r="B145" i="68"/>
  <c r="B144" i="68"/>
  <c r="B143" i="68"/>
  <c r="B142" i="68"/>
  <c r="B141" i="68"/>
  <c r="B140" i="68"/>
  <c r="B139" i="68"/>
  <c r="B138" i="68"/>
  <c r="B137" i="68"/>
  <c r="B136" i="68"/>
  <c r="B135" i="68"/>
  <c r="B134" i="68"/>
  <c r="B133" i="68"/>
  <c r="B132" i="68"/>
  <c r="B131" i="68"/>
  <c r="B130" i="68"/>
  <c r="B129" i="68"/>
  <c r="B128" i="68"/>
  <c r="B127" i="68"/>
  <c r="B126" i="68"/>
  <c r="B125" i="68"/>
  <c r="B124" i="68"/>
  <c r="B123" i="68"/>
  <c r="B122" i="68"/>
  <c r="B121" i="68"/>
  <c r="B120" i="68"/>
  <c r="B119" i="68"/>
  <c r="B118" i="68"/>
  <c r="B117" i="68"/>
  <c r="B116" i="68"/>
  <c r="B115" i="68"/>
  <c r="B114" i="68"/>
  <c r="B113" i="68"/>
  <c r="B112" i="68"/>
  <c r="B111" i="68"/>
  <c r="B110" i="68"/>
  <c r="B109" i="68"/>
  <c r="B108" i="68"/>
  <c r="B107" i="68"/>
  <c r="B106" i="68"/>
  <c r="B105" i="68"/>
  <c r="B104" i="68"/>
  <c r="B103" i="68"/>
  <c r="B102" i="68"/>
  <c r="B101" i="68"/>
  <c r="B100" i="68"/>
  <c r="B99" i="68"/>
  <c r="B98" i="68"/>
  <c r="B97" i="68"/>
  <c r="B96" i="68"/>
  <c r="B95" i="68"/>
  <c r="B94" i="68"/>
  <c r="B93" i="68"/>
  <c r="B92" i="68"/>
  <c r="B91" i="68"/>
  <c r="B90" i="68"/>
  <c r="B89" i="68"/>
  <c r="B88" i="68"/>
  <c r="B87" i="68"/>
  <c r="B86" i="68"/>
  <c r="B85" i="68"/>
  <c r="B84" i="68"/>
  <c r="B83" i="68"/>
  <c r="B82" i="68"/>
  <c r="B81" i="68"/>
  <c r="B80" i="68"/>
  <c r="B79" i="68"/>
  <c r="B78" i="68"/>
  <c r="B77" i="68"/>
  <c r="B76" i="68"/>
  <c r="B75" i="68"/>
  <c r="B74" i="68"/>
  <c r="B73" i="68"/>
  <c r="B72" i="68"/>
  <c r="B71" i="68"/>
  <c r="B70" i="68"/>
  <c r="B69" i="68"/>
  <c r="B68" i="68"/>
  <c r="B67" i="68"/>
  <c r="B66" i="68"/>
  <c r="B65" i="68"/>
  <c r="B64" i="68"/>
  <c r="B63" i="68"/>
  <c r="B62" i="68"/>
  <c r="B61" i="68"/>
  <c r="B60" i="68"/>
  <c r="B59" i="68"/>
  <c r="B58" i="68"/>
  <c r="B57" i="68"/>
  <c r="B56" i="68"/>
  <c r="B55" i="68"/>
  <c r="B54" i="68"/>
  <c r="B53" i="68"/>
  <c r="B52" i="68"/>
  <c r="B51" i="68"/>
  <c r="B50" i="68"/>
  <c r="B49" i="68"/>
  <c r="B48" i="68"/>
  <c r="B47" i="68"/>
  <c r="B46" i="68"/>
  <c r="B45" i="68"/>
  <c r="B44" i="68"/>
  <c r="B43" i="68"/>
  <c r="B42" i="68"/>
  <c r="B41" i="68"/>
  <c r="B40" i="68"/>
  <c r="B39" i="68"/>
  <c r="B38" i="68"/>
  <c r="B37" i="68"/>
  <c r="B36" i="68"/>
  <c r="B35" i="68"/>
  <c r="B34" i="68"/>
  <c r="B33" i="68"/>
  <c r="B32" i="68"/>
  <c r="B31" i="68"/>
  <c r="B30" i="68"/>
  <c r="B29" i="68"/>
  <c r="B28" i="68"/>
  <c r="B27" i="68"/>
  <c r="B26" i="68"/>
  <c r="B25" i="68"/>
  <c r="B24" i="68"/>
  <c r="B23" i="68"/>
  <c r="B22" i="68"/>
  <c r="B21" i="68"/>
  <c r="B20" i="68"/>
  <c r="B19" i="68"/>
  <c r="B18" i="68"/>
  <c r="B17" i="68"/>
  <c r="B16" i="68"/>
  <c r="B15" i="68"/>
  <c r="B14" i="68"/>
  <c r="B13" i="68"/>
  <c r="B12" i="68"/>
  <c r="B11" i="68"/>
  <c r="B10" i="68"/>
  <c r="B9" i="68"/>
  <c r="B8" i="68"/>
  <c r="B7" i="68"/>
  <c r="B6" i="68"/>
  <c r="B5" i="68"/>
  <c r="B4" i="68"/>
  <c r="B3" i="68"/>
  <c r="B222" i="56"/>
  <c r="B221" i="56"/>
  <c r="B220" i="56"/>
  <c r="B219" i="56"/>
  <c r="B218" i="56"/>
  <c r="B217" i="56"/>
  <c r="B216" i="56"/>
  <c r="B215" i="56"/>
  <c r="B214" i="56"/>
  <c r="B213" i="56"/>
  <c r="B212" i="56"/>
  <c r="B211" i="56"/>
  <c r="B210" i="56"/>
  <c r="B209" i="56"/>
  <c r="B208" i="56"/>
  <c r="B207" i="56"/>
  <c r="B206" i="56"/>
  <c r="B205" i="56"/>
  <c r="B204" i="56"/>
  <c r="B203" i="56"/>
  <c r="B202" i="56"/>
  <c r="B201" i="56"/>
  <c r="B200" i="56"/>
  <c r="B199" i="56"/>
  <c r="B198" i="56"/>
  <c r="B197" i="56"/>
  <c r="B196" i="56"/>
  <c r="B195" i="56"/>
  <c r="B194" i="56"/>
  <c r="B193" i="56"/>
  <c r="B192" i="56"/>
  <c r="B191" i="56"/>
  <c r="B190" i="56"/>
  <c r="B189" i="56"/>
  <c r="B188" i="56"/>
  <c r="B187" i="56"/>
  <c r="B186" i="56"/>
  <c r="B185" i="56"/>
  <c r="B184" i="56"/>
  <c r="B183" i="56"/>
  <c r="B182" i="56"/>
  <c r="B181" i="56"/>
  <c r="B180" i="56"/>
  <c r="B179" i="56"/>
  <c r="B178" i="56"/>
  <c r="B177" i="56"/>
  <c r="B176" i="56"/>
  <c r="B175" i="56"/>
  <c r="B174" i="56"/>
  <c r="B173" i="56"/>
  <c r="B172" i="56"/>
  <c r="B171" i="56"/>
  <c r="B170" i="56"/>
  <c r="B169" i="56"/>
  <c r="B168" i="56"/>
  <c r="B167" i="56"/>
  <c r="B166" i="56"/>
  <c r="B165" i="56"/>
  <c r="B164" i="56"/>
  <c r="B163" i="56"/>
  <c r="B162" i="56"/>
  <c r="B161" i="56"/>
  <c r="B160" i="56"/>
  <c r="B159" i="56"/>
  <c r="B158" i="56"/>
  <c r="B157" i="56"/>
  <c r="B156" i="56"/>
  <c r="B155" i="56"/>
  <c r="B154" i="56"/>
  <c r="B153" i="56"/>
  <c r="B152" i="56"/>
  <c r="B151" i="56"/>
  <c r="B150" i="56"/>
  <c r="B149" i="56"/>
  <c r="B148" i="56"/>
  <c r="B147" i="56"/>
  <c r="B146" i="56"/>
  <c r="B145" i="56"/>
  <c r="B144" i="56"/>
  <c r="B143" i="56"/>
  <c r="B142" i="56"/>
  <c r="B141" i="56"/>
  <c r="B140" i="56"/>
  <c r="B139" i="56"/>
  <c r="B138" i="56"/>
  <c r="B137" i="56"/>
  <c r="B136" i="56"/>
  <c r="B135" i="56"/>
  <c r="B134" i="56"/>
  <c r="B133" i="56"/>
  <c r="B132" i="56"/>
  <c r="B131" i="56"/>
  <c r="B130" i="56"/>
  <c r="B129" i="56"/>
  <c r="B128" i="56"/>
  <c r="B127" i="56"/>
  <c r="B126" i="56"/>
  <c r="B125" i="56"/>
  <c r="B124" i="56"/>
  <c r="B123" i="56"/>
  <c r="B122" i="56"/>
  <c r="B121" i="56"/>
  <c r="B120" i="56"/>
  <c r="B119" i="56"/>
  <c r="B118" i="56"/>
  <c r="B117" i="56"/>
  <c r="B116" i="56"/>
  <c r="B115" i="56"/>
  <c r="B114" i="56"/>
  <c r="B113" i="56"/>
  <c r="B112" i="56"/>
  <c r="B111" i="56"/>
  <c r="B110" i="56"/>
  <c r="B109" i="56"/>
  <c r="B108" i="56"/>
  <c r="B107" i="56"/>
  <c r="B106" i="56"/>
  <c r="B105" i="56"/>
  <c r="B104" i="56"/>
  <c r="B103" i="56"/>
  <c r="B102" i="56"/>
  <c r="B101" i="56"/>
  <c r="B100" i="56"/>
  <c r="B99" i="56"/>
  <c r="B98" i="56"/>
  <c r="B97" i="56"/>
  <c r="B96" i="56"/>
  <c r="B95" i="56"/>
  <c r="B94" i="56"/>
  <c r="B93" i="56"/>
  <c r="B92" i="56"/>
  <c r="B91" i="56"/>
  <c r="B90" i="56"/>
  <c r="B89" i="56"/>
  <c r="B88" i="56"/>
  <c r="B87" i="56"/>
  <c r="B86" i="56"/>
  <c r="B85" i="56"/>
  <c r="B84" i="56"/>
  <c r="B83" i="56"/>
  <c r="B82" i="56"/>
  <c r="B81" i="56"/>
  <c r="B80" i="56"/>
  <c r="B79" i="56"/>
  <c r="B78" i="56"/>
  <c r="B77" i="56"/>
  <c r="B76" i="56"/>
  <c r="B75" i="56"/>
  <c r="B74" i="56"/>
  <c r="B73" i="56"/>
  <c r="B72" i="56"/>
  <c r="B71" i="56"/>
  <c r="B70" i="56"/>
  <c r="B69" i="56"/>
  <c r="B68" i="56"/>
  <c r="B67" i="56"/>
  <c r="B66" i="56"/>
  <c r="B65" i="56"/>
  <c r="B64" i="56"/>
  <c r="B63" i="56"/>
  <c r="B62" i="56"/>
  <c r="B61" i="56"/>
  <c r="B60" i="56"/>
  <c r="B59" i="56"/>
  <c r="B58" i="56"/>
  <c r="B57" i="56"/>
  <c r="B56" i="56"/>
  <c r="B55" i="56"/>
  <c r="B54" i="56"/>
  <c r="B53" i="56"/>
  <c r="B52" i="56"/>
  <c r="B51" i="56"/>
  <c r="B50" i="56"/>
  <c r="B49" i="56"/>
  <c r="B48" i="56"/>
  <c r="B47" i="56"/>
  <c r="B46" i="56"/>
  <c r="B45" i="56"/>
  <c r="B44" i="56"/>
  <c r="B43" i="56"/>
  <c r="B42" i="56"/>
  <c r="B41" i="56"/>
  <c r="B40" i="56"/>
  <c r="B39" i="56"/>
  <c r="B38" i="56"/>
  <c r="B37" i="56"/>
  <c r="B36" i="56"/>
  <c r="B35" i="56"/>
  <c r="B34" i="56"/>
  <c r="B33" i="56"/>
  <c r="B32" i="56"/>
  <c r="B31" i="56"/>
  <c r="B30" i="56"/>
  <c r="B29" i="56"/>
  <c r="B28" i="56"/>
  <c r="B27" i="56"/>
  <c r="B26" i="56"/>
  <c r="B25" i="56"/>
  <c r="B24" i="56"/>
  <c r="B23" i="56"/>
  <c r="B22" i="56"/>
  <c r="B21" i="56"/>
  <c r="B20" i="56"/>
  <c r="B19" i="56"/>
  <c r="B18" i="56"/>
  <c r="B17" i="56"/>
  <c r="B16" i="56"/>
  <c r="B15" i="56"/>
  <c r="B14" i="56"/>
  <c r="B13" i="56"/>
  <c r="B12" i="56"/>
  <c r="B11" i="56"/>
  <c r="B10" i="56"/>
  <c r="B9" i="56"/>
  <c r="B8" i="56"/>
  <c r="B7" i="56"/>
  <c r="B6" i="56"/>
  <c r="B5" i="56"/>
  <c r="B4" i="56"/>
  <c r="B3" i="56"/>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B5" i="55"/>
  <c r="B4" i="55"/>
  <c r="B3" i="55"/>
  <c r="B29" i="79"/>
  <c r="B28" i="79"/>
  <c r="B27" i="79"/>
  <c r="B26" i="79"/>
  <c r="B24" i="79"/>
  <c r="B23" i="79"/>
  <c r="B22" i="79"/>
  <c r="B21" i="79"/>
  <c r="B20" i="79"/>
  <c r="B19" i="79"/>
  <c r="B18" i="79"/>
  <c r="B17" i="79"/>
  <c r="B16" i="79"/>
  <c r="B15" i="79"/>
  <c r="B14" i="79"/>
  <c r="B13" i="79"/>
  <c r="B12" i="79"/>
  <c r="B11" i="79"/>
  <c r="B10" i="79"/>
  <c r="B9" i="79"/>
  <c r="B8" i="79"/>
  <c r="B7" i="79"/>
  <c r="B6" i="79"/>
  <c r="B5" i="79"/>
  <c r="B4" i="79"/>
  <c r="B3" i="79"/>
  <c r="B29" i="67"/>
  <c r="B28" i="67"/>
  <c r="B27" i="67"/>
  <c r="B26" i="67"/>
  <c r="B24" i="67"/>
  <c r="B23" i="67"/>
  <c r="B22" i="67"/>
  <c r="B21" i="67"/>
  <c r="B20" i="67"/>
  <c r="B19" i="67"/>
  <c r="B18" i="67"/>
  <c r="B17" i="67"/>
  <c r="B16" i="67"/>
  <c r="B15" i="67"/>
  <c r="B14" i="67"/>
  <c r="B13" i="67"/>
  <c r="B12" i="67"/>
  <c r="B11" i="67"/>
  <c r="B10" i="67"/>
  <c r="B9" i="67"/>
  <c r="B8" i="67"/>
  <c r="B7" i="67"/>
  <c r="B6" i="67"/>
  <c r="B5" i="67"/>
  <c r="B4" i="67"/>
  <c r="B3" i="67"/>
  <c r="B29" i="66"/>
  <c r="B28" i="66"/>
  <c r="B27" i="66"/>
  <c r="B26" i="66"/>
  <c r="B24" i="66"/>
  <c r="B23" i="66"/>
  <c r="B22" i="66"/>
  <c r="B21" i="66"/>
  <c r="B20" i="66"/>
  <c r="B19" i="66"/>
  <c r="B18" i="66"/>
  <c r="B17" i="66"/>
  <c r="B16" i="66"/>
  <c r="B15" i="66"/>
  <c r="B14" i="66"/>
  <c r="B13" i="66"/>
  <c r="B12" i="66"/>
  <c r="B11" i="66"/>
  <c r="B10" i="66"/>
  <c r="B9" i="66"/>
  <c r="B8" i="66"/>
  <c r="B7" i="66"/>
  <c r="B6" i="66"/>
  <c r="B5" i="66"/>
  <c r="B4" i="66"/>
  <c r="B3" i="66"/>
  <c r="B29" i="53"/>
  <c r="B28" i="53"/>
  <c r="B27" i="53"/>
  <c r="B26" i="53"/>
  <c r="B24" i="53"/>
  <c r="B23" i="53"/>
  <c r="B22" i="53"/>
  <c r="B21" i="53"/>
  <c r="B20" i="53"/>
  <c r="B19" i="53"/>
  <c r="B18" i="53"/>
  <c r="B17" i="53"/>
  <c r="B16" i="53"/>
  <c r="B15" i="53"/>
  <c r="B14" i="53"/>
  <c r="B13" i="53"/>
  <c r="B12" i="53"/>
  <c r="B11" i="53"/>
  <c r="B10" i="53"/>
  <c r="B9" i="53"/>
  <c r="B8" i="53"/>
  <c r="B7" i="53"/>
  <c r="B6" i="53"/>
  <c r="B5" i="53"/>
  <c r="B4" i="53"/>
  <c r="B3" i="53"/>
  <c r="B29" i="52"/>
  <c r="B28" i="52"/>
  <c r="B27" i="52"/>
  <c r="B26" i="52"/>
  <c r="B24" i="52"/>
  <c r="B23" i="52"/>
  <c r="B22" i="52"/>
  <c r="B21" i="52"/>
  <c r="B20" i="52"/>
  <c r="B19" i="52"/>
  <c r="B18" i="52"/>
  <c r="B17" i="52"/>
  <c r="B16" i="52"/>
  <c r="B15" i="52"/>
  <c r="B14" i="52"/>
  <c r="B13" i="52"/>
  <c r="B12" i="52"/>
  <c r="B11" i="52"/>
  <c r="B10" i="52"/>
  <c r="B9" i="52"/>
  <c r="B8" i="52"/>
  <c r="B7" i="52"/>
  <c r="B6" i="52"/>
  <c r="B5" i="52"/>
  <c r="B4" i="52"/>
  <c r="B3" i="52"/>
  <c r="Q30" i="35"/>
  <c r="P30" i="35"/>
  <c r="O30" i="35"/>
  <c r="N30" i="35"/>
  <c r="M30" i="35"/>
  <c r="L30" i="35"/>
  <c r="K30" i="35"/>
  <c r="J30" i="35"/>
  <c r="I30" i="35"/>
  <c r="H30" i="35"/>
  <c r="G30" i="35"/>
  <c r="F30" i="35"/>
  <c r="E30" i="35"/>
  <c r="D30" i="35"/>
  <c r="C30" i="35"/>
  <c r="E1" i="35"/>
  <c r="D1" i="35"/>
  <c r="C1" i="35"/>
  <c r="B1" i="35"/>
  <c r="E221" i="46"/>
  <c r="B221" i="46"/>
  <c r="E220" i="46"/>
  <c r="B220" i="46"/>
  <c r="E219" i="46"/>
  <c r="B219" i="46"/>
  <c r="E218" i="46"/>
  <c r="B218" i="46"/>
  <c r="E217" i="46"/>
  <c r="B217" i="46"/>
  <c r="E216" i="46"/>
  <c r="B216" i="46"/>
  <c r="E215" i="46"/>
  <c r="B215" i="46"/>
  <c r="E214" i="46"/>
  <c r="B214" i="46"/>
  <c r="E213" i="46"/>
  <c r="B213" i="46"/>
  <c r="E212" i="46"/>
  <c r="B212" i="46"/>
  <c r="E211" i="46"/>
  <c r="B211" i="46"/>
  <c r="E210" i="46"/>
  <c r="B210" i="46"/>
  <c r="E209" i="46"/>
  <c r="B209" i="46"/>
  <c r="E208" i="46"/>
  <c r="B208" i="46"/>
  <c r="E207" i="46"/>
  <c r="B207" i="46"/>
  <c r="E206" i="46"/>
  <c r="B206" i="46"/>
  <c r="E205" i="46"/>
  <c r="B205" i="46"/>
  <c r="E204" i="46"/>
  <c r="B204" i="46"/>
  <c r="E203" i="46"/>
  <c r="B203" i="46"/>
  <c r="E202" i="46"/>
  <c r="B202" i="46"/>
  <c r="E201" i="46"/>
  <c r="B201" i="46"/>
  <c r="E200" i="46"/>
  <c r="B200" i="46"/>
  <c r="E199" i="46"/>
  <c r="B199" i="46"/>
  <c r="E198" i="46"/>
  <c r="B198" i="46"/>
  <c r="E197" i="46"/>
  <c r="B197" i="46"/>
  <c r="E196" i="46"/>
  <c r="B196" i="46"/>
  <c r="E195" i="46"/>
  <c r="B195" i="46"/>
  <c r="E194" i="46"/>
  <c r="B194" i="46"/>
  <c r="E193" i="46"/>
  <c r="B193" i="46"/>
  <c r="E192" i="46"/>
  <c r="B192" i="46"/>
  <c r="E191" i="46"/>
  <c r="B191" i="46"/>
  <c r="E190" i="46"/>
  <c r="B190" i="46"/>
  <c r="E189" i="46"/>
  <c r="B189" i="46"/>
  <c r="E188" i="46"/>
  <c r="B188" i="46"/>
  <c r="E187" i="46"/>
  <c r="B187" i="46"/>
  <c r="E186" i="46"/>
  <c r="B186" i="46"/>
  <c r="E185" i="46"/>
  <c r="B185" i="46"/>
  <c r="E184" i="46"/>
  <c r="B184" i="46"/>
  <c r="E183" i="46"/>
  <c r="B183" i="46"/>
  <c r="E182" i="46"/>
  <c r="B182" i="46"/>
  <c r="E181" i="46"/>
  <c r="B181" i="46"/>
  <c r="E180" i="46"/>
  <c r="B180" i="46"/>
  <c r="E179" i="46"/>
  <c r="B179" i="46"/>
  <c r="E178" i="46"/>
  <c r="B178" i="46"/>
  <c r="E177" i="46"/>
  <c r="B177" i="46"/>
  <c r="E176" i="46"/>
  <c r="B176" i="46"/>
  <c r="E175" i="46"/>
  <c r="B175" i="46"/>
  <c r="E174" i="46"/>
  <c r="B174" i="46"/>
  <c r="E173" i="46"/>
  <c r="B173" i="46"/>
  <c r="E172" i="46"/>
  <c r="B172" i="46"/>
  <c r="E171" i="46"/>
  <c r="B171" i="46"/>
  <c r="E170" i="46"/>
  <c r="B170" i="46"/>
  <c r="E169" i="46"/>
  <c r="B169" i="46"/>
  <c r="E168" i="46"/>
  <c r="B168" i="46"/>
  <c r="E167" i="46"/>
  <c r="B167" i="46"/>
  <c r="E166" i="46"/>
  <c r="B166" i="46"/>
  <c r="E165" i="46"/>
  <c r="B165" i="46"/>
  <c r="E164" i="46"/>
  <c r="B164" i="46"/>
  <c r="E163" i="46"/>
  <c r="B163" i="46"/>
  <c r="E162" i="46"/>
  <c r="B162" i="46"/>
  <c r="E161" i="46"/>
  <c r="B161" i="46"/>
  <c r="E160" i="46"/>
  <c r="B160" i="46"/>
  <c r="E159" i="46"/>
  <c r="B159" i="46"/>
  <c r="E158" i="46"/>
  <c r="B158" i="46"/>
  <c r="E157" i="46"/>
  <c r="B157" i="46"/>
  <c r="E156" i="46"/>
  <c r="B156" i="46"/>
  <c r="E155" i="46"/>
  <c r="B155" i="46"/>
  <c r="E154" i="46"/>
  <c r="B154" i="46"/>
  <c r="E153" i="46"/>
  <c r="B153" i="46"/>
  <c r="E152" i="46"/>
  <c r="B152" i="46"/>
  <c r="E151" i="46"/>
  <c r="B151" i="46"/>
  <c r="E150" i="46"/>
  <c r="B150" i="46"/>
  <c r="E149" i="46"/>
  <c r="B149" i="46"/>
  <c r="E148" i="46"/>
  <c r="B148" i="46"/>
  <c r="E147" i="46"/>
  <c r="B147" i="46"/>
  <c r="E146" i="46"/>
  <c r="B146" i="46"/>
  <c r="E145" i="46"/>
  <c r="B145" i="46"/>
  <c r="E144" i="46"/>
  <c r="B144" i="46"/>
  <c r="E143" i="46"/>
  <c r="B143" i="46"/>
  <c r="E142" i="46"/>
  <c r="B142" i="46"/>
  <c r="E141" i="46"/>
  <c r="B141" i="46"/>
  <c r="E140" i="46"/>
  <c r="B140" i="46"/>
  <c r="E139" i="46"/>
  <c r="B139" i="46"/>
  <c r="E138" i="46"/>
  <c r="B138" i="46"/>
  <c r="E137" i="46"/>
  <c r="B137" i="46"/>
  <c r="E136" i="46"/>
  <c r="B136" i="46"/>
  <c r="E135" i="46"/>
  <c r="B135" i="46"/>
  <c r="E134" i="46"/>
  <c r="B134" i="46"/>
  <c r="E133" i="46"/>
  <c r="B133" i="46"/>
  <c r="E132" i="46"/>
  <c r="B132" i="46"/>
  <c r="E131" i="46"/>
  <c r="B131" i="46"/>
  <c r="E130" i="46"/>
  <c r="B130" i="46"/>
  <c r="E129" i="46"/>
  <c r="B129" i="46"/>
  <c r="E128" i="46"/>
  <c r="B128" i="46"/>
  <c r="E127" i="46"/>
  <c r="B127" i="46"/>
  <c r="E126" i="46"/>
  <c r="B126" i="46"/>
  <c r="E125" i="46"/>
  <c r="B125" i="46"/>
  <c r="E124" i="46"/>
  <c r="B124" i="46"/>
  <c r="E123" i="46"/>
  <c r="B123" i="46"/>
  <c r="E122" i="46"/>
  <c r="B122" i="46"/>
  <c r="E121" i="46"/>
  <c r="B121" i="46"/>
  <c r="E120" i="46"/>
  <c r="B120" i="46"/>
  <c r="E119" i="46"/>
  <c r="B119" i="46"/>
  <c r="E118" i="46"/>
  <c r="B118" i="46"/>
  <c r="E117" i="46"/>
  <c r="B117" i="46"/>
  <c r="E116" i="46"/>
  <c r="B116" i="46"/>
  <c r="E115" i="46"/>
  <c r="B115" i="46"/>
  <c r="E114" i="46"/>
  <c r="B114" i="46"/>
  <c r="E113" i="46"/>
  <c r="B113" i="46"/>
  <c r="E112" i="46"/>
  <c r="B112" i="46"/>
  <c r="E111" i="46"/>
  <c r="B111" i="46"/>
  <c r="E110" i="46"/>
  <c r="B110" i="46"/>
  <c r="E109" i="46"/>
  <c r="B109" i="46"/>
  <c r="E108" i="46"/>
  <c r="B108" i="46"/>
  <c r="E107" i="46"/>
  <c r="B107" i="46"/>
  <c r="E106" i="46"/>
  <c r="B106" i="46"/>
  <c r="E105" i="46"/>
  <c r="B105" i="46"/>
  <c r="E104" i="46"/>
  <c r="B104" i="46"/>
  <c r="E103" i="46"/>
  <c r="B103" i="46"/>
  <c r="E102" i="46"/>
  <c r="B102" i="46"/>
  <c r="E101" i="46"/>
  <c r="B101" i="46"/>
  <c r="E100" i="46"/>
  <c r="B100" i="46"/>
  <c r="E99" i="46"/>
  <c r="B99" i="46"/>
  <c r="E98" i="46"/>
  <c r="B98" i="46"/>
  <c r="E97" i="46"/>
  <c r="B97" i="46"/>
  <c r="E96" i="46"/>
  <c r="B96" i="46"/>
  <c r="E95" i="46"/>
  <c r="B95" i="46"/>
  <c r="E94" i="46"/>
  <c r="B94" i="46"/>
  <c r="E93" i="46"/>
  <c r="B93" i="46"/>
  <c r="E92" i="46"/>
  <c r="B92" i="46"/>
  <c r="E91" i="46"/>
  <c r="B91" i="46"/>
  <c r="E90" i="46"/>
  <c r="B90" i="46"/>
  <c r="E89" i="46"/>
  <c r="B89" i="46"/>
  <c r="E88" i="46"/>
  <c r="B88" i="46"/>
  <c r="E87" i="46"/>
  <c r="B87" i="46"/>
  <c r="E86" i="46"/>
  <c r="B86" i="46"/>
  <c r="E85" i="46"/>
  <c r="B85" i="46"/>
  <c r="E84" i="46"/>
  <c r="B84" i="46"/>
  <c r="E83" i="46"/>
  <c r="B83" i="46"/>
  <c r="E82" i="46"/>
  <c r="B82" i="46"/>
  <c r="E81" i="46"/>
  <c r="B81" i="46"/>
  <c r="E80" i="46"/>
  <c r="B80" i="46"/>
  <c r="E79" i="46"/>
  <c r="B79" i="46"/>
  <c r="E78" i="46"/>
  <c r="B78" i="46"/>
  <c r="E77" i="46"/>
  <c r="B77" i="46"/>
  <c r="E76" i="46"/>
  <c r="B76" i="46"/>
  <c r="E75" i="46"/>
  <c r="B75" i="46"/>
  <c r="E74" i="46"/>
  <c r="B74" i="46"/>
  <c r="E73" i="46"/>
  <c r="B73" i="46"/>
  <c r="E72" i="46"/>
  <c r="B72" i="46"/>
  <c r="E71" i="46"/>
  <c r="B71" i="46"/>
  <c r="E70" i="46"/>
  <c r="B70" i="46"/>
  <c r="E69" i="46"/>
  <c r="B69" i="46"/>
  <c r="E68" i="46"/>
  <c r="B68" i="46"/>
  <c r="E67" i="46"/>
  <c r="B67" i="46"/>
  <c r="E66" i="46"/>
  <c r="B66" i="46"/>
  <c r="E65" i="46"/>
  <c r="B65" i="46"/>
  <c r="E64" i="46"/>
  <c r="B64" i="46"/>
  <c r="E63" i="46"/>
  <c r="B63" i="46"/>
  <c r="E62" i="46"/>
  <c r="B62" i="46"/>
  <c r="E61" i="46"/>
  <c r="B61" i="46"/>
  <c r="E60" i="46"/>
  <c r="B60" i="46"/>
  <c r="E59" i="46"/>
  <c r="B59" i="46"/>
  <c r="E58" i="46"/>
  <c r="B58" i="46"/>
  <c r="E57" i="46"/>
  <c r="B57" i="46"/>
  <c r="E56" i="46"/>
  <c r="B56" i="46"/>
  <c r="E55" i="46"/>
  <c r="B55" i="46"/>
  <c r="E54" i="46"/>
  <c r="B54" i="46"/>
  <c r="E53" i="46"/>
  <c r="B53" i="46"/>
  <c r="E52" i="46"/>
  <c r="B52" i="46"/>
  <c r="E51" i="46"/>
  <c r="B51" i="46"/>
  <c r="E50" i="46"/>
  <c r="B50" i="46"/>
  <c r="E49" i="46"/>
  <c r="B49" i="46"/>
  <c r="E48" i="46"/>
  <c r="B48" i="46"/>
  <c r="E47" i="46"/>
  <c r="B47" i="46"/>
  <c r="E46" i="46"/>
  <c r="B46" i="46"/>
  <c r="E45" i="46"/>
  <c r="B45" i="46"/>
  <c r="E44" i="46"/>
  <c r="B44" i="46"/>
  <c r="E43" i="46"/>
  <c r="B43" i="46"/>
  <c r="E42" i="46"/>
  <c r="B42" i="46"/>
  <c r="E41" i="46"/>
  <c r="B41" i="46"/>
  <c r="E40" i="46"/>
  <c r="B40" i="46"/>
  <c r="E39" i="46"/>
  <c r="B39" i="46"/>
  <c r="E38" i="46"/>
  <c r="B38" i="46"/>
  <c r="E37" i="46"/>
  <c r="B37" i="46"/>
  <c r="E36" i="46"/>
  <c r="B36" i="46"/>
  <c r="E35" i="46"/>
  <c r="B35" i="46"/>
  <c r="E34" i="46"/>
  <c r="B34" i="46"/>
  <c r="E33" i="46"/>
  <c r="B33" i="46"/>
  <c r="E32" i="46"/>
  <c r="B32" i="46"/>
  <c r="E31" i="46"/>
  <c r="B31" i="46"/>
  <c r="E30" i="46"/>
  <c r="B30" i="46"/>
  <c r="E29" i="46"/>
  <c r="B29" i="46"/>
  <c r="E28" i="46"/>
  <c r="B28" i="46"/>
  <c r="E27" i="46"/>
  <c r="B27" i="46"/>
  <c r="E26" i="46"/>
  <c r="B26" i="46"/>
  <c r="E25" i="46"/>
  <c r="B25" i="46"/>
  <c r="E24" i="46"/>
  <c r="B24" i="46"/>
  <c r="E23" i="46"/>
  <c r="B23" i="46"/>
  <c r="E22" i="46"/>
  <c r="B22" i="46"/>
  <c r="E21" i="46"/>
  <c r="B21" i="46"/>
  <c r="E20" i="46"/>
  <c r="B20" i="46"/>
  <c r="E19" i="46"/>
  <c r="B19" i="46"/>
  <c r="E18" i="46"/>
  <c r="B18" i="46"/>
  <c r="E17" i="46"/>
  <c r="B17" i="46"/>
  <c r="E16" i="46"/>
  <c r="B16" i="46"/>
  <c r="E15" i="46"/>
  <c r="B15" i="46"/>
  <c r="E14" i="46"/>
  <c r="B14" i="46"/>
  <c r="E13" i="46"/>
  <c r="B13" i="46"/>
  <c r="E12" i="46"/>
  <c r="B12" i="46"/>
  <c r="E11" i="46"/>
  <c r="B11" i="46"/>
  <c r="E10" i="46"/>
  <c r="B10" i="46"/>
  <c r="E9" i="46"/>
  <c r="B9" i="46"/>
  <c r="E8" i="46"/>
  <c r="B8" i="46"/>
  <c r="E7" i="46"/>
  <c r="B7" i="46"/>
  <c r="E6" i="46"/>
  <c r="B6" i="46"/>
  <c r="E5" i="46"/>
  <c r="B5" i="46"/>
  <c r="E4" i="46"/>
  <c r="B4" i="46"/>
  <c r="E3" i="46"/>
  <c r="B3" i="46"/>
  <c r="E2" i="46"/>
  <c r="B2" i="46"/>
  <c r="E28" i="45"/>
  <c r="B28" i="45"/>
  <c r="E27" i="45"/>
  <c r="B27" i="45"/>
  <c r="E26" i="45"/>
  <c r="B26" i="45"/>
  <c r="E25" i="45"/>
  <c r="B25" i="45"/>
  <c r="E23" i="45"/>
  <c r="B23" i="45"/>
  <c r="E22" i="45"/>
  <c r="B22" i="45"/>
  <c r="E21" i="45"/>
  <c r="B21" i="45"/>
  <c r="E20" i="45"/>
  <c r="B20" i="45"/>
  <c r="E19" i="45"/>
  <c r="B19" i="45"/>
  <c r="E18" i="45"/>
  <c r="B18" i="45"/>
  <c r="E17" i="45"/>
  <c r="B17" i="45"/>
  <c r="E16" i="45"/>
  <c r="B16" i="45"/>
  <c r="E15" i="45"/>
  <c r="B15" i="45"/>
  <c r="E14" i="45"/>
  <c r="B14" i="45"/>
  <c r="E13" i="45"/>
  <c r="B13" i="45"/>
  <c r="E12" i="45"/>
  <c r="B12" i="45"/>
  <c r="E11" i="45"/>
  <c r="B11" i="45"/>
  <c r="E10" i="45"/>
  <c r="B10" i="45"/>
  <c r="E9" i="45"/>
  <c r="B9" i="45"/>
  <c r="E8" i="45"/>
  <c r="B8" i="45"/>
  <c r="E7" i="45"/>
  <c r="B7" i="45"/>
  <c r="E6" i="45"/>
  <c r="B6" i="45"/>
  <c r="E5" i="45"/>
  <c r="B5" i="45"/>
  <c r="E4" i="45"/>
  <c r="B4" i="45"/>
  <c r="E3" i="45"/>
  <c r="B3" i="45"/>
  <c r="E2" i="45"/>
  <c r="B2" i="45"/>
  <c r="B2" i="1"/>
  <c r="B3" i="1" s="1"/>
  <c r="B18" i="1"/>
  <c r="B19" i="1" s="1"/>
  <c r="B20" i="1" s="1"/>
  <c r="B21" i="1" s="1"/>
  <c r="B22" i="1" s="1"/>
  <c r="B23" i="1" s="1"/>
  <c r="F7" i="1"/>
  <c r="F6" i="1"/>
  <c r="D27" i="41"/>
  <c r="D26" i="41"/>
  <c r="D25" i="41"/>
  <c r="D24" i="41"/>
  <c r="D23" i="41"/>
  <c r="D22" i="41"/>
  <c r="D21" i="41"/>
  <c r="D20" i="41"/>
  <c r="D19" i="41"/>
  <c r="D18" i="41"/>
  <c r="D17" i="41"/>
  <c r="D16" i="41"/>
  <c r="D15" i="41"/>
  <c r="B10" i="41"/>
  <c r="A10" i="41"/>
  <c r="C25" i="37"/>
  <c r="R10" i="76" l="1"/>
  <c r="D26" i="76"/>
  <c r="F3" i="1"/>
  <c r="Q10" i="76" s="1"/>
  <c r="B4" i="78"/>
  <c r="F90" i="46"/>
  <c r="F3" i="46"/>
  <c r="B13" i="65"/>
  <c r="F5" i="46"/>
  <c r="B15" i="65"/>
  <c r="D15" i="65" s="1"/>
  <c r="F7" i="46"/>
  <c r="B17" i="65"/>
  <c r="C17" i="65" s="1"/>
  <c r="F9" i="46"/>
  <c r="B19" i="65"/>
  <c r="C19" i="65" s="1"/>
  <c r="A12" i="38"/>
  <c r="B21" i="65"/>
  <c r="B23" i="65"/>
  <c r="H23" i="65" s="1"/>
  <c r="F15" i="46"/>
  <c r="B25" i="65"/>
  <c r="F17" i="46"/>
  <c r="B27" i="65"/>
  <c r="F19" i="46"/>
  <c r="B29" i="65"/>
  <c r="E29" i="65" s="1"/>
  <c r="F21" i="46"/>
  <c r="B31" i="65"/>
  <c r="F23" i="46"/>
  <c r="B33" i="65"/>
  <c r="F25" i="46"/>
  <c r="B35" i="65"/>
  <c r="F29" i="46"/>
  <c r="B39" i="65"/>
  <c r="F31" i="46"/>
  <c r="B41" i="65"/>
  <c r="F33" i="46"/>
  <c r="B43" i="65"/>
  <c r="F35" i="46"/>
  <c r="B45" i="65"/>
  <c r="D45" i="65" s="1"/>
  <c r="F37" i="46"/>
  <c r="B47" i="65"/>
  <c r="F39" i="46"/>
  <c r="B49" i="65"/>
  <c r="G49" i="65" s="1"/>
  <c r="F41" i="46"/>
  <c r="B51" i="65"/>
  <c r="B53" i="65"/>
  <c r="C53" i="65" s="1"/>
  <c r="F45" i="46"/>
  <c r="B55" i="65"/>
  <c r="F47" i="46"/>
  <c r="B57" i="65"/>
  <c r="F49" i="46"/>
  <c r="B59" i="65"/>
  <c r="F51" i="46"/>
  <c r="B61" i="65"/>
  <c r="F53" i="46"/>
  <c r="B63" i="65"/>
  <c r="B65" i="65"/>
  <c r="H65" i="65" s="1"/>
  <c r="F57" i="46"/>
  <c r="B67" i="65"/>
  <c r="F67" i="65" s="1"/>
  <c r="F59" i="46"/>
  <c r="B69" i="65"/>
  <c r="H69" i="65" s="1"/>
  <c r="F61" i="46"/>
  <c r="B71" i="65"/>
  <c r="F63" i="46"/>
  <c r="B73" i="65"/>
  <c r="F65" i="46"/>
  <c r="B75" i="65"/>
  <c r="F67" i="46"/>
  <c r="B77" i="65"/>
  <c r="F69" i="46"/>
  <c r="B79" i="65"/>
  <c r="F71" i="46"/>
  <c r="B81" i="65"/>
  <c r="F73" i="46"/>
  <c r="B83" i="65"/>
  <c r="F75" i="46"/>
  <c r="B85" i="65"/>
  <c r="F77" i="46"/>
  <c r="B87" i="65"/>
  <c r="F79" i="46"/>
  <c r="B89" i="65"/>
  <c r="F81" i="46"/>
  <c r="B91" i="65"/>
  <c r="F83" i="46"/>
  <c r="B93" i="65"/>
  <c r="F85" i="46"/>
  <c r="B95" i="65"/>
  <c r="F87" i="46"/>
  <c r="B97" i="65"/>
  <c r="B99" i="65"/>
  <c r="E99" i="65" s="1"/>
  <c r="F91" i="46"/>
  <c r="B101" i="65"/>
  <c r="F93" i="46"/>
  <c r="B103" i="65"/>
  <c r="G103" i="65" s="1"/>
  <c r="F95" i="46"/>
  <c r="B105" i="65"/>
  <c r="F97" i="46"/>
  <c r="B107" i="65"/>
  <c r="F99" i="46"/>
  <c r="B109" i="65"/>
  <c r="F101" i="46"/>
  <c r="B111" i="65"/>
  <c r="F103" i="46"/>
  <c r="B113" i="65"/>
  <c r="F105" i="46"/>
  <c r="B115" i="65"/>
  <c r="F107" i="46"/>
  <c r="B117" i="65"/>
  <c r="F109" i="46"/>
  <c r="B119" i="65"/>
  <c r="F111" i="46"/>
  <c r="B121" i="65"/>
  <c r="F113" i="46"/>
  <c r="B123" i="65"/>
  <c r="F115" i="46"/>
  <c r="B125" i="65"/>
  <c r="F117" i="46"/>
  <c r="B127" i="65"/>
  <c r="F119" i="46"/>
  <c r="B129" i="65"/>
  <c r="C129" i="65" s="1"/>
  <c r="F121" i="46"/>
  <c r="B131" i="65"/>
  <c r="G131" i="65" s="1"/>
  <c r="F123" i="46"/>
  <c r="B133" i="65"/>
  <c r="F125" i="46"/>
  <c r="B135" i="65"/>
  <c r="F127" i="46"/>
  <c r="B137" i="65"/>
  <c r="F129" i="46"/>
  <c r="B139" i="65"/>
  <c r="D139" i="65" s="1"/>
  <c r="F131" i="46"/>
  <c r="B141" i="65"/>
  <c r="F133" i="46"/>
  <c r="B143" i="65"/>
  <c r="F135" i="46"/>
  <c r="B145" i="65"/>
  <c r="F137" i="46"/>
  <c r="B147" i="65"/>
  <c r="F139" i="46"/>
  <c r="B149" i="65"/>
  <c r="F141" i="46"/>
  <c r="B151" i="65"/>
  <c r="F143" i="46"/>
  <c r="B153" i="65"/>
  <c r="F145" i="46"/>
  <c r="B155" i="65"/>
  <c r="F147" i="46"/>
  <c r="B157" i="65"/>
  <c r="F149" i="46"/>
  <c r="B159" i="65"/>
  <c r="F151" i="46"/>
  <c r="B161" i="65"/>
  <c r="F153" i="46"/>
  <c r="B163" i="65"/>
  <c r="F155" i="46"/>
  <c r="B165" i="65"/>
  <c r="F157" i="46"/>
  <c r="B167" i="65"/>
  <c r="F161" i="46"/>
  <c r="B171" i="65"/>
  <c r="F163" i="46"/>
  <c r="B173" i="65"/>
  <c r="G173" i="65" s="1"/>
  <c r="F165" i="46"/>
  <c r="B175" i="65"/>
  <c r="F167" i="46"/>
  <c r="B177" i="65"/>
  <c r="F169" i="46"/>
  <c r="B179" i="65"/>
  <c r="F171" i="46"/>
  <c r="B181" i="65"/>
  <c r="F173" i="46"/>
  <c r="B183" i="65"/>
  <c r="F175" i="46"/>
  <c r="B185" i="65"/>
  <c r="F177" i="46"/>
  <c r="B187" i="65"/>
  <c r="F179" i="46"/>
  <c r="B189" i="65"/>
  <c r="F181" i="46"/>
  <c r="B191" i="65"/>
  <c r="F183" i="46"/>
  <c r="B193" i="65"/>
  <c r="F185" i="46"/>
  <c r="B195" i="65"/>
  <c r="F187" i="46"/>
  <c r="B197" i="65"/>
  <c r="F189" i="46"/>
  <c r="B199" i="65"/>
  <c r="F191" i="46"/>
  <c r="B201" i="65"/>
  <c r="F193" i="46"/>
  <c r="B203" i="65"/>
  <c r="F195" i="46"/>
  <c r="B205" i="65"/>
  <c r="F197" i="46"/>
  <c r="B207" i="65"/>
  <c r="F199" i="46"/>
  <c r="B209" i="65"/>
  <c r="F201" i="46"/>
  <c r="B211" i="65"/>
  <c r="F203" i="46"/>
  <c r="B213" i="65"/>
  <c r="F205" i="46"/>
  <c r="B215" i="65"/>
  <c r="F207" i="46"/>
  <c r="B217" i="65"/>
  <c r="F209" i="46"/>
  <c r="B219" i="65"/>
  <c r="F211" i="46"/>
  <c r="B221" i="65"/>
  <c r="F213" i="46"/>
  <c r="B223" i="65"/>
  <c r="F217" i="46"/>
  <c r="B227" i="65"/>
  <c r="F219" i="46"/>
  <c r="B229" i="65"/>
  <c r="E229" i="65" s="1"/>
  <c r="F221" i="46"/>
  <c r="B231" i="65"/>
  <c r="F26" i="46"/>
  <c r="F215" i="46"/>
  <c r="B14" i="65"/>
  <c r="D14" i="65" s="1"/>
  <c r="B16" i="65"/>
  <c r="C16" i="65" s="1"/>
  <c r="F8" i="46"/>
  <c r="B18" i="65"/>
  <c r="B20" i="65"/>
  <c r="D20" i="65" s="1"/>
  <c r="F12" i="46"/>
  <c r="B22" i="65"/>
  <c r="F16" i="46"/>
  <c r="B26" i="65"/>
  <c r="F20" i="46"/>
  <c r="B30" i="65"/>
  <c r="F24" i="46"/>
  <c r="B34" i="65"/>
  <c r="F28" i="46"/>
  <c r="B38" i="65"/>
  <c r="F32" i="46"/>
  <c r="B42" i="65"/>
  <c r="F34" i="46"/>
  <c r="B44" i="65"/>
  <c r="F36" i="46"/>
  <c r="B46" i="65"/>
  <c r="F40" i="46"/>
  <c r="B50" i="65"/>
  <c r="F44" i="46"/>
  <c r="B54" i="65"/>
  <c r="F48" i="46"/>
  <c r="B58" i="65"/>
  <c r="F50" i="46"/>
  <c r="B60" i="65"/>
  <c r="F52" i="46"/>
  <c r="B62" i="65"/>
  <c r="F56" i="46"/>
  <c r="B66" i="65"/>
  <c r="B68" i="65"/>
  <c r="C68" i="65" s="1"/>
  <c r="F60" i="46"/>
  <c r="B70" i="65"/>
  <c r="F62" i="46"/>
  <c r="B72" i="65"/>
  <c r="F64" i="46"/>
  <c r="B74" i="65"/>
  <c r="F66" i="46"/>
  <c r="B76" i="65"/>
  <c r="F68" i="46"/>
  <c r="B78" i="65"/>
  <c r="F70" i="46"/>
  <c r="B80" i="65"/>
  <c r="F72" i="46"/>
  <c r="B82" i="65"/>
  <c r="F74" i="46"/>
  <c r="B84" i="65"/>
  <c r="F76" i="46"/>
  <c r="B86" i="65"/>
  <c r="F78" i="46"/>
  <c r="B88" i="65"/>
  <c r="F80" i="46"/>
  <c r="B90" i="65"/>
  <c r="F82" i="46"/>
  <c r="B92" i="65"/>
  <c r="F84" i="46"/>
  <c r="B94" i="65"/>
  <c r="F88" i="46"/>
  <c r="B98" i="65"/>
  <c r="F92" i="46"/>
  <c r="B102" i="65"/>
  <c r="F94" i="46"/>
  <c r="B104" i="65"/>
  <c r="H104" i="65" s="1"/>
  <c r="F96" i="46"/>
  <c r="B106" i="65"/>
  <c r="F98" i="46"/>
  <c r="B108" i="65"/>
  <c r="F100" i="46"/>
  <c r="B110" i="65"/>
  <c r="F102" i="46"/>
  <c r="B112" i="65"/>
  <c r="F104" i="46"/>
  <c r="B114" i="65"/>
  <c r="F106" i="46"/>
  <c r="B116" i="65"/>
  <c r="F108" i="46"/>
  <c r="B118" i="65"/>
  <c r="F110" i="46"/>
  <c r="B120" i="65"/>
  <c r="F112" i="46"/>
  <c r="B122" i="65"/>
  <c r="F114" i="46"/>
  <c r="B124" i="65"/>
  <c r="F116" i="46"/>
  <c r="B126" i="65"/>
  <c r="F118" i="46"/>
  <c r="B128" i="65"/>
  <c r="F120" i="46"/>
  <c r="B130" i="65"/>
  <c r="F122" i="46"/>
  <c r="B132" i="65"/>
  <c r="F124" i="46"/>
  <c r="B134" i="65"/>
  <c r="F126" i="46"/>
  <c r="B136" i="65"/>
  <c r="F128" i="46"/>
  <c r="B138" i="65"/>
  <c r="F130" i="46"/>
  <c r="B140" i="65"/>
  <c r="F132" i="46"/>
  <c r="B142" i="65"/>
  <c r="F134" i="46"/>
  <c r="B144" i="65"/>
  <c r="F136" i="46"/>
  <c r="B146" i="65"/>
  <c r="F138" i="46"/>
  <c r="B148" i="65"/>
  <c r="F140" i="46"/>
  <c r="B150" i="65"/>
  <c r="F142" i="46"/>
  <c r="B152" i="65"/>
  <c r="F144" i="46"/>
  <c r="B154" i="65"/>
  <c r="F146" i="46"/>
  <c r="B156" i="65"/>
  <c r="F148" i="46"/>
  <c r="B158" i="65"/>
  <c r="F152" i="46"/>
  <c r="B162" i="65"/>
  <c r="F154" i="46"/>
  <c r="B164" i="65"/>
  <c r="F156" i="46"/>
  <c r="B166" i="65"/>
  <c r="F160" i="46"/>
  <c r="B170" i="65"/>
  <c r="F162" i="46"/>
  <c r="B172" i="65"/>
  <c r="C172" i="65" s="1"/>
  <c r="F164" i="46"/>
  <c r="B174" i="65"/>
  <c r="F168" i="46"/>
  <c r="B178" i="65"/>
  <c r="F170" i="46"/>
  <c r="B180" i="65"/>
  <c r="F172" i="46"/>
  <c r="B182" i="65"/>
  <c r="F174" i="46"/>
  <c r="B184" i="65"/>
  <c r="F176" i="46"/>
  <c r="B186" i="65"/>
  <c r="F178" i="46"/>
  <c r="B188" i="65"/>
  <c r="F180" i="46"/>
  <c r="B190" i="65"/>
  <c r="F182" i="46"/>
  <c r="B192" i="65"/>
  <c r="B194" i="65"/>
  <c r="D194" i="65" s="1"/>
  <c r="F186" i="46"/>
  <c r="B196" i="65"/>
  <c r="B198" i="65"/>
  <c r="F198" i="65" s="1"/>
  <c r="B202" i="65"/>
  <c r="D202" i="65" s="1"/>
  <c r="F196" i="46"/>
  <c r="B206" i="65"/>
  <c r="F200" i="46"/>
  <c r="B210" i="65"/>
  <c r="F202" i="46"/>
  <c r="B212" i="65"/>
  <c r="F204" i="46"/>
  <c r="B214" i="65"/>
  <c r="F206" i="46"/>
  <c r="B216" i="65"/>
  <c r="F208" i="46"/>
  <c r="B218" i="65"/>
  <c r="F210" i="46"/>
  <c r="B220" i="65"/>
  <c r="F212" i="46"/>
  <c r="B222" i="65"/>
  <c r="F214" i="46"/>
  <c r="B224" i="65"/>
  <c r="F218" i="46"/>
  <c r="B228" i="65"/>
  <c r="F58" i="46"/>
  <c r="F4" i="46"/>
  <c r="F10" i="46"/>
  <c r="F42" i="46"/>
  <c r="G72" i="65"/>
  <c r="F55" i="46"/>
  <c r="E15" i="65"/>
  <c r="F11" i="46"/>
  <c r="F43" i="46"/>
  <c r="F159" i="46"/>
  <c r="D12" i="38"/>
  <c r="F27" i="46"/>
  <c r="B29" i="37"/>
  <c r="B25" i="37"/>
  <c r="D7" i="76"/>
  <c r="D23" i="76"/>
  <c r="D28" i="76"/>
  <c r="D4" i="76"/>
  <c r="D8" i="76"/>
  <c r="D12" i="76"/>
  <c r="D16" i="76"/>
  <c r="B4" i="37"/>
  <c r="B6" i="37"/>
  <c r="B8" i="37"/>
  <c r="B10" i="37"/>
  <c r="B12" i="37"/>
  <c r="B14" i="37"/>
  <c r="B16" i="37"/>
  <c r="B18" i="37"/>
  <c r="B20" i="37"/>
  <c r="B22" i="37"/>
  <c r="B24" i="37"/>
  <c r="B27" i="37"/>
  <c r="D11" i="76"/>
  <c r="D19" i="76"/>
  <c r="D25" i="76"/>
  <c r="D5" i="76"/>
  <c r="D9" i="76"/>
  <c r="D13" i="76"/>
  <c r="D17" i="76"/>
  <c r="D20" i="76"/>
  <c r="D22" i="76"/>
  <c r="D24" i="76"/>
  <c r="D27" i="76"/>
  <c r="D29" i="76"/>
  <c r="D15" i="76"/>
  <c r="D21" i="76"/>
  <c r="D30" i="76"/>
  <c r="D6" i="76"/>
  <c r="D10" i="76"/>
  <c r="D14" i="76"/>
  <c r="D18" i="76"/>
  <c r="B3" i="37"/>
  <c r="B5" i="37"/>
  <c r="B7" i="37"/>
  <c r="B9" i="37"/>
  <c r="B11" i="37"/>
  <c r="B13" i="37"/>
  <c r="B15" i="37"/>
  <c r="B17" i="37"/>
  <c r="B19" i="37"/>
  <c r="B21" i="37"/>
  <c r="B23" i="37"/>
  <c r="B26" i="37"/>
  <c r="B28" i="37"/>
  <c r="F12" i="65"/>
  <c r="E12" i="65"/>
  <c r="D12" i="65"/>
  <c r="F28" i="65"/>
  <c r="E28" i="65"/>
  <c r="C28" i="65"/>
  <c r="F6" i="46"/>
  <c r="F54" i="46"/>
  <c r="F184" i="46"/>
  <c r="H176" i="65"/>
  <c r="F166" i="46"/>
  <c r="D191" i="38"/>
  <c r="F190" i="46"/>
  <c r="F208" i="65"/>
  <c r="F198" i="46"/>
  <c r="F38" i="46"/>
  <c r="F86" i="46"/>
  <c r="F192" i="46"/>
  <c r="F216" i="46"/>
  <c r="F2" i="46"/>
  <c r="F18" i="46"/>
  <c r="F160" i="65"/>
  <c r="F150" i="46"/>
  <c r="H168" i="65"/>
  <c r="F158" i="46"/>
  <c r="F204" i="65"/>
  <c r="F194" i="46"/>
  <c r="F22" i="46"/>
  <c r="F14" i="46"/>
  <c r="F30" i="46"/>
  <c r="F46" i="46"/>
  <c r="F188" i="46"/>
  <c r="F220" i="46"/>
  <c r="F13" i="46"/>
  <c r="F89" i="46"/>
  <c r="H24" i="65"/>
  <c r="D24" i="65"/>
  <c r="C24" i="65"/>
  <c r="E24" i="65"/>
  <c r="G24" i="65"/>
  <c r="F24" i="65"/>
  <c r="H32" i="65"/>
  <c r="D32" i="65"/>
  <c r="E32" i="65"/>
  <c r="C32" i="65"/>
  <c r="F32" i="65"/>
  <c r="G32" i="65"/>
  <c r="H36" i="65"/>
  <c r="D36" i="65"/>
  <c r="E36" i="65"/>
  <c r="C36" i="65"/>
  <c r="F36" i="65"/>
  <c r="G36" i="65"/>
  <c r="H40" i="65"/>
  <c r="D40" i="65"/>
  <c r="C40" i="65"/>
  <c r="E40" i="65"/>
  <c r="F40" i="65"/>
  <c r="G40" i="65"/>
  <c r="H64" i="65"/>
  <c r="D64" i="65"/>
  <c r="F64" i="65"/>
  <c r="G64" i="65"/>
  <c r="E64" i="65"/>
  <c r="C64" i="65"/>
  <c r="H100" i="65"/>
  <c r="D100" i="65"/>
  <c r="E100" i="65"/>
  <c r="C100" i="65"/>
  <c r="F100" i="65"/>
  <c r="G100" i="65"/>
  <c r="G176" i="65"/>
  <c r="D176" i="65"/>
  <c r="E176" i="65"/>
  <c r="E37" i="65"/>
  <c r="H37" i="65"/>
  <c r="C37" i="65"/>
  <c r="D37" i="65"/>
  <c r="H48" i="65"/>
  <c r="D48" i="65"/>
  <c r="F48" i="65"/>
  <c r="E48" i="65"/>
  <c r="H52" i="65"/>
  <c r="D52" i="65"/>
  <c r="E52" i="65"/>
  <c r="F52" i="65"/>
  <c r="H56" i="65"/>
  <c r="D56" i="65"/>
  <c r="C56" i="65"/>
  <c r="F56" i="65"/>
  <c r="E56" i="65"/>
  <c r="H96" i="65"/>
  <c r="D96" i="65"/>
  <c r="F96" i="65"/>
  <c r="C96" i="65"/>
  <c r="H169" i="65"/>
  <c r="D169" i="65"/>
  <c r="E169" i="65"/>
  <c r="G169" i="65"/>
  <c r="C169" i="65"/>
  <c r="F169" i="65"/>
  <c r="D4" i="38"/>
  <c r="A4" i="38"/>
  <c r="A6" i="38"/>
  <c r="D6" i="38"/>
  <c r="A8" i="38"/>
  <c r="D8" i="38"/>
  <c r="A10" i="38"/>
  <c r="D10" i="38"/>
  <c r="A14" i="38"/>
  <c r="D14" i="38"/>
  <c r="A16" i="38"/>
  <c r="D16" i="38"/>
  <c r="A18" i="38"/>
  <c r="D18" i="38"/>
  <c r="A20" i="38"/>
  <c r="D20" i="38"/>
  <c r="A22" i="38"/>
  <c r="D22" i="38"/>
  <c r="A24" i="38"/>
  <c r="D24" i="38"/>
  <c r="A26" i="38"/>
  <c r="D26" i="38"/>
  <c r="A28" i="38"/>
  <c r="D28" i="38"/>
  <c r="A30" i="38"/>
  <c r="D30" i="38"/>
  <c r="A32" i="38"/>
  <c r="D32" i="38"/>
  <c r="A34" i="38"/>
  <c r="D34" i="38"/>
  <c r="A36" i="38"/>
  <c r="D36" i="38"/>
  <c r="A38" i="38"/>
  <c r="D38" i="38"/>
  <c r="A40" i="38"/>
  <c r="D40" i="38"/>
  <c r="A42" i="38"/>
  <c r="D42" i="38"/>
  <c r="A44" i="38"/>
  <c r="D44" i="38"/>
  <c r="A46" i="38"/>
  <c r="D46" i="38"/>
  <c r="A48" i="38"/>
  <c r="D48" i="38"/>
  <c r="A50" i="38"/>
  <c r="D50" i="38"/>
  <c r="A52" i="38"/>
  <c r="D52" i="38"/>
  <c r="A54" i="38"/>
  <c r="D54" i="38"/>
  <c r="A56" i="38"/>
  <c r="D56" i="38"/>
  <c r="D58" i="38"/>
  <c r="A58" i="38"/>
  <c r="A60" i="38"/>
  <c r="D60" i="38"/>
  <c r="A62" i="38"/>
  <c r="D62" i="38"/>
  <c r="A64" i="38"/>
  <c r="D64" i="38"/>
  <c r="D66" i="38"/>
  <c r="A66" i="38"/>
  <c r="A68" i="38"/>
  <c r="D68" i="38"/>
  <c r="A70" i="38"/>
  <c r="D70" i="38"/>
  <c r="A72" i="38"/>
  <c r="D72" i="38"/>
  <c r="D74" i="38"/>
  <c r="A74" i="38"/>
  <c r="A76" i="38"/>
  <c r="D76" i="38"/>
  <c r="A78" i="38"/>
  <c r="D78" i="38"/>
  <c r="A80" i="38"/>
  <c r="D80" i="38"/>
  <c r="D82" i="38"/>
  <c r="A82" i="38"/>
  <c r="A84" i="38"/>
  <c r="D84" i="38"/>
  <c r="A86" i="38"/>
  <c r="D86" i="38"/>
  <c r="A88" i="38"/>
  <c r="D88" i="38"/>
  <c r="D90" i="38"/>
  <c r="A90" i="38"/>
  <c r="A92" i="38"/>
  <c r="D92" i="38"/>
  <c r="A94" i="38"/>
  <c r="D94" i="38"/>
  <c r="A96" i="38"/>
  <c r="D96" i="38"/>
  <c r="D98" i="38"/>
  <c r="A98" i="38"/>
  <c r="A100" i="38"/>
  <c r="D100" i="38"/>
  <c r="A102" i="38"/>
  <c r="D102" i="38"/>
  <c r="A104" i="38"/>
  <c r="D104" i="38"/>
  <c r="D106" i="38"/>
  <c r="A106" i="38"/>
  <c r="A108" i="38"/>
  <c r="D108" i="38"/>
  <c r="A110" i="38"/>
  <c r="D110" i="38"/>
  <c r="A112" i="38"/>
  <c r="D112" i="38"/>
  <c r="D114" i="38"/>
  <c r="A114" i="38"/>
  <c r="A116" i="38"/>
  <c r="D116" i="38"/>
  <c r="A118" i="38"/>
  <c r="D118" i="38"/>
  <c r="A120" i="38"/>
  <c r="D120" i="38"/>
  <c r="D122" i="38"/>
  <c r="A122" i="38"/>
  <c r="A124" i="38"/>
  <c r="D124" i="38"/>
  <c r="A126" i="38"/>
  <c r="D126" i="38"/>
  <c r="A128" i="38"/>
  <c r="D128" i="38"/>
  <c r="D130" i="38"/>
  <c r="A130" i="38"/>
  <c r="A132" i="38"/>
  <c r="D132" i="38"/>
  <c r="A134" i="38"/>
  <c r="D134" i="38"/>
  <c r="A136" i="38"/>
  <c r="D136" i="38"/>
  <c r="D138" i="38"/>
  <c r="A138" i="38"/>
  <c r="A140" i="38"/>
  <c r="D140" i="38"/>
  <c r="A142" i="38"/>
  <c r="D142" i="38"/>
  <c r="A144" i="38"/>
  <c r="D144" i="38"/>
  <c r="D146" i="38"/>
  <c r="A146" i="38"/>
  <c r="A148" i="38"/>
  <c r="D148" i="38"/>
  <c r="A150" i="38"/>
  <c r="D150" i="38"/>
  <c r="A152" i="38"/>
  <c r="D152" i="38"/>
  <c r="D154" i="38"/>
  <c r="A154" i="38"/>
  <c r="A156" i="38"/>
  <c r="D156" i="38"/>
  <c r="A158" i="38"/>
  <c r="D158" i="38"/>
  <c r="A160" i="38"/>
  <c r="D160" i="38"/>
  <c r="D162" i="38"/>
  <c r="A162" i="38"/>
  <c r="A164" i="38"/>
  <c r="D164" i="38"/>
  <c r="A166" i="38"/>
  <c r="D166" i="38"/>
  <c r="A168" i="38"/>
  <c r="D168" i="38"/>
  <c r="D170" i="38"/>
  <c r="A172" i="38"/>
  <c r="D172" i="38"/>
  <c r="A174" i="38"/>
  <c r="D174" i="38"/>
  <c r="A176" i="38"/>
  <c r="D176" i="38"/>
  <c r="D178" i="38"/>
  <c r="A178" i="38"/>
  <c r="A180" i="38"/>
  <c r="D180" i="38"/>
  <c r="A182" i="38"/>
  <c r="D182" i="38"/>
  <c r="A184" i="38"/>
  <c r="D184" i="38"/>
  <c r="D186" i="38"/>
  <c r="A186" i="38"/>
  <c r="A188" i="38"/>
  <c r="D188" i="38"/>
  <c r="A190" i="38"/>
  <c r="D190" i="38"/>
  <c r="A192" i="38"/>
  <c r="D192" i="38"/>
  <c r="D194" i="38"/>
  <c r="A194" i="38"/>
  <c r="A196" i="38"/>
  <c r="D196" i="38"/>
  <c r="A198" i="38"/>
  <c r="D198" i="38"/>
  <c r="A200" i="38"/>
  <c r="D200" i="38"/>
  <c r="D202" i="38"/>
  <c r="A202" i="38"/>
  <c r="A204" i="38"/>
  <c r="D204" i="38"/>
  <c r="A206" i="38"/>
  <c r="D206" i="38"/>
  <c r="A208" i="38"/>
  <c r="D208" i="38"/>
  <c r="D210" i="38"/>
  <c r="A210" i="38"/>
  <c r="A212" i="38"/>
  <c r="D212" i="38"/>
  <c r="A214" i="38"/>
  <c r="D214" i="38"/>
  <c r="A216" i="38"/>
  <c r="D216" i="38"/>
  <c r="D218" i="38"/>
  <c r="A218" i="38"/>
  <c r="A220" i="38"/>
  <c r="D220" i="38"/>
  <c r="A222" i="38"/>
  <c r="D222" i="38"/>
  <c r="A170" i="38"/>
  <c r="F37" i="65"/>
  <c r="C48" i="65"/>
  <c r="C52" i="65"/>
  <c r="G56" i="65"/>
  <c r="E96" i="65"/>
  <c r="E230" i="65"/>
  <c r="D230" i="65"/>
  <c r="G230" i="65"/>
  <c r="C230" i="65"/>
  <c r="F230" i="65"/>
  <c r="H230" i="65"/>
  <c r="G12" i="65"/>
  <c r="H12" i="65"/>
  <c r="H28" i="65"/>
  <c r="D28" i="65"/>
  <c r="G28" i="65"/>
  <c r="G37" i="65"/>
  <c r="G48" i="65"/>
  <c r="G52" i="65"/>
  <c r="G96" i="65"/>
  <c r="E226" i="65"/>
  <c r="F226" i="65"/>
  <c r="G226" i="65"/>
  <c r="C226" i="65"/>
  <c r="D226" i="65"/>
  <c r="H226" i="65"/>
  <c r="A3" i="38"/>
  <c r="D3" i="38"/>
  <c r="A5" i="38"/>
  <c r="D5" i="38"/>
  <c r="A7" i="38"/>
  <c r="D7" i="38"/>
  <c r="A9" i="38"/>
  <c r="D9" i="38"/>
  <c r="A11" i="38"/>
  <c r="D11" i="38"/>
  <c r="A13" i="38"/>
  <c r="D13" i="38"/>
  <c r="A15" i="38"/>
  <c r="D15" i="38"/>
  <c r="A17" i="38"/>
  <c r="D17" i="38"/>
  <c r="A19" i="38"/>
  <c r="D19" i="38"/>
  <c r="A21" i="38"/>
  <c r="D21" i="38"/>
  <c r="A23" i="38"/>
  <c r="D23" i="38"/>
  <c r="A25" i="38"/>
  <c r="D25" i="38"/>
  <c r="A27" i="38"/>
  <c r="D27" i="38"/>
  <c r="A29" i="38"/>
  <c r="D29" i="38"/>
  <c r="A31" i="38"/>
  <c r="D31" i="38"/>
  <c r="A33" i="38"/>
  <c r="D33" i="38"/>
  <c r="A35" i="38"/>
  <c r="D35" i="38"/>
  <c r="A37" i="38"/>
  <c r="D37" i="38"/>
  <c r="A39" i="38"/>
  <c r="D39" i="38"/>
  <c r="A41" i="38"/>
  <c r="D41" i="38"/>
  <c r="A43" i="38"/>
  <c r="D43" i="38"/>
  <c r="A45" i="38"/>
  <c r="D45" i="38"/>
  <c r="A47" i="38"/>
  <c r="D47" i="38"/>
  <c r="A49" i="38"/>
  <c r="D49" i="38"/>
  <c r="A51" i="38"/>
  <c r="D51" i="38"/>
  <c r="D53" i="38"/>
  <c r="A53" i="38"/>
  <c r="D55" i="38"/>
  <c r="A55" i="38"/>
  <c r="D57" i="38"/>
  <c r="A57" i="38"/>
  <c r="D59" i="38"/>
  <c r="A59" i="38"/>
  <c r="D61" i="38"/>
  <c r="A61" i="38"/>
  <c r="D63" i="38"/>
  <c r="A63" i="38"/>
  <c r="D65" i="38"/>
  <c r="A65" i="38"/>
  <c r="D67" i="38"/>
  <c r="A67" i="38"/>
  <c r="D69" i="38"/>
  <c r="A69" i="38"/>
  <c r="D71" i="38"/>
  <c r="A71" i="38"/>
  <c r="D73" i="38"/>
  <c r="A73" i="38"/>
  <c r="D75" i="38"/>
  <c r="A75" i="38"/>
  <c r="D77" i="38"/>
  <c r="A77" i="38"/>
  <c r="D79" i="38"/>
  <c r="A79" i="38"/>
  <c r="D81" i="38"/>
  <c r="A81" i="38"/>
  <c r="D83" i="38"/>
  <c r="A83" i="38"/>
  <c r="D85" i="38"/>
  <c r="A85" i="38"/>
  <c r="D87" i="38"/>
  <c r="A87" i="38"/>
  <c r="D89" i="38"/>
  <c r="A89" i="38"/>
  <c r="D91" i="38"/>
  <c r="A91" i="38"/>
  <c r="D93" i="38"/>
  <c r="A93" i="38"/>
  <c r="D95" i="38"/>
  <c r="A95" i="38"/>
  <c r="D97" i="38"/>
  <c r="A97" i="38"/>
  <c r="D99" i="38"/>
  <c r="A99" i="38"/>
  <c r="D101" i="38"/>
  <c r="A101" i="38"/>
  <c r="D103" i="38"/>
  <c r="A103" i="38"/>
  <c r="D105" i="38"/>
  <c r="A105" i="38"/>
  <c r="D107" i="38"/>
  <c r="A107" i="38"/>
  <c r="D109" i="38"/>
  <c r="A109" i="38"/>
  <c r="D111" i="38"/>
  <c r="A111" i="38"/>
  <c r="D113" i="38"/>
  <c r="A113" i="38"/>
  <c r="D115" i="38"/>
  <c r="A115" i="38"/>
  <c r="D117" i="38"/>
  <c r="A117" i="38"/>
  <c r="D119" i="38"/>
  <c r="A119" i="38"/>
  <c r="D121" i="38"/>
  <c r="A121" i="38"/>
  <c r="D123" i="38"/>
  <c r="A123" i="38"/>
  <c r="D125" i="38"/>
  <c r="A125" i="38"/>
  <c r="D127" i="38"/>
  <c r="A127" i="38"/>
  <c r="D129" i="38"/>
  <c r="A129" i="38"/>
  <c r="D131" i="38"/>
  <c r="A131" i="38"/>
  <c r="D133" i="38"/>
  <c r="A133" i="38"/>
  <c r="D135" i="38"/>
  <c r="A135" i="38"/>
  <c r="D137" i="38"/>
  <c r="A137" i="38"/>
  <c r="D139" i="38"/>
  <c r="A139" i="38"/>
  <c r="D141" i="38"/>
  <c r="A141" i="38"/>
  <c r="D143" i="38"/>
  <c r="A143" i="38"/>
  <c r="D145" i="38"/>
  <c r="A145" i="38"/>
  <c r="D147" i="38"/>
  <c r="A147" i="38"/>
  <c r="D149" i="38"/>
  <c r="A149" i="38"/>
  <c r="D151" i="38"/>
  <c r="A151" i="38"/>
  <c r="D153" i="38"/>
  <c r="A153" i="38"/>
  <c r="D155" i="38"/>
  <c r="A155" i="38"/>
  <c r="D157" i="38"/>
  <c r="A157" i="38"/>
  <c r="D159" i="38"/>
  <c r="A159" i="38"/>
  <c r="D161" i="38"/>
  <c r="A161" i="38"/>
  <c r="D163" i="38"/>
  <c r="A163" i="38"/>
  <c r="D165" i="38"/>
  <c r="A165" i="38"/>
  <c r="D167" i="38"/>
  <c r="A167" i="38"/>
  <c r="D169" i="38"/>
  <c r="A169" i="38"/>
  <c r="D171" i="38"/>
  <c r="A171" i="38"/>
  <c r="D173" i="38"/>
  <c r="A173" i="38"/>
  <c r="D175" i="38"/>
  <c r="A175" i="38"/>
  <c r="D177" i="38"/>
  <c r="A177" i="38"/>
  <c r="D179" i="38"/>
  <c r="A179" i="38"/>
  <c r="G204" i="65"/>
  <c r="C204" i="65"/>
  <c r="H204" i="65"/>
  <c r="G208" i="65"/>
  <c r="D208" i="65"/>
  <c r="H208" i="65"/>
  <c r="D181" i="38"/>
  <c r="A181" i="38"/>
  <c r="D183" i="38"/>
  <c r="A183" i="38"/>
  <c r="D185" i="38"/>
  <c r="A185" i="38"/>
  <c r="D187" i="38"/>
  <c r="A187" i="38"/>
  <c r="D189" i="38"/>
  <c r="A189" i="38"/>
  <c r="D193" i="38"/>
  <c r="A193" i="38"/>
  <c r="D195" i="38"/>
  <c r="A195" i="38"/>
  <c r="D197" i="38"/>
  <c r="A197" i="38"/>
  <c r="D199" i="38"/>
  <c r="A199" i="38"/>
  <c r="D201" i="38"/>
  <c r="A201" i="38"/>
  <c r="D203" i="38"/>
  <c r="A203" i="38"/>
  <c r="D205" i="38"/>
  <c r="A205" i="38"/>
  <c r="D207" i="38"/>
  <c r="A207" i="38"/>
  <c r="D209" i="38"/>
  <c r="A209" i="38"/>
  <c r="D211" i="38"/>
  <c r="A211" i="38"/>
  <c r="D213" i="38"/>
  <c r="A213" i="38"/>
  <c r="D215" i="38"/>
  <c r="A215" i="38"/>
  <c r="D217" i="38"/>
  <c r="A217" i="38"/>
  <c r="D219" i="38"/>
  <c r="A219" i="38"/>
  <c r="D221" i="38"/>
  <c r="A221" i="38"/>
  <c r="A191" i="38"/>
  <c r="D53" i="32"/>
  <c r="C53" i="32"/>
  <c r="C8" i="44"/>
  <c r="C9" i="43"/>
  <c r="B4" i="1"/>
  <c r="F4" i="1"/>
  <c r="C25" i="19"/>
  <c r="D129" i="65" l="1"/>
  <c r="D25" i="19"/>
  <c r="C26" i="76"/>
  <c r="F15" i="65"/>
  <c r="D198" i="65"/>
  <c r="F129" i="65"/>
  <c r="G198" i="65"/>
  <c r="E17" i="65"/>
  <c r="H16" i="65"/>
  <c r="D104" i="65"/>
  <c r="C173" i="65"/>
  <c r="G229" i="65"/>
  <c r="F229" i="65"/>
  <c r="H194" i="65"/>
  <c r="D99" i="65"/>
  <c r="H68" i="65"/>
  <c r="H17" i="65"/>
  <c r="G172" i="65"/>
  <c r="E68" i="65"/>
  <c r="D17" i="65"/>
  <c r="H53" i="65"/>
  <c r="E173" i="65"/>
  <c r="G20" i="65"/>
  <c r="C99" i="65"/>
  <c r="D16" i="65"/>
  <c r="H173" i="65"/>
  <c r="G16" i="65"/>
  <c r="D172" i="65"/>
  <c r="F68" i="65"/>
  <c r="F53" i="65"/>
  <c r="E14" i="65"/>
  <c r="G65" i="65"/>
  <c r="D53" i="65"/>
  <c r="D131" i="65"/>
  <c r="E20" i="65"/>
  <c r="C202" i="65"/>
  <c r="E194" i="65"/>
  <c r="G29" i="65"/>
  <c r="G14" i="65"/>
  <c r="E202" i="65"/>
  <c r="C194" i="65"/>
  <c r="H29" i="65"/>
  <c r="G202" i="65"/>
  <c r="F65" i="65"/>
  <c r="E65" i="65"/>
  <c r="H20" i="65"/>
  <c r="H14" i="65"/>
  <c r="F45" i="65"/>
  <c r="D23" i="65"/>
  <c r="C67" i="65"/>
  <c r="C23" i="65"/>
  <c r="F49" i="65"/>
  <c r="E172" i="65"/>
  <c r="H202" i="65"/>
  <c r="C198" i="65"/>
  <c r="G194" i="65"/>
  <c r="F172" i="65"/>
  <c r="E104" i="65"/>
  <c r="G68" i="65"/>
  <c r="F19" i="65"/>
  <c r="F14" i="65"/>
  <c r="H99" i="65"/>
  <c r="G99" i="65"/>
  <c r="E53" i="65"/>
  <c r="D29" i="65"/>
  <c r="F173" i="65"/>
  <c r="D173" i="65"/>
  <c r="D65" i="65"/>
  <c r="D229" i="65"/>
  <c r="H67" i="65"/>
  <c r="C49" i="65"/>
  <c r="G23" i="65"/>
  <c r="D19" i="65"/>
  <c r="C15" i="65"/>
  <c r="E49" i="65"/>
  <c r="G19" i="65"/>
  <c r="F202" i="65"/>
  <c r="F20" i="65"/>
  <c r="F16" i="65"/>
  <c r="C65" i="65"/>
  <c r="G53" i="65"/>
  <c r="F23" i="65"/>
  <c r="H198" i="65"/>
  <c r="E198" i="65"/>
  <c r="F194" i="65"/>
  <c r="D68" i="65"/>
  <c r="E23" i="65"/>
  <c r="E16" i="65"/>
  <c r="F99" i="65"/>
  <c r="G15" i="65"/>
  <c r="C20" i="65"/>
  <c r="C14" i="65"/>
  <c r="C131" i="65"/>
  <c r="C208" i="65"/>
  <c r="C104" i="65"/>
  <c r="H49" i="65"/>
  <c r="H19" i="65"/>
  <c r="E67" i="65"/>
  <c r="G45" i="65"/>
  <c r="D67" i="65"/>
  <c r="G67" i="65"/>
  <c r="C45" i="65"/>
  <c r="F131" i="65"/>
  <c r="D49" i="65"/>
  <c r="E45" i="65"/>
  <c r="F176" i="65"/>
  <c r="C176" i="65"/>
  <c r="E208" i="65"/>
  <c r="H45" i="65"/>
  <c r="F29" i="65"/>
  <c r="E19" i="65"/>
  <c r="E131" i="65"/>
  <c r="C29" i="65"/>
  <c r="H131" i="65"/>
  <c r="H129" i="65"/>
  <c r="E129" i="65"/>
  <c r="C139" i="65"/>
  <c r="G129" i="65"/>
  <c r="E72" i="65"/>
  <c r="F139" i="65"/>
  <c r="C72" i="65"/>
  <c r="E160" i="65"/>
  <c r="E69" i="65"/>
  <c r="D72" i="65"/>
  <c r="F72" i="65"/>
  <c r="H72" i="65"/>
  <c r="F168" i="65"/>
  <c r="D103" i="65"/>
  <c r="G160" i="65"/>
  <c r="E168" i="65"/>
  <c r="C168" i="65"/>
  <c r="C229" i="65"/>
  <c r="H229" i="65"/>
  <c r="E103" i="65"/>
  <c r="G69" i="65"/>
  <c r="H139" i="65"/>
  <c r="G139" i="65"/>
  <c r="D160" i="65"/>
  <c r="C103" i="65"/>
  <c r="C69" i="65"/>
  <c r="E139" i="65"/>
  <c r="D168" i="65"/>
  <c r="G168" i="65"/>
  <c r="D69" i="65"/>
  <c r="F69" i="65"/>
  <c r="F103" i="65"/>
  <c r="H103" i="65"/>
  <c r="G17" i="65"/>
  <c r="H15" i="65"/>
  <c r="H160" i="65"/>
  <c r="F17" i="65"/>
  <c r="M25" i="43"/>
  <c r="G25" i="43"/>
  <c r="J25" i="43"/>
  <c r="P25" i="43"/>
  <c r="V25" i="43"/>
  <c r="F26" i="76" s="1"/>
  <c r="S25" i="43"/>
  <c r="B30" i="37"/>
  <c r="D204" i="65"/>
  <c r="H172" i="65"/>
  <c r="C160" i="65"/>
  <c r="G104" i="65"/>
  <c r="F104" i="65"/>
  <c r="E204" i="65"/>
  <c r="E218" i="65"/>
  <c r="H218" i="65"/>
  <c r="C218" i="65"/>
  <c r="F218" i="65"/>
  <c r="D218" i="65"/>
  <c r="G218" i="65"/>
  <c r="E210" i="65"/>
  <c r="F210" i="65"/>
  <c r="D210" i="65"/>
  <c r="H210" i="65"/>
  <c r="C210" i="65"/>
  <c r="G210" i="65"/>
  <c r="E182" i="65"/>
  <c r="D182" i="65"/>
  <c r="H182" i="65"/>
  <c r="F182" i="65"/>
  <c r="G182" i="65"/>
  <c r="C182" i="65"/>
  <c r="E170" i="65"/>
  <c r="H170" i="65"/>
  <c r="C170" i="65"/>
  <c r="G170" i="65"/>
  <c r="D170" i="65"/>
  <c r="F170" i="65"/>
  <c r="G164" i="65"/>
  <c r="C164" i="65"/>
  <c r="H164" i="65"/>
  <c r="F164" i="65"/>
  <c r="D164" i="65"/>
  <c r="E164" i="65"/>
  <c r="F158" i="65"/>
  <c r="D158" i="65"/>
  <c r="G158" i="65"/>
  <c r="H158" i="65"/>
  <c r="C158" i="65"/>
  <c r="E158" i="65"/>
  <c r="F150" i="65"/>
  <c r="G150" i="65"/>
  <c r="E150" i="65"/>
  <c r="C150" i="65"/>
  <c r="D150" i="65"/>
  <c r="H150" i="65"/>
  <c r="F142" i="65"/>
  <c r="D142" i="65"/>
  <c r="E142" i="65"/>
  <c r="H142" i="65"/>
  <c r="C142" i="65"/>
  <c r="G142" i="65"/>
  <c r="F134" i="65"/>
  <c r="G134" i="65"/>
  <c r="D134" i="65"/>
  <c r="H134" i="65"/>
  <c r="C134" i="65"/>
  <c r="E134" i="65"/>
  <c r="F126" i="65"/>
  <c r="D126" i="65"/>
  <c r="C126" i="65"/>
  <c r="G126" i="65"/>
  <c r="H126" i="65"/>
  <c r="E126" i="65"/>
  <c r="F118" i="65"/>
  <c r="G118" i="65"/>
  <c r="C118" i="65"/>
  <c r="E118" i="65"/>
  <c r="H118" i="65"/>
  <c r="D118" i="65"/>
  <c r="F110" i="65"/>
  <c r="D110" i="65"/>
  <c r="E110" i="65"/>
  <c r="G110" i="65"/>
  <c r="H110" i="65"/>
  <c r="C110" i="65"/>
  <c r="F98" i="65"/>
  <c r="H98" i="65"/>
  <c r="C98" i="65"/>
  <c r="D98" i="65"/>
  <c r="E98" i="65"/>
  <c r="G98" i="65"/>
  <c r="H92" i="65"/>
  <c r="D92" i="65"/>
  <c r="G92" i="65"/>
  <c r="C92" i="65"/>
  <c r="F92" i="65"/>
  <c r="E92" i="65"/>
  <c r="H84" i="65"/>
  <c r="D84" i="65"/>
  <c r="E84" i="65"/>
  <c r="G84" i="65"/>
  <c r="C84" i="65"/>
  <c r="F84" i="65"/>
  <c r="F82" i="65"/>
  <c r="H82" i="65"/>
  <c r="C82" i="65"/>
  <c r="D82" i="65"/>
  <c r="E82" i="65"/>
  <c r="G82" i="65"/>
  <c r="H76" i="65"/>
  <c r="D76" i="65"/>
  <c r="G76" i="65"/>
  <c r="F76" i="65"/>
  <c r="E76" i="65"/>
  <c r="C76" i="65"/>
  <c r="F70" i="65"/>
  <c r="G70" i="65"/>
  <c r="H70" i="65"/>
  <c r="C70" i="65"/>
  <c r="D70" i="65"/>
  <c r="E70" i="65"/>
  <c r="F58" i="65"/>
  <c r="E58" i="65"/>
  <c r="G58" i="65"/>
  <c r="H58" i="65"/>
  <c r="D58" i="65"/>
  <c r="C58" i="65"/>
  <c r="F30" i="65"/>
  <c r="H30" i="65"/>
  <c r="D30" i="65"/>
  <c r="C30" i="65"/>
  <c r="E30" i="65"/>
  <c r="G30" i="65"/>
  <c r="E133" i="65"/>
  <c r="H133" i="65"/>
  <c r="C133" i="65"/>
  <c r="D133" i="65"/>
  <c r="G133" i="65"/>
  <c r="F133" i="65"/>
  <c r="E61" i="65"/>
  <c r="F61" i="65"/>
  <c r="G61" i="65"/>
  <c r="H61" i="65"/>
  <c r="D61" i="65"/>
  <c r="C61" i="65"/>
  <c r="E25" i="65"/>
  <c r="G25" i="65"/>
  <c r="H25" i="65"/>
  <c r="C25" i="65"/>
  <c r="F25" i="65"/>
  <c r="D25" i="65"/>
  <c r="E13" i="65"/>
  <c r="G13" i="65"/>
  <c r="F13" i="65"/>
  <c r="D13" i="65"/>
  <c r="H13" i="65"/>
  <c r="C13" i="65"/>
  <c r="H165" i="65"/>
  <c r="D165" i="65"/>
  <c r="F165" i="65"/>
  <c r="G165" i="65"/>
  <c r="C165" i="65"/>
  <c r="E165" i="65"/>
  <c r="E109" i="65"/>
  <c r="F109" i="65"/>
  <c r="D109" i="65"/>
  <c r="C109" i="65"/>
  <c r="G109" i="65"/>
  <c r="H109" i="65"/>
  <c r="G71" i="65"/>
  <c r="C71" i="65"/>
  <c r="E71" i="65"/>
  <c r="H71" i="65"/>
  <c r="D71" i="65"/>
  <c r="F71" i="65"/>
  <c r="G35" i="65"/>
  <c r="C35" i="65"/>
  <c r="E35" i="65"/>
  <c r="D35" i="65"/>
  <c r="F35" i="65"/>
  <c r="H35" i="65"/>
  <c r="G27" i="65"/>
  <c r="C27" i="65"/>
  <c r="D27" i="65"/>
  <c r="E27" i="65"/>
  <c r="H27" i="65"/>
  <c r="F27" i="65"/>
  <c r="F231" i="65"/>
  <c r="H231" i="65"/>
  <c r="C231" i="65"/>
  <c r="G231" i="65"/>
  <c r="D231" i="65"/>
  <c r="E231" i="65"/>
  <c r="F179" i="65"/>
  <c r="D179" i="65"/>
  <c r="H179" i="65"/>
  <c r="E179" i="65"/>
  <c r="G179" i="65"/>
  <c r="C179" i="65"/>
  <c r="F167" i="65"/>
  <c r="H167" i="65"/>
  <c r="C167" i="65"/>
  <c r="G167" i="65"/>
  <c r="D167" i="65"/>
  <c r="E167" i="65"/>
  <c r="E149" i="65"/>
  <c r="H149" i="65"/>
  <c r="C149" i="65"/>
  <c r="F149" i="65"/>
  <c r="D149" i="65"/>
  <c r="G149" i="65"/>
  <c r="E141" i="65"/>
  <c r="F141" i="65"/>
  <c r="D141" i="65"/>
  <c r="H141" i="65"/>
  <c r="C141" i="65"/>
  <c r="G141" i="65"/>
  <c r="G127" i="65"/>
  <c r="C127" i="65"/>
  <c r="H127" i="65"/>
  <c r="D127" i="65"/>
  <c r="F127" i="65"/>
  <c r="E127" i="65"/>
  <c r="E121" i="65"/>
  <c r="G121" i="65"/>
  <c r="C121" i="65"/>
  <c r="F121" i="65"/>
  <c r="H121" i="65"/>
  <c r="D121" i="65"/>
  <c r="E105" i="65"/>
  <c r="G105" i="65"/>
  <c r="D105" i="65"/>
  <c r="C105" i="65"/>
  <c r="H105" i="65"/>
  <c r="F105" i="65"/>
  <c r="E93" i="65"/>
  <c r="F93" i="65"/>
  <c r="C93" i="65"/>
  <c r="D93" i="65"/>
  <c r="H93" i="65"/>
  <c r="G93" i="65"/>
  <c r="E85" i="65"/>
  <c r="H85" i="65"/>
  <c r="C85" i="65"/>
  <c r="G85" i="65"/>
  <c r="F85" i="65"/>
  <c r="D85" i="65"/>
  <c r="E77" i="65"/>
  <c r="F77" i="65"/>
  <c r="H77" i="65"/>
  <c r="C77" i="65"/>
  <c r="G77" i="65"/>
  <c r="D77" i="65"/>
  <c r="G63" i="65"/>
  <c r="C63" i="65"/>
  <c r="H63" i="65"/>
  <c r="F63" i="65"/>
  <c r="D63" i="65"/>
  <c r="E63" i="65"/>
  <c r="E57" i="65"/>
  <c r="G57" i="65"/>
  <c r="F57" i="65"/>
  <c r="H57" i="65"/>
  <c r="C57" i="65"/>
  <c r="D57" i="65"/>
  <c r="G224" i="65"/>
  <c r="C224" i="65"/>
  <c r="D224" i="65"/>
  <c r="F224" i="65"/>
  <c r="E224" i="65"/>
  <c r="H224" i="65"/>
  <c r="G216" i="65"/>
  <c r="C216" i="65"/>
  <c r="F216" i="65"/>
  <c r="E216" i="65"/>
  <c r="D216" i="65"/>
  <c r="H216" i="65"/>
  <c r="G192" i="65"/>
  <c r="C192" i="65"/>
  <c r="D192" i="65"/>
  <c r="F192" i="65"/>
  <c r="H192" i="65"/>
  <c r="E192" i="65"/>
  <c r="G188" i="65"/>
  <c r="C188" i="65"/>
  <c r="E188" i="65"/>
  <c r="F188" i="65"/>
  <c r="H188" i="65"/>
  <c r="D188" i="65"/>
  <c r="G180" i="65"/>
  <c r="C180" i="65"/>
  <c r="H180" i="65"/>
  <c r="E180" i="65"/>
  <c r="F180" i="65"/>
  <c r="D180" i="65"/>
  <c r="E174" i="65"/>
  <c r="G174" i="65"/>
  <c r="H174" i="65"/>
  <c r="D174" i="65"/>
  <c r="F174" i="65"/>
  <c r="C174" i="65"/>
  <c r="E162" i="65"/>
  <c r="F162" i="65"/>
  <c r="G162" i="65"/>
  <c r="C162" i="65"/>
  <c r="D162" i="65"/>
  <c r="H162" i="65"/>
  <c r="H156" i="65"/>
  <c r="D156" i="65"/>
  <c r="G156" i="65"/>
  <c r="F156" i="65"/>
  <c r="C156" i="65"/>
  <c r="E156" i="65"/>
  <c r="H148" i="65"/>
  <c r="D148" i="65"/>
  <c r="E148" i="65"/>
  <c r="F148" i="65"/>
  <c r="C148" i="65"/>
  <c r="G148" i="65"/>
  <c r="F146" i="65"/>
  <c r="H146" i="65"/>
  <c r="C146" i="65"/>
  <c r="E146" i="65"/>
  <c r="D146" i="65"/>
  <c r="G146" i="65"/>
  <c r="H140" i="65"/>
  <c r="D140" i="65"/>
  <c r="G140" i="65"/>
  <c r="E140" i="65"/>
  <c r="C140" i="65"/>
  <c r="F140" i="65"/>
  <c r="H132" i="65"/>
  <c r="D132" i="65"/>
  <c r="E132" i="65"/>
  <c r="C132" i="65"/>
  <c r="G132" i="65"/>
  <c r="F132" i="65"/>
  <c r="H124" i="65"/>
  <c r="D124" i="65"/>
  <c r="G124" i="65"/>
  <c r="C124" i="65"/>
  <c r="F124" i="65"/>
  <c r="E124" i="65"/>
  <c r="H116" i="65"/>
  <c r="D116" i="65"/>
  <c r="E116" i="65"/>
  <c r="F116" i="65"/>
  <c r="G116" i="65"/>
  <c r="C116" i="65"/>
  <c r="F114" i="65"/>
  <c r="H114" i="65"/>
  <c r="C114" i="65"/>
  <c r="E114" i="65"/>
  <c r="G114" i="65"/>
  <c r="D114" i="65"/>
  <c r="H108" i="65"/>
  <c r="D108" i="65"/>
  <c r="G108" i="65"/>
  <c r="E108" i="65"/>
  <c r="C108" i="65"/>
  <c r="F108" i="65"/>
  <c r="F102" i="65"/>
  <c r="G102" i="65"/>
  <c r="D102" i="65"/>
  <c r="E102" i="65"/>
  <c r="C102" i="65"/>
  <c r="H102" i="65"/>
  <c r="F90" i="65"/>
  <c r="E90" i="65"/>
  <c r="C90" i="65"/>
  <c r="D90" i="65"/>
  <c r="H90" i="65"/>
  <c r="G90" i="65"/>
  <c r="F74" i="65"/>
  <c r="E74" i="65"/>
  <c r="H74" i="65"/>
  <c r="C74" i="65"/>
  <c r="G74" i="65"/>
  <c r="D74" i="65"/>
  <c r="F46" i="65"/>
  <c r="D46" i="65"/>
  <c r="E46" i="65"/>
  <c r="H46" i="65"/>
  <c r="G46" i="65"/>
  <c r="C46" i="65"/>
  <c r="F34" i="65"/>
  <c r="G34" i="65"/>
  <c r="D34" i="65"/>
  <c r="C34" i="65"/>
  <c r="E34" i="65"/>
  <c r="H34" i="65"/>
  <c r="F18" i="65"/>
  <c r="H18" i="65"/>
  <c r="C18" i="65"/>
  <c r="D18" i="65"/>
  <c r="G18" i="65"/>
  <c r="E18" i="65"/>
  <c r="E113" i="65"/>
  <c r="D113" i="65"/>
  <c r="F113" i="65"/>
  <c r="C113" i="65"/>
  <c r="G113" i="65"/>
  <c r="H113" i="65"/>
  <c r="G51" i="65"/>
  <c r="C51" i="65"/>
  <c r="F51" i="65"/>
  <c r="E51" i="65"/>
  <c r="D51" i="65"/>
  <c r="H51" i="65"/>
  <c r="H225" i="65"/>
  <c r="D225" i="65"/>
  <c r="G225" i="65"/>
  <c r="F225" i="65"/>
  <c r="C225" i="65"/>
  <c r="E225" i="65"/>
  <c r="H217" i="65"/>
  <c r="D217" i="65"/>
  <c r="E217" i="65"/>
  <c r="F217" i="65"/>
  <c r="C217" i="65"/>
  <c r="G217" i="65"/>
  <c r="F215" i="65"/>
  <c r="H215" i="65"/>
  <c r="C215" i="65"/>
  <c r="E215" i="65"/>
  <c r="D215" i="65"/>
  <c r="G215" i="65"/>
  <c r="H209" i="65"/>
  <c r="D209" i="65"/>
  <c r="G209" i="65"/>
  <c r="E209" i="65"/>
  <c r="C209" i="65"/>
  <c r="F209" i="65"/>
  <c r="H201" i="65"/>
  <c r="D201" i="65"/>
  <c r="E201" i="65"/>
  <c r="C201" i="65"/>
  <c r="G201" i="65"/>
  <c r="F201" i="65"/>
  <c r="F199" i="65"/>
  <c r="H199" i="65"/>
  <c r="C199" i="65"/>
  <c r="D199" i="65"/>
  <c r="G199" i="65"/>
  <c r="E199" i="65"/>
  <c r="H193" i="65"/>
  <c r="D193" i="65"/>
  <c r="G193" i="65"/>
  <c r="C193" i="65"/>
  <c r="F193" i="65"/>
  <c r="E193" i="65"/>
  <c r="H189" i="65"/>
  <c r="D189" i="65"/>
  <c r="C189" i="65"/>
  <c r="F189" i="65"/>
  <c r="G189" i="65"/>
  <c r="E189" i="65"/>
  <c r="H185" i="65"/>
  <c r="D185" i="65"/>
  <c r="E185" i="65"/>
  <c r="F185" i="65"/>
  <c r="G185" i="65"/>
  <c r="C185" i="65"/>
  <c r="F183" i="65"/>
  <c r="H183" i="65"/>
  <c r="C183" i="65"/>
  <c r="E183" i="65"/>
  <c r="G183" i="65"/>
  <c r="D183" i="65"/>
  <c r="F171" i="65"/>
  <c r="G171" i="65"/>
  <c r="H171" i="65"/>
  <c r="D171" i="65"/>
  <c r="E171" i="65"/>
  <c r="C171" i="65"/>
  <c r="H161" i="65"/>
  <c r="D161" i="65"/>
  <c r="G161" i="65"/>
  <c r="F161" i="65"/>
  <c r="C161" i="65"/>
  <c r="E161" i="65"/>
  <c r="G155" i="65"/>
  <c r="C155" i="65"/>
  <c r="D155" i="65"/>
  <c r="F155" i="65"/>
  <c r="H155" i="65"/>
  <c r="E155" i="65"/>
  <c r="G147" i="65"/>
  <c r="C147" i="65"/>
  <c r="F147" i="65"/>
  <c r="E147" i="65"/>
  <c r="H147" i="65"/>
  <c r="D147" i="65"/>
  <c r="G119" i="65"/>
  <c r="C119" i="65"/>
  <c r="E119" i="65"/>
  <c r="F119" i="65"/>
  <c r="H119" i="65"/>
  <c r="D119" i="65"/>
  <c r="G91" i="65"/>
  <c r="C91" i="65"/>
  <c r="D91" i="65"/>
  <c r="F91" i="65"/>
  <c r="E91" i="65"/>
  <c r="H91" i="65"/>
  <c r="G83" i="65"/>
  <c r="C83" i="65"/>
  <c r="F83" i="65"/>
  <c r="E83" i="65"/>
  <c r="H83" i="65"/>
  <c r="D83" i="65"/>
  <c r="G47" i="65"/>
  <c r="C47" i="65"/>
  <c r="H47" i="65"/>
  <c r="E47" i="65"/>
  <c r="D47" i="65"/>
  <c r="F47" i="65"/>
  <c r="G220" i="65"/>
  <c r="C220" i="65"/>
  <c r="E220" i="65"/>
  <c r="F220" i="65"/>
  <c r="D220" i="65"/>
  <c r="H220" i="65"/>
  <c r="G212" i="65"/>
  <c r="C212" i="65"/>
  <c r="H212" i="65"/>
  <c r="E212" i="65"/>
  <c r="D212" i="65"/>
  <c r="F212" i="65"/>
  <c r="E206" i="65"/>
  <c r="G206" i="65"/>
  <c r="D206" i="65"/>
  <c r="H206" i="65"/>
  <c r="C206" i="65"/>
  <c r="F206" i="65"/>
  <c r="G200" i="65"/>
  <c r="C200" i="65"/>
  <c r="F200" i="65"/>
  <c r="D200" i="65"/>
  <c r="H200" i="65"/>
  <c r="E200" i="65"/>
  <c r="G184" i="65"/>
  <c r="C184" i="65"/>
  <c r="F184" i="65"/>
  <c r="E184" i="65"/>
  <c r="H184" i="65"/>
  <c r="D184" i="65"/>
  <c r="E166" i="65"/>
  <c r="D166" i="65"/>
  <c r="G166" i="65"/>
  <c r="C166" i="65"/>
  <c r="F166" i="65"/>
  <c r="H166" i="65"/>
  <c r="H152" i="65"/>
  <c r="D152" i="65"/>
  <c r="C152" i="65"/>
  <c r="F152" i="65"/>
  <c r="E152" i="65"/>
  <c r="G152" i="65"/>
  <c r="H144" i="65"/>
  <c r="D144" i="65"/>
  <c r="F144" i="65"/>
  <c r="E144" i="65"/>
  <c r="C144" i="65"/>
  <c r="G144" i="65"/>
  <c r="H136" i="65"/>
  <c r="D136" i="65"/>
  <c r="C136" i="65"/>
  <c r="E136" i="65"/>
  <c r="G136" i="65"/>
  <c r="F136" i="65"/>
  <c r="H128" i="65"/>
  <c r="D128" i="65"/>
  <c r="F128" i="65"/>
  <c r="C128" i="65"/>
  <c r="G128" i="65"/>
  <c r="E128" i="65"/>
  <c r="H120" i="65"/>
  <c r="D120" i="65"/>
  <c r="C120" i="65"/>
  <c r="F120" i="65"/>
  <c r="E120" i="65"/>
  <c r="G120" i="65"/>
  <c r="H112" i="65"/>
  <c r="D112" i="65"/>
  <c r="F112" i="65"/>
  <c r="E112" i="65"/>
  <c r="G112" i="65"/>
  <c r="C112" i="65"/>
  <c r="F94" i="65"/>
  <c r="D94" i="65"/>
  <c r="C94" i="65"/>
  <c r="E94" i="65"/>
  <c r="H94" i="65"/>
  <c r="G94" i="65"/>
  <c r="F86" i="65"/>
  <c r="G86" i="65"/>
  <c r="C86" i="65"/>
  <c r="D86" i="65"/>
  <c r="H86" i="65"/>
  <c r="E86" i="65"/>
  <c r="F78" i="65"/>
  <c r="D78" i="65"/>
  <c r="H78" i="65"/>
  <c r="C78" i="65"/>
  <c r="G78" i="65"/>
  <c r="E78" i="65"/>
  <c r="F66" i="65"/>
  <c r="H66" i="65"/>
  <c r="C66" i="65"/>
  <c r="G66" i="65"/>
  <c r="D66" i="65"/>
  <c r="E66" i="65"/>
  <c r="H60" i="65"/>
  <c r="D60" i="65"/>
  <c r="G60" i="65"/>
  <c r="F60" i="65"/>
  <c r="E60" i="65"/>
  <c r="C60" i="65"/>
  <c r="F54" i="65"/>
  <c r="G54" i="65"/>
  <c r="E54" i="65"/>
  <c r="C54" i="65"/>
  <c r="H54" i="65"/>
  <c r="D54" i="65"/>
  <c r="F42" i="65"/>
  <c r="E42" i="65"/>
  <c r="D42" i="65"/>
  <c r="H42" i="65"/>
  <c r="C42" i="65"/>
  <c r="G42" i="65"/>
  <c r="F26" i="65"/>
  <c r="E26" i="65"/>
  <c r="G26" i="65"/>
  <c r="D26" i="65"/>
  <c r="H26" i="65"/>
  <c r="C26" i="65"/>
  <c r="E125" i="65"/>
  <c r="F125" i="65"/>
  <c r="C125" i="65"/>
  <c r="G125" i="65"/>
  <c r="H125" i="65"/>
  <c r="D125" i="65"/>
  <c r="G75" i="65"/>
  <c r="C75" i="65"/>
  <c r="D75" i="65"/>
  <c r="H75" i="65"/>
  <c r="E75" i="65"/>
  <c r="F75" i="65"/>
  <c r="G43" i="65"/>
  <c r="C43" i="65"/>
  <c r="D43" i="65"/>
  <c r="E43" i="65"/>
  <c r="F43" i="65"/>
  <c r="H43" i="65"/>
  <c r="E157" i="65"/>
  <c r="F157" i="65"/>
  <c r="G157" i="65"/>
  <c r="C157" i="65"/>
  <c r="D157" i="65"/>
  <c r="H157" i="65"/>
  <c r="G107" i="65"/>
  <c r="C107" i="65"/>
  <c r="D107" i="65"/>
  <c r="E107" i="65"/>
  <c r="H107" i="65"/>
  <c r="F107" i="65"/>
  <c r="G55" i="65"/>
  <c r="C55" i="65"/>
  <c r="E55" i="65"/>
  <c r="F55" i="65"/>
  <c r="D55" i="65"/>
  <c r="H55" i="65"/>
  <c r="E33" i="65"/>
  <c r="H33" i="65"/>
  <c r="C33" i="65"/>
  <c r="D33" i="65"/>
  <c r="F33" i="65"/>
  <c r="G33" i="65"/>
  <c r="F227" i="65"/>
  <c r="D227" i="65"/>
  <c r="G227" i="65"/>
  <c r="C227" i="65"/>
  <c r="E227" i="65"/>
  <c r="H227" i="65"/>
  <c r="F219" i="65"/>
  <c r="G219" i="65"/>
  <c r="E219" i="65"/>
  <c r="C219" i="65"/>
  <c r="D219" i="65"/>
  <c r="H219" i="65"/>
  <c r="H213" i="65"/>
  <c r="D213" i="65"/>
  <c r="F213" i="65"/>
  <c r="E213" i="65"/>
  <c r="C213" i="65"/>
  <c r="G213" i="65"/>
  <c r="F211" i="65"/>
  <c r="D211" i="65"/>
  <c r="E211" i="65"/>
  <c r="H211" i="65"/>
  <c r="C211" i="65"/>
  <c r="G211" i="65"/>
  <c r="H205" i="65"/>
  <c r="D205" i="65"/>
  <c r="C205" i="65"/>
  <c r="E205" i="65"/>
  <c r="G205" i="65"/>
  <c r="F205" i="65"/>
  <c r="F203" i="65"/>
  <c r="G203" i="65"/>
  <c r="D203" i="65"/>
  <c r="H203" i="65"/>
  <c r="C203" i="65"/>
  <c r="E203" i="65"/>
  <c r="H197" i="65"/>
  <c r="D197" i="65"/>
  <c r="F197" i="65"/>
  <c r="C197" i="65"/>
  <c r="G197" i="65"/>
  <c r="E197" i="65"/>
  <c r="F195" i="65"/>
  <c r="D195" i="65"/>
  <c r="C195" i="65"/>
  <c r="G195" i="65"/>
  <c r="H195" i="65"/>
  <c r="E195" i="65"/>
  <c r="F187" i="65"/>
  <c r="G187" i="65"/>
  <c r="C187" i="65"/>
  <c r="E187" i="65"/>
  <c r="H187" i="65"/>
  <c r="D187" i="65"/>
  <c r="H181" i="65"/>
  <c r="D181" i="65"/>
  <c r="F181" i="65"/>
  <c r="E181" i="65"/>
  <c r="G181" i="65"/>
  <c r="C181" i="65"/>
  <c r="F175" i="65"/>
  <c r="E175" i="65"/>
  <c r="H175" i="65"/>
  <c r="D175" i="65"/>
  <c r="G175" i="65"/>
  <c r="C175" i="65"/>
  <c r="F163" i="65"/>
  <c r="D163" i="65"/>
  <c r="G163" i="65"/>
  <c r="C163" i="65"/>
  <c r="E163" i="65"/>
  <c r="H163" i="65"/>
  <c r="G151" i="65"/>
  <c r="C151" i="65"/>
  <c r="E151" i="65"/>
  <c r="F151" i="65"/>
  <c r="H151" i="65"/>
  <c r="D151" i="65"/>
  <c r="G143" i="65"/>
  <c r="C143" i="65"/>
  <c r="H143" i="65"/>
  <c r="E143" i="65"/>
  <c r="F143" i="65"/>
  <c r="D143" i="65"/>
  <c r="E137" i="65"/>
  <c r="G137" i="65"/>
  <c r="D137" i="65"/>
  <c r="H137" i="65"/>
  <c r="F137" i="65"/>
  <c r="C137" i="65"/>
  <c r="G123" i="65"/>
  <c r="C123" i="65"/>
  <c r="D123" i="65"/>
  <c r="F123" i="65"/>
  <c r="H123" i="65"/>
  <c r="E123" i="65"/>
  <c r="G111" i="65"/>
  <c r="C111" i="65"/>
  <c r="H111" i="65"/>
  <c r="E111" i="65"/>
  <c r="D111" i="65"/>
  <c r="F111" i="65"/>
  <c r="E101" i="65"/>
  <c r="H101" i="65"/>
  <c r="C101" i="65"/>
  <c r="D101" i="65"/>
  <c r="G101" i="65"/>
  <c r="F101" i="65"/>
  <c r="G95" i="65"/>
  <c r="C95" i="65"/>
  <c r="H95" i="65"/>
  <c r="D95" i="65"/>
  <c r="F95" i="65"/>
  <c r="E95" i="65"/>
  <c r="G87" i="65"/>
  <c r="C87" i="65"/>
  <c r="E87" i="65"/>
  <c r="F87" i="65"/>
  <c r="H87" i="65"/>
  <c r="D87" i="65"/>
  <c r="G79" i="65"/>
  <c r="C79" i="65"/>
  <c r="H79" i="65"/>
  <c r="E79" i="65"/>
  <c r="D79" i="65"/>
  <c r="F79" i="65"/>
  <c r="E73" i="65"/>
  <c r="G73" i="65"/>
  <c r="H73" i="65"/>
  <c r="D73" i="65"/>
  <c r="C73" i="65"/>
  <c r="F73" i="65"/>
  <c r="G59" i="65"/>
  <c r="C59" i="65"/>
  <c r="D59" i="65"/>
  <c r="F59" i="65"/>
  <c r="E59" i="65"/>
  <c r="H59" i="65"/>
  <c r="G228" i="65"/>
  <c r="C228" i="65"/>
  <c r="H228" i="65"/>
  <c r="F228" i="65"/>
  <c r="D228" i="65"/>
  <c r="E228" i="65"/>
  <c r="E222" i="65"/>
  <c r="G222" i="65"/>
  <c r="F222" i="65"/>
  <c r="C222" i="65"/>
  <c r="D222" i="65"/>
  <c r="H222" i="65"/>
  <c r="E214" i="65"/>
  <c r="D214" i="65"/>
  <c r="F214" i="65"/>
  <c r="H214" i="65"/>
  <c r="C214" i="65"/>
  <c r="G214" i="65"/>
  <c r="G196" i="65"/>
  <c r="C196" i="65"/>
  <c r="H196" i="65"/>
  <c r="D196" i="65"/>
  <c r="F196" i="65"/>
  <c r="E196" i="65"/>
  <c r="E190" i="65"/>
  <c r="G190" i="65"/>
  <c r="C190" i="65"/>
  <c r="F190" i="65"/>
  <c r="H190" i="65"/>
  <c r="D190" i="65"/>
  <c r="E186" i="65"/>
  <c r="H186" i="65"/>
  <c r="C186" i="65"/>
  <c r="F186" i="65"/>
  <c r="G186" i="65"/>
  <c r="D186" i="65"/>
  <c r="E178" i="65"/>
  <c r="F178" i="65"/>
  <c r="H178" i="65"/>
  <c r="D178" i="65"/>
  <c r="G178" i="65"/>
  <c r="C178" i="65"/>
  <c r="F154" i="65"/>
  <c r="E154" i="65"/>
  <c r="G154" i="65"/>
  <c r="C154" i="65"/>
  <c r="D154" i="65"/>
  <c r="H154" i="65"/>
  <c r="F138" i="65"/>
  <c r="E138" i="65"/>
  <c r="D138" i="65"/>
  <c r="H138" i="65"/>
  <c r="C138" i="65"/>
  <c r="G138" i="65"/>
  <c r="F130" i="65"/>
  <c r="H130" i="65"/>
  <c r="C130" i="65"/>
  <c r="D130" i="65"/>
  <c r="G130" i="65"/>
  <c r="E130" i="65"/>
  <c r="F122" i="65"/>
  <c r="E122" i="65"/>
  <c r="C122" i="65"/>
  <c r="G122" i="65"/>
  <c r="D122" i="65"/>
  <c r="H122" i="65"/>
  <c r="F106" i="65"/>
  <c r="E106" i="65"/>
  <c r="D106" i="65"/>
  <c r="G106" i="65"/>
  <c r="C106" i="65"/>
  <c r="H106" i="65"/>
  <c r="H88" i="65"/>
  <c r="D88" i="65"/>
  <c r="C88" i="65"/>
  <c r="G88" i="65"/>
  <c r="F88" i="65"/>
  <c r="E88" i="65"/>
  <c r="H80" i="65"/>
  <c r="D80" i="65"/>
  <c r="F80" i="65"/>
  <c r="G80" i="65"/>
  <c r="E80" i="65"/>
  <c r="C80" i="65"/>
  <c r="F62" i="65"/>
  <c r="D62" i="65"/>
  <c r="G62" i="65"/>
  <c r="E62" i="65"/>
  <c r="H62" i="65"/>
  <c r="C62" i="65"/>
  <c r="F50" i="65"/>
  <c r="H50" i="65"/>
  <c r="C50" i="65"/>
  <c r="E50" i="65"/>
  <c r="G50" i="65"/>
  <c r="D50" i="65"/>
  <c r="H44" i="65"/>
  <c r="D44" i="65"/>
  <c r="G44" i="65"/>
  <c r="E44" i="65"/>
  <c r="F44" i="65"/>
  <c r="C44" i="65"/>
  <c r="F38" i="65"/>
  <c r="G38" i="65"/>
  <c r="D38" i="65"/>
  <c r="H38" i="65"/>
  <c r="C38" i="65"/>
  <c r="E38" i="65"/>
  <c r="F22" i="65"/>
  <c r="G22" i="65"/>
  <c r="E22" i="65"/>
  <c r="H22" i="65"/>
  <c r="C22" i="65"/>
  <c r="D22" i="65"/>
  <c r="G115" i="65"/>
  <c r="C115" i="65"/>
  <c r="F115" i="65"/>
  <c r="E115" i="65"/>
  <c r="D115" i="65"/>
  <c r="H115" i="65"/>
  <c r="G39" i="65"/>
  <c r="C39" i="65"/>
  <c r="E39" i="65"/>
  <c r="D39" i="65"/>
  <c r="F39" i="65"/>
  <c r="H39" i="65"/>
  <c r="G135" i="65"/>
  <c r="C135" i="65"/>
  <c r="E135" i="65"/>
  <c r="D135" i="65"/>
  <c r="H135" i="65"/>
  <c r="F135" i="65"/>
  <c r="G31" i="65"/>
  <c r="C31" i="65"/>
  <c r="F31" i="65"/>
  <c r="D31" i="65"/>
  <c r="E31" i="65"/>
  <c r="H31" i="65"/>
  <c r="E21" i="65"/>
  <c r="H21" i="65"/>
  <c r="C21" i="65"/>
  <c r="G21" i="65"/>
  <c r="D21" i="65"/>
  <c r="F21" i="65"/>
  <c r="F223" i="65"/>
  <c r="E223" i="65"/>
  <c r="G223" i="65"/>
  <c r="C223" i="65"/>
  <c r="D223" i="65"/>
  <c r="H223" i="65"/>
  <c r="H221" i="65"/>
  <c r="D221" i="65"/>
  <c r="C221" i="65"/>
  <c r="F221" i="65"/>
  <c r="E221" i="65"/>
  <c r="G221" i="65"/>
  <c r="F207" i="65"/>
  <c r="E207" i="65"/>
  <c r="D207" i="65"/>
  <c r="H207" i="65"/>
  <c r="C207" i="65"/>
  <c r="G207" i="65"/>
  <c r="F191" i="65"/>
  <c r="E191" i="65"/>
  <c r="C191" i="65"/>
  <c r="G191" i="65"/>
  <c r="H191" i="65"/>
  <c r="D191" i="65"/>
  <c r="H177" i="65"/>
  <c r="D177" i="65"/>
  <c r="G177" i="65"/>
  <c r="E177" i="65"/>
  <c r="F177" i="65"/>
  <c r="C177" i="65"/>
  <c r="G159" i="65"/>
  <c r="C159" i="65"/>
  <c r="H159" i="65"/>
  <c r="E159" i="65"/>
  <c r="F159" i="65"/>
  <c r="D159" i="65"/>
  <c r="E153" i="65"/>
  <c r="G153" i="65"/>
  <c r="F153" i="65"/>
  <c r="C153" i="65"/>
  <c r="H153" i="65"/>
  <c r="D153" i="65"/>
  <c r="E145" i="65"/>
  <c r="D145" i="65"/>
  <c r="F145" i="65"/>
  <c r="H145" i="65"/>
  <c r="G145" i="65"/>
  <c r="C145" i="65"/>
  <c r="E117" i="65"/>
  <c r="H117" i="65"/>
  <c r="C117" i="65"/>
  <c r="F117" i="65"/>
  <c r="G117" i="65"/>
  <c r="D117" i="65"/>
  <c r="E97" i="65"/>
  <c r="D97" i="65"/>
  <c r="C97" i="65"/>
  <c r="H97" i="65"/>
  <c r="G97" i="65"/>
  <c r="F97" i="65"/>
  <c r="E89" i="65"/>
  <c r="G89" i="65"/>
  <c r="C89" i="65"/>
  <c r="F89" i="65"/>
  <c r="D89" i="65"/>
  <c r="H89" i="65"/>
  <c r="E81" i="65"/>
  <c r="D81" i="65"/>
  <c r="H81" i="65"/>
  <c r="G81" i="65"/>
  <c r="F81" i="65"/>
  <c r="C81" i="65"/>
  <c r="E41" i="65"/>
  <c r="G41" i="65"/>
  <c r="D41" i="65"/>
  <c r="H41" i="65"/>
  <c r="F41" i="65"/>
  <c r="C41" i="65"/>
  <c r="B5" i="1"/>
  <c r="B6" i="1"/>
  <c r="E26" i="76" l="1"/>
  <c r="G26" i="76" l="1"/>
  <c r="C144" i="38" l="1"/>
  <c r="C183" i="38"/>
  <c r="C62" i="18"/>
  <c r="C94" i="38"/>
  <c r="C20" i="37"/>
  <c r="C67" i="38"/>
  <c r="C36" i="18"/>
  <c r="C146" i="18"/>
  <c r="C220" i="38"/>
  <c r="C74" i="18"/>
  <c r="C171" i="38"/>
  <c r="C140" i="38"/>
  <c r="C147" i="38"/>
  <c r="C231" i="38"/>
  <c r="C63" i="38"/>
  <c r="C108" i="18"/>
  <c r="C174" i="18"/>
  <c r="C27" i="37"/>
  <c r="C68" i="18"/>
  <c r="C56" i="38"/>
  <c r="C16" i="18"/>
  <c r="C114" i="18"/>
  <c r="C93" i="18"/>
  <c r="C188" i="38"/>
  <c r="C102" i="38"/>
  <c r="C24" i="37"/>
  <c r="C40" i="18"/>
  <c r="C218" i="38"/>
  <c r="C77" i="18"/>
  <c r="C226" i="38"/>
  <c r="C105" i="38"/>
  <c r="C15" i="37"/>
  <c r="C29" i="37"/>
  <c r="C6" i="19"/>
  <c r="C17" i="18"/>
  <c r="C155" i="18"/>
  <c r="C73" i="18"/>
  <c r="C212" i="38"/>
  <c r="C213" i="18"/>
  <c r="C217" i="38"/>
  <c r="C184" i="38"/>
  <c r="C93" i="38"/>
  <c r="C134" i="18"/>
  <c r="C10" i="38"/>
  <c r="C216" i="38"/>
  <c r="C24" i="18"/>
  <c r="C106" i="18"/>
  <c r="C103" i="38"/>
  <c r="C155" i="38"/>
  <c r="C124" i="18"/>
  <c r="C206" i="18"/>
  <c r="C157" i="18"/>
  <c r="C20" i="18"/>
  <c r="C8" i="19"/>
  <c r="C34" i="18"/>
  <c r="C34" i="38"/>
  <c r="C18" i="18"/>
  <c r="C104" i="38"/>
  <c r="C182" i="38"/>
  <c r="C52" i="18"/>
  <c r="C4" i="37"/>
  <c r="C178" i="18"/>
  <c r="C25" i="38"/>
  <c r="C118" i="38"/>
  <c r="C91" i="38"/>
  <c r="C156" i="18"/>
  <c r="C192" i="38"/>
  <c r="C50" i="38"/>
  <c r="C30" i="18"/>
  <c r="C100" i="38"/>
  <c r="C197" i="38"/>
  <c r="C107" i="38"/>
  <c r="C16" i="19"/>
  <c r="C87" i="18"/>
  <c r="C115" i="18"/>
  <c r="C8" i="37"/>
  <c r="C137" i="38"/>
  <c r="C116" i="18"/>
  <c r="C176" i="18"/>
  <c r="C22" i="37"/>
  <c r="C125" i="18"/>
  <c r="C136" i="38"/>
  <c r="C199" i="38"/>
  <c r="C29" i="19"/>
  <c r="C86" i="18"/>
  <c r="C65" i="38"/>
  <c r="C157" i="38"/>
  <c r="C178" i="38"/>
  <c r="C219" i="38"/>
  <c r="C24" i="19"/>
  <c r="C218" i="18"/>
  <c r="C83" i="38"/>
  <c r="C70" i="18"/>
  <c r="C135" i="18"/>
  <c r="C205" i="38"/>
  <c r="C88" i="38"/>
  <c r="C60" i="38"/>
  <c r="C84" i="38"/>
  <c r="C92" i="38"/>
  <c r="C76" i="18"/>
  <c r="C106" i="38"/>
  <c r="C11" i="37"/>
  <c r="C12" i="18"/>
  <c r="C223" i="18"/>
  <c r="C53" i="18"/>
  <c r="C149" i="38"/>
  <c r="C125" i="38"/>
  <c r="C130" i="18"/>
  <c r="C74" i="38"/>
  <c r="C37" i="38"/>
  <c r="C59" i="38"/>
  <c r="C8" i="38"/>
  <c r="C5" i="38"/>
  <c r="C205" i="18"/>
  <c r="C17" i="19"/>
  <c r="C204" i="38"/>
  <c r="C30" i="38"/>
  <c r="C62" i="38"/>
  <c r="C94" i="18"/>
  <c r="C222" i="18"/>
  <c r="C57" i="38"/>
  <c r="C186" i="38"/>
  <c r="C221" i="38"/>
  <c r="C19" i="38"/>
  <c r="C54" i="18"/>
  <c r="C127" i="38"/>
  <c r="C226" i="18"/>
  <c r="C79" i="18"/>
  <c r="C5" i="19"/>
  <c r="C187" i="18"/>
  <c r="C97" i="18"/>
  <c r="C13" i="18"/>
  <c r="C169" i="18"/>
  <c r="C102" i="18"/>
  <c r="C38" i="38"/>
  <c r="C80" i="38"/>
  <c r="C140" i="18"/>
  <c r="C158" i="38"/>
  <c r="C14" i="37"/>
  <c r="C163" i="18"/>
  <c r="C225" i="38"/>
  <c r="C211" i="38"/>
  <c r="C161" i="38"/>
  <c r="C37" i="18"/>
  <c r="C215" i="38"/>
  <c r="C164" i="38"/>
  <c r="C46" i="38"/>
  <c r="C182" i="18"/>
  <c r="C118" i="18"/>
  <c r="C20" i="19"/>
  <c r="C98" i="38"/>
  <c r="C90" i="38"/>
  <c r="C191" i="38"/>
  <c r="C188" i="18"/>
  <c r="C87" i="38"/>
  <c r="C13" i="19"/>
  <c r="C215" i="18"/>
  <c r="C49" i="38"/>
  <c r="C46" i="18"/>
  <c r="C128" i="38"/>
  <c r="C230" i="38"/>
  <c r="C180" i="38"/>
  <c r="C162" i="38"/>
  <c r="C66" i="18"/>
  <c r="C91" i="18"/>
  <c r="C76" i="38"/>
  <c r="C209" i="18"/>
  <c r="C26" i="19"/>
  <c r="C21" i="19"/>
  <c r="C67" i="18"/>
  <c r="C217" i="18"/>
  <c r="C225" i="18"/>
  <c r="C139" i="38"/>
  <c r="C168" i="18"/>
  <c r="C78" i="18"/>
  <c r="C190" i="18"/>
  <c r="C81" i="18"/>
  <c r="C211" i="18"/>
  <c r="C175" i="18"/>
  <c r="C229" i="18"/>
  <c r="C150" i="38"/>
  <c r="C185" i="38"/>
  <c r="C160" i="18"/>
  <c r="C207" i="18"/>
  <c r="C53" i="38"/>
  <c r="C202" i="18"/>
  <c r="C77" i="38"/>
  <c r="C200" i="38"/>
  <c r="C82" i="18"/>
  <c r="C90" i="18"/>
  <c r="C88" i="18"/>
  <c r="C107" i="18"/>
  <c r="C96" i="38"/>
  <c r="C5" i="18"/>
  <c r="C21" i="38"/>
  <c r="C111" i="18"/>
  <c r="C27" i="18"/>
  <c r="C3" i="18"/>
  <c r="C81" i="38"/>
  <c r="C220" i="18"/>
  <c r="C52" i="38"/>
  <c r="C163" i="38"/>
  <c r="C11" i="19"/>
  <c r="C172" i="38"/>
  <c r="C18" i="19"/>
  <c r="C194" i="38"/>
  <c r="C51" i="38"/>
  <c r="C154" i="18"/>
  <c r="C175" i="38"/>
  <c r="C172" i="18"/>
  <c r="C165" i="38"/>
  <c r="C19" i="19"/>
  <c r="C54" i="38"/>
  <c r="C95" i="18"/>
  <c r="C165" i="18"/>
  <c r="C12" i="19"/>
  <c r="C21" i="18"/>
  <c r="C143" i="18"/>
  <c r="C224" i="38"/>
  <c r="C223" i="38"/>
  <c r="C19" i="18"/>
  <c r="C173" i="18"/>
  <c r="C222" i="38"/>
  <c r="C101" i="18"/>
  <c r="C92" i="18"/>
  <c r="C73" i="38"/>
  <c r="C5" i="37"/>
  <c r="C35" i="18"/>
  <c r="C146" i="38"/>
  <c r="C136" i="18"/>
  <c r="C229" i="38"/>
  <c r="C150" i="18"/>
  <c r="C42" i="38"/>
  <c r="C9" i="38"/>
  <c r="C72" i="18"/>
  <c r="C36" i="38"/>
  <c r="C12" i="38"/>
  <c r="C17" i="38"/>
  <c r="C203" i="38"/>
  <c r="C212" i="18"/>
  <c r="C48" i="18"/>
  <c r="C13" i="37"/>
  <c r="C26" i="37"/>
  <c r="C121" i="18"/>
  <c r="C147" i="18"/>
  <c r="C98" i="18"/>
  <c r="C166" i="38"/>
  <c r="C75" i="38"/>
  <c r="C203" i="18"/>
  <c r="C164" i="18"/>
  <c r="C187" i="38"/>
  <c r="C7" i="37"/>
  <c r="C133" i="18"/>
  <c r="C207" i="38"/>
  <c r="C179" i="18"/>
  <c r="C6" i="18"/>
  <c r="C145" i="18"/>
  <c r="C13" i="38"/>
  <c r="C206" i="38"/>
  <c r="C64" i="18"/>
  <c r="C11" i="38"/>
  <c r="C9" i="18"/>
  <c r="C110" i="18"/>
  <c r="C158" i="18"/>
  <c r="C167" i="18"/>
  <c r="C183" i="18"/>
  <c r="C177" i="38"/>
  <c r="C103" i="18"/>
  <c r="C127" i="18"/>
  <c r="C117" i="38"/>
  <c r="C59" i="18"/>
  <c r="C27" i="19"/>
  <c r="C115" i="38"/>
  <c r="C116" i="38"/>
  <c r="C156" i="38"/>
  <c r="C41" i="18"/>
  <c r="C3" i="38"/>
  <c r="C28" i="37"/>
  <c r="C167" i="38"/>
  <c r="C10" i="19"/>
  <c r="C214" i="38"/>
  <c r="C69" i="18"/>
  <c r="C179" i="38"/>
  <c r="C72" i="38"/>
  <c r="C135" i="38"/>
  <c r="C173" i="38"/>
  <c r="C78" i="38"/>
  <c r="C19" i="37"/>
  <c r="C152" i="18"/>
  <c r="C191" i="18"/>
  <c r="C42" i="18"/>
  <c r="C123" i="18"/>
  <c r="C85" i="38"/>
  <c r="C89" i="38"/>
  <c r="C43" i="38"/>
  <c r="C47" i="38"/>
  <c r="C199" i="18"/>
  <c r="C141" i="38"/>
  <c r="C21" i="37"/>
  <c r="C189" i="18"/>
  <c r="C35" i="38"/>
  <c r="C190" i="38"/>
  <c r="C196" i="18"/>
  <c r="C39" i="18"/>
  <c r="C99" i="18"/>
  <c r="C120" i="18"/>
  <c r="C208" i="38"/>
  <c r="C113" i="38"/>
  <c r="C210" i="38"/>
  <c r="C28" i="18"/>
  <c r="C7" i="38"/>
  <c r="C148" i="38"/>
  <c r="C141" i="18"/>
  <c r="C58" i="18"/>
  <c r="C31" i="38"/>
  <c r="C129" i="18"/>
  <c r="C193" i="38"/>
  <c r="C117" i="18"/>
  <c r="C228" i="18"/>
  <c r="C154" i="38"/>
  <c r="C151" i="38"/>
  <c r="C224" i="18"/>
  <c r="C111" i="38"/>
  <c r="C145" i="38"/>
  <c r="C6" i="38"/>
  <c r="C89" i="18"/>
  <c r="C132" i="38"/>
  <c r="C159" i="38"/>
  <c r="C208" i="18"/>
  <c r="C144" i="18"/>
  <c r="C71" i="18"/>
  <c r="C209" i="38"/>
  <c r="C176" i="38"/>
  <c r="C23" i="37"/>
  <c r="C196" i="38"/>
  <c r="C84" i="18"/>
  <c r="C120" i="38"/>
  <c r="C161" i="18"/>
  <c r="C4" i="38"/>
  <c r="C24" i="38"/>
  <c r="C38" i="18"/>
  <c r="C131" i="18"/>
  <c r="C51" i="18"/>
  <c r="C230" i="18"/>
  <c r="C181" i="18"/>
  <c r="C97" i="38"/>
  <c r="C122" i="38"/>
  <c r="C49" i="18"/>
  <c r="C128" i="18"/>
  <c r="C20" i="38"/>
  <c r="C195" i="38"/>
  <c r="C48" i="38"/>
  <c r="C31" i="18"/>
  <c r="C177" i="18"/>
  <c r="C174" i="38"/>
  <c r="C44" i="18"/>
  <c r="C63" i="18"/>
  <c r="C124" i="38"/>
  <c r="C133" i="38"/>
  <c r="C134" i="38"/>
  <c r="C64" i="38"/>
  <c r="C7" i="19"/>
  <c r="C160" i="38"/>
  <c r="C122" i="18"/>
  <c r="C61" i="38"/>
  <c r="C153" i="18"/>
  <c r="C83" i="18"/>
  <c r="C44" i="38"/>
  <c r="C119" i="38"/>
  <c r="C186" i="18"/>
  <c r="C131" i="38"/>
  <c r="C139" i="18"/>
  <c r="C55" i="38"/>
  <c r="C4" i="18"/>
  <c r="C109" i="38"/>
  <c r="C121" i="38"/>
  <c r="C45" i="38"/>
  <c r="C29" i="18"/>
  <c r="C192" i="18"/>
  <c r="C180" i="18"/>
  <c r="C23" i="38"/>
  <c r="C195" i="18"/>
  <c r="C200" i="18"/>
  <c r="C110" i="38"/>
  <c r="C227" i="18"/>
  <c r="C197" i="18"/>
  <c r="C214" i="18"/>
  <c r="C204" i="18"/>
  <c r="C23" i="18"/>
  <c r="C82" i="38"/>
  <c r="C40" i="38"/>
  <c r="C26" i="18"/>
  <c r="C228" i="38"/>
  <c r="C171" i="18"/>
  <c r="C18" i="38"/>
  <c r="C15" i="38"/>
  <c r="C216" i="18"/>
  <c r="C142" i="18"/>
  <c r="C166" i="18"/>
  <c r="C45" i="18"/>
  <c r="C12" i="37"/>
  <c r="C123" i="38"/>
  <c r="C109" i="18"/>
  <c r="C22" i="19"/>
  <c r="C9" i="19"/>
  <c r="C185" i="18"/>
  <c r="C198" i="38"/>
  <c r="C137" i="18"/>
  <c r="C32" i="18"/>
  <c r="C55" i="18"/>
  <c r="C17" i="37"/>
  <c r="C210" i="18"/>
  <c r="C58" i="38"/>
  <c r="C119" i="18"/>
  <c r="C130" i="38"/>
  <c r="C8" i="18"/>
  <c r="C50" i="18"/>
  <c r="C10" i="37"/>
  <c r="C33" i="18"/>
  <c r="C129" i="38"/>
  <c r="C32" i="38"/>
  <c r="C126" i="38"/>
  <c r="C100" i="18"/>
  <c r="C138" i="38"/>
  <c r="C4" i="19"/>
  <c r="C16" i="38"/>
  <c r="C65" i="18"/>
  <c r="C18" i="37"/>
  <c r="C33" i="38"/>
  <c r="C41" i="38"/>
  <c r="C213" i="38"/>
  <c r="C114" i="38"/>
  <c r="C47" i="18"/>
  <c r="C112" i="38"/>
  <c r="C143" i="38"/>
  <c r="C16" i="37"/>
  <c r="C75" i="18"/>
  <c r="C86" i="38"/>
  <c r="C29" i="38"/>
  <c r="C28" i="38"/>
  <c r="C43" i="18"/>
  <c r="C231" i="18"/>
  <c r="C56" i="18"/>
  <c r="C80" i="18"/>
  <c r="C151" i="18"/>
  <c r="C126" i="18"/>
  <c r="C3" i="19"/>
  <c r="C28" i="19"/>
  <c r="C227" i="38"/>
  <c r="C142" i="38"/>
  <c r="C57" i="18"/>
  <c r="C69" i="38"/>
  <c r="C95" i="38"/>
  <c r="C112" i="18"/>
  <c r="C15" i="19"/>
  <c r="C23" i="19"/>
  <c r="C113" i="18"/>
  <c r="C219" i="18"/>
  <c r="C14" i="38"/>
  <c r="C60" i="18"/>
  <c r="C132" i="18"/>
  <c r="C101" i="38"/>
  <c r="C184" i="18"/>
  <c r="C10" i="18"/>
  <c r="C170" i="18"/>
  <c r="C9" i="37"/>
  <c r="C22" i="18"/>
  <c r="C189" i="38"/>
  <c r="C27" i="38"/>
  <c r="C148" i="18"/>
  <c r="C152" i="38"/>
  <c r="C14" i="19"/>
  <c r="C104" i="18"/>
  <c r="C39" i="38"/>
  <c r="C162" i="18"/>
  <c r="C79" i="38"/>
  <c r="C153" i="38"/>
  <c r="C3" i="37"/>
  <c r="C99" i="38"/>
  <c r="C201" i="38"/>
  <c r="C70" i="38"/>
  <c r="C221" i="18"/>
  <c r="C108" i="38"/>
  <c r="C26" i="38"/>
  <c r="C71" i="38"/>
  <c r="C6" i="37"/>
  <c r="C14" i="18"/>
  <c r="C202" i="38"/>
  <c r="C194" i="18"/>
  <c r="C198" i="18"/>
  <c r="C201" i="18"/>
  <c r="C96" i="18"/>
  <c r="C7" i="18"/>
  <c r="C22" i="38"/>
  <c r="C193" i="18"/>
  <c r="C11" i="18"/>
  <c r="C25" i="18"/>
  <c r="C66" i="38"/>
  <c r="C181" i="38"/>
  <c r="C85" i="18"/>
  <c r="C169" i="38"/>
  <c r="C105" i="18"/>
  <c r="C68" i="38"/>
  <c r="C15" i="18"/>
  <c r="C61" i="18"/>
  <c r="C168" i="38"/>
  <c r="C159" i="18"/>
  <c r="C149" i="18"/>
  <c r="C170" i="38"/>
  <c r="C138" i="18"/>
  <c r="C139" i="78" l="1"/>
  <c r="M170" i="44"/>
  <c r="J170" i="44"/>
  <c r="S170" i="44"/>
  <c r="G170" i="44"/>
  <c r="V170" i="44"/>
  <c r="E171" i="78" s="1"/>
  <c r="P170" i="44"/>
  <c r="C150" i="78"/>
  <c r="C160" i="78"/>
  <c r="M168" i="44"/>
  <c r="P168" i="44"/>
  <c r="J168" i="44"/>
  <c r="G168" i="44"/>
  <c r="V168" i="44"/>
  <c r="E169" i="78" s="1"/>
  <c r="S168" i="44"/>
  <c r="C62" i="78"/>
  <c r="C16" i="78"/>
  <c r="G68" i="44"/>
  <c r="V68" i="44"/>
  <c r="E69" i="78" s="1"/>
  <c r="J68" i="44"/>
  <c r="S68" i="44"/>
  <c r="M68" i="44"/>
  <c r="P68" i="44"/>
  <c r="C106" i="78"/>
  <c r="P169" i="44"/>
  <c r="V169" i="44"/>
  <c r="E170" i="78" s="1"/>
  <c r="G169" i="44"/>
  <c r="J169" i="44"/>
  <c r="M169" i="44"/>
  <c r="S169" i="44"/>
  <c r="C86" i="78"/>
  <c r="M181" i="44"/>
  <c r="J181" i="44"/>
  <c r="P181" i="44"/>
  <c r="S181" i="44"/>
  <c r="V181" i="44"/>
  <c r="E182" i="78" s="1"/>
  <c r="G181" i="44"/>
  <c r="P66" i="44"/>
  <c r="S66" i="44"/>
  <c r="G66" i="44"/>
  <c r="V66" i="44"/>
  <c r="E67" i="78" s="1"/>
  <c r="M66" i="44"/>
  <c r="J66" i="44"/>
  <c r="C26" i="78"/>
  <c r="C12" i="78"/>
  <c r="C194" i="78"/>
  <c r="G22" i="44"/>
  <c r="P22" i="44"/>
  <c r="V22" i="44"/>
  <c r="E23" i="78" s="1"/>
  <c r="M22" i="44"/>
  <c r="J22" i="44"/>
  <c r="S22" i="44"/>
  <c r="C8" i="78"/>
  <c r="C97" i="78"/>
  <c r="C202" i="78"/>
  <c r="C199" i="78"/>
  <c r="C195" i="78"/>
  <c r="G202" i="44"/>
  <c r="M202" i="44"/>
  <c r="J202" i="44"/>
  <c r="P202" i="44"/>
  <c r="V202" i="44"/>
  <c r="E203" i="78" s="1"/>
  <c r="S202" i="44"/>
  <c r="C15" i="78"/>
  <c r="M6" i="43"/>
  <c r="S6" i="43"/>
  <c r="J6" i="43"/>
  <c r="V6" i="43"/>
  <c r="F7" i="76" s="1"/>
  <c r="P6" i="43"/>
  <c r="G6" i="43"/>
  <c r="M71" i="44"/>
  <c r="S71" i="44"/>
  <c r="G71" i="44"/>
  <c r="V71" i="44"/>
  <c r="E72" i="78" s="1"/>
  <c r="P71" i="44"/>
  <c r="J71" i="44"/>
  <c r="J26" i="44"/>
  <c r="M26" i="44"/>
  <c r="G26" i="44"/>
  <c r="S26" i="44"/>
  <c r="P26" i="44"/>
  <c r="V26" i="44"/>
  <c r="E27" i="78" s="1"/>
  <c r="P108" i="44"/>
  <c r="M108" i="44"/>
  <c r="S108" i="44"/>
  <c r="J108" i="44"/>
  <c r="G108" i="44"/>
  <c r="V108" i="44"/>
  <c r="E109" i="78" s="1"/>
  <c r="C222" i="78"/>
  <c r="G70" i="44"/>
  <c r="M70" i="44"/>
  <c r="P70" i="44"/>
  <c r="J70" i="44"/>
  <c r="S70" i="44"/>
  <c r="V70" i="44"/>
  <c r="E71" i="78" s="1"/>
  <c r="G201" i="44"/>
  <c r="J201" i="44"/>
  <c r="M201" i="44"/>
  <c r="S201" i="44"/>
  <c r="P201" i="44"/>
  <c r="V201" i="44"/>
  <c r="E202" i="78" s="1"/>
  <c r="V99" i="44"/>
  <c r="E100" i="78" s="1"/>
  <c r="S99" i="44"/>
  <c r="P99" i="44"/>
  <c r="G99" i="44"/>
  <c r="J99" i="44"/>
  <c r="M99" i="44"/>
  <c r="S3" i="43"/>
  <c r="V3" i="43"/>
  <c r="F4" i="76" s="1"/>
  <c r="C30" i="37"/>
  <c r="M3" i="43"/>
  <c r="P3" i="43"/>
  <c r="G3" i="43"/>
  <c r="J3" i="43"/>
  <c r="P153" i="44"/>
  <c r="V153" i="44"/>
  <c r="E154" i="78" s="1"/>
  <c r="S153" i="44"/>
  <c r="J153" i="44"/>
  <c r="M153" i="44"/>
  <c r="G153" i="44"/>
  <c r="V79" i="44"/>
  <c r="E80" i="78" s="1"/>
  <c r="J79" i="44"/>
  <c r="S79" i="44"/>
  <c r="M79" i="44"/>
  <c r="P79" i="44"/>
  <c r="G79" i="44"/>
  <c r="C163" i="78"/>
  <c r="J39" i="44"/>
  <c r="S39" i="44"/>
  <c r="V39" i="44"/>
  <c r="E40" i="78" s="1"/>
  <c r="M39" i="44"/>
  <c r="G39" i="44"/>
  <c r="P39" i="44"/>
  <c r="C105" i="78"/>
  <c r="D14" i="19"/>
  <c r="C15" i="76"/>
  <c r="P152" i="44"/>
  <c r="S152" i="44"/>
  <c r="J152" i="44"/>
  <c r="G152" i="44"/>
  <c r="V152" i="44"/>
  <c r="E153" i="78" s="1"/>
  <c r="M152" i="44"/>
  <c r="C149" i="78"/>
  <c r="S27" i="44"/>
  <c r="V27" i="44"/>
  <c r="E28" i="78" s="1"/>
  <c r="G27" i="44"/>
  <c r="M27" i="44"/>
  <c r="P27" i="44"/>
  <c r="J27" i="44"/>
  <c r="J189" i="44"/>
  <c r="M189" i="44"/>
  <c r="S189" i="44"/>
  <c r="P189" i="44"/>
  <c r="G189" i="44"/>
  <c r="V189" i="44"/>
  <c r="E190" i="78" s="1"/>
  <c r="C23" i="78"/>
  <c r="G9" i="43"/>
  <c r="S9" i="43"/>
  <c r="J9" i="43"/>
  <c r="P9" i="43"/>
  <c r="M9" i="43"/>
  <c r="V9" i="43"/>
  <c r="F10" i="76" s="1"/>
  <c r="C171" i="78"/>
  <c r="C11" i="78"/>
  <c r="C185" i="78"/>
  <c r="P101" i="44"/>
  <c r="S101" i="44"/>
  <c r="J101" i="44"/>
  <c r="V101" i="44"/>
  <c r="E102" i="78" s="1"/>
  <c r="M101" i="44"/>
  <c r="G101" i="44"/>
  <c r="C133" i="78"/>
  <c r="C61" i="78"/>
  <c r="V14" i="44"/>
  <c r="E15" i="78" s="1"/>
  <c r="J14" i="44"/>
  <c r="M14" i="44"/>
  <c r="P14" i="44"/>
  <c r="S14" i="44"/>
  <c r="G14" i="44"/>
  <c r="C220" i="78"/>
  <c r="C114" i="78"/>
  <c r="C24" i="76"/>
  <c r="D23" i="19"/>
  <c r="D15" i="19"/>
  <c r="C16" i="76"/>
  <c r="C113" i="78"/>
  <c r="V95" i="44"/>
  <c r="E96" i="78" s="1"/>
  <c r="P95" i="44"/>
  <c r="S95" i="44"/>
  <c r="J95" i="44"/>
  <c r="M95" i="44"/>
  <c r="G95" i="44"/>
  <c r="G69" i="44"/>
  <c r="V69" i="44"/>
  <c r="E70" i="78" s="1"/>
  <c r="S69" i="44"/>
  <c r="P69" i="44"/>
  <c r="M69" i="44"/>
  <c r="J69" i="44"/>
  <c r="C58" i="78"/>
  <c r="V142" i="44"/>
  <c r="E143" i="78" s="1"/>
  <c r="G142" i="44"/>
  <c r="J142" i="44"/>
  <c r="S142" i="44"/>
  <c r="M142" i="44"/>
  <c r="P142" i="44"/>
  <c r="G227" i="44"/>
  <c r="S227" i="44"/>
  <c r="P227" i="44"/>
  <c r="J227" i="44"/>
  <c r="M227" i="44"/>
  <c r="V227" i="44"/>
  <c r="E228" i="78" s="1"/>
  <c r="D28" i="19"/>
  <c r="C29" i="76"/>
  <c r="D83" i="18" a="1"/>
  <c r="D83" i="18" s="1"/>
  <c r="D70" i="18" a="1"/>
  <c r="D70" i="18" s="1"/>
  <c r="D201" i="18" a="1"/>
  <c r="D201" i="18" s="1"/>
  <c r="D54" i="18" a="1"/>
  <c r="D54" i="18" s="1"/>
  <c r="D21" i="18" a="1"/>
  <c r="D21" i="18" s="1"/>
  <c r="D32" i="18" a="1"/>
  <c r="D32" i="18" s="1"/>
  <c r="D16" i="18" a="1"/>
  <c r="D16" i="18" s="1"/>
  <c r="D213" i="18" a="1"/>
  <c r="D213" i="18" s="1"/>
  <c r="D188" i="18" a="1"/>
  <c r="D188" i="18" s="1"/>
  <c r="D195" i="18" a="1"/>
  <c r="D195" i="18" s="1"/>
  <c r="D167" i="18" a="1"/>
  <c r="D167" i="18" s="1"/>
  <c r="D137" i="18" a="1"/>
  <c r="D137" i="18" s="1"/>
  <c r="D3" i="19"/>
  <c r="D120" i="18" a="1"/>
  <c r="D120" i="18" s="1"/>
  <c r="D124" i="18" a="1"/>
  <c r="D124" i="18" s="1"/>
  <c r="D11" i="18" a="1"/>
  <c r="D11" i="18" s="1"/>
  <c r="D84" i="18" a="1"/>
  <c r="D84" i="18" s="1"/>
  <c r="D143" i="18" a="1"/>
  <c r="D143" i="18" s="1"/>
  <c r="D43" i="18" a="1"/>
  <c r="D43" i="18" s="1"/>
  <c r="D204" i="18" a="1"/>
  <c r="D204" i="18" s="1"/>
  <c r="D182" i="18" a="1"/>
  <c r="D182" i="18" s="1"/>
  <c r="D210" i="18" a="1"/>
  <c r="D210" i="18" s="1"/>
  <c r="D174" i="18" a="1"/>
  <c r="D174" i="18" s="1"/>
  <c r="D223" i="18" a="1"/>
  <c r="D223" i="18" s="1"/>
  <c r="D9" i="18" a="1"/>
  <c r="D9" i="18" s="1"/>
  <c r="D215" i="18" a="1"/>
  <c r="D215" i="18" s="1"/>
  <c r="D99" i="18" a="1"/>
  <c r="D99" i="18" s="1"/>
  <c r="D150" i="18" a="1"/>
  <c r="D150" i="18" s="1"/>
  <c r="D141" i="18" a="1"/>
  <c r="D141" i="18" s="1"/>
  <c r="D130" i="18" a="1"/>
  <c r="D130" i="18" s="1"/>
  <c r="D160" i="18" a="1"/>
  <c r="D160" i="18" s="1"/>
  <c r="D122" i="18" a="1"/>
  <c r="D122" i="18" s="1"/>
  <c r="D157" i="18" a="1"/>
  <c r="D157" i="18" s="1"/>
  <c r="D139" i="18" a="1"/>
  <c r="D139" i="18" s="1"/>
  <c r="D192" i="18" a="1"/>
  <c r="D192" i="18" s="1"/>
  <c r="D17" i="18" a="1"/>
  <c r="D17" i="18" s="1"/>
  <c r="D219" i="18" a="1"/>
  <c r="D219" i="18" s="1"/>
  <c r="D10" i="18" a="1"/>
  <c r="D10" i="18" s="1"/>
  <c r="D20" i="18" a="1"/>
  <c r="D20" i="18" s="1"/>
  <c r="D186" i="18" a="1"/>
  <c r="D186" i="18" s="1"/>
  <c r="D158" i="18" a="1"/>
  <c r="D158" i="18" s="1"/>
  <c r="D191" i="18" a="1"/>
  <c r="D191" i="18" s="1"/>
  <c r="D125" i="18" a="1"/>
  <c r="D125" i="18" s="1"/>
  <c r="D92" i="18" a="1"/>
  <c r="D92" i="18" s="1"/>
  <c r="D164" i="18" a="1"/>
  <c r="D164" i="18" s="1"/>
  <c r="D31" i="18" a="1"/>
  <c r="D31" i="18" s="1"/>
  <c r="D89" i="18" a="1"/>
  <c r="D89" i="18" s="1"/>
  <c r="D37" i="18" a="1"/>
  <c r="D37" i="18" s="1"/>
  <c r="C4" i="76"/>
  <c r="D187" i="18" a="1"/>
  <c r="D187" i="18" s="1"/>
  <c r="D15" i="18" a="1"/>
  <c r="D15" i="18" s="1"/>
  <c r="D211" i="18" a="1"/>
  <c r="D211" i="18" s="1"/>
  <c r="D132" i="18" a="1"/>
  <c r="D132" i="18" s="1"/>
  <c r="D60" i="18" a="1"/>
  <c r="D60" i="18" s="1"/>
  <c r="D93" i="18" a="1"/>
  <c r="D93" i="18" s="1"/>
  <c r="D8" i="18" a="1"/>
  <c r="D8" i="18" s="1"/>
  <c r="D49" i="18" a="1"/>
  <c r="D49" i="18" s="1"/>
  <c r="D156" i="18" a="1"/>
  <c r="D156" i="18" s="1"/>
  <c r="D95" i="18" a="1"/>
  <c r="D95" i="18" s="1"/>
  <c r="D34" i="18" a="1"/>
  <c r="D34" i="18" s="1"/>
  <c r="D135" i="18" a="1"/>
  <c r="D135" i="18" s="1"/>
  <c r="D108" i="18" a="1"/>
  <c r="D108" i="18" s="1"/>
  <c r="D109" i="18" a="1"/>
  <c r="D109" i="18" s="1"/>
  <c r="D27" i="18" a="1"/>
  <c r="D27" i="18" s="1"/>
  <c r="D61" i="18" a="1"/>
  <c r="D61" i="18" s="1"/>
  <c r="D227" i="18" a="1"/>
  <c r="D227" i="18" s="1"/>
  <c r="D45" i="18" a="1"/>
  <c r="D45" i="18" s="1"/>
  <c r="D117" i="18" a="1"/>
  <c r="D117" i="18" s="1"/>
  <c r="D179" i="18" a="1"/>
  <c r="D179" i="18" s="1"/>
  <c r="D110" i="18" a="1"/>
  <c r="D110" i="18" s="1"/>
  <c r="D86" i="18" a="1"/>
  <c r="D86" i="18" s="1"/>
  <c r="D98" i="18" a="1"/>
  <c r="D98" i="18" s="1"/>
  <c r="D78" i="18" a="1"/>
  <c r="D78" i="18" s="1"/>
  <c r="D36" i="18" a="1"/>
  <c r="D36" i="18" s="1"/>
  <c r="D111" i="18" a="1"/>
  <c r="D111" i="18" s="1"/>
  <c r="D51" i="18" a="1"/>
  <c r="D51" i="18" s="1"/>
  <c r="D91" i="18" a="1"/>
  <c r="D91" i="18" s="1"/>
  <c r="D75" i="18" a="1"/>
  <c r="D75" i="18" s="1"/>
  <c r="D66" i="18" a="1"/>
  <c r="D66" i="18" s="1"/>
  <c r="D136" i="18" a="1"/>
  <c r="D136" i="18" s="1"/>
  <c r="D175" i="18" a="1"/>
  <c r="D175" i="18" s="1"/>
  <c r="D230" i="18" a="1"/>
  <c r="D230" i="18" s="1"/>
  <c r="D147" i="18" a="1"/>
  <c r="D147" i="18" s="1"/>
  <c r="D194" i="18" a="1"/>
  <c r="D194" i="18" s="1"/>
  <c r="D69" i="18" a="1"/>
  <c r="D69" i="18" s="1"/>
  <c r="D26" i="18" a="1"/>
  <c r="D26" i="18" s="1"/>
  <c r="D119" i="18" a="1"/>
  <c r="D119" i="18" s="1"/>
  <c r="D165" i="18" a="1"/>
  <c r="D165" i="18" s="1"/>
  <c r="D22" i="18" a="1"/>
  <c r="D22" i="18" s="1"/>
  <c r="D101" i="18" a="1"/>
  <c r="D101" i="18" s="1"/>
  <c r="D76" i="18" a="1"/>
  <c r="D76" i="18" s="1"/>
  <c r="D185" i="18" a="1"/>
  <c r="D185" i="18" s="1"/>
  <c r="D168" i="18" a="1"/>
  <c r="D168" i="18" s="1"/>
  <c r="D46" i="18" a="1"/>
  <c r="D46" i="18" s="1"/>
  <c r="D163" i="18" a="1"/>
  <c r="D163" i="18" s="1"/>
  <c r="D85" i="18" a="1"/>
  <c r="D85" i="18" s="1"/>
  <c r="D88" i="18" a="1"/>
  <c r="D88" i="18" s="1"/>
  <c r="D71" i="18" a="1"/>
  <c r="D71" i="18" s="1"/>
  <c r="D220" i="18" a="1"/>
  <c r="D220" i="18" s="1"/>
  <c r="D228" i="18" a="1"/>
  <c r="D228" i="18" s="1"/>
  <c r="D106" i="18" a="1"/>
  <c r="D106" i="18" s="1"/>
  <c r="D40" i="18" a="1"/>
  <c r="D40" i="18" s="1"/>
  <c r="D102" i="18" a="1"/>
  <c r="D102" i="18" s="1"/>
  <c r="D144" i="18" a="1"/>
  <c r="D144" i="18" s="1"/>
  <c r="D206" i="18" a="1"/>
  <c r="D206" i="18" s="1"/>
  <c r="D126" i="18" a="1"/>
  <c r="D126" i="18" s="1"/>
  <c r="D224" i="18" a="1"/>
  <c r="D224" i="18" s="1"/>
  <c r="D121" i="18" a="1"/>
  <c r="D121" i="18" s="1"/>
  <c r="D152" i="18" a="1"/>
  <c r="D152" i="18" s="1"/>
  <c r="D57" i="18" a="1"/>
  <c r="D57" i="18" s="1"/>
  <c r="D67" i="18" a="1"/>
  <c r="D67" i="18" s="1"/>
  <c r="D103" i="18" a="1"/>
  <c r="D103" i="18" s="1"/>
  <c r="D42" i="18" a="1"/>
  <c r="D42" i="18" s="1"/>
  <c r="D81" i="18" a="1"/>
  <c r="D81" i="18" s="1"/>
  <c r="D28" i="18" a="1"/>
  <c r="D28" i="18" s="1"/>
  <c r="D39" i="18" a="1"/>
  <c r="D39" i="18" s="1"/>
  <c r="D149" i="18" a="1"/>
  <c r="D149" i="18" s="1"/>
  <c r="D217" i="18" a="1"/>
  <c r="D217" i="18" s="1"/>
  <c r="D173" i="18" a="1"/>
  <c r="D173" i="18" s="1"/>
  <c r="D146" i="18" a="1"/>
  <c r="D146" i="18" s="1"/>
  <c r="D196" i="18" a="1"/>
  <c r="D196" i="18" s="1"/>
  <c r="D207" i="18" a="1"/>
  <c r="D207" i="18" s="1"/>
  <c r="D12" i="18" a="1"/>
  <c r="D12" i="18" s="1"/>
  <c r="D48" i="18" a="1"/>
  <c r="D48" i="18" s="1"/>
  <c r="D35" i="18" a="1"/>
  <c r="D35" i="18" s="1"/>
  <c r="D214" i="18" a="1"/>
  <c r="D214" i="18" s="1"/>
  <c r="D199" i="18" a="1"/>
  <c r="D199" i="18" s="1"/>
  <c r="D148" i="18" a="1"/>
  <c r="D148" i="18" s="1"/>
  <c r="D184" i="18" a="1"/>
  <c r="D184" i="18" s="1"/>
  <c r="D169" i="18" a="1"/>
  <c r="D169" i="18" s="1"/>
  <c r="D56" i="18" a="1"/>
  <c r="D56" i="18" s="1"/>
  <c r="D226" i="18" a="1"/>
  <c r="D226" i="18" s="1"/>
  <c r="D58" i="18" a="1"/>
  <c r="D58" i="18" s="1"/>
  <c r="D183" i="18" a="1"/>
  <c r="D183" i="18" s="1"/>
  <c r="D24" i="18" a="1"/>
  <c r="D24" i="18" s="1"/>
  <c r="D7" i="18" a="1"/>
  <c r="D7" i="18" s="1"/>
  <c r="D4" i="18" a="1"/>
  <c r="D4" i="18" s="1"/>
  <c r="D172" i="18" a="1"/>
  <c r="D172" i="18" s="1"/>
  <c r="D176" i="18" a="1"/>
  <c r="D176" i="18" s="1"/>
  <c r="D41" i="18" a="1"/>
  <c r="D41" i="18" s="1"/>
  <c r="D155" i="18" a="1"/>
  <c r="D155" i="18" s="1"/>
  <c r="D50" i="18" a="1"/>
  <c r="D50" i="18" s="1"/>
  <c r="D29" i="18" a="1"/>
  <c r="D29" i="18" s="1"/>
  <c r="D115" i="18" a="1"/>
  <c r="D115" i="18" s="1"/>
  <c r="D19" i="18" a="1"/>
  <c r="D19" i="18" s="1"/>
  <c r="D55" i="18" a="1"/>
  <c r="D55" i="18" s="1"/>
  <c r="D112" i="18" a="1"/>
  <c r="D112" i="18" s="1"/>
  <c r="D14" i="18" a="1"/>
  <c r="D14" i="18" s="1"/>
  <c r="D178" i="18" a="1"/>
  <c r="D178" i="18" s="1"/>
  <c r="D151" i="18" a="1"/>
  <c r="D151" i="18" s="1"/>
  <c r="D13" i="18" a="1"/>
  <c r="D13" i="18" s="1"/>
  <c r="D189" i="18" a="1"/>
  <c r="D189" i="18" s="1"/>
  <c r="D104" i="18" a="1"/>
  <c r="D104" i="18" s="1"/>
  <c r="D180" i="18" a="1"/>
  <c r="D180" i="18" s="1"/>
  <c r="D47" i="18" a="1"/>
  <c r="D47" i="18" s="1"/>
  <c r="D30" i="18" a="1"/>
  <c r="D30" i="18" s="1"/>
  <c r="D153" i="18" a="1"/>
  <c r="D153" i="18" s="1"/>
  <c r="D200" i="18" a="1"/>
  <c r="D200" i="18" s="1"/>
  <c r="D212" i="18" a="1"/>
  <c r="D212" i="18" s="1"/>
  <c r="D142" i="18" a="1"/>
  <c r="D142" i="18" s="1"/>
  <c r="D208" i="18" a="1"/>
  <c r="D208" i="18" s="1"/>
  <c r="D171" i="18" a="1"/>
  <c r="D171" i="18" s="1"/>
  <c r="D94" i="18" a="1"/>
  <c r="D94" i="18" s="1"/>
  <c r="D193" i="18" a="1"/>
  <c r="D193" i="18" s="1"/>
  <c r="D229" i="18" a="1"/>
  <c r="D229" i="18" s="1"/>
  <c r="D123" i="18" a="1"/>
  <c r="D123" i="18" s="1"/>
  <c r="D133" i="18" a="1"/>
  <c r="D133" i="18" s="1"/>
  <c r="D140" i="18" a="1"/>
  <c r="D140" i="18" s="1"/>
  <c r="D72" i="18" a="1"/>
  <c r="D72" i="18" s="1"/>
  <c r="D145" i="18" a="1"/>
  <c r="D145" i="18" s="1"/>
  <c r="D105" i="18" a="1"/>
  <c r="D105" i="18" s="1"/>
  <c r="D25" i="18" a="1"/>
  <c r="D25" i="18" s="1"/>
  <c r="D114" i="18" a="1"/>
  <c r="D114" i="18" s="1"/>
  <c r="D64" i="18" a="1"/>
  <c r="D64" i="18" s="1"/>
  <c r="D80" i="18" a="1"/>
  <c r="D80" i="18" s="1"/>
  <c r="D138" i="18" a="1"/>
  <c r="D138" i="18" s="1"/>
  <c r="D5" i="18" a="1"/>
  <c r="D5" i="18" s="1"/>
  <c r="D221" i="18" a="1"/>
  <c r="D221" i="18" s="1"/>
  <c r="D68" i="18" a="1"/>
  <c r="D68" i="18" s="1"/>
  <c r="D159" i="18" a="1"/>
  <c r="D159" i="18" s="1"/>
  <c r="D116" i="18" a="1"/>
  <c r="D116" i="18" s="1"/>
  <c r="D216" i="18" a="1"/>
  <c r="D216" i="18" s="1"/>
  <c r="D65" i="18" a="1"/>
  <c r="D65" i="18" s="1"/>
  <c r="D23" i="18" a="1"/>
  <c r="D23" i="18" s="1"/>
  <c r="D127" i="18" a="1"/>
  <c r="D127" i="18" s="1"/>
  <c r="D96" i="18" a="1"/>
  <c r="D96" i="18" s="1"/>
  <c r="D202" i="18" a="1"/>
  <c r="D202" i="18" s="1"/>
  <c r="D73" i="18" a="1"/>
  <c r="D73" i="18" s="1"/>
  <c r="D177" i="18" a="1"/>
  <c r="D177" i="18" s="1"/>
  <c r="D87" i="18" a="1"/>
  <c r="D87" i="18" s="1"/>
  <c r="D128" i="18" a="1"/>
  <c r="D128" i="18" s="1"/>
  <c r="D62" i="18" a="1"/>
  <c r="D62" i="18" s="1"/>
  <c r="D225" i="18" a="1"/>
  <c r="D225" i="18" s="1"/>
  <c r="D77" i="18" a="1"/>
  <c r="D77" i="18" s="1"/>
  <c r="D218" i="18" a="1"/>
  <c r="D218" i="18" s="1"/>
  <c r="D90" i="18" a="1"/>
  <c r="D90" i="18" s="1"/>
  <c r="D79" i="18" a="1"/>
  <c r="D79" i="18" s="1"/>
  <c r="D33" i="18" a="1"/>
  <c r="D33" i="18" s="1"/>
  <c r="D74" i="18" a="1"/>
  <c r="D74" i="18" s="1"/>
  <c r="E74" i="18" s="1"/>
  <c r="F74" i="18" s="1"/>
  <c r="G74" i="18" s="1"/>
  <c r="H74" i="18" s="1"/>
  <c r="D190" i="18" a="1"/>
  <c r="D190" i="18" s="1"/>
  <c r="D231" i="18" a="1"/>
  <c r="D231" i="18" s="1"/>
  <c r="D52" i="18" a="1"/>
  <c r="D52" i="18" s="1"/>
  <c r="D107" i="18" a="1"/>
  <c r="D107" i="18" s="1"/>
  <c r="D118" i="18" a="1"/>
  <c r="D118" i="18" s="1"/>
  <c r="D222" i="18" a="1"/>
  <c r="D222" i="18" s="1"/>
  <c r="D166" i="18" a="1"/>
  <c r="D166" i="18" s="1"/>
  <c r="D154" i="18" a="1"/>
  <c r="D154" i="18" s="1"/>
  <c r="D203" i="18" a="1"/>
  <c r="D203" i="18" s="1"/>
  <c r="D18" i="18" a="1"/>
  <c r="D18" i="18" s="1"/>
  <c r="D97" i="18" a="1"/>
  <c r="D97" i="18" s="1"/>
  <c r="D3" i="18" a="1"/>
  <c r="D3" i="18" s="1"/>
  <c r="E157" i="18" s="1"/>
  <c r="F157" i="18" s="1"/>
  <c r="G157" i="18" s="1"/>
  <c r="H157" i="18" s="1"/>
  <c r="D63" i="18" a="1"/>
  <c r="D63" i="18" s="1"/>
  <c r="D113" i="18" a="1"/>
  <c r="D113" i="18" s="1"/>
  <c r="D129" i="18" a="1"/>
  <c r="D129" i="18" s="1"/>
  <c r="D181" i="18" a="1"/>
  <c r="D181" i="18" s="1"/>
  <c r="D198" i="18" a="1"/>
  <c r="D198" i="18" s="1"/>
  <c r="D161" i="18" a="1"/>
  <c r="D161" i="18" s="1"/>
  <c r="D134" i="18" a="1"/>
  <c r="D134" i="18" s="1"/>
  <c r="D44" i="18" a="1"/>
  <c r="D44" i="18" s="1"/>
  <c r="D59" i="18" a="1"/>
  <c r="D59" i="18" s="1"/>
  <c r="D197" i="18" a="1"/>
  <c r="D197" i="18" s="1"/>
  <c r="D170" i="18" a="1"/>
  <c r="D170" i="18" s="1"/>
  <c r="D53" i="18" a="1"/>
  <c r="D53" i="18" s="1"/>
  <c r="D162" i="18" a="1"/>
  <c r="D162" i="18" s="1"/>
  <c r="D205" i="18" a="1"/>
  <c r="D205" i="18" s="1"/>
  <c r="D209" i="18" a="1"/>
  <c r="D209" i="18" s="1"/>
  <c r="D38" i="18" a="1"/>
  <c r="D38" i="18" s="1"/>
  <c r="D131" i="18" a="1"/>
  <c r="D131" i="18" s="1"/>
  <c r="D82" i="18" a="1"/>
  <c r="D82" i="18" s="1"/>
  <c r="D100" i="18" a="1"/>
  <c r="D100" i="18" s="1"/>
  <c r="D6" i="18" a="1"/>
  <c r="D6" i="18" s="1"/>
  <c r="C127" i="78"/>
  <c r="C152" i="78"/>
  <c r="C81" i="78"/>
  <c r="C57" i="78"/>
  <c r="C232" i="78"/>
  <c r="C44" i="78"/>
  <c r="P28" i="44"/>
  <c r="S28" i="44"/>
  <c r="J28" i="44"/>
  <c r="G28" i="44"/>
  <c r="V28" i="44"/>
  <c r="E29" i="78" s="1"/>
  <c r="M28" i="44"/>
  <c r="V29" i="44"/>
  <c r="E30" i="78" s="1"/>
  <c r="J29" i="44"/>
  <c r="M29" i="44"/>
  <c r="P29" i="44"/>
  <c r="G29" i="44"/>
  <c r="S29" i="44"/>
  <c r="M86" i="44"/>
  <c r="G86" i="44"/>
  <c r="S86" i="44"/>
  <c r="P86" i="44"/>
  <c r="V86" i="44"/>
  <c r="E87" i="78" s="1"/>
  <c r="J86" i="44"/>
  <c r="C76" i="78"/>
  <c r="M16" i="43"/>
  <c r="J16" i="43"/>
  <c r="V16" i="43"/>
  <c r="F17" i="76" s="1"/>
  <c r="G16" i="43"/>
  <c r="P16" i="43"/>
  <c r="S16" i="43"/>
  <c r="V143" i="44"/>
  <c r="E144" i="78" s="1"/>
  <c r="P143" i="44"/>
  <c r="M143" i="44"/>
  <c r="J143" i="44"/>
  <c r="S143" i="44"/>
  <c r="G143" i="44"/>
  <c r="P112" i="44"/>
  <c r="J112" i="44"/>
  <c r="V112" i="44"/>
  <c r="E113" i="78" s="1"/>
  <c r="M112" i="44"/>
  <c r="S112" i="44"/>
  <c r="G112" i="44"/>
  <c r="C48" i="78"/>
  <c r="M114" i="44"/>
  <c r="G114" i="44"/>
  <c r="J114" i="44"/>
  <c r="P114" i="44"/>
  <c r="V114" i="44"/>
  <c r="E115" i="78" s="1"/>
  <c r="S114" i="44"/>
  <c r="S213" i="44"/>
  <c r="M213" i="44"/>
  <c r="P213" i="44"/>
  <c r="V213" i="44"/>
  <c r="E214" i="78" s="1"/>
  <c r="J213" i="44"/>
  <c r="G213" i="44"/>
  <c r="J41" i="44"/>
  <c r="G41" i="44"/>
  <c r="P41" i="44"/>
  <c r="V41" i="44"/>
  <c r="E42" i="78" s="1"/>
  <c r="M41" i="44"/>
  <c r="S41" i="44"/>
  <c r="P33" i="44"/>
  <c r="V33" i="44"/>
  <c r="E34" i="78" s="1"/>
  <c r="M33" i="44"/>
  <c r="S33" i="44"/>
  <c r="J33" i="44"/>
  <c r="G33" i="44"/>
  <c r="V18" i="43"/>
  <c r="F19" i="76" s="1"/>
  <c r="J18" i="43"/>
  <c r="G18" i="43"/>
  <c r="P18" i="43"/>
  <c r="S18" i="43"/>
  <c r="M18" i="43"/>
  <c r="C66" i="78"/>
  <c r="G16" i="44"/>
  <c r="M16" i="44"/>
  <c r="P16" i="44"/>
  <c r="S16" i="44"/>
  <c r="J16" i="44"/>
  <c r="V16" i="44"/>
  <c r="E17" i="78" s="1"/>
  <c r="D4" i="19"/>
  <c r="C5" i="76"/>
  <c r="P138" i="44"/>
  <c r="M138" i="44"/>
  <c r="S138" i="44"/>
  <c r="V138" i="44"/>
  <c r="E139" i="78" s="1"/>
  <c r="J138" i="44"/>
  <c r="G138" i="44"/>
  <c r="C101" i="78"/>
  <c r="S126" i="44"/>
  <c r="G126" i="44"/>
  <c r="P126" i="44"/>
  <c r="M126" i="44"/>
  <c r="V126" i="44"/>
  <c r="E127" i="78" s="1"/>
  <c r="J126" i="44"/>
  <c r="G32" i="44"/>
  <c r="V32" i="44"/>
  <c r="E33" i="78" s="1"/>
  <c r="S32" i="44"/>
  <c r="J32" i="44"/>
  <c r="M32" i="44"/>
  <c r="P32" i="44"/>
  <c r="P129" i="44"/>
  <c r="M129" i="44"/>
  <c r="S129" i="44"/>
  <c r="J129" i="44"/>
  <c r="V129" i="44"/>
  <c r="E130" i="78" s="1"/>
  <c r="G129" i="44"/>
  <c r="C34" i="78"/>
  <c r="V10" i="43"/>
  <c r="F11" i="76" s="1"/>
  <c r="J10" i="43"/>
  <c r="P10" i="43"/>
  <c r="S10" i="43"/>
  <c r="M10" i="43"/>
  <c r="G10" i="43"/>
  <c r="C51" i="78"/>
  <c r="C9" i="78"/>
  <c r="S130" i="44"/>
  <c r="M130" i="44"/>
  <c r="V130" i="44"/>
  <c r="E131" i="78" s="1"/>
  <c r="J130" i="44"/>
  <c r="P130" i="44"/>
  <c r="G130" i="44"/>
  <c r="C120" i="78"/>
  <c r="V58" i="44"/>
  <c r="E59" i="78" s="1"/>
  <c r="M58" i="44"/>
  <c r="P58" i="44"/>
  <c r="S58" i="44"/>
  <c r="J58" i="44"/>
  <c r="G58" i="44"/>
  <c r="C211" i="78"/>
  <c r="V17" i="43"/>
  <c r="F18" i="76" s="1"/>
  <c r="J17" i="43"/>
  <c r="P17" i="43"/>
  <c r="M17" i="43"/>
  <c r="G17" i="43"/>
  <c r="S17" i="43"/>
  <c r="C56" i="78"/>
  <c r="C33" i="78"/>
  <c r="C138" i="78"/>
  <c r="P198" i="44"/>
  <c r="J198" i="44"/>
  <c r="G198" i="44"/>
  <c r="S198" i="44"/>
  <c r="V198" i="44"/>
  <c r="E199" i="78" s="1"/>
  <c r="M198" i="44"/>
  <c r="C186" i="78"/>
  <c r="D9" i="19"/>
  <c r="C10" i="76"/>
  <c r="C23" i="76"/>
  <c r="D22" i="19"/>
  <c r="C110" i="78"/>
  <c r="J123" i="44"/>
  <c r="P123" i="44"/>
  <c r="M123" i="44"/>
  <c r="V123" i="44"/>
  <c r="E124" i="78" s="1"/>
  <c r="S123" i="44"/>
  <c r="G123" i="44"/>
  <c r="J12" i="43"/>
  <c r="G12" i="43"/>
  <c r="S12" i="43"/>
  <c r="P12" i="43"/>
  <c r="V12" i="43"/>
  <c r="F13" i="76" s="1"/>
  <c r="M12" i="43"/>
  <c r="C46" i="78"/>
  <c r="C167" i="78"/>
  <c r="C143" i="78"/>
  <c r="C217" i="78"/>
  <c r="M15" i="44"/>
  <c r="S15" i="44"/>
  <c r="P15" i="44"/>
  <c r="J15" i="44"/>
  <c r="G15" i="44"/>
  <c r="V15" i="44"/>
  <c r="E16" i="78" s="1"/>
  <c r="S18" i="44"/>
  <c r="V18" i="44"/>
  <c r="E19" i="78" s="1"/>
  <c r="G18" i="44"/>
  <c r="M18" i="44"/>
  <c r="J18" i="44"/>
  <c r="P18" i="44"/>
  <c r="C172" i="78"/>
  <c r="P228" i="44"/>
  <c r="M228" i="44"/>
  <c r="V228" i="44"/>
  <c r="E229" i="78" s="1"/>
  <c r="S228" i="44"/>
  <c r="J228" i="44"/>
  <c r="G228" i="44"/>
  <c r="C27" i="78"/>
  <c r="M40" i="44"/>
  <c r="V40" i="44"/>
  <c r="E41" i="78" s="1"/>
  <c r="G40" i="44"/>
  <c r="S40" i="44"/>
  <c r="J40" i="44"/>
  <c r="P40" i="44"/>
  <c r="S82" i="44"/>
  <c r="J82" i="44"/>
  <c r="M82" i="44"/>
  <c r="P82" i="44"/>
  <c r="V82" i="44"/>
  <c r="E83" i="78" s="1"/>
  <c r="G82" i="44"/>
  <c r="C24" i="78"/>
  <c r="C205" i="78"/>
  <c r="C215" i="78"/>
  <c r="C198" i="78"/>
  <c r="C228" i="78"/>
  <c r="S110" i="44"/>
  <c r="M110" i="44"/>
  <c r="J110" i="44"/>
  <c r="G110" i="44"/>
  <c r="V110" i="44"/>
  <c r="E111" i="78" s="1"/>
  <c r="P110" i="44"/>
  <c r="C201" i="78"/>
  <c r="C196" i="78"/>
  <c r="V23" i="44"/>
  <c r="E24" i="78" s="1"/>
  <c r="M23" i="44"/>
  <c r="J23" i="44"/>
  <c r="P23" i="44"/>
  <c r="S23" i="44"/>
  <c r="G23" i="44"/>
  <c r="C181" i="78"/>
  <c r="C193" i="78"/>
  <c r="C30" i="78"/>
  <c r="V45" i="44"/>
  <c r="E46" i="78" s="1"/>
  <c r="P45" i="44"/>
  <c r="S45" i="44"/>
  <c r="J45" i="44"/>
  <c r="G45" i="44"/>
  <c r="M45" i="44"/>
  <c r="M121" i="44"/>
  <c r="S121" i="44"/>
  <c r="J121" i="44"/>
  <c r="G121" i="44"/>
  <c r="V121" i="44"/>
  <c r="E122" i="78" s="1"/>
  <c r="P121" i="44"/>
  <c r="S109" i="44"/>
  <c r="V109" i="44"/>
  <c r="E110" i="78" s="1"/>
  <c r="P109" i="44"/>
  <c r="M109" i="44"/>
  <c r="J109" i="44"/>
  <c r="G109" i="44"/>
  <c r="C5" i="78"/>
  <c r="J55" i="44"/>
  <c r="P55" i="44"/>
  <c r="M55" i="44"/>
  <c r="V55" i="44"/>
  <c r="E56" i="78" s="1"/>
  <c r="G55" i="44"/>
  <c r="S55" i="44"/>
  <c r="C140" i="78"/>
  <c r="S131" i="44"/>
  <c r="G131" i="44"/>
  <c r="V131" i="44"/>
  <c r="E132" i="78" s="1"/>
  <c r="J131" i="44"/>
  <c r="M131" i="44"/>
  <c r="P131" i="44"/>
  <c r="C187" i="78"/>
  <c r="M119" i="44"/>
  <c r="J119" i="44"/>
  <c r="V119" i="44"/>
  <c r="E120" i="78" s="1"/>
  <c r="G119" i="44"/>
  <c r="P119" i="44"/>
  <c r="S119" i="44"/>
  <c r="V44" i="44"/>
  <c r="E45" i="78" s="1"/>
  <c r="J44" i="44"/>
  <c r="G44" i="44"/>
  <c r="S44" i="44"/>
  <c r="M44" i="44"/>
  <c r="P44" i="44"/>
  <c r="C84" i="78"/>
  <c r="C154" i="78"/>
  <c r="P61" i="44"/>
  <c r="V61" i="44"/>
  <c r="E62" i="78" s="1"/>
  <c r="G61" i="44"/>
  <c r="S61" i="44"/>
  <c r="M61" i="44"/>
  <c r="J61" i="44"/>
  <c r="C123" i="78"/>
  <c r="M160" i="44"/>
  <c r="J160" i="44"/>
  <c r="G160" i="44"/>
  <c r="P160" i="44"/>
  <c r="S160" i="44"/>
  <c r="V160" i="44"/>
  <c r="E161" i="78" s="1"/>
  <c r="D7" i="19"/>
  <c r="C8" i="76"/>
  <c r="P64" i="44"/>
  <c r="J64" i="44"/>
  <c r="M64" i="44"/>
  <c r="S64" i="44"/>
  <c r="V64" i="44"/>
  <c r="E65" i="78" s="1"/>
  <c r="G64" i="44"/>
  <c r="J134" i="44"/>
  <c r="G134" i="44"/>
  <c r="V134" i="44"/>
  <c r="E135" i="78" s="1"/>
  <c r="S134" i="44"/>
  <c r="P134" i="44"/>
  <c r="M134" i="44"/>
  <c r="M133" i="44"/>
  <c r="P133" i="44"/>
  <c r="S133" i="44"/>
  <c r="G133" i="44"/>
  <c r="J133" i="44"/>
  <c r="V133" i="44"/>
  <c r="E134" i="78" s="1"/>
  <c r="P124" i="44"/>
  <c r="V124" i="44"/>
  <c r="E125" i="78" s="1"/>
  <c r="G124" i="44"/>
  <c r="J124" i="44"/>
  <c r="M124" i="44"/>
  <c r="S124" i="44"/>
  <c r="C64" i="78"/>
  <c r="C45" i="78"/>
  <c r="G174" i="44"/>
  <c r="P174" i="44"/>
  <c r="J174" i="44"/>
  <c r="S174" i="44"/>
  <c r="V174" i="44"/>
  <c r="E175" i="78" s="1"/>
  <c r="M174" i="44"/>
  <c r="C178" i="78"/>
  <c r="C32" i="78"/>
  <c r="P48" i="44"/>
  <c r="M48" i="44"/>
  <c r="V48" i="44"/>
  <c r="E49" i="78" s="1"/>
  <c r="J48" i="44"/>
  <c r="G48" i="44"/>
  <c r="S48" i="44"/>
  <c r="V195" i="44"/>
  <c r="E196" i="78" s="1"/>
  <c r="M195" i="44"/>
  <c r="G195" i="44"/>
  <c r="S195" i="44"/>
  <c r="P195" i="44"/>
  <c r="J195" i="44"/>
  <c r="P20" i="44"/>
  <c r="S20" i="44"/>
  <c r="M20" i="44"/>
  <c r="J20" i="44"/>
  <c r="G20" i="44"/>
  <c r="V20" i="44"/>
  <c r="E21" i="78" s="1"/>
  <c r="C129" i="78"/>
  <c r="C50" i="78"/>
  <c r="G122" i="44"/>
  <c r="P122" i="44"/>
  <c r="J122" i="44"/>
  <c r="V122" i="44"/>
  <c r="E123" i="78" s="1"/>
  <c r="M122" i="44"/>
  <c r="S122" i="44"/>
  <c r="V97" i="44"/>
  <c r="E98" i="78" s="1"/>
  <c r="G97" i="44"/>
  <c r="P97" i="44"/>
  <c r="S97" i="44"/>
  <c r="M97" i="44"/>
  <c r="J97" i="44"/>
  <c r="C182" i="78"/>
  <c r="C231" i="78"/>
  <c r="C52" i="78"/>
  <c r="C132" i="78"/>
  <c r="C39" i="78"/>
  <c r="J24" i="44"/>
  <c r="V24" i="44"/>
  <c r="E25" i="78" s="1"/>
  <c r="S24" i="44"/>
  <c r="G24" i="44"/>
  <c r="M24" i="44"/>
  <c r="P24" i="44"/>
  <c r="V4" i="44"/>
  <c r="E5" i="78" s="1"/>
  <c r="M4" i="44"/>
  <c r="P4" i="44"/>
  <c r="S4" i="44"/>
  <c r="J4" i="44"/>
  <c r="G4" i="44"/>
  <c r="C162" i="78"/>
  <c r="P120" i="44"/>
  <c r="J120" i="44"/>
  <c r="M120" i="44"/>
  <c r="G120" i="44"/>
  <c r="V120" i="44"/>
  <c r="E121" i="78" s="1"/>
  <c r="S120" i="44"/>
  <c r="C85" i="78"/>
  <c r="J196" i="44"/>
  <c r="G196" i="44"/>
  <c r="P196" i="44"/>
  <c r="V196" i="44"/>
  <c r="E197" i="78" s="1"/>
  <c r="M196" i="44"/>
  <c r="S196" i="44"/>
  <c r="V23" i="43"/>
  <c r="F24" i="76" s="1"/>
  <c r="G23" i="43"/>
  <c r="S23" i="43"/>
  <c r="P23" i="43"/>
  <c r="J23" i="43"/>
  <c r="M23" i="43"/>
  <c r="P176" i="44"/>
  <c r="J176" i="44"/>
  <c r="S176" i="44"/>
  <c r="M176" i="44"/>
  <c r="V176" i="44"/>
  <c r="E177" i="78" s="1"/>
  <c r="G176" i="44"/>
  <c r="G209" i="44"/>
  <c r="M209" i="44"/>
  <c r="S209" i="44"/>
  <c r="P209" i="44"/>
  <c r="J209" i="44"/>
  <c r="V209" i="44"/>
  <c r="E210" i="78" s="1"/>
  <c r="C72" i="78"/>
  <c r="C145" i="78"/>
  <c r="C209" i="78"/>
  <c r="G159" i="44"/>
  <c r="M159" i="44"/>
  <c r="V159" i="44"/>
  <c r="E160" i="78" s="1"/>
  <c r="S159" i="44"/>
  <c r="P159" i="44"/>
  <c r="J159" i="44"/>
  <c r="J132" i="44"/>
  <c r="G132" i="44"/>
  <c r="V132" i="44"/>
  <c r="E133" i="78" s="1"/>
  <c r="P132" i="44"/>
  <c r="M132" i="44"/>
  <c r="S132" i="44"/>
  <c r="C90" i="78"/>
  <c r="P6" i="44"/>
  <c r="S6" i="44"/>
  <c r="J6" i="44"/>
  <c r="M6" i="44"/>
  <c r="G6" i="44"/>
  <c r="V6" i="44"/>
  <c r="E7" i="78" s="1"/>
  <c r="P145" i="44"/>
  <c r="J145" i="44"/>
  <c r="S145" i="44"/>
  <c r="M145" i="44"/>
  <c r="V145" i="44"/>
  <c r="E146" i="78" s="1"/>
  <c r="G145" i="44"/>
  <c r="S111" i="44"/>
  <c r="P111" i="44"/>
  <c r="V111" i="44"/>
  <c r="E112" i="78" s="1"/>
  <c r="J111" i="44"/>
  <c r="G111" i="44"/>
  <c r="M111" i="44"/>
  <c r="C225" i="78"/>
  <c r="J151" i="44"/>
  <c r="V151" i="44"/>
  <c r="E152" i="78" s="1"/>
  <c r="G151" i="44"/>
  <c r="M151" i="44"/>
  <c r="P151" i="44"/>
  <c r="S151" i="44"/>
  <c r="S154" i="44"/>
  <c r="V154" i="44"/>
  <c r="E155" i="78" s="1"/>
  <c r="M154" i="44"/>
  <c r="P154" i="44"/>
  <c r="G154" i="44"/>
  <c r="J154" i="44"/>
  <c r="C229" i="78"/>
  <c r="C118" i="78"/>
  <c r="P193" i="44"/>
  <c r="S193" i="44"/>
  <c r="V193" i="44"/>
  <c r="E194" i="78" s="1"/>
  <c r="G193" i="44"/>
  <c r="M193" i="44"/>
  <c r="J193" i="44"/>
  <c r="C130" i="78"/>
  <c r="M31" i="44"/>
  <c r="V31" i="44"/>
  <c r="E32" i="78" s="1"/>
  <c r="G31" i="44"/>
  <c r="P31" i="44"/>
  <c r="S31" i="44"/>
  <c r="J31" i="44"/>
  <c r="C59" i="78"/>
  <c r="C142" i="78"/>
  <c r="J148" i="44"/>
  <c r="P148" i="44"/>
  <c r="S148" i="44"/>
  <c r="M148" i="44"/>
  <c r="G148" i="44"/>
  <c r="V148" i="44"/>
  <c r="E149" i="78" s="1"/>
  <c r="P7" i="44"/>
  <c r="M7" i="44"/>
  <c r="V7" i="44"/>
  <c r="E8" i="78" s="1"/>
  <c r="J7" i="44"/>
  <c r="G7" i="44"/>
  <c r="S7" i="44"/>
  <c r="C29" i="78"/>
  <c r="G210" i="44"/>
  <c r="S210" i="44"/>
  <c r="J210" i="44"/>
  <c r="M210" i="44"/>
  <c r="P210" i="44"/>
  <c r="V210" i="44"/>
  <c r="E211" i="78" s="1"/>
  <c r="M113" i="44"/>
  <c r="S113" i="44"/>
  <c r="P113" i="44"/>
  <c r="J113" i="44"/>
  <c r="G113" i="44"/>
  <c r="V113" i="44"/>
  <c r="E114" i="78" s="1"/>
  <c r="V208" i="44"/>
  <c r="E209" i="78" s="1"/>
  <c r="P208" i="44"/>
  <c r="M208" i="44"/>
  <c r="S208" i="44"/>
  <c r="G208" i="44"/>
  <c r="J208" i="44"/>
  <c r="C121" i="78"/>
  <c r="C100" i="78"/>
  <c r="C40" i="78"/>
  <c r="C197" i="78"/>
  <c r="S190" i="44"/>
  <c r="J190" i="44"/>
  <c r="P190" i="44"/>
  <c r="M190" i="44"/>
  <c r="V190" i="44"/>
  <c r="E191" i="78" s="1"/>
  <c r="G190" i="44"/>
  <c r="M35" i="44"/>
  <c r="P35" i="44"/>
  <c r="V35" i="44"/>
  <c r="E36" i="78" s="1"/>
  <c r="S35" i="44"/>
  <c r="G35" i="44"/>
  <c r="J35" i="44"/>
  <c r="C190" i="78"/>
  <c r="S21" i="43"/>
  <c r="J21" i="43"/>
  <c r="P21" i="43"/>
  <c r="M21" i="43"/>
  <c r="V21" i="43"/>
  <c r="F22" i="76" s="1"/>
  <c r="G21" i="43"/>
  <c r="S141" i="44"/>
  <c r="V141" i="44"/>
  <c r="E142" i="78" s="1"/>
  <c r="M141" i="44"/>
  <c r="J141" i="44"/>
  <c r="G141" i="44"/>
  <c r="P141" i="44"/>
  <c r="C200" i="78"/>
  <c r="V47" i="44"/>
  <c r="E48" i="78" s="1"/>
  <c r="P47" i="44"/>
  <c r="S47" i="44"/>
  <c r="G47" i="44"/>
  <c r="J47" i="44"/>
  <c r="M47" i="44"/>
  <c r="V43" i="44"/>
  <c r="E44" i="78" s="1"/>
  <c r="S43" i="44"/>
  <c r="J43" i="44"/>
  <c r="G43" i="44"/>
  <c r="M43" i="44"/>
  <c r="P43" i="44"/>
  <c r="J89" i="44"/>
  <c r="G89" i="44"/>
  <c r="P89" i="44"/>
  <c r="S89" i="44"/>
  <c r="V89" i="44"/>
  <c r="E90" i="78" s="1"/>
  <c r="M89" i="44"/>
  <c r="G85" i="44"/>
  <c r="V85" i="44"/>
  <c r="E86" i="78" s="1"/>
  <c r="S85" i="44"/>
  <c r="M85" i="44"/>
  <c r="J85" i="44"/>
  <c r="P85" i="44"/>
  <c r="C124" i="78"/>
  <c r="C43" i="78"/>
  <c r="C192" i="78"/>
  <c r="C153" i="78"/>
  <c r="M19" i="43"/>
  <c r="P19" i="43"/>
  <c r="G19" i="43"/>
  <c r="J19" i="43"/>
  <c r="V19" i="43"/>
  <c r="F20" i="76" s="1"/>
  <c r="S19" i="43"/>
  <c r="V78" i="44"/>
  <c r="E79" i="78" s="1"/>
  <c r="J78" i="44"/>
  <c r="M78" i="44"/>
  <c r="S78" i="44"/>
  <c r="P78" i="44"/>
  <c r="G78" i="44"/>
  <c r="V173" i="44"/>
  <c r="E174" i="78" s="1"/>
  <c r="G173" i="44"/>
  <c r="P173" i="44"/>
  <c r="M173" i="44"/>
  <c r="J173" i="44"/>
  <c r="S173" i="44"/>
  <c r="J135" i="44"/>
  <c r="V135" i="44"/>
  <c r="E136" i="78" s="1"/>
  <c r="M135" i="44"/>
  <c r="S135" i="44"/>
  <c r="G135" i="44"/>
  <c r="P135" i="44"/>
  <c r="V72" i="44"/>
  <c r="E73" i="78" s="1"/>
  <c r="M72" i="44"/>
  <c r="G72" i="44"/>
  <c r="P72" i="44"/>
  <c r="J72" i="44"/>
  <c r="S72" i="44"/>
  <c r="P179" i="44"/>
  <c r="M179" i="44"/>
  <c r="G179" i="44"/>
  <c r="S179" i="44"/>
  <c r="V179" i="44"/>
  <c r="E180" i="78" s="1"/>
  <c r="J179" i="44"/>
  <c r="C70" i="78"/>
  <c r="V214" i="44"/>
  <c r="E215" i="78" s="1"/>
  <c r="G214" i="44"/>
  <c r="P214" i="44"/>
  <c r="J214" i="44"/>
  <c r="S214" i="44"/>
  <c r="M214" i="44"/>
  <c r="D10" i="19"/>
  <c r="C11" i="76"/>
  <c r="J167" i="44"/>
  <c r="P167" i="44"/>
  <c r="G167" i="44"/>
  <c r="S167" i="44"/>
  <c r="M167" i="44"/>
  <c r="V167" i="44"/>
  <c r="E168" i="78" s="1"/>
  <c r="P28" i="43"/>
  <c r="M28" i="43"/>
  <c r="J28" i="43"/>
  <c r="G28" i="43"/>
  <c r="S28" i="43"/>
  <c r="V28" i="43"/>
  <c r="F29" i="76" s="1"/>
  <c r="M3" i="44"/>
  <c r="J3" i="44"/>
  <c r="S3" i="44"/>
  <c r="P3" i="44"/>
  <c r="G3" i="44"/>
  <c r="V3" i="44"/>
  <c r="E4" i="78" s="1"/>
  <c r="C232" i="38"/>
  <c r="C42" i="78"/>
  <c r="V156" i="44"/>
  <c r="E157" i="78" s="1"/>
  <c r="G156" i="44"/>
  <c r="J156" i="44"/>
  <c r="M156" i="44"/>
  <c r="S156" i="44"/>
  <c r="P156" i="44"/>
  <c r="J116" i="44"/>
  <c r="G116" i="44"/>
  <c r="V116" i="44"/>
  <c r="E117" i="78" s="1"/>
  <c r="S116" i="44"/>
  <c r="M116" i="44"/>
  <c r="P116" i="44"/>
  <c r="S115" i="44"/>
  <c r="J115" i="44"/>
  <c r="P115" i="44"/>
  <c r="V115" i="44"/>
  <c r="E116" i="78" s="1"/>
  <c r="G115" i="44"/>
  <c r="M115" i="44"/>
  <c r="D27" i="19"/>
  <c r="C28" i="76"/>
  <c r="C60" i="78"/>
  <c r="S117" i="44"/>
  <c r="J117" i="44"/>
  <c r="V117" i="44"/>
  <c r="E118" i="78" s="1"/>
  <c r="P117" i="44"/>
  <c r="M117" i="44"/>
  <c r="G117" i="44"/>
  <c r="C128" i="78"/>
  <c r="C104" i="78"/>
  <c r="M177" i="44"/>
  <c r="V177" i="44"/>
  <c r="E178" i="78" s="1"/>
  <c r="J177" i="44"/>
  <c r="S177" i="44"/>
  <c r="P177" i="44"/>
  <c r="G177" i="44"/>
  <c r="C184" i="78"/>
  <c r="C168" i="78"/>
  <c r="C159" i="78"/>
  <c r="C111" i="78"/>
  <c r="C10" i="78"/>
  <c r="J11" i="44"/>
  <c r="P11" i="44"/>
  <c r="M11" i="44"/>
  <c r="S11" i="44"/>
  <c r="V11" i="44"/>
  <c r="E12" i="78" s="1"/>
  <c r="G11" i="44"/>
  <c r="C65" i="78"/>
  <c r="P206" i="44"/>
  <c r="M206" i="44"/>
  <c r="G206" i="44"/>
  <c r="J206" i="44"/>
  <c r="S206" i="44"/>
  <c r="V206" i="44"/>
  <c r="E207" i="78" s="1"/>
  <c r="G13" i="44"/>
  <c r="M13" i="44"/>
  <c r="J13" i="44"/>
  <c r="P13" i="44"/>
  <c r="V13" i="44"/>
  <c r="E14" i="78" s="1"/>
  <c r="S13" i="44"/>
  <c r="C146" i="78"/>
  <c r="C7" i="78"/>
  <c r="C180" i="78"/>
  <c r="M207" i="44"/>
  <c r="V207" i="44"/>
  <c r="E208" i="78" s="1"/>
  <c r="G207" i="44"/>
  <c r="S207" i="44"/>
  <c r="J207" i="44"/>
  <c r="P207" i="44"/>
  <c r="C134" i="78"/>
  <c r="P7" i="43"/>
  <c r="S7" i="43"/>
  <c r="M7" i="43"/>
  <c r="V7" i="43"/>
  <c r="F8" i="76" s="1"/>
  <c r="J7" i="43"/>
  <c r="G7" i="43"/>
  <c r="G187" i="44"/>
  <c r="V187" i="44"/>
  <c r="E188" i="78" s="1"/>
  <c r="M187" i="44"/>
  <c r="P187" i="44"/>
  <c r="J187" i="44"/>
  <c r="S187" i="44"/>
  <c r="C165" i="78"/>
  <c r="E164" i="18"/>
  <c r="F164" i="18" s="1"/>
  <c r="G164" i="18" s="1"/>
  <c r="H164" i="18" s="1"/>
  <c r="C204" i="78"/>
  <c r="J75" i="44"/>
  <c r="S75" i="44"/>
  <c r="M75" i="44"/>
  <c r="P75" i="44"/>
  <c r="G75" i="44"/>
  <c r="V75" i="44"/>
  <c r="E76" i="78" s="1"/>
  <c r="P166" i="44"/>
  <c r="M166" i="44"/>
  <c r="S166" i="44"/>
  <c r="G166" i="44"/>
  <c r="J166" i="44"/>
  <c r="V166" i="44"/>
  <c r="E167" i="78" s="1"/>
  <c r="C99" i="78"/>
  <c r="C148" i="78"/>
  <c r="C122" i="78"/>
  <c r="M26" i="43"/>
  <c r="P26" i="43"/>
  <c r="J26" i="43"/>
  <c r="G26" i="43"/>
  <c r="V26" i="43"/>
  <c r="F27" i="76" s="1"/>
  <c r="S26" i="43"/>
  <c r="J13" i="43"/>
  <c r="P13" i="43"/>
  <c r="M13" i="43"/>
  <c r="G13" i="43"/>
  <c r="S13" i="43"/>
  <c r="V13" i="43"/>
  <c r="F14" i="76" s="1"/>
  <c r="C49" i="78"/>
  <c r="C213" i="78"/>
  <c r="V203" i="44"/>
  <c r="E204" i="78" s="1"/>
  <c r="J203" i="44"/>
  <c r="G203" i="44"/>
  <c r="S203" i="44"/>
  <c r="P203" i="44"/>
  <c r="M203" i="44"/>
  <c r="M17" i="44"/>
  <c r="V17" i="44"/>
  <c r="E18" i="78" s="1"/>
  <c r="S17" i="44"/>
  <c r="G17" i="44"/>
  <c r="J17" i="44"/>
  <c r="P17" i="44"/>
  <c r="V12" i="44"/>
  <c r="E13" i="78" s="1"/>
  <c r="M12" i="44"/>
  <c r="P12" i="44"/>
  <c r="G12" i="44"/>
  <c r="S12" i="44"/>
  <c r="J12" i="44"/>
  <c r="J36" i="44"/>
  <c r="V36" i="44"/>
  <c r="E37" i="78" s="1"/>
  <c r="M36" i="44"/>
  <c r="S36" i="44"/>
  <c r="P36" i="44"/>
  <c r="G36" i="44"/>
  <c r="C73" i="78"/>
  <c r="P9" i="44"/>
  <c r="V9" i="44"/>
  <c r="E10" i="78" s="1"/>
  <c r="S9" i="44"/>
  <c r="M9" i="44"/>
  <c r="G9" i="44"/>
  <c r="J9" i="44"/>
  <c r="M42" i="44"/>
  <c r="S42" i="44"/>
  <c r="G42" i="44"/>
  <c r="J42" i="44"/>
  <c r="P42" i="44"/>
  <c r="V42" i="44"/>
  <c r="E43" i="78" s="1"/>
  <c r="C151" i="78"/>
  <c r="M229" i="44"/>
  <c r="P229" i="44"/>
  <c r="V229" i="44"/>
  <c r="E230" i="78" s="1"/>
  <c r="G229" i="44"/>
  <c r="J229" i="44"/>
  <c r="S229" i="44"/>
  <c r="C137" i="78"/>
  <c r="V146" i="44"/>
  <c r="E147" i="78" s="1"/>
  <c r="J146" i="44"/>
  <c r="S146" i="44"/>
  <c r="M146" i="44"/>
  <c r="G146" i="44"/>
  <c r="P146" i="44"/>
  <c r="C36" i="78"/>
  <c r="V5" i="43"/>
  <c r="F6" i="76" s="1"/>
  <c r="P5" i="43"/>
  <c r="S5" i="43"/>
  <c r="G5" i="43"/>
  <c r="J5" i="43"/>
  <c r="M5" i="43"/>
  <c r="J73" i="44"/>
  <c r="G73" i="44"/>
  <c r="V73" i="44"/>
  <c r="E74" i="78" s="1"/>
  <c r="M73" i="44"/>
  <c r="S73" i="44"/>
  <c r="P73" i="44"/>
  <c r="C93" i="78"/>
  <c r="C102" i="78"/>
  <c r="V222" i="44"/>
  <c r="E223" i="78" s="1"/>
  <c r="G222" i="44"/>
  <c r="S222" i="44"/>
  <c r="J222" i="44"/>
  <c r="M222" i="44"/>
  <c r="P222" i="44"/>
  <c r="C174" i="78"/>
  <c r="C20" i="78"/>
  <c r="M223" i="44"/>
  <c r="S223" i="44"/>
  <c r="J223" i="44"/>
  <c r="V223" i="44"/>
  <c r="E224" i="78" s="1"/>
  <c r="G223" i="44"/>
  <c r="P223" i="44"/>
  <c r="P224" i="44"/>
  <c r="G224" i="44"/>
  <c r="J224" i="44"/>
  <c r="M224" i="44"/>
  <c r="S224" i="44"/>
  <c r="V224" i="44"/>
  <c r="E225" i="78" s="1"/>
  <c r="C144" i="78"/>
  <c r="C22" i="78"/>
  <c r="D12" i="19"/>
  <c r="C13" i="76"/>
  <c r="C166" i="78"/>
  <c r="C96" i="78"/>
  <c r="P54" i="44"/>
  <c r="G54" i="44"/>
  <c r="V54" i="44"/>
  <c r="E55" i="78" s="1"/>
  <c r="J54" i="44"/>
  <c r="S54" i="44"/>
  <c r="M54" i="44"/>
  <c r="D19" i="19"/>
  <c r="C20" i="76"/>
  <c r="S165" i="44"/>
  <c r="P165" i="44"/>
  <c r="G165" i="44"/>
  <c r="M165" i="44"/>
  <c r="V165" i="44"/>
  <c r="E166" i="78" s="1"/>
  <c r="J165" i="44"/>
  <c r="C173" i="78"/>
  <c r="J175" i="44"/>
  <c r="G175" i="44"/>
  <c r="V175" i="44"/>
  <c r="E176" i="78" s="1"/>
  <c r="P175" i="44"/>
  <c r="S175" i="44"/>
  <c r="M175" i="44"/>
  <c r="C155" i="78"/>
  <c r="J51" i="44"/>
  <c r="M51" i="44"/>
  <c r="G51" i="44"/>
  <c r="P51" i="44"/>
  <c r="V51" i="44"/>
  <c r="E52" i="78" s="1"/>
  <c r="S51" i="44"/>
  <c r="J194" i="44"/>
  <c r="V194" i="44"/>
  <c r="E195" i="78" s="1"/>
  <c r="P194" i="44"/>
  <c r="S194" i="44"/>
  <c r="M194" i="44"/>
  <c r="G194" i="44"/>
  <c r="D18" i="19"/>
  <c r="C19" i="76"/>
  <c r="V172" i="44"/>
  <c r="E173" i="78" s="1"/>
  <c r="M172" i="44"/>
  <c r="S172" i="44"/>
  <c r="P172" i="44"/>
  <c r="G172" i="44"/>
  <c r="J172" i="44"/>
  <c r="C12" i="76"/>
  <c r="D11" i="19"/>
  <c r="J163" i="44"/>
  <c r="P163" i="44"/>
  <c r="G163" i="44"/>
  <c r="S163" i="44"/>
  <c r="V163" i="44"/>
  <c r="E164" i="78" s="1"/>
  <c r="M163" i="44"/>
  <c r="S52" i="44"/>
  <c r="P52" i="44"/>
  <c r="G52" i="44"/>
  <c r="M52" i="44"/>
  <c r="J52" i="44"/>
  <c r="V52" i="44"/>
  <c r="E53" i="78" s="1"/>
  <c r="C221" i="78"/>
  <c r="P81" i="44"/>
  <c r="M81" i="44"/>
  <c r="J81" i="44"/>
  <c r="G81" i="44"/>
  <c r="S81" i="44"/>
  <c r="V81" i="44"/>
  <c r="E82" i="78" s="1"/>
  <c r="E16" i="19"/>
  <c r="E4" i="19"/>
  <c r="E27" i="19"/>
  <c r="C4" i="78"/>
  <c r="E14" i="19"/>
  <c r="E24" i="19"/>
  <c r="E9" i="19"/>
  <c r="E28" i="19"/>
  <c r="E26" i="19"/>
  <c r="E6" i="19"/>
  <c r="E20" i="19"/>
  <c r="E11" i="19"/>
  <c r="E25" i="19"/>
  <c r="E29" i="19"/>
  <c r="E5" i="19"/>
  <c r="E10" i="19"/>
  <c r="E22" i="19"/>
  <c r="E15" i="19"/>
  <c r="E12" i="19"/>
  <c r="E13" i="19"/>
  <c r="E19" i="19"/>
  <c r="E3" i="19"/>
  <c r="E18" i="19"/>
  <c r="E17" i="19"/>
  <c r="E23" i="19"/>
  <c r="E21" i="19"/>
  <c r="E8" i="19"/>
  <c r="E7" i="19"/>
  <c r="C28" i="78"/>
  <c r="C112" i="78"/>
  <c r="S21" i="44"/>
  <c r="G21" i="44"/>
  <c r="V21" i="44"/>
  <c r="E22" i="78" s="1"/>
  <c r="M21" i="44"/>
  <c r="J21" i="44"/>
  <c r="P21" i="44"/>
  <c r="C6" i="78"/>
  <c r="P96" i="44"/>
  <c r="V96" i="44"/>
  <c r="E97" i="78" s="1"/>
  <c r="S96" i="44"/>
  <c r="J96" i="44"/>
  <c r="M96" i="44"/>
  <c r="G96" i="44"/>
  <c r="C108" i="78"/>
  <c r="C89" i="78"/>
  <c r="C91" i="78"/>
  <c r="C83" i="78"/>
  <c r="J200" i="44"/>
  <c r="V200" i="44"/>
  <c r="E201" i="78" s="1"/>
  <c r="P200" i="44"/>
  <c r="G200" i="44"/>
  <c r="S200" i="44"/>
  <c r="M200" i="44"/>
  <c r="M77" i="44"/>
  <c r="S77" i="44"/>
  <c r="J77" i="44"/>
  <c r="V77" i="44"/>
  <c r="E78" i="78" s="1"/>
  <c r="P77" i="44"/>
  <c r="G77" i="44"/>
  <c r="C203" i="78"/>
  <c r="S53" i="44"/>
  <c r="J53" i="44"/>
  <c r="V53" i="44"/>
  <c r="E54" i="78" s="1"/>
  <c r="G53" i="44"/>
  <c r="M53" i="44"/>
  <c r="P53" i="44"/>
  <c r="C208" i="78"/>
  <c r="C161" i="78"/>
  <c r="V185" i="44"/>
  <c r="E186" i="78" s="1"/>
  <c r="J185" i="44"/>
  <c r="P185" i="44"/>
  <c r="S185" i="44"/>
  <c r="M185" i="44"/>
  <c r="G185" i="44"/>
  <c r="M150" i="44"/>
  <c r="S150" i="44"/>
  <c r="P150" i="44"/>
  <c r="V150" i="44"/>
  <c r="E151" i="78" s="1"/>
  <c r="J150" i="44"/>
  <c r="G150" i="44"/>
  <c r="C230" i="78"/>
  <c r="C176" i="78"/>
  <c r="C212" i="78"/>
  <c r="C82" i="78"/>
  <c r="C191" i="78"/>
  <c r="C79" i="78"/>
  <c r="C169" i="78"/>
  <c r="M139" i="44"/>
  <c r="G139" i="44"/>
  <c r="P139" i="44"/>
  <c r="J139" i="44"/>
  <c r="S139" i="44"/>
  <c r="V139" i="44"/>
  <c r="E140" i="78" s="1"/>
  <c r="C226" i="78"/>
  <c r="C218" i="78"/>
  <c r="C68" i="78"/>
  <c r="D21" i="19"/>
  <c r="C22" i="76"/>
  <c r="C27" i="76"/>
  <c r="D26" i="19"/>
  <c r="C210" i="78"/>
  <c r="P76" i="44"/>
  <c r="J76" i="44"/>
  <c r="M76" i="44"/>
  <c r="S76" i="44"/>
  <c r="G76" i="44"/>
  <c r="V76" i="44"/>
  <c r="E77" i="78" s="1"/>
  <c r="C92" i="78"/>
  <c r="C67" i="78"/>
  <c r="J162" i="44"/>
  <c r="V162" i="44"/>
  <c r="E163" i="78" s="1"/>
  <c r="M162" i="44"/>
  <c r="P162" i="44"/>
  <c r="G162" i="44"/>
  <c r="S162" i="44"/>
  <c r="G180" i="44"/>
  <c r="S180" i="44"/>
  <c r="J180" i="44"/>
  <c r="V180" i="44"/>
  <c r="E181" i="78" s="1"/>
  <c r="P180" i="44"/>
  <c r="M180" i="44"/>
  <c r="M230" i="44"/>
  <c r="S230" i="44"/>
  <c r="J230" i="44"/>
  <c r="G230" i="44"/>
  <c r="V230" i="44"/>
  <c r="E231" i="78" s="1"/>
  <c r="P230" i="44"/>
  <c r="S128" i="44"/>
  <c r="M128" i="44"/>
  <c r="V128" i="44"/>
  <c r="E129" i="78" s="1"/>
  <c r="J128" i="44"/>
  <c r="G128" i="44"/>
  <c r="P128" i="44"/>
  <c r="C47" i="78"/>
  <c r="S49" i="44"/>
  <c r="M49" i="44"/>
  <c r="J49" i="44"/>
  <c r="G49" i="44"/>
  <c r="V49" i="44"/>
  <c r="E50" i="78" s="1"/>
  <c r="P49" i="44"/>
  <c r="C216" i="78"/>
  <c r="C14" i="76"/>
  <c r="D13" i="19"/>
  <c r="V87" i="44"/>
  <c r="E88" i="78" s="1"/>
  <c r="S87" i="44"/>
  <c r="P87" i="44"/>
  <c r="M87" i="44"/>
  <c r="J87" i="44"/>
  <c r="G87" i="44"/>
  <c r="C189" i="78"/>
  <c r="P191" i="44"/>
  <c r="V191" i="44"/>
  <c r="E192" i="78" s="1"/>
  <c r="J191" i="44"/>
  <c r="M191" i="44"/>
  <c r="S191" i="44"/>
  <c r="G191" i="44"/>
  <c r="G90" i="44"/>
  <c r="J90" i="44"/>
  <c r="V90" i="44"/>
  <c r="E91" i="78" s="1"/>
  <c r="S90" i="44"/>
  <c r="P90" i="44"/>
  <c r="M90" i="44"/>
  <c r="V98" i="44"/>
  <c r="E99" i="78" s="1"/>
  <c r="S98" i="44"/>
  <c r="G98" i="44"/>
  <c r="M98" i="44"/>
  <c r="P98" i="44"/>
  <c r="J98" i="44"/>
  <c r="C21" i="76"/>
  <c r="D20" i="19"/>
  <c r="C119" i="78"/>
  <c r="C183" i="78"/>
  <c r="P46" i="44"/>
  <c r="J46" i="44"/>
  <c r="V46" i="44"/>
  <c r="E47" i="78" s="1"/>
  <c r="S46" i="44"/>
  <c r="M46" i="44"/>
  <c r="G46" i="44"/>
  <c r="J164" i="44"/>
  <c r="M164" i="44"/>
  <c r="P164" i="44"/>
  <c r="G164" i="44"/>
  <c r="V164" i="44"/>
  <c r="E165" i="78" s="1"/>
  <c r="S164" i="44"/>
  <c r="S215" i="44"/>
  <c r="J215" i="44"/>
  <c r="M215" i="44"/>
  <c r="P215" i="44"/>
  <c r="V215" i="44"/>
  <c r="E216" i="78" s="1"/>
  <c r="G215" i="44"/>
  <c r="C38" i="78"/>
  <c r="J161" i="44"/>
  <c r="S161" i="44"/>
  <c r="V161" i="44"/>
  <c r="E162" i="78" s="1"/>
  <c r="M161" i="44"/>
  <c r="G161" i="44"/>
  <c r="P161" i="44"/>
  <c r="J211" i="44"/>
  <c r="M211" i="44"/>
  <c r="P211" i="44"/>
  <c r="S211" i="44"/>
  <c r="G211" i="44"/>
  <c r="V211" i="44"/>
  <c r="E212" i="78" s="1"/>
  <c r="S225" i="44"/>
  <c r="V225" i="44"/>
  <c r="E226" i="78" s="1"/>
  <c r="M225" i="44"/>
  <c r="P225" i="44"/>
  <c r="G225" i="44"/>
  <c r="J225" i="44"/>
  <c r="C164" i="78"/>
  <c r="M14" i="43"/>
  <c r="G14" i="43"/>
  <c r="V14" i="43"/>
  <c r="F15" i="76" s="1"/>
  <c r="P14" i="43"/>
  <c r="S14" i="43"/>
  <c r="J14" i="43"/>
  <c r="V158" i="44"/>
  <c r="E159" i="78" s="1"/>
  <c r="S158" i="44"/>
  <c r="P158" i="44"/>
  <c r="M158" i="44"/>
  <c r="G158" i="44"/>
  <c r="J158" i="44"/>
  <c r="C141" i="78"/>
  <c r="J80" i="44"/>
  <c r="S80" i="44"/>
  <c r="M80" i="44"/>
  <c r="V80" i="44"/>
  <c r="E81" i="78" s="1"/>
  <c r="G80" i="44"/>
  <c r="P80" i="44"/>
  <c r="S38" i="44"/>
  <c r="P38" i="44"/>
  <c r="G38" i="44"/>
  <c r="V38" i="44"/>
  <c r="E39" i="78" s="1"/>
  <c r="M38" i="44"/>
  <c r="J38" i="44"/>
  <c r="C103" i="78"/>
  <c r="C170" i="78"/>
  <c r="C14" i="78"/>
  <c r="C98" i="78"/>
  <c r="C188" i="78"/>
  <c r="C6" i="76"/>
  <c r="D5" i="19"/>
  <c r="C80" i="78"/>
  <c r="C227" i="78"/>
  <c r="J127" i="44"/>
  <c r="S127" i="44"/>
  <c r="G127" i="44"/>
  <c r="V127" i="44"/>
  <c r="E128" i="78" s="1"/>
  <c r="P127" i="44"/>
  <c r="M127" i="44"/>
  <c r="C55" i="78"/>
  <c r="G19" i="44"/>
  <c r="M19" i="44"/>
  <c r="J19" i="44"/>
  <c r="V19" i="44"/>
  <c r="E20" i="78" s="1"/>
  <c r="P19" i="44"/>
  <c r="S19" i="44"/>
  <c r="G221" i="44"/>
  <c r="J221" i="44"/>
  <c r="V221" i="44"/>
  <c r="E222" i="78" s="1"/>
  <c r="M221" i="44"/>
  <c r="S221" i="44"/>
  <c r="P221" i="44"/>
  <c r="G186" i="44"/>
  <c r="P186" i="44"/>
  <c r="J186" i="44"/>
  <c r="M186" i="44"/>
  <c r="S186" i="44"/>
  <c r="V186" i="44"/>
  <c r="E187" i="78" s="1"/>
  <c r="G57" i="44"/>
  <c r="M57" i="44"/>
  <c r="P57" i="44"/>
  <c r="V57" i="44"/>
  <c r="E58" i="78" s="1"/>
  <c r="S57" i="44"/>
  <c r="J57" i="44"/>
  <c r="C223" i="78"/>
  <c r="C95" i="78"/>
  <c r="P62" i="44"/>
  <c r="J62" i="44"/>
  <c r="S62" i="44"/>
  <c r="M62" i="44"/>
  <c r="G62" i="44"/>
  <c r="V62" i="44"/>
  <c r="E63" i="78" s="1"/>
  <c r="M30" i="44"/>
  <c r="V30" i="44"/>
  <c r="E31" i="78" s="1"/>
  <c r="S30" i="44"/>
  <c r="G30" i="44"/>
  <c r="D31" i="78" s="1"/>
  <c r="P30" i="44"/>
  <c r="J30" i="44"/>
  <c r="M204" i="44"/>
  <c r="P204" i="44"/>
  <c r="G204" i="44"/>
  <c r="J204" i="44"/>
  <c r="S204" i="44"/>
  <c r="V204" i="44"/>
  <c r="E205" i="78" s="1"/>
  <c r="C18" i="76"/>
  <c r="D17" i="19"/>
  <c r="C206" i="78"/>
  <c r="E205" i="18"/>
  <c r="F205" i="18" s="1"/>
  <c r="G205" i="18" s="1"/>
  <c r="H205" i="18" s="1"/>
  <c r="V5" i="44"/>
  <c r="E6" i="78" s="1"/>
  <c r="P5" i="44"/>
  <c r="G5" i="44"/>
  <c r="J5" i="44"/>
  <c r="M5" i="44"/>
  <c r="S5" i="44"/>
  <c r="J8" i="44"/>
  <c r="G8" i="44"/>
  <c r="P8" i="44"/>
  <c r="S8" i="44"/>
  <c r="V8" i="44"/>
  <c r="E9" i="78" s="1"/>
  <c r="M8" i="44"/>
  <c r="J59" i="44"/>
  <c r="P59" i="44"/>
  <c r="V59" i="44"/>
  <c r="E60" i="78" s="1"/>
  <c r="M59" i="44"/>
  <c r="S59" i="44"/>
  <c r="G59" i="44"/>
  <c r="J37" i="44"/>
  <c r="M37" i="44"/>
  <c r="S37" i="44"/>
  <c r="G37" i="44"/>
  <c r="P37" i="44"/>
  <c r="V37" i="44"/>
  <c r="E38" i="78" s="1"/>
  <c r="S74" i="44"/>
  <c r="P74" i="44"/>
  <c r="J74" i="44"/>
  <c r="V74" i="44"/>
  <c r="E75" i="78" s="1"/>
  <c r="M74" i="44"/>
  <c r="G74" i="44"/>
  <c r="C131" i="78"/>
  <c r="E130" i="18"/>
  <c r="F130" i="18" s="1"/>
  <c r="G130" i="18" s="1"/>
  <c r="H130" i="18" s="1"/>
  <c r="G125" i="44"/>
  <c r="S125" i="44"/>
  <c r="J125" i="44"/>
  <c r="V125" i="44"/>
  <c r="E126" i="78" s="1"/>
  <c r="M125" i="44"/>
  <c r="P125" i="44"/>
  <c r="G149" i="44"/>
  <c r="J149" i="44"/>
  <c r="M149" i="44"/>
  <c r="P149" i="44"/>
  <c r="V149" i="44"/>
  <c r="E150" i="78" s="1"/>
  <c r="S149" i="44"/>
  <c r="C54" i="78"/>
  <c r="C224" i="78"/>
  <c r="C13" i="78"/>
  <c r="M11" i="43"/>
  <c r="P11" i="43"/>
  <c r="G11" i="43"/>
  <c r="V11" i="43"/>
  <c r="F12" i="76" s="1"/>
  <c r="S11" i="43"/>
  <c r="J11" i="43"/>
  <c r="S106" i="44"/>
  <c r="V106" i="44"/>
  <c r="E107" i="78" s="1"/>
  <c r="P106" i="44"/>
  <c r="J106" i="44"/>
  <c r="M106" i="44"/>
  <c r="G106" i="44"/>
  <c r="C77" i="78"/>
  <c r="M92" i="44"/>
  <c r="V92" i="44"/>
  <c r="E93" i="78" s="1"/>
  <c r="P92" i="44"/>
  <c r="S92" i="44"/>
  <c r="G92" i="44"/>
  <c r="J92" i="44"/>
  <c r="V84" i="44"/>
  <c r="E85" i="78" s="1"/>
  <c r="M84" i="44"/>
  <c r="J84" i="44"/>
  <c r="P84" i="44"/>
  <c r="S84" i="44"/>
  <c r="G84" i="44"/>
  <c r="D85" i="78" s="1"/>
  <c r="J60" i="44"/>
  <c r="G60" i="44"/>
  <c r="P60" i="44"/>
  <c r="V60" i="44"/>
  <c r="E61" i="78" s="1"/>
  <c r="S60" i="44"/>
  <c r="M60" i="44"/>
  <c r="G88" i="44"/>
  <c r="S88" i="44"/>
  <c r="J88" i="44"/>
  <c r="V88" i="44"/>
  <c r="E89" i="78" s="1"/>
  <c r="P88" i="44"/>
  <c r="M88" i="44"/>
  <c r="J205" i="44"/>
  <c r="P205" i="44"/>
  <c r="M205" i="44"/>
  <c r="G205" i="44"/>
  <c r="D206" i="78" s="1"/>
  <c r="S205" i="44"/>
  <c r="V205" i="44"/>
  <c r="E206" i="78" s="1"/>
  <c r="C136" i="78"/>
  <c r="C71" i="78"/>
  <c r="P83" i="44"/>
  <c r="G83" i="44"/>
  <c r="S83" i="44"/>
  <c r="J83" i="44"/>
  <c r="V83" i="44"/>
  <c r="E84" i="78" s="1"/>
  <c r="M83" i="44"/>
  <c r="C219" i="78"/>
  <c r="C25" i="76"/>
  <c r="D24" i="19"/>
  <c r="V219" i="44"/>
  <c r="E220" i="78" s="1"/>
  <c r="M219" i="44"/>
  <c r="G219" i="44"/>
  <c r="J219" i="44"/>
  <c r="P219" i="44"/>
  <c r="S219" i="44"/>
  <c r="G178" i="44"/>
  <c r="M178" i="44"/>
  <c r="S178" i="44"/>
  <c r="V178" i="44"/>
  <c r="E179" i="78" s="1"/>
  <c r="P178" i="44"/>
  <c r="J178" i="44"/>
  <c r="M157" i="44"/>
  <c r="J157" i="44"/>
  <c r="V157" i="44"/>
  <c r="E158" i="78" s="1"/>
  <c r="P157" i="44"/>
  <c r="G157" i="44"/>
  <c r="S157" i="44"/>
  <c r="G65" i="44"/>
  <c r="P65" i="44"/>
  <c r="S65" i="44"/>
  <c r="J65" i="44"/>
  <c r="V65" i="44"/>
  <c r="E66" i="78" s="1"/>
  <c r="M65" i="44"/>
  <c r="C87" i="78"/>
  <c r="D29" i="19"/>
  <c r="C30" i="76"/>
  <c r="J199" i="44"/>
  <c r="G199" i="44"/>
  <c r="V199" i="44"/>
  <c r="E200" i="78" s="1"/>
  <c r="P199" i="44"/>
  <c r="S199" i="44"/>
  <c r="M199" i="44"/>
  <c r="S136" i="44"/>
  <c r="J136" i="44"/>
  <c r="G136" i="44"/>
  <c r="M136" i="44"/>
  <c r="P136" i="44"/>
  <c r="V136" i="44"/>
  <c r="E137" i="78" s="1"/>
  <c r="C126" i="78"/>
  <c r="V22" i="43"/>
  <c r="F23" i="76" s="1"/>
  <c r="J22" i="43"/>
  <c r="P22" i="43"/>
  <c r="G22" i="43"/>
  <c r="S22" i="43"/>
  <c r="M22" i="43"/>
  <c r="C177" i="78"/>
  <c r="C117" i="78"/>
  <c r="J137" i="44"/>
  <c r="S137" i="44"/>
  <c r="G137" i="44"/>
  <c r="M137" i="44"/>
  <c r="V137" i="44"/>
  <c r="E138" i="78" s="1"/>
  <c r="P137" i="44"/>
  <c r="V8" i="43"/>
  <c r="F9" i="76" s="1"/>
  <c r="S8" i="43"/>
  <c r="J8" i="43"/>
  <c r="P8" i="43"/>
  <c r="G8" i="43"/>
  <c r="M8" i="43"/>
  <c r="C116" i="78"/>
  <c r="C88" i="78"/>
  <c r="E87" i="18"/>
  <c r="F87" i="18" s="1"/>
  <c r="G87" i="18" s="1"/>
  <c r="H87" i="18" s="1"/>
  <c r="D16" i="19"/>
  <c r="C17" i="76"/>
  <c r="P107" i="44"/>
  <c r="V107" i="44"/>
  <c r="E108" i="78" s="1"/>
  <c r="S107" i="44"/>
  <c r="J107" i="44"/>
  <c r="M107" i="44"/>
  <c r="G107" i="44"/>
  <c r="D108" i="78" s="1"/>
  <c r="V197" i="44"/>
  <c r="E198" i="78" s="1"/>
  <c r="S197" i="44"/>
  <c r="G197" i="44"/>
  <c r="M197" i="44"/>
  <c r="J197" i="44"/>
  <c r="P197" i="44"/>
  <c r="S100" i="44"/>
  <c r="J100" i="44"/>
  <c r="P100" i="44"/>
  <c r="G100" i="44"/>
  <c r="V100" i="44"/>
  <c r="E101" i="78" s="1"/>
  <c r="M100" i="44"/>
  <c r="C31" i="78"/>
  <c r="G50" i="44"/>
  <c r="M50" i="44"/>
  <c r="P50" i="44"/>
  <c r="J50" i="44"/>
  <c r="V50" i="44"/>
  <c r="E51" i="78" s="1"/>
  <c r="S50" i="44"/>
  <c r="P192" i="44"/>
  <c r="V192" i="44"/>
  <c r="E193" i="78" s="1"/>
  <c r="S192" i="44"/>
  <c r="J192" i="44"/>
  <c r="M192" i="44"/>
  <c r="G192" i="44"/>
  <c r="C157" i="78"/>
  <c r="J91" i="44"/>
  <c r="M91" i="44"/>
  <c r="G91" i="44"/>
  <c r="P91" i="44"/>
  <c r="S91" i="44"/>
  <c r="V91" i="44"/>
  <c r="E92" i="78" s="1"/>
  <c r="J118" i="44"/>
  <c r="M118" i="44"/>
  <c r="P118" i="44"/>
  <c r="G118" i="44"/>
  <c r="V118" i="44"/>
  <c r="E119" i="78" s="1"/>
  <c r="S118" i="44"/>
  <c r="S25" i="44"/>
  <c r="V25" i="44"/>
  <c r="E26" i="78" s="1"/>
  <c r="P25" i="44"/>
  <c r="G25" i="44"/>
  <c r="M25" i="44"/>
  <c r="J25" i="44"/>
  <c r="C179" i="78"/>
  <c r="J4" i="43"/>
  <c r="P4" i="43"/>
  <c r="S4" i="43"/>
  <c r="V4" i="43"/>
  <c r="F5" i="76" s="1"/>
  <c r="G4" i="43"/>
  <c r="M4" i="43"/>
  <c r="C53" i="78"/>
  <c r="S182" i="44"/>
  <c r="G182" i="44"/>
  <c r="J182" i="44"/>
  <c r="P182" i="44"/>
  <c r="M182" i="44"/>
  <c r="V182" i="44"/>
  <c r="E183" i="78" s="1"/>
  <c r="G104" i="44"/>
  <c r="P104" i="44"/>
  <c r="M104" i="44"/>
  <c r="V104" i="44"/>
  <c r="E105" i="78" s="1"/>
  <c r="J104" i="44"/>
  <c r="S104" i="44"/>
  <c r="C19" i="78"/>
  <c r="J34" i="44"/>
  <c r="V34" i="44"/>
  <c r="E35" i="78" s="1"/>
  <c r="S34" i="44"/>
  <c r="P34" i="44"/>
  <c r="G34" i="44"/>
  <c r="M34" i="44"/>
  <c r="C35" i="78"/>
  <c r="C9" i="76"/>
  <c r="D8" i="19"/>
  <c r="C21" i="78"/>
  <c r="C158" i="78"/>
  <c r="C207" i="78"/>
  <c r="C125" i="78"/>
  <c r="P155" i="44"/>
  <c r="J155" i="44"/>
  <c r="G155" i="44"/>
  <c r="V155" i="44"/>
  <c r="E156" i="78" s="1"/>
  <c r="M155" i="44"/>
  <c r="S155" i="44"/>
  <c r="S103" i="44"/>
  <c r="V103" i="44"/>
  <c r="E104" i="78" s="1"/>
  <c r="J103" i="44"/>
  <c r="M103" i="44"/>
  <c r="P103" i="44"/>
  <c r="G103" i="44"/>
  <c r="C107" i="78"/>
  <c r="C25" i="78"/>
  <c r="G216" i="44"/>
  <c r="M216" i="44"/>
  <c r="P216" i="44"/>
  <c r="S216" i="44"/>
  <c r="J216" i="44"/>
  <c r="V216" i="44"/>
  <c r="E217" i="78" s="1"/>
  <c r="S10" i="44"/>
  <c r="G10" i="44"/>
  <c r="P10" i="44"/>
  <c r="J10" i="44"/>
  <c r="M10" i="44"/>
  <c r="V10" i="44"/>
  <c r="E11" i="78" s="1"/>
  <c r="C135" i="78"/>
  <c r="S93" i="44"/>
  <c r="M93" i="44"/>
  <c r="G93" i="44"/>
  <c r="V93" i="44"/>
  <c r="E94" i="78" s="1"/>
  <c r="J93" i="44"/>
  <c r="P93" i="44"/>
  <c r="S184" i="44"/>
  <c r="M184" i="44"/>
  <c r="J184" i="44"/>
  <c r="P184" i="44"/>
  <c r="V184" i="44"/>
  <c r="E185" i="78" s="1"/>
  <c r="G184" i="44"/>
  <c r="S217" i="44"/>
  <c r="P217" i="44"/>
  <c r="M217" i="44"/>
  <c r="J217" i="44"/>
  <c r="G217" i="44"/>
  <c r="V217" i="44"/>
  <c r="E218" i="78" s="1"/>
  <c r="C214" i="78"/>
  <c r="G212" i="44"/>
  <c r="M212" i="44"/>
  <c r="P212" i="44"/>
  <c r="V212" i="44"/>
  <c r="E213" i="78" s="1"/>
  <c r="J212" i="44"/>
  <c r="S212" i="44"/>
  <c r="C74" i="78"/>
  <c r="C156" i="78"/>
  <c r="C18" i="78"/>
  <c r="C7" i="76"/>
  <c r="D6" i="19"/>
  <c r="S29" i="43"/>
  <c r="P29" i="43"/>
  <c r="J29" i="43"/>
  <c r="G29" i="43"/>
  <c r="V29" i="43"/>
  <c r="F30" i="76" s="1"/>
  <c r="M29" i="43"/>
  <c r="J15" i="43"/>
  <c r="V15" i="43"/>
  <c r="F16" i="76" s="1"/>
  <c r="M15" i="43"/>
  <c r="G15" i="43"/>
  <c r="S15" i="43"/>
  <c r="P15" i="43"/>
  <c r="G105" i="44"/>
  <c r="P105" i="44"/>
  <c r="J105" i="44"/>
  <c r="M105" i="44"/>
  <c r="V105" i="44"/>
  <c r="E106" i="78" s="1"/>
  <c r="S105" i="44"/>
  <c r="P226" i="44"/>
  <c r="M226" i="44"/>
  <c r="J226" i="44"/>
  <c r="G226" i="44"/>
  <c r="V226" i="44"/>
  <c r="E227" i="78" s="1"/>
  <c r="S226" i="44"/>
  <c r="C78" i="78"/>
  <c r="G218" i="44"/>
  <c r="M218" i="44"/>
  <c r="P218" i="44"/>
  <c r="V218" i="44"/>
  <c r="E219" i="78" s="1"/>
  <c r="J218" i="44"/>
  <c r="S218" i="44"/>
  <c r="C41" i="78"/>
  <c r="S24" i="43"/>
  <c r="V24" i="43"/>
  <c r="F25" i="76" s="1"/>
  <c r="J24" i="43"/>
  <c r="M24" i="43"/>
  <c r="P24" i="43"/>
  <c r="G24" i="43"/>
  <c r="G102" i="44"/>
  <c r="J102" i="44"/>
  <c r="M102" i="44"/>
  <c r="V102" i="44"/>
  <c r="E103" i="78" s="1"/>
  <c r="P102" i="44"/>
  <c r="S102" i="44"/>
  <c r="G188" i="44"/>
  <c r="P188" i="44"/>
  <c r="S188" i="44"/>
  <c r="J188" i="44"/>
  <c r="V188" i="44"/>
  <c r="E189" i="78" s="1"/>
  <c r="M188" i="44"/>
  <c r="C94" i="78"/>
  <c r="C115" i="78"/>
  <c r="C17" i="78"/>
  <c r="J56" i="44"/>
  <c r="S56" i="44"/>
  <c r="G56" i="44"/>
  <c r="P56" i="44"/>
  <c r="V56" i="44"/>
  <c r="E57" i="78" s="1"/>
  <c r="M56" i="44"/>
  <c r="C69" i="78"/>
  <c r="P27" i="43"/>
  <c r="G27" i="43"/>
  <c r="V27" i="43"/>
  <c r="F28" i="76" s="1"/>
  <c r="M27" i="43"/>
  <c r="S27" i="43"/>
  <c r="J27" i="43"/>
  <c r="C175" i="78"/>
  <c r="C109" i="78"/>
  <c r="J63" i="44"/>
  <c r="S63" i="44"/>
  <c r="P63" i="44"/>
  <c r="G63" i="44"/>
  <c r="V63" i="44"/>
  <c r="E64" i="78" s="1"/>
  <c r="M63" i="44"/>
  <c r="G231" i="44"/>
  <c r="P231" i="44"/>
  <c r="V231" i="44"/>
  <c r="E232" i="78" s="1"/>
  <c r="S231" i="44"/>
  <c r="M231" i="44"/>
  <c r="J231" i="44"/>
  <c r="M147" i="44"/>
  <c r="G147" i="44"/>
  <c r="J147" i="44"/>
  <c r="V147" i="44"/>
  <c r="E148" i="78" s="1"/>
  <c r="S147" i="44"/>
  <c r="P147" i="44"/>
  <c r="S140" i="44"/>
  <c r="V140" i="44"/>
  <c r="E141" i="78" s="1"/>
  <c r="J140" i="44"/>
  <c r="P140" i="44"/>
  <c r="G140" i="44"/>
  <c r="M140" i="44"/>
  <c r="P171" i="44"/>
  <c r="J171" i="44"/>
  <c r="S171" i="44"/>
  <c r="G171" i="44"/>
  <c r="M171" i="44"/>
  <c r="V171" i="44"/>
  <c r="E172" i="78" s="1"/>
  <c r="C75" i="78"/>
  <c r="J220" i="44"/>
  <c r="M220" i="44"/>
  <c r="S220" i="44"/>
  <c r="G220" i="44"/>
  <c r="P220" i="44"/>
  <c r="V220" i="44"/>
  <c r="E221" i="78" s="1"/>
  <c r="C147" i="78"/>
  <c r="C37" i="78"/>
  <c r="J67" i="44"/>
  <c r="P67" i="44"/>
  <c r="S67" i="44"/>
  <c r="G67" i="44"/>
  <c r="M67" i="44"/>
  <c r="V67" i="44"/>
  <c r="E68" i="78" s="1"/>
  <c r="M20" i="43"/>
  <c r="V20" i="43"/>
  <c r="F21" i="76" s="1"/>
  <c r="S20" i="43"/>
  <c r="P20" i="43"/>
  <c r="G20" i="43"/>
  <c r="J20" i="43"/>
  <c r="P94" i="44"/>
  <c r="J94" i="44"/>
  <c r="G94" i="44"/>
  <c r="V94" i="44"/>
  <c r="E95" i="78" s="1"/>
  <c r="S94" i="44"/>
  <c r="M94" i="44"/>
  <c r="C63" i="78"/>
  <c r="J183" i="44"/>
  <c r="M183" i="44"/>
  <c r="V183" i="44"/>
  <c r="E184" i="78" s="1"/>
  <c r="S183" i="44"/>
  <c r="P183" i="44"/>
  <c r="G183" i="44"/>
  <c r="S144" i="44"/>
  <c r="J144" i="44"/>
  <c r="M144" i="44"/>
  <c r="P144" i="44"/>
  <c r="V144" i="44"/>
  <c r="E145" i="78" s="1"/>
  <c r="G144" i="44"/>
  <c r="E25" i="76" l="1"/>
  <c r="E146" i="18"/>
  <c r="F146" i="18" s="1"/>
  <c r="G146" i="18" s="1"/>
  <c r="H146" i="18" s="1"/>
  <c r="E108" i="18"/>
  <c r="F108" i="18" s="1"/>
  <c r="G108" i="18" s="1"/>
  <c r="H108" i="18" s="1"/>
  <c r="E207" i="18"/>
  <c r="F207" i="18" s="1"/>
  <c r="G207" i="18" s="1"/>
  <c r="H207" i="18" s="1"/>
  <c r="L207" i="18" s="1"/>
  <c r="E202" i="18"/>
  <c r="F202" i="18" s="1"/>
  <c r="G202" i="18" s="1"/>
  <c r="H202" i="18" s="1"/>
  <c r="E225" i="18"/>
  <c r="F225" i="18" s="1"/>
  <c r="G225" i="18" s="1"/>
  <c r="H225" i="18" s="1"/>
  <c r="G226" i="78" s="1"/>
  <c r="E114" i="18"/>
  <c r="F114" i="18" s="1"/>
  <c r="G114" i="18" s="1"/>
  <c r="E178" i="18"/>
  <c r="F178" i="18" s="1"/>
  <c r="G178" i="18" s="1"/>
  <c r="H178" i="18" s="1"/>
  <c r="G179" i="78" s="1"/>
  <c r="E155" i="18"/>
  <c r="F155" i="18" s="1"/>
  <c r="G155" i="18" s="1"/>
  <c r="H155" i="18" s="1"/>
  <c r="E13" i="18"/>
  <c r="F13" i="18" s="1"/>
  <c r="G13" i="18" s="1"/>
  <c r="H13" i="18" s="1"/>
  <c r="L13" i="18" s="1"/>
  <c r="E35" i="18"/>
  <c r="F35" i="18" s="1"/>
  <c r="G35" i="18" s="1"/>
  <c r="E168" i="18"/>
  <c r="F168" i="18" s="1"/>
  <c r="G168" i="18" s="1"/>
  <c r="H168" i="18" s="1"/>
  <c r="G169" i="78" s="1"/>
  <c r="E158" i="18"/>
  <c r="F158" i="18" s="1"/>
  <c r="G158" i="18" s="1"/>
  <c r="H158" i="18" s="1"/>
  <c r="D221" i="78"/>
  <c r="D172" i="78"/>
  <c r="F172" i="78" s="1"/>
  <c r="D64" i="78"/>
  <c r="F64" i="78" s="1"/>
  <c r="E136" i="18"/>
  <c r="F136" i="18" s="1"/>
  <c r="G136" i="18" s="1"/>
  <c r="H136" i="18" s="1"/>
  <c r="E150" i="18"/>
  <c r="F150" i="18" s="1"/>
  <c r="G150" i="18" s="1"/>
  <c r="H150" i="18" s="1"/>
  <c r="D184" i="78"/>
  <c r="F184" i="78" s="1"/>
  <c r="E24" i="18"/>
  <c r="F24" i="18" s="1"/>
  <c r="G24" i="18" s="1"/>
  <c r="E220" i="18"/>
  <c r="F220" i="18" s="1"/>
  <c r="G220" i="18" s="1"/>
  <c r="H220" i="18" s="1"/>
  <c r="E154" i="18"/>
  <c r="F154" i="18" s="1"/>
  <c r="G154" i="18" s="1"/>
  <c r="E172" i="18"/>
  <c r="F172" i="18" s="1"/>
  <c r="G172" i="18" s="1"/>
  <c r="H172" i="18" s="1"/>
  <c r="G173" i="78" s="1"/>
  <c r="E95" i="18"/>
  <c r="F95" i="18" s="1"/>
  <c r="G95" i="18" s="1"/>
  <c r="E142" i="18"/>
  <c r="F142" i="18" s="1"/>
  <c r="G142" i="18" s="1"/>
  <c r="H142" i="18" s="1"/>
  <c r="E6" i="18"/>
  <c r="F6" i="18" s="1"/>
  <c r="G6" i="18" s="1"/>
  <c r="E107" i="18"/>
  <c r="F107" i="18" s="1"/>
  <c r="G107" i="18" s="1"/>
  <c r="H107" i="18" s="1"/>
  <c r="E212" i="18"/>
  <c r="F212" i="18" s="1"/>
  <c r="G212" i="18" s="1"/>
  <c r="E173" i="18"/>
  <c r="F173" i="18" s="1"/>
  <c r="G173" i="18" s="1"/>
  <c r="H173" i="18" s="1"/>
  <c r="E67" i="18"/>
  <c r="F67" i="18" s="1"/>
  <c r="G67" i="18" s="1"/>
  <c r="E102" i="18"/>
  <c r="F102" i="18" s="1"/>
  <c r="G102" i="18" s="1"/>
  <c r="H102" i="18" s="1"/>
  <c r="E66" i="18"/>
  <c r="F66" i="18" s="1"/>
  <c r="G66" i="18" s="1"/>
  <c r="H66" i="18" s="1"/>
  <c r="D54" i="78"/>
  <c r="E124" i="18"/>
  <c r="F124" i="18" s="1"/>
  <c r="G124" i="18" s="1"/>
  <c r="E52" i="18"/>
  <c r="F52" i="18" s="1"/>
  <c r="G52" i="18" s="1"/>
  <c r="H52" i="18" s="1"/>
  <c r="E156" i="18"/>
  <c r="F156" i="18" s="1"/>
  <c r="G156" i="18" s="1"/>
  <c r="H156" i="18" s="1"/>
  <c r="E38" i="18"/>
  <c r="F38" i="18" s="1"/>
  <c r="G38" i="18" s="1"/>
  <c r="H38" i="18" s="1"/>
  <c r="E53" i="18"/>
  <c r="F53" i="18" s="1"/>
  <c r="G53" i="18" s="1"/>
  <c r="E44" i="18"/>
  <c r="F44" i="18" s="1"/>
  <c r="G44" i="18" s="1"/>
  <c r="H44" i="18" s="1"/>
  <c r="E181" i="18"/>
  <c r="F181" i="18" s="1"/>
  <c r="G181" i="18" s="1"/>
  <c r="E197" i="18"/>
  <c r="F197" i="18" s="1"/>
  <c r="G197" i="18" s="1"/>
  <c r="H197" i="18" s="1"/>
  <c r="E83" i="18"/>
  <c r="F83" i="18" s="1"/>
  <c r="G83" i="18" s="1"/>
  <c r="E63" i="18"/>
  <c r="F63" i="18" s="1"/>
  <c r="G63" i="18" s="1"/>
  <c r="H63" i="18" s="1"/>
  <c r="G64" i="78" s="1"/>
  <c r="E51" i="18"/>
  <c r="F51" i="18" s="1"/>
  <c r="G51" i="18" s="1"/>
  <c r="E208" i="18"/>
  <c r="F208" i="18" s="1"/>
  <c r="G208" i="18" s="1"/>
  <c r="H208" i="18" s="1"/>
  <c r="E228" i="18"/>
  <c r="F228" i="18" s="1"/>
  <c r="G228" i="18" s="1"/>
  <c r="E141" i="18"/>
  <c r="F141" i="18" s="1"/>
  <c r="G141" i="18" s="1"/>
  <c r="E196" i="18"/>
  <c r="F196" i="18" s="1"/>
  <c r="G196" i="18" s="1"/>
  <c r="E42" i="18"/>
  <c r="F42" i="18" s="1"/>
  <c r="G42" i="18" s="1"/>
  <c r="H42" i="18" s="1"/>
  <c r="E152" i="18"/>
  <c r="F152" i="18" s="1"/>
  <c r="G152" i="18" s="1"/>
  <c r="H152" i="18" s="1"/>
  <c r="O152" i="18" s="1"/>
  <c r="E27" i="18"/>
  <c r="F27" i="18" s="1"/>
  <c r="G27" i="18" s="1"/>
  <c r="E88" i="18"/>
  <c r="F88" i="18" s="1"/>
  <c r="G88" i="18" s="1"/>
  <c r="E82" i="18"/>
  <c r="F82" i="18" s="1"/>
  <c r="G82" i="18" s="1"/>
  <c r="H82" i="18" s="1"/>
  <c r="E175" i="18"/>
  <c r="F175" i="18" s="1"/>
  <c r="G175" i="18" s="1"/>
  <c r="E78" i="18"/>
  <c r="F78" i="18" s="1"/>
  <c r="G78" i="18" s="1"/>
  <c r="E91" i="18"/>
  <c r="F91" i="18" s="1"/>
  <c r="G91" i="18" s="1"/>
  <c r="E118" i="18"/>
  <c r="F118" i="18" s="1"/>
  <c r="G118" i="18" s="1"/>
  <c r="H118" i="18" s="1"/>
  <c r="E140" i="18"/>
  <c r="F140" i="18" s="1"/>
  <c r="G140" i="18" s="1"/>
  <c r="E226" i="18"/>
  <c r="F226" i="18" s="1"/>
  <c r="G226" i="18" s="1"/>
  <c r="E54" i="18"/>
  <c r="F54" i="18" s="1"/>
  <c r="G54" i="18" s="1"/>
  <c r="H54" i="18" s="1"/>
  <c r="E115" i="18"/>
  <c r="F115" i="18" s="1"/>
  <c r="G115" i="18" s="1"/>
  <c r="H115" i="18" s="1"/>
  <c r="E30" i="18"/>
  <c r="F30" i="18" s="1"/>
  <c r="G30" i="18" s="1"/>
  <c r="E18" i="18"/>
  <c r="F18" i="18" s="1"/>
  <c r="G18" i="18" s="1"/>
  <c r="E34" i="18"/>
  <c r="F34" i="18" s="1"/>
  <c r="G34" i="18" s="1"/>
  <c r="E206" i="18"/>
  <c r="F206" i="18" s="1"/>
  <c r="G206" i="18" s="1"/>
  <c r="H206" i="18" s="1"/>
  <c r="E106" i="18"/>
  <c r="F106" i="18" s="1"/>
  <c r="G106" i="18" s="1"/>
  <c r="E213" i="18"/>
  <c r="F213" i="18" s="1"/>
  <c r="G213" i="18" s="1"/>
  <c r="E73" i="18"/>
  <c r="F73" i="18" s="1"/>
  <c r="G73" i="18" s="1"/>
  <c r="E17" i="18"/>
  <c r="F17" i="18" s="1"/>
  <c r="G17" i="18" s="1"/>
  <c r="H17" i="18" s="1"/>
  <c r="E62" i="18"/>
  <c r="F62" i="18" s="1"/>
  <c r="G62" i="18" s="1"/>
  <c r="E19" i="18"/>
  <c r="F19" i="18" s="1"/>
  <c r="G19" i="18" s="1"/>
  <c r="E21" i="18"/>
  <c r="F21" i="18" s="1"/>
  <c r="G21" i="18" s="1"/>
  <c r="E180" i="18"/>
  <c r="F180" i="18" s="1"/>
  <c r="G180" i="18" s="1"/>
  <c r="H180" i="18" s="1"/>
  <c r="E186" i="18"/>
  <c r="F186" i="18" s="1"/>
  <c r="G186" i="18" s="1"/>
  <c r="H186" i="18" s="1"/>
  <c r="E153" i="18"/>
  <c r="F153" i="18" s="1"/>
  <c r="G153" i="18" s="1"/>
  <c r="E122" i="18"/>
  <c r="F122" i="18" s="1"/>
  <c r="G122" i="18" s="1"/>
  <c r="E177" i="18"/>
  <c r="F177" i="18" s="1"/>
  <c r="G177" i="18" s="1"/>
  <c r="H177" i="18" s="1"/>
  <c r="E230" i="18"/>
  <c r="F230" i="18" s="1"/>
  <c r="G230" i="18" s="1"/>
  <c r="E161" i="18"/>
  <c r="F161" i="18" s="1"/>
  <c r="G161" i="18" s="1"/>
  <c r="H161" i="18" s="1"/>
  <c r="E117" i="18"/>
  <c r="F117" i="18" s="1"/>
  <c r="G117" i="18" s="1"/>
  <c r="E129" i="18"/>
  <c r="F129" i="18" s="1"/>
  <c r="G129" i="18" s="1"/>
  <c r="H129" i="18" s="1"/>
  <c r="E39" i="18"/>
  <c r="F39" i="18" s="1"/>
  <c r="G39" i="18" s="1"/>
  <c r="E191" i="18"/>
  <c r="F191" i="18" s="1"/>
  <c r="G191" i="18" s="1"/>
  <c r="E204" i="18"/>
  <c r="F204" i="18" s="1"/>
  <c r="G204" i="18" s="1"/>
  <c r="E59" i="18"/>
  <c r="F59" i="18" s="1"/>
  <c r="G59" i="18" s="1"/>
  <c r="H59" i="18" s="1"/>
  <c r="E127" i="18"/>
  <c r="F127" i="18" s="1"/>
  <c r="G127" i="18" s="1"/>
  <c r="H127" i="18" s="1"/>
  <c r="E179" i="18"/>
  <c r="F179" i="18" s="1"/>
  <c r="G179" i="18" s="1"/>
  <c r="E203" i="18"/>
  <c r="F203" i="18" s="1"/>
  <c r="G203" i="18" s="1"/>
  <c r="E48" i="18"/>
  <c r="F48" i="18" s="1"/>
  <c r="G48" i="18" s="1"/>
  <c r="H48" i="18" s="1"/>
  <c r="E72" i="18"/>
  <c r="F72" i="18" s="1"/>
  <c r="G72" i="18" s="1"/>
  <c r="H72" i="18" s="1"/>
  <c r="E92" i="18"/>
  <c r="F92" i="18" s="1"/>
  <c r="G92" i="18" s="1"/>
  <c r="H92" i="18" s="1"/>
  <c r="L92" i="18" s="1"/>
  <c r="E165" i="18"/>
  <c r="F165" i="18" s="1"/>
  <c r="G165" i="18" s="1"/>
  <c r="E171" i="18"/>
  <c r="F171" i="18" s="1"/>
  <c r="G171" i="18" s="1"/>
  <c r="H171" i="18" s="1"/>
  <c r="E26" i="18"/>
  <c r="F26" i="18" s="1"/>
  <c r="G26" i="18" s="1"/>
  <c r="E195" i="18"/>
  <c r="F195" i="18" s="1"/>
  <c r="G195" i="18" s="1"/>
  <c r="H195" i="18" s="1"/>
  <c r="E4" i="18"/>
  <c r="F4" i="18" s="1"/>
  <c r="G4" i="18" s="1"/>
  <c r="H4" i="18" s="1"/>
  <c r="E139" i="18"/>
  <c r="F139" i="18" s="1"/>
  <c r="G139" i="18" s="1"/>
  <c r="H139" i="18" s="1"/>
  <c r="E49" i="18"/>
  <c r="F49" i="18" s="1"/>
  <c r="G49" i="18" s="1"/>
  <c r="E131" i="18"/>
  <c r="F131" i="18" s="1"/>
  <c r="G131" i="18" s="1"/>
  <c r="E84" i="18"/>
  <c r="F84" i="18" s="1"/>
  <c r="G84" i="18" s="1"/>
  <c r="E144" i="18"/>
  <c r="F144" i="18" s="1"/>
  <c r="G144" i="18" s="1"/>
  <c r="H144" i="18" s="1"/>
  <c r="E58" i="18"/>
  <c r="F58" i="18" s="1"/>
  <c r="G58" i="18" s="1"/>
  <c r="H58" i="18" s="1"/>
  <c r="E120" i="18"/>
  <c r="F120" i="18" s="1"/>
  <c r="G120" i="18" s="1"/>
  <c r="E189" i="18"/>
  <c r="F189" i="18" s="1"/>
  <c r="G189" i="18" s="1"/>
  <c r="E123" i="18"/>
  <c r="F123" i="18" s="1"/>
  <c r="G123" i="18" s="1"/>
  <c r="H123" i="18" s="1"/>
  <c r="E69" i="18"/>
  <c r="F69" i="18" s="1"/>
  <c r="G69" i="18" s="1"/>
  <c r="E218" i="18"/>
  <c r="F218" i="18" s="1"/>
  <c r="G218" i="18" s="1"/>
  <c r="H218" i="18" s="1"/>
  <c r="E128" i="18"/>
  <c r="F128" i="18" s="1"/>
  <c r="G128" i="18" s="1"/>
  <c r="H128" i="18" s="1"/>
  <c r="E68" i="18"/>
  <c r="F68" i="18" s="1"/>
  <c r="G68" i="18" s="1"/>
  <c r="H68" i="18" s="1"/>
  <c r="E133" i="18"/>
  <c r="F133" i="18" s="1"/>
  <c r="G133" i="18" s="1"/>
  <c r="E94" i="18"/>
  <c r="F94" i="18" s="1"/>
  <c r="G94" i="18" s="1"/>
  <c r="H94" i="18" s="1"/>
  <c r="E29" i="18"/>
  <c r="F29" i="18" s="1"/>
  <c r="G29" i="18" s="1"/>
  <c r="E176" i="18"/>
  <c r="F176" i="18" s="1"/>
  <c r="G176" i="18" s="1"/>
  <c r="H176" i="18" s="1"/>
  <c r="E199" i="18"/>
  <c r="F199" i="18" s="1"/>
  <c r="G199" i="18" s="1"/>
  <c r="H199" i="18" s="1"/>
  <c r="E12" i="18"/>
  <c r="F12" i="18" s="1"/>
  <c r="G12" i="18" s="1"/>
  <c r="E28" i="18"/>
  <c r="F28" i="18" s="1"/>
  <c r="G28" i="18" s="1"/>
  <c r="E224" i="18"/>
  <c r="F224" i="18" s="1"/>
  <c r="G224" i="18" s="1"/>
  <c r="H224" i="18" s="1"/>
  <c r="E147" i="18"/>
  <c r="F147" i="18" s="1"/>
  <c r="G147" i="18" s="1"/>
  <c r="H147" i="18" s="1"/>
  <c r="E86" i="18"/>
  <c r="F86" i="18" s="1"/>
  <c r="G86" i="18" s="1"/>
  <c r="E93" i="18"/>
  <c r="F93" i="18" s="1"/>
  <c r="G93" i="18" s="1"/>
  <c r="E89" i="18"/>
  <c r="F89" i="18" s="1"/>
  <c r="G89" i="18" s="1"/>
  <c r="H89" i="18" s="1"/>
  <c r="E125" i="18"/>
  <c r="F125" i="18" s="1"/>
  <c r="G125" i="18" s="1"/>
  <c r="H125" i="18" s="1"/>
  <c r="E20" i="18"/>
  <c r="F20" i="18" s="1"/>
  <c r="G20" i="18" s="1"/>
  <c r="E192" i="18"/>
  <c r="F192" i="18" s="1"/>
  <c r="G192" i="18" s="1"/>
  <c r="E160" i="18"/>
  <c r="F160" i="18" s="1"/>
  <c r="G160" i="18" s="1"/>
  <c r="H160" i="18" s="1"/>
  <c r="E99" i="18"/>
  <c r="F99" i="18" s="1"/>
  <c r="G99" i="18" s="1"/>
  <c r="E174" i="18"/>
  <c r="F174" i="18" s="1"/>
  <c r="G174" i="18" s="1"/>
  <c r="E167" i="18"/>
  <c r="F167" i="18" s="1"/>
  <c r="G167" i="18" s="1"/>
  <c r="H167" i="18" s="1"/>
  <c r="E16" i="18"/>
  <c r="F16" i="18" s="1"/>
  <c r="G16" i="18" s="1"/>
  <c r="H16" i="18" s="1"/>
  <c r="D104" i="78"/>
  <c r="F104" i="78" s="1"/>
  <c r="D26" i="78"/>
  <c r="E223" i="18"/>
  <c r="F223" i="18" s="1"/>
  <c r="G223" i="18" s="1"/>
  <c r="E79" i="18"/>
  <c r="F79" i="18" s="1"/>
  <c r="G79" i="18" s="1"/>
  <c r="H79" i="18" s="1"/>
  <c r="E187" i="18"/>
  <c r="F187" i="18" s="1"/>
  <c r="G187" i="18" s="1"/>
  <c r="E188" i="18"/>
  <c r="F188" i="18" s="1"/>
  <c r="G188" i="18" s="1"/>
  <c r="E229" i="18"/>
  <c r="F229" i="18" s="1"/>
  <c r="G229" i="18" s="1"/>
  <c r="D186" i="78"/>
  <c r="E3" i="18"/>
  <c r="F3" i="18" s="1"/>
  <c r="G3" i="18" s="1"/>
  <c r="D53" i="78"/>
  <c r="F53" i="78" s="1"/>
  <c r="D173" i="78"/>
  <c r="F173" i="78" s="1"/>
  <c r="D52" i="78"/>
  <c r="D166" i="78"/>
  <c r="F166" i="78" s="1"/>
  <c r="E101" i="18"/>
  <c r="F101" i="18" s="1"/>
  <c r="G101" i="18" s="1"/>
  <c r="H101" i="18" s="1"/>
  <c r="O101" i="18" s="1"/>
  <c r="D43" i="78"/>
  <c r="F43" i="78" s="1"/>
  <c r="E98" i="18"/>
  <c r="F98" i="18" s="1"/>
  <c r="G98" i="18" s="1"/>
  <c r="H98" i="18" s="1"/>
  <c r="E64" i="18"/>
  <c r="F64" i="18" s="1"/>
  <c r="G64" i="18" s="1"/>
  <c r="E9" i="18"/>
  <c r="F9" i="18" s="1"/>
  <c r="G9" i="18" s="1"/>
  <c r="E41" i="18"/>
  <c r="F41" i="18" s="1"/>
  <c r="G41" i="18" s="1"/>
  <c r="E209" i="18"/>
  <c r="F209" i="18" s="1"/>
  <c r="G209" i="18" s="1"/>
  <c r="H209" i="18" s="1"/>
  <c r="E134" i="18"/>
  <c r="F134" i="18" s="1"/>
  <c r="G134" i="18" s="1"/>
  <c r="H134" i="18" s="1"/>
  <c r="L134" i="18" s="1"/>
  <c r="E97" i="18"/>
  <c r="F97" i="18" s="1"/>
  <c r="G97" i="18" s="1"/>
  <c r="E77" i="18"/>
  <c r="F77" i="18" s="1"/>
  <c r="G77" i="18" s="1"/>
  <c r="E145" i="18"/>
  <c r="F145" i="18" s="1"/>
  <c r="G145" i="18" s="1"/>
  <c r="H145" i="18" s="1"/>
  <c r="E169" i="18"/>
  <c r="F169" i="18" s="1"/>
  <c r="G169" i="18" s="1"/>
  <c r="E217" i="18"/>
  <c r="F217" i="18" s="1"/>
  <c r="G217" i="18" s="1"/>
  <c r="E81" i="18"/>
  <c r="F81" i="18" s="1"/>
  <c r="G81" i="18" s="1"/>
  <c r="E40" i="18"/>
  <c r="F40" i="18" s="1"/>
  <c r="G40" i="18" s="1"/>
  <c r="H40" i="18" s="1"/>
  <c r="E71" i="18"/>
  <c r="F71" i="18" s="1"/>
  <c r="G71" i="18" s="1"/>
  <c r="E46" i="18"/>
  <c r="F46" i="18" s="1"/>
  <c r="G46" i="18" s="1"/>
  <c r="H46" i="18" s="1"/>
  <c r="L46" i="18" s="1"/>
  <c r="E36" i="18"/>
  <c r="F36" i="18" s="1"/>
  <c r="G36" i="18" s="1"/>
  <c r="H36" i="18" s="1"/>
  <c r="G37" i="78" s="1"/>
  <c r="E110" i="18"/>
  <c r="F110" i="18" s="1"/>
  <c r="G110" i="18" s="1"/>
  <c r="H110" i="18" s="1"/>
  <c r="E31" i="18"/>
  <c r="F31" i="18" s="1"/>
  <c r="G31" i="18" s="1"/>
  <c r="H31" i="18" s="1"/>
  <c r="O31" i="18" s="1"/>
  <c r="E215" i="18"/>
  <c r="F215" i="18" s="1"/>
  <c r="G215" i="18" s="1"/>
  <c r="E70" i="18"/>
  <c r="F70" i="18" s="1"/>
  <c r="G70" i="18" s="1"/>
  <c r="H70" i="18" s="1"/>
  <c r="L70" i="18" s="1"/>
  <c r="F6" i="19"/>
  <c r="G6" i="19" s="1"/>
  <c r="H6" i="19" s="1"/>
  <c r="I6" i="19" s="1"/>
  <c r="D11" i="78"/>
  <c r="F11" i="78" s="1"/>
  <c r="E135" i="18"/>
  <c r="F135" i="18" s="1"/>
  <c r="G135" i="18" s="1"/>
  <c r="E76" i="18"/>
  <c r="F76" i="18" s="1"/>
  <c r="G76" i="18" s="1"/>
  <c r="H76" i="18" s="1"/>
  <c r="O76" i="18" s="1"/>
  <c r="E37" i="18"/>
  <c r="F37" i="18" s="1"/>
  <c r="G37" i="18" s="1"/>
  <c r="E182" i="18"/>
  <c r="F182" i="18" s="1"/>
  <c r="G182" i="18" s="1"/>
  <c r="H182" i="18" s="1"/>
  <c r="E211" i="18"/>
  <c r="F211" i="18" s="1"/>
  <c r="G211" i="18" s="1"/>
  <c r="E5" i="18"/>
  <c r="F5" i="18" s="1"/>
  <c r="G5" i="18" s="1"/>
  <c r="H5" i="18" s="1"/>
  <c r="L5" i="18" s="1"/>
  <c r="E111" i="18"/>
  <c r="F111" i="18" s="1"/>
  <c r="G111" i="18" s="1"/>
  <c r="E143" i="18"/>
  <c r="F143" i="18" s="1"/>
  <c r="G143" i="18" s="1"/>
  <c r="E121" i="18"/>
  <c r="F121" i="18" s="1"/>
  <c r="G121" i="18" s="1"/>
  <c r="E30" i="76"/>
  <c r="G30" i="76" s="1"/>
  <c r="E163" i="18"/>
  <c r="F163" i="18" s="1"/>
  <c r="G163" i="18" s="1"/>
  <c r="H163" i="18" s="1"/>
  <c r="O163" i="18" s="1"/>
  <c r="E116" i="18"/>
  <c r="F116" i="18" s="1"/>
  <c r="G116" i="18" s="1"/>
  <c r="H116" i="18" s="1"/>
  <c r="G117" i="78" s="1"/>
  <c r="E222" i="18"/>
  <c r="F222" i="18" s="1"/>
  <c r="G222" i="18" s="1"/>
  <c r="D231" i="78"/>
  <c r="F231" i="78" s="1"/>
  <c r="E190" i="18"/>
  <c r="F190" i="18" s="1"/>
  <c r="G190" i="18" s="1"/>
  <c r="E90" i="18"/>
  <c r="F90" i="18" s="1"/>
  <c r="G90" i="18" s="1"/>
  <c r="D224" i="78"/>
  <c r="F224" i="78" s="1"/>
  <c r="E183" i="18"/>
  <c r="F183" i="18" s="1"/>
  <c r="G183" i="18" s="1"/>
  <c r="H183" i="18" s="1"/>
  <c r="O183" i="18" s="1"/>
  <c r="E103" i="18"/>
  <c r="F103" i="18" s="1"/>
  <c r="G103" i="18" s="1"/>
  <c r="D204" i="78"/>
  <c r="F204" i="78" s="1"/>
  <c r="D76" i="78"/>
  <c r="F76" i="78" s="1"/>
  <c r="D14" i="78"/>
  <c r="F14" i="78" s="1"/>
  <c r="D194" i="78"/>
  <c r="F194" i="78" s="1"/>
  <c r="D146" i="78"/>
  <c r="F146" i="78" s="1"/>
  <c r="E23" i="18"/>
  <c r="F23" i="18" s="1"/>
  <c r="G23" i="18" s="1"/>
  <c r="H23" i="18" s="1"/>
  <c r="E185" i="18"/>
  <c r="F185" i="18" s="1"/>
  <c r="G185" i="18" s="1"/>
  <c r="H185" i="18" s="1"/>
  <c r="O185" i="18" s="1"/>
  <c r="E45" i="18"/>
  <c r="F45" i="18" s="1"/>
  <c r="G45" i="18" s="1"/>
  <c r="E7" i="76"/>
  <c r="D10" i="78"/>
  <c r="D207" i="78"/>
  <c r="F207" i="78" s="1"/>
  <c r="D44" i="78"/>
  <c r="F44" i="78" s="1"/>
  <c r="D191" i="78"/>
  <c r="F191" i="78" s="1"/>
  <c r="D72" i="78"/>
  <c r="F72" i="78" s="1"/>
  <c r="D171" i="78"/>
  <c r="F171" i="78" s="1"/>
  <c r="D148" i="78"/>
  <c r="F148" i="78" s="1"/>
  <c r="D75" i="78"/>
  <c r="E200" i="18"/>
  <c r="F200" i="18" s="1"/>
  <c r="G200" i="18" s="1"/>
  <c r="E227" i="18"/>
  <c r="F227" i="18" s="1"/>
  <c r="G227" i="18" s="1"/>
  <c r="H227" i="18" s="1"/>
  <c r="G228" i="78" s="1"/>
  <c r="E214" i="18"/>
  <c r="F214" i="18" s="1"/>
  <c r="G214" i="18" s="1"/>
  <c r="D199" i="78"/>
  <c r="F199" i="78" s="1"/>
  <c r="E100" i="18"/>
  <c r="F100" i="18" s="1"/>
  <c r="G100" i="18" s="1"/>
  <c r="D120" i="78"/>
  <c r="F120" i="78" s="1"/>
  <c r="D30" i="78"/>
  <c r="E137" i="18"/>
  <c r="F137" i="18" s="1"/>
  <c r="G137" i="18" s="1"/>
  <c r="E8" i="18"/>
  <c r="F8" i="18" s="1"/>
  <c r="G8" i="18" s="1"/>
  <c r="H8" i="18" s="1"/>
  <c r="E32" i="18"/>
  <c r="F32" i="18" s="1"/>
  <c r="G32" i="18" s="1"/>
  <c r="H32" i="18" s="1"/>
  <c r="G33" i="78" s="1"/>
  <c r="E50" i="18"/>
  <c r="F50" i="18" s="1"/>
  <c r="G50" i="18" s="1"/>
  <c r="E65" i="18"/>
  <c r="F65" i="18" s="1"/>
  <c r="G65" i="18" s="1"/>
  <c r="H65" i="18" s="1"/>
  <c r="E4" i="76"/>
  <c r="G4" i="76" s="1"/>
  <c r="D151" i="78"/>
  <c r="F151" i="78" s="1"/>
  <c r="D78" i="78"/>
  <c r="D110" i="78"/>
  <c r="F110" i="78" s="1"/>
  <c r="D24" i="78"/>
  <c r="F24" i="78" s="1"/>
  <c r="D111" i="78"/>
  <c r="F111" i="78" s="1"/>
  <c r="D229" i="78"/>
  <c r="E216" i="18"/>
  <c r="F216" i="18" s="1"/>
  <c r="G216" i="18" s="1"/>
  <c r="H216" i="18" s="1"/>
  <c r="E166" i="18"/>
  <c r="F166" i="18" s="1"/>
  <c r="G166" i="18" s="1"/>
  <c r="E109" i="18"/>
  <c r="F109" i="18" s="1"/>
  <c r="G109" i="18" s="1"/>
  <c r="H109" i="18" s="1"/>
  <c r="G110" i="78" s="1"/>
  <c r="E33" i="18"/>
  <c r="F33" i="18" s="1"/>
  <c r="G33" i="18" s="1"/>
  <c r="E105" i="18"/>
  <c r="F105" i="18" s="1"/>
  <c r="G105" i="18" s="1"/>
  <c r="H105" i="18" s="1"/>
  <c r="E112" i="18"/>
  <c r="F112" i="18" s="1"/>
  <c r="G112" i="18" s="1"/>
  <c r="H112" i="18" s="1"/>
  <c r="E15" i="18"/>
  <c r="F15" i="18" s="1"/>
  <c r="G15" i="18" s="1"/>
  <c r="H15" i="18" s="1"/>
  <c r="L15" i="18" s="1"/>
  <c r="E201" i="18"/>
  <c r="F201" i="18" s="1"/>
  <c r="G201" i="18" s="1"/>
  <c r="D40" i="78"/>
  <c r="E170" i="18"/>
  <c r="F170" i="18" s="1"/>
  <c r="G170" i="18" s="1"/>
  <c r="E47" i="18"/>
  <c r="F47" i="18" s="1"/>
  <c r="G47" i="18" s="1"/>
  <c r="H47" i="18" s="1"/>
  <c r="O47" i="18" s="1"/>
  <c r="E96" i="18"/>
  <c r="F96" i="18" s="1"/>
  <c r="G96" i="18" s="1"/>
  <c r="E221" i="18"/>
  <c r="F221" i="18" s="1"/>
  <c r="G221" i="18" s="1"/>
  <c r="E57" i="18"/>
  <c r="F57" i="18" s="1"/>
  <c r="G57" i="18" s="1"/>
  <c r="E60" i="18"/>
  <c r="F60" i="18" s="1"/>
  <c r="G60" i="18" s="1"/>
  <c r="H60" i="18" s="1"/>
  <c r="G61" i="78" s="1"/>
  <c r="E10" i="18"/>
  <c r="F10" i="18" s="1"/>
  <c r="G10" i="18" s="1"/>
  <c r="H10" i="18" s="1"/>
  <c r="D84" i="78"/>
  <c r="F84" i="78" s="1"/>
  <c r="D121" i="78"/>
  <c r="F121" i="78" s="1"/>
  <c r="D134" i="78"/>
  <c r="F134" i="78" s="1"/>
  <c r="D83" i="78"/>
  <c r="F83" i="78" s="1"/>
  <c r="E55" i="18"/>
  <c r="F55" i="18" s="1"/>
  <c r="G55" i="18" s="1"/>
  <c r="H55" i="18" s="1"/>
  <c r="E210" i="18"/>
  <c r="F210" i="18" s="1"/>
  <c r="G210" i="18" s="1"/>
  <c r="E119" i="18"/>
  <c r="F119" i="18" s="1"/>
  <c r="G119" i="18" s="1"/>
  <c r="H119" i="18" s="1"/>
  <c r="G120" i="78" s="1"/>
  <c r="E113" i="18"/>
  <c r="F113" i="18" s="1"/>
  <c r="G113" i="18" s="1"/>
  <c r="E104" i="18"/>
  <c r="F104" i="18" s="1"/>
  <c r="G104" i="18" s="1"/>
  <c r="E184" i="18"/>
  <c r="F184" i="18" s="1"/>
  <c r="G184" i="18" s="1"/>
  <c r="E149" i="18"/>
  <c r="F149" i="18" s="1"/>
  <c r="G149" i="18" s="1"/>
  <c r="H149" i="18" s="1"/>
  <c r="L149" i="18" s="1"/>
  <c r="E22" i="18"/>
  <c r="F22" i="18" s="1"/>
  <c r="G22" i="18" s="1"/>
  <c r="E61" i="18"/>
  <c r="F61" i="18" s="1"/>
  <c r="G61" i="18" s="1"/>
  <c r="H61" i="18" s="1"/>
  <c r="E132" i="18"/>
  <c r="F132" i="18" s="1"/>
  <c r="G132" i="18" s="1"/>
  <c r="H132" i="18" s="1"/>
  <c r="E219" i="18"/>
  <c r="F219" i="18" s="1"/>
  <c r="G219" i="18" s="1"/>
  <c r="H219" i="18" s="1"/>
  <c r="G220" i="78" s="1"/>
  <c r="D190" i="78"/>
  <c r="F190" i="78" s="1"/>
  <c r="E162" i="18"/>
  <c r="F162" i="18" s="1"/>
  <c r="G162" i="18" s="1"/>
  <c r="E198" i="18"/>
  <c r="F198" i="18" s="1"/>
  <c r="G198" i="18" s="1"/>
  <c r="E75" i="18"/>
  <c r="F75" i="18" s="1"/>
  <c r="G75" i="18" s="1"/>
  <c r="H75" i="18" s="1"/>
  <c r="O75" i="18" s="1"/>
  <c r="E159" i="18"/>
  <c r="F159" i="18" s="1"/>
  <c r="G159" i="18" s="1"/>
  <c r="E138" i="18"/>
  <c r="F138" i="18" s="1"/>
  <c r="G138" i="18" s="1"/>
  <c r="H138" i="18" s="1"/>
  <c r="E25" i="18"/>
  <c r="F25" i="18" s="1"/>
  <c r="G25" i="18" s="1"/>
  <c r="E193" i="18"/>
  <c r="F193" i="18" s="1"/>
  <c r="G193" i="18" s="1"/>
  <c r="H193" i="18" s="1"/>
  <c r="L193" i="18" s="1"/>
  <c r="E43" i="18"/>
  <c r="F43" i="18" s="1"/>
  <c r="G43" i="18" s="1"/>
  <c r="H43" i="18" s="1"/>
  <c r="O43" i="18" s="1"/>
  <c r="E151" i="18"/>
  <c r="F151" i="18" s="1"/>
  <c r="G151" i="18" s="1"/>
  <c r="E148" i="18"/>
  <c r="F148" i="18" s="1"/>
  <c r="G148" i="18" s="1"/>
  <c r="E85" i="18"/>
  <c r="F85" i="18" s="1"/>
  <c r="G85" i="18" s="1"/>
  <c r="H85" i="18" s="1"/>
  <c r="G86" i="78" s="1"/>
  <c r="E194" i="18"/>
  <c r="F194" i="18" s="1"/>
  <c r="G194" i="18" s="1"/>
  <c r="E11" i="18"/>
  <c r="F11" i="18" s="1"/>
  <c r="G11" i="18" s="1"/>
  <c r="D100" i="78"/>
  <c r="F100" i="78" s="1"/>
  <c r="G16" i="78"/>
  <c r="G48" i="78"/>
  <c r="G76" i="78"/>
  <c r="L132" i="18"/>
  <c r="O219" i="18"/>
  <c r="O193" i="18"/>
  <c r="L146" i="18"/>
  <c r="G147" i="78"/>
  <c r="O146" i="18"/>
  <c r="O108" i="18"/>
  <c r="G109" i="78"/>
  <c r="L108" i="18"/>
  <c r="G25" i="76"/>
  <c r="F8" i="19"/>
  <c r="G8" i="19" s="1"/>
  <c r="H8" i="19" s="1"/>
  <c r="F26" i="78"/>
  <c r="G157" i="78"/>
  <c r="L87" i="18"/>
  <c r="O87" i="18"/>
  <c r="G88" i="78"/>
  <c r="F24" i="19"/>
  <c r="G24" i="19" s="1"/>
  <c r="H24" i="19" s="1"/>
  <c r="I24" i="19" s="1"/>
  <c r="F206" i="78"/>
  <c r="F85" i="78"/>
  <c r="O130" i="18"/>
  <c r="L130" i="18"/>
  <c r="G131" i="78"/>
  <c r="D9" i="78"/>
  <c r="O205" i="18"/>
  <c r="L205" i="18"/>
  <c r="G206" i="78"/>
  <c r="F31" i="78"/>
  <c r="G80" i="78"/>
  <c r="L79" i="18"/>
  <c r="O79" i="18"/>
  <c r="G14" i="78"/>
  <c r="O13" i="18"/>
  <c r="F20" i="19"/>
  <c r="G20" i="19" s="1"/>
  <c r="H20" i="19" s="1"/>
  <c r="I20" i="19" s="1"/>
  <c r="F13" i="19"/>
  <c r="G13" i="19" s="1"/>
  <c r="H13" i="19" s="1"/>
  <c r="I13" i="19" s="1"/>
  <c r="F26" i="19"/>
  <c r="G26" i="19" s="1"/>
  <c r="H26" i="19" s="1"/>
  <c r="O225" i="18"/>
  <c r="L225" i="18"/>
  <c r="O168" i="18"/>
  <c r="F186" i="78"/>
  <c r="G208" i="78"/>
  <c r="F54" i="78"/>
  <c r="O202" i="18"/>
  <c r="L202" i="18"/>
  <c r="G203" i="78"/>
  <c r="F25" i="19"/>
  <c r="G25" i="19" s="1"/>
  <c r="H25" i="19" s="1"/>
  <c r="I25" i="19" s="1"/>
  <c r="F52" i="78"/>
  <c r="F19" i="19"/>
  <c r="G19" i="19" s="1"/>
  <c r="H19" i="19" s="1"/>
  <c r="I19" i="19" s="1"/>
  <c r="F12" i="19"/>
  <c r="G12" i="19" s="1"/>
  <c r="H12" i="19" s="1"/>
  <c r="I12" i="19" s="1"/>
  <c r="F10" i="78"/>
  <c r="F27" i="19"/>
  <c r="G27" i="19" s="1"/>
  <c r="H27" i="19" s="1"/>
  <c r="I27" i="19" s="1"/>
  <c r="D174" i="78"/>
  <c r="O123" i="18"/>
  <c r="G124" i="78"/>
  <c r="L123" i="18"/>
  <c r="D90" i="78"/>
  <c r="O58" i="18"/>
  <c r="G130" i="78"/>
  <c r="L129" i="18"/>
  <c r="O129" i="18"/>
  <c r="O224" i="18"/>
  <c r="G225" i="78"/>
  <c r="L224" i="18"/>
  <c r="O89" i="18"/>
  <c r="G90" i="78"/>
  <c r="L89" i="18"/>
  <c r="O144" i="18"/>
  <c r="L144" i="18"/>
  <c r="G145" i="78"/>
  <c r="E24" i="76"/>
  <c r="D98" i="78"/>
  <c r="O177" i="18"/>
  <c r="G178" i="78"/>
  <c r="L177" i="18"/>
  <c r="D135" i="78"/>
  <c r="L139" i="18"/>
  <c r="G140" i="78"/>
  <c r="O139" i="18"/>
  <c r="O180" i="18"/>
  <c r="L180" i="18"/>
  <c r="G181" i="78"/>
  <c r="O197" i="18"/>
  <c r="L197" i="18"/>
  <c r="G198" i="78"/>
  <c r="L171" i="18"/>
  <c r="O171" i="18"/>
  <c r="G172" i="78"/>
  <c r="G143" i="78"/>
  <c r="L142" i="18"/>
  <c r="O142" i="18"/>
  <c r="D124" i="78"/>
  <c r="F22" i="19"/>
  <c r="G22" i="19" s="1"/>
  <c r="H22" i="19" s="1"/>
  <c r="I22" i="19" s="1"/>
  <c r="L185" i="18"/>
  <c r="E11" i="76"/>
  <c r="D130" i="78"/>
  <c r="D127" i="78"/>
  <c r="D139" i="78"/>
  <c r="D42" i="78"/>
  <c r="D115" i="78"/>
  <c r="F115" i="78" s="1"/>
  <c r="D113" i="78"/>
  <c r="F113" i="78" s="1"/>
  <c r="D87" i="78"/>
  <c r="E231" i="18"/>
  <c r="F231" i="18" s="1"/>
  <c r="G231" i="18" s="1"/>
  <c r="H231" i="18" s="1"/>
  <c r="E80" i="18"/>
  <c r="F80" i="18" s="1"/>
  <c r="G80" i="18" s="1"/>
  <c r="H80" i="18" s="1"/>
  <c r="E126" i="18"/>
  <c r="F126" i="18" s="1"/>
  <c r="G126" i="18" s="1"/>
  <c r="K61" i="49"/>
  <c r="K96" i="49"/>
  <c r="K196" i="49"/>
  <c r="K19" i="49"/>
  <c r="K164" i="49"/>
  <c r="K125" i="49"/>
  <c r="K136" i="49"/>
  <c r="K108" i="49"/>
  <c r="K38" i="49"/>
  <c r="K44" i="49"/>
  <c r="K94" i="49"/>
  <c r="K169" i="49"/>
  <c r="K205" i="49"/>
  <c r="K90" i="49"/>
  <c r="K8" i="49"/>
  <c r="K86" i="49"/>
  <c r="K107" i="49"/>
  <c r="K73" i="49"/>
  <c r="K137" i="49"/>
  <c r="K207" i="49"/>
  <c r="K185" i="49"/>
  <c r="K39" i="49"/>
  <c r="K140" i="49"/>
  <c r="K189" i="49"/>
  <c r="K121" i="49"/>
  <c r="K133" i="49"/>
  <c r="K20" i="49"/>
  <c r="K114" i="49"/>
  <c r="K132" i="49"/>
  <c r="K146" i="49"/>
  <c r="K77" i="49"/>
  <c r="K126" i="49"/>
  <c r="K188" i="49"/>
  <c r="K192" i="49"/>
  <c r="K122" i="49"/>
  <c r="K103" i="49"/>
  <c r="K106" i="49"/>
  <c r="K226" i="49"/>
  <c r="K203" i="49"/>
  <c r="K195" i="49"/>
  <c r="K115" i="49"/>
  <c r="K84" i="49"/>
  <c r="K13" i="49"/>
  <c r="K17" i="49"/>
  <c r="K113" i="49"/>
  <c r="K62" i="49"/>
  <c r="K69" i="49"/>
  <c r="K79" i="49"/>
  <c r="K178" i="49"/>
  <c r="K131" i="49"/>
  <c r="K24" i="49"/>
  <c r="K220" i="49"/>
  <c r="K50" i="49"/>
  <c r="K179" i="49"/>
  <c r="K95" i="49"/>
  <c r="K157" i="49"/>
  <c r="K180" i="49"/>
  <c r="K55" i="49"/>
  <c r="K217" i="49"/>
  <c r="K197" i="49"/>
  <c r="K124" i="49"/>
  <c r="K219" i="49"/>
  <c r="K30" i="49"/>
  <c r="K100" i="49"/>
  <c r="K81" i="49"/>
  <c r="K16" i="49"/>
  <c r="K21" i="49"/>
  <c r="K194" i="49"/>
  <c r="K199" i="49"/>
  <c r="K14" i="49"/>
  <c r="K3" i="49"/>
  <c r="K153" i="49"/>
  <c r="F3" i="19"/>
  <c r="G3" i="19" s="1"/>
  <c r="H3" i="19" s="1"/>
  <c r="I3" i="19" s="1"/>
  <c r="D228" i="78"/>
  <c r="F15" i="19"/>
  <c r="G15" i="19" s="1"/>
  <c r="H15" i="19" s="1"/>
  <c r="E14" i="18"/>
  <c r="F14" i="18" s="1"/>
  <c r="G14" i="18" s="1"/>
  <c r="H14" i="18" s="1"/>
  <c r="E7" i="18"/>
  <c r="F7" i="18" s="1"/>
  <c r="G7" i="18" s="1"/>
  <c r="H7" i="18" s="1"/>
  <c r="D182" i="78"/>
  <c r="D169" i="78"/>
  <c r="F221" i="78"/>
  <c r="O74" i="18"/>
  <c r="L74" i="18"/>
  <c r="G75" i="78"/>
  <c r="E28" i="76"/>
  <c r="O155" i="18"/>
  <c r="G156" i="78"/>
  <c r="L155" i="18"/>
  <c r="L157" i="18"/>
  <c r="O157" i="18"/>
  <c r="G158" i="78"/>
  <c r="O178" i="18"/>
  <c r="F108" i="78"/>
  <c r="L116" i="18"/>
  <c r="O116" i="18"/>
  <c r="L76" i="18"/>
  <c r="D141" i="78"/>
  <c r="D232" i="78"/>
  <c r="D189" i="78"/>
  <c r="F189" i="78" s="1"/>
  <c r="D219" i="78"/>
  <c r="D213" i="78"/>
  <c r="D218" i="78"/>
  <c r="D156" i="78"/>
  <c r="D35" i="78"/>
  <c r="D105" i="78"/>
  <c r="D92" i="78"/>
  <c r="D51" i="78"/>
  <c r="D198" i="78"/>
  <c r="E9" i="76"/>
  <c r="D138" i="78"/>
  <c r="F29" i="19"/>
  <c r="G29" i="19" s="1"/>
  <c r="H29" i="19" s="1"/>
  <c r="D66" i="78"/>
  <c r="D179" i="78"/>
  <c r="D220" i="78"/>
  <c r="D89" i="78"/>
  <c r="D150" i="78"/>
  <c r="D6" i="78"/>
  <c r="D63" i="78"/>
  <c r="D187" i="78"/>
  <c r="D20" i="78"/>
  <c r="F20" i="78" s="1"/>
  <c r="D39" i="78"/>
  <c r="D81" i="78"/>
  <c r="D159" i="78"/>
  <c r="D212" i="78"/>
  <c r="F212" i="78" s="1"/>
  <c r="D99" i="78"/>
  <c r="D91" i="78"/>
  <c r="D129" i="78"/>
  <c r="D181" i="78"/>
  <c r="D77" i="78"/>
  <c r="F11" i="19"/>
  <c r="G11" i="19" s="1"/>
  <c r="H11" i="19" s="1"/>
  <c r="I11" i="19" s="1"/>
  <c r="D176" i="78"/>
  <c r="D55" i="78"/>
  <c r="D225" i="78"/>
  <c r="D223" i="78"/>
  <c r="O92" i="18"/>
  <c r="D18" i="78"/>
  <c r="L48" i="18"/>
  <c r="G49" i="78"/>
  <c r="O48" i="18"/>
  <c r="E14" i="76"/>
  <c r="G146" i="78"/>
  <c r="O145" i="18"/>
  <c r="L145" i="18"/>
  <c r="D12" i="78"/>
  <c r="O110" i="18"/>
  <c r="G111" i="78"/>
  <c r="L110" i="18"/>
  <c r="D178" i="78"/>
  <c r="G60" i="78"/>
  <c r="L59" i="18"/>
  <c r="O59" i="18"/>
  <c r="D157" i="78"/>
  <c r="D168" i="78"/>
  <c r="F10" i="19"/>
  <c r="G10" i="19" s="1"/>
  <c r="H10" i="19" s="1"/>
  <c r="I10" i="19" s="1"/>
  <c r="D180" i="78"/>
  <c r="D142" i="78"/>
  <c r="D114" i="78"/>
  <c r="D149" i="78"/>
  <c r="D32" i="78"/>
  <c r="D155" i="78"/>
  <c r="D152" i="78"/>
  <c r="D160" i="78"/>
  <c r="D210" i="78"/>
  <c r="D21" i="78"/>
  <c r="D196" i="78"/>
  <c r="D49" i="78"/>
  <c r="F7" i="19"/>
  <c r="G7" i="19" s="1"/>
  <c r="H7" i="19" s="1"/>
  <c r="D161" i="78"/>
  <c r="D62" i="78"/>
  <c r="F62" i="78" s="1"/>
  <c r="D41" i="78"/>
  <c r="D19" i="78"/>
  <c r="D16" i="78"/>
  <c r="D17" i="78"/>
  <c r="D143" i="78"/>
  <c r="F23" i="19"/>
  <c r="G23" i="19" s="1"/>
  <c r="H23" i="19" s="1"/>
  <c r="I23" i="19" s="1"/>
  <c r="D102" i="78"/>
  <c r="D153" i="78"/>
  <c r="D80" i="78"/>
  <c r="D71" i="78"/>
  <c r="F71" i="78" s="1"/>
  <c r="D109" i="78"/>
  <c r="D27" i="78"/>
  <c r="D67" i="78"/>
  <c r="D69" i="78"/>
  <c r="O16" i="18"/>
  <c r="L16" i="18"/>
  <c r="G17" i="78"/>
  <c r="E16" i="76"/>
  <c r="L206" i="18"/>
  <c r="G207" i="78"/>
  <c r="O206" i="18"/>
  <c r="D183" i="78"/>
  <c r="D193" i="78"/>
  <c r="L176" i="18"/>
  <c r="G177" i="78"/>
  <c r="O176" i="18"/>
  <c r="E23" i="76"/>
  <c r="D200" i="78"/>
  <c r="D61" i="78"/>
  <c r="D107" i="78"/>
  <c r="F75" i="78"/>
  <c r="D38" i="78"/>
  <c r="D60" i="78"/>
  <c r="F17" i="19"/>
  <c r="G17" i="19" s="1"/>
  <c r="H17" i="19" s="1"/>
  <c r="I17" i="19" s="1"/>
  <c r="F5" i="19"/>
  <c r="G5" i="19" s="1"/>
  <c r="H5" i="19" s="1"/>
  <c r="I5" i="19" s="1"/>
  <c r="E15" i="76"/>
  <c r="D216" i="78"/>
  <c r="D165" i="78"/>
  <c r="D47" i="78"/>
  <c r="G119" i="78"/>
  <c r="L118" i="18"/>
  <c r="O118" i="18"/>
  <c r="D192" i="78"/>
  <c r="D88" i="78"/>
  <c r="D50" i="78"/>
  <c r="O46" i="18"/>
  <c r="L209" i="18"/>
  <c r="G210" i="78"/>
  <c r="O209" i="18"/>
  <c r="D140" i="78"/>
  <c r="F140" i="78" s="1"/>
  <c r="L160" i="18"/>
  <c r="O160" i="18"/>
  <c r="G161" i="78"/>
  <c r="F78" i="78"/>
  <c r="D201" i="78"/>
  <c r="L82" i="18"/>
  <c r="O82" i="18"/>
  <c r="G83" i="78"/>
  <c r="D97" i="78"/>
  <c r="D22" i="78"/>
  <c r="F22" i="78" s="1"/>
  <c r="D164" i="78"/>
  <c r="F18" i="19"/>
  <c r="G18" i="19" s="1"/>
  <c r="H18" i="19" s="1"/>
  <c r="D147" i="78"/>
  <c r="D188" i="78"/>
  <c r="D208" i="78"/>
  <c r="D116" i="78"/>
  <c r="E29" i="76"/>
  <c r="D215" i="78"/>
  <c r="D79" i="78"/>
  <c r="G153" i="78"/>
  <c r="G43" i="78"/>
  <c r="L42" i="18"/>
  <c r="O42" i="18"/>
  <c r="D48" i="78"/>
  <c r="L199" i="18"/>
  <c r="E22" i="76"/>
  <c r="D133" i="78"/>
  <c r="G209" i="78"/>
  <c r="L208" i="18"/>
  <c r="O208" i="18"/>
  <c r="D177" i="78"/>
  <c r="F177" i="78" s="1"/>
  <c r="D197" i="78"/>
  <c r="D5" i="78"/>
  <c r="D25" i="78"/>
  <c r="L38" i="18"/>
  <c r="O38" i="18"/>
  <c r="G39" i="78"/>
  <c r="G32" i="78"/>
  <c r="D65" i="78"/>
  <c r="D132" i="78"/>
  <c r="D122" i="78"/>
  <c r="L227" i="18"/>
  <c r="F229" i="78"/>
  <c r="O216" i="18"/>
  <c r="E13" i="76"/>
  <c r="O109" i="18"/>
  <c r="O32" i="18"/>
  <c r="D59" i="78"/>
  <c r="D131" i="78"/>
  <c r="G66" i="78"/>
  <c r="D34" i="78"/>
  <c r="D214" i="78"/>
  <c r="D144" i="78"/>
  <c r="E17" i="76"/>
  <c r="D29" i="78"/>
  <c r="E56" i="18"/>
  <c r="F56" i="18" s="1"/>
  <c r="G56" i="18" s="1"/>
  <c r="H56" i="18" s="1"/>
  <c r="F28" i="19"/>
  <c r="G28" i="19" s="1"/>
  <c r="H28" i="19" s="1"/>
  <c r="I28" i="19" s="1"/>
  <c r="D70" i="78"/>
  <c r="E10" i="76"/>
  <c r="D28" i="78"/>
  <c r="F14" i="19"/>
  <c r="G14" i="19" s="1"/>
  <c r="H14" i="19" s="1"/>
  <c r="I14" i="19" s="1"/>
  <c r="F40" i="78"/>
  <c r="G7" i="76"/>
  <c r="D145" i="78"/>
  <c r="D68" i="78"/>
  <c r="O68" i="18"/>
  <c r="G69" i="78"/>
  <c r="L68" i="18"/>
  <c r="L40" i="18"/>
  <c r="G41" i="78"/>
  <c r="O40" i="18"/>
  <c r="D227" i="78"/>
  <c r="G18" i="78"/>
  <c r="O17" i="18"/>
  <c r="L17" i="18"/>
  <c r="D185" i="78"/>
  <c r="G135" i="78"/>
  <c r="D119" i="78"/>
  <c r="D101" i="78"/>
  <c r="G116" i="78"/>
  <c r="O115" i="18"/>
  <c r="L115" i="18"/>
  <c r="D95" i="78"/>
  <c r="E21" i="76"/>
  <c r="D57" i="78"/>
  <c r="D103" i="78"/>
  <c r="D106" i="78"/>
  <c r="D94" i="78"/>
  <c r="F94" i="78" s="1"/>
  <c r="D217" i="78"/>
  <c r="E5" i="76"/>
  <c r="F16" i="19"/>
  <c r="G16" i="19" s="1"/>
  <c r="H16" i="19" s="1"/>
  <c r="I16" i="19" s="1"/>
  <c r="D137" i="78"/>
  <c r="D158" i="78"/>
  <c r="D93" i="78"/>
  <c r="E12" i="76"/>
  <c r="D126" i="78"/>
  <c r="D205" i="78"/>
  <c r="D58" i="78"/>
  <c r="F58" i="78" s="1"/>
  <c r="D222" i="78"/>
  <c r="D128" i="78"/>
  <c r="D226" i="78"/>
  <c r="D162" i="78"/>
  <c r="D163" i="78"/>
  <c r="F21" i="19"/>
  <c r="G21" i="19" s="1"/>
  <c r="H21" i="19" s="1"/>
  <c r="I21" i="19" s="1"/>
  <c r="C18" i="49"/>
  <c r="C21" i="49"/>
  <c r="C7" i="49"/>
  <c r="C14" i="49"/>
  <c r="C11" i="49"/>
  <c r="C6" i="49"/>
  <c r="C20" i="49"/>
  <c r="D82" i="78"/>
  <c r="L220" i="18"/>
  <c r="O220" i="18"/>
  <c r="G221" i="78"/>
  <c r="D195" i="78"/>
  <c r="O173" i="18"/>
  <c r="G174" i="78"/>
  <c r="L173" i="18"/>
  <c r="G102" i="78"/>
  <c r="D74" i="78"/>
  <c r="E6" i="76"/>
  <c r="L136" i="18"/>
  <c r="G137" i="78"/>
  <c r="O136" i="18"/>
  <c r="D230" i="78"/>
  <c r="L150" i="18"/>
  <c r="G151" i="78"/>
  <c r="O150" i="18"/>
  <c r="D37" i="78"/>
  <c r="D13" i="78"/>
  <c r="E27" i="76"/>
  <c r="G99" i="78"/>
  <c r="L98" i="18"/>
  <c r="O98" i="18"/>
  <c r="D167" i="78"/>
  <c r="G165" i="78"/>
  <c r="O164" i="18"/>
  <c r="L164" i="18"/>
  <c r="E8" i="76"/>
  <c r="L158" i="18"/>
  <c r="G159" i="78"/>
  <c r="O158" i="18"/>
  <c r="G184" i="78"/>
  <c r="D118" i="78"/>
  <c r="D117" i="78"/>
  <c r="D4" i="78"/>
  <c r="D73" i="78"/>
  <c r="D136" i="78"/>
  <c r="E20" i="76"/>
  <c r="D86" i="78"/>
  <c r="D36" i="78"/>
  <c r="D209" i="78"/>
  <c r="D211" i="78"/>
  <c r="D8" i="78"/>
  <c r="D112" i="78"/>
  <c r="D7" i="78"/>
  <c r="F7" i="78" s="1"/>
  <c r="D123" i="78"/>
  <c r="D175" i="78"/>
  <c r="D125" i="78"/>
  <c r="D45" i="78"/>
  <c r="D56" i="78"/>
  <c r="D46" i="78"/>
  <c r="F9" i="19"/>
  <c r="G9" i="19" s="1"/>
  <c r="H9" i="19" s="1"/>
  <c r="I9" i="19" s="1"/>
  <c r="E18" i="76"/>
  <c r="D33" i="78"/>
  <c r="F4" i="19"/>
  <c r="G4" i="19" s="1"/>
  <c r="H4" i="19" s="1"/>
  <c r="I4" i="19" s="1"/>
  <c r="E19" i="76"/>
  <c r="F30" i="78"/>
  <c r="D96" i="78"/>
  <c r="D15" i="78"/>
  <c r="D154" i="78"/>
  <c r="D202" i="78"/>
  <c r="D203" i="78"/>
  <c r="D23" i="78"/>
  <c r="D170" i="78"/>
  <c r="O227" i="18" l="1"/>
  <c r="L178" i="18"/>
  <c r="K78" i="49"/>
  <c r="K141" i="49"/>
  <c r="K45" i="49"/>
  <c r="K213" i="49"/>
  <c r="L119" i="18"/>
  <c r="G186" i="78"/>
  <c r="O5" i="18"/>
  <c r="O207" i="18"/>
  <c r="L168" i="18"/>
  <c r="G194" i="78"/>
  <c r="L75" i="18"/>
  <c r="L47" i="18"/>
  <c r="G77" i="78"/>
  <c r="K15" i="49"/>
  <c r="K163" i="49"/>
  <c r="K118" i="49"/>
  <c r="K12" i="49"/>
  <c r="K25" i="49"/>
  <c r="K148" i="49"/>
  <c r="K168" i="49"/>
  <c r="O119" i="18"/>
  <c r="G6" i="78"/>
  <c r="G150" i="78"/>
  <c r="L60" i="18"/>
  <c r="L32" i="18"/>
  <c r="L183" i="18"/>
  <c r="H183" i="44" s="1"/>
  <c r="I183" i="44" s="1"/>
  <c r="C25" i="49"/>
  <c r="C17" i="49"/>
  <c r="L109" i="18"/>
  <c r="C8" i="49"/>
  <c r="C4" i="49"/>
  <c r="C3" i="49"/>
  <c r="K33" i="49"/>
  <c r="K71" i="49"/>
  <c r="K56" i="49"/>
  <c r="K110" i="49"/>
  <c r="K209" i="49"/>
  <c r="O85" i="18"/>
  <c r="Q85" i="18" s="1"/>
  <c r="L219" i="18"/>
  <c r="O149" i="18"/>
  <c r="O60" i="18"/>
  <c r="O15" i="18"/>
  <c r="Q15" i="18" s="1"/>
  <c r="H217" i="18"/>
  <c r="K134" i="49"/>
  <c r="H188" i="18"/>
  <c r="K210" i="49"/>
  <c r="H20" i="18"/>
  <c r="K51" i="49"/>
  <c r="O218" i="18"/>
  <c r="G219" i="78"/>
  <c r="L195" i="18"/>
  <c r="G196" i="78"/>
  <c r="O195" i="18"/>
  <c r="L161" i="18"/>
  <c r="H162" i="78" s="1"/>
  <c r="G162" i="78"/>
  <c r="O161" i="18"/>
  <c r="H213" i="18"/>
  <c r="K224" i="49"/>
  <c r="H27" i="18"/>
  <c r="K150" i="49"/>
  <c r="O44" i="18"/>
  <c r="G45" i="78"/>
  <c r="H35" i="18"/>
  <c r="K57" i="49"/>
  <c r="G47" i="78"/>
  <c r="G93" i="78"/>
  <c r="K155" i="49"/>
  <c r="K89" i="49"/>
  <c r="K175" i="49"/>
  <c r="K177" i="49"/>
  <c r="K229" i="49"/>
  <c r="K129" i="49"/>
  <c r="K156" i="49"/>
  <c r="I8" i="19"/>
  <c r="M8" i="19" s="1"/>
  <c r="C5" i="49"/>
  <c r="H11" i="18"/>
  <c r="K145" i="49"/>
  <c r="H151" i="18"/>
  <c r="K111" i="49"/>
  <c r="O138" i="18"/>
  <c r="G139" i="78"/>
  <c r="L138" i="18"/>
  <c r="H139" i="78" s="1"/>
  <c r="H162" i="18"/>
  <c r="K116" i="49"/>
  <c r="O61" i="18"/>
  <c r="G62" i="78"/>
  <c r="H104" i="18"/>
  <c r="K176" i="49"/>
  <c r="G56" i="78"/>
  <c r="L55" i="18"/>
  <c r="H55" i="44" s="1"/>
  <c r="I55" i="44" s="1"/>
  <c r="O55" i="18"/>
  <c r="H221" i="18"/>
  <c r="K135" i="49"/>
  <c r="O105" i="18"/>
  <c r="Q105" i="18" s="1"/>
  <c r="L105" i="18"/>
  <c r="L216" i="18"/>
  <c r="G217" i="78"/>
  <c r="O65" i="18"/>
  <c r="Q65" i="18" s="1"/>
  <c r="L65" i="18"/>
  <c r="H137" i="18"/>
  <c r="K40" i="49"/>
  <c r="H90" i="18"/>
  <c r="K171" i="49"/>
  <c r="H143" i="18"/>
  <c r="K193" i="49"/>
  <c r="L182" i="18"/>
  <c r="H183" i="78" s="1"/>
  <c r="O182" i="18"/>
  <c r="H215" i="18"/>
  <c r="K29" i="49"/>
  <c r="H9" i="18"/>
  <c r="K143" i="49"/>
  <c r="H12" i="18"/>
  <c r="K49" i="49"/>
  <c r="H120" i="18"/>
  <c r="K183" i="49"/>
  <c r="H179" i="18"/>
  <c r="K206" i="49"/>
  <c r="H153" i="18"/>
  <c r="K22" i="49"/>
  <c r="H226" i="18"/>
  <c r="K32" i="49"/>
  <c r="H141" i="18"/>
  <c r="K105" i="49"/>
  <c r="G103" i="78"/>
  <c r="L102" i="18"/>
  <c r="K227" i="49"/>
  <c r="K161" i="49"/>
  <c r="K159" i="49"/>
  <c r="G183" i="78"/>
  <c r="L61" i="18"/>
  <c r="H61" i="44" s="1"/>
  <c r="I61" i="44" s="1"/>
  <c r="G106" i="78"/>
  <c r="H97" i="18"/>
  <c r="K174" i="49"/>
  <c r="H174" i="18"/>
  <c r="K204" i="49"/>
  <c r="H86" i="18"/>
  <c r="K83" i="49"/>
  <c r="G95" i="78"/>
  <c r="O94" i="18"/>
  <c r="H131" i="18"/>
  <c r="K101" i="49"/>
  <c r="H191" i="18"/>
  <c r="K212" i="49"/>
  <c r="H19" i="18"/>
  <c r="K35" i="49"/>
  <c r="H18" i="18"/>
  <c r="K4" i="49"/>
  <c r="H78" i="18"/>
  <c r="K166" i="49"/>
  <c r="O63" i="18"/>
  <c r="Q63" i="44" s="1"/>
  <c r="R63" i="44" s="1"/>
  <c r="L63" i="18"/>
  <c r="L52" i="18"/>
  <c r="G53" i="78"/>
  <c r="O52" i="18"/>
  <c r="Q52" i="44" s="1"/>
  <c r="R52" i="44" s="1"/>
  <c r="L107" i="18"/>
  <c r="G108" i="78"/>
  <c r="O107" i="18"/>
  <c r="H114" i="18"/>
  <c r="K93" i="49"/>
  <c r="K200" i="49"/>
  <c r="L172" i="18"/>
  <c r="L101" i="18"/>
  <c r="H102" i="78" s="1"/>
  <c r="O172" i="18"/>
  <c r="C10" i="49"/>
  <c r="C22" i="49"/>
  <c r="L94" i="18"/>
  <c r="H94" i="44" s="1"/>
  <c r="I94" i="44" s="1"/>
  <c r="L218" i="18"/>
  <c r="I15" i="19"/>
  <c r="C27" i="49"/>
  <c r="K67" i="49"/>
  <c r="L44" i="18"/>
  <c r="O102" i="18"/>
  <c r="K138" i="49"/>
  <c r="H194" i="18"/>
  <c r="K26" i="49"/>
  <c r="H159" i="18"/>
  <c r="K198" i="49"/>
  <c r="H22" i="18"/>
  <c r="K149" i="49"/>
  <c r="H113" i="18"/>
  <c r="K181" i="49"/>
  <c r="G11" i="78"/>
  <c r="O10" i="18"/>
  <c r="H96" i="18"/>
  <c r="K18" i="49"/>
  <c r="H201" i="18"/>
  <c r="K216" i="49"/>
  <c r="H33" i="18"/>
  <c r="K37" i="49"/>
  <c r="H50" i="18"/>
  <c r="K158" i="49"/>
  <c r="H214" i="18"/>
  <c r="K225" i="49"/>
  <c r="H45" i="18"/>
  <c r="K64" i="49"/>
  <c r="H103" i="18"/>
  <c r="K230" i="49"/>
  <c r="H190" i="18"/>
  <c r="K128" i="49"/>
  <c r="L163" i="18"/>
  <c r="G164" i="78"/>
  <c r="H111" i="18"/>
  <c r="K92" i="49"/>
  <c r="H37" i="18"/>
  <c r="K59" i="49"/>
  <c r="O6" i="19"/>
  <c r="N6" i="43" s="1"/>
  <c r="O6" i="43" s="1"/>
  <c r="Q6" i="19"/>
  <c r="T6" i="43" s="1"/>
  <c r="U6" i="43" s="1"/>
  <c r="M6" i="19"/>
  <c r="H7" i="76"/>
  <c r="H71" i="18"/>
  <c r="K75" i="49"/>
  <c r="H169" i="18"/>
  <c r="K119" i="49"/>
  <c r="H64" i="18"/>
  <c r="K162" i="49"/>
  <c r="H3" i="18"/>
  <c r="K139" i="49"/>
  <c r="H187" i="18"/>
  <c r="K42" i="49"/>
  <c r="H99" i="18"/>
  <c r="K87" i="49"/>
  <c r="G126" i="78"/>
  <c r="L125" i="18"/>
  <c r="G148" i="78"/>
  <c r="O147" i="18"/>
  <c r="Q147" i="18" s="1"/>
  <c r="G200" i="78"/>
  <c r="O199" i="18"/>
  <c r="H133" i="18"/>
  <c r="K190" i="49"/>
  <c r="H69" i="18"/>
  <c r="K74" i="49"/>
  <c r="G59" i="78"/>
  <c r="L58" i="18"/>
  <c r="H59" i="78" s="1"/>
  <c r="H49" i="18"/>
  <c r="K65" i="49"/>
  <c r="H26" i="18"/>
  <c r="K7" i="49"/>
  <c r="L72" i="18"/>
  <c r="H73" i="78" s="1"/>
  <c r="O72" i="18"/>
  <c r="L127" i="18"/>
  <c r="O127" i="18"/>
  <c r="Q127" i="18" s="1"/>
  <c r="G128" i="78"/>
  <c r="H39" i="18"/>
  <c r="K60" i="49"/>
  <c r="H230" i="18"/>
  <c r="K46" i="49"/>
  <c r="G187" i="78"/>
  <c r="L186" i="18"/>
  <c r="O186" i="18"/>
  <c r="Q186" i="18" s="1"/>
  <c r="H62" i="18"/>
  <c r="K70" i="49"/>
  <c r="H106" i="18"/>
  <c r="K91" i="49"/>
  <c r="H30" i="18"/>
  <c r="K36" i="49"/>
  <c r="H140" i="18"/>
  <c r="K104" i="49"/>
  <c r="H175" i="18"/>
  <c r="K123" i="49"/>
  <c r="H228" i="18"/>
  <c r="K34" i="49"/>
  <c r="H83" i="18"/>
  <c r="K82" i="49"/>
  <c r="H53" i="18"/>
  <c r="K66" i="49"/>
  <c r="H124" i="18"/>
  <c r="K98" i="49"/>
  <c r="H67" i="18"/>
  <c r="K72" i="49"/>
  <c r="H6" i="18"/>
  <c r="K47" i="49"/>
  <c r="H154" i="18"/>
  <c r="K112" i="49"/>
  <c r="L31" i="18"/>
  <c r="H31" i="44" s="1"/>
  <c r="I31" i="44" s="1"/>
  <c r="L152" i="18"/>
  <c r="O125" i="18"/>
  <c r="G73" i="78"/>
  <c r="I29" i="19"/>
  <c r="H30" i="76" s="1"/>
  <c r="C2" i="49"/>
  <c r="K99" i="49"/>
  <c r="K186" i="49"/>
  <c r="K23" i="49"/>
  <c r="K127" i="49"/>
  <c r="K27" i="49"/>
  <c r="P6" i="19"/>
  <c r="Q6" i="43" s="1"/>
  <c r="R6" i="43" s="1"/>
  <c r="I18" i="19"/>
  <c r="M18" i="19" s="1"/>
  <c r="C16" i="49"/>
  <c r="K63" i="49"/>
  <c r="K144" i="49"/>
  <c r="I26" i="19"/>
  <c r="Q26" i="19" s="1"/>
  <c r="T26" i="43" s="1"/>
  <c r="U26" i="43" s="1"/>
  <c r="C28" i="49"/>
  <c r="H148" i="18"/>
  <c r="K109" i="49"/>
  <c r="H25" i="18"/>
  <c r="K53" i="49"/>
  <c r="H198" i="18"/>
  <c r="K214" i="49"/>
  <c r="O132" i="18"/>
  <c r="Q132" i="18" s="1"/>
  <c r="G133" i="78"/>
  <c r="H184" i="18"/>
  <c r="K208" i="49"/>
  <c r="H210" i="18"/>
  <c r="K221" i="49"/>
  <c r="H57" i="18"/>
  <c r="K160" i="49"/>
  <c r="H170" i="18"/>
  <c r="K120" i="49"/>
  <c r="L112" i="18"/>
  <c r="G113" i="78"/>
  <c r="O112" i="18"/>
  <c r="Q112" i="44" s="1"/>
  <c r="R112" i="44" s="1"/>
  <c r="H166" i="18"/>
  <c r="K117" i="49"/>
  <c r="O8" i="18"/>
  <c r="Q8" i="18" s="1"/>
  <c r="L8" i="18"/>
  <c r="H9" i="78" s="1"/>
  <c r="G9" i="78"/>
  <c r="H100" i="18"/>
  <c r="K88" i="49"/>
  <c r="H200" i="18"/>
  <c r="K215" i="49"/>
  <c r="G24" i="78"/>
  <c r="L23" i="18"/>
  <c r="H23" i="44" s="1"/>
  <c r="I23" i="44" s="1"/>
  <c r="H222" i="18"/>
  <c r="K228" i="49"/>
  <c r="H121" i="18"/>
  <c r="K184" i="49"/>
  <c r="H211" i="18"/>
  <c r="K222" i="49"/>
  <c r="H135" i="18"/>
  <c r="K102" i="49"/>
  <c r="O70" i="18"/>
  <c r="Q70" i="18" s="1"/>
  <c r="G71" i="78"/>
  <c r="L36" i="18"/>
  <c r="O36" i="18"/>
  <c r="Q36" i="44" s="1"/>
  <c r="R36" i="44" s="1"/>
  <c r="H81" i="18"/>
  <c r="K80" i="49"/>
  <c r="H77" i="18"/>
  <c r="K165" i="49"/>
  <c r="H41" i="18"/>
  <c r="K154" i="49"/>
  <c r="H229" i="18"/>
  <c r="K2" i="49"/>
  <c r="H223" i="18"/>
  <c r="K31" i="49"/>
  <c r="O167" i="18"/>
  <c r="G168" i="78"/>
  <c r="L167" i="18"/>
  <c r="H167" i="44" s="1"/>
  <c r="I167" i="44" s="1"/>
  <c r="H192" i="18"/>
  <c r="K43" i="49"/>
  <c r="H93" i="18"/>
  <c r="K173" i="49"/>
  <c r="H28" i="18"/>
  <c r="K54" i="49"/>
  <c r="H29" i="18"/>
  <c r="K151" i="49"/>
  <c r="L128" i="18"/>
  <c r="H129" i="78" s="1"/>
  <c r="G129" i="78"/>
  <c r="H189" i="18"/>
  <c r="K211" i="49"/>
  <c r="H84" i="18"/>
  <c r="K167" i="49"/>
  <c r="O4" i="18"/>
  <c r="Q4" i="18" s="1"/>
  <c r="L4" i="18"/>
  <c r="H5" i="78" s="1"/>
  <c r="G5" i="78"/>
  <c r="H165" i="18"/>
  <c r="K201" i="49"/>
  <c r="H203" i="18"/>
  <c r="K28" i="49"/>
  <c r="H204" i="18"/>
  <c r="K218" i="49"/>
  <c r="H117" i="18"/>
  <c r="K182" i="49"/>
  <c r="H122" i="18"/>
  <c r="K97" i="49"/>
  <c r="H21" i="18"/>
  <c r="K52" i="49"/>
  <c r="H73" i="18"/>
  <c r="K76" i="49"/>
  <c r="H34" i="18"/>
  <c r="K152" i="49"/>
  <c r="L54" i="18"/>
  <c r="O54" i="18"/>
  <c r="Q54" i="18" s="1"/>
  <c r="H91" i="18"/>
  <c r="K172" i="49"/>
  <c r="H88" i="18"/>
  <c r="K170" i="49"/>
  <c r="H196" i="18"/>
  <c r="K130" i="49"/>
  <c r="H51" i="18"/>
  <c r="K9" i="49"/>
  <c r="H181" i="18"/>
  <c r="K41" i="49"/>
  <c r="O156" i="18"/>
  <c r="L156" i="18"/>
  <c r="H156" i="44" s="1"/>
  <c r="I156" i="44" s="1"/>
  <c r="O66" i="18"/>
  <c r="Q66" i="18" s="1"/>
  <c r="L66" i="18"/>
  <c r="G67" i="78"/>
  <c r="H212" i="18"/>
  <c r="K223" i="49"/>
  <c r="H95" i="18"/>
  <c r="K85" i="49"/>
  <c r="H24" i="18"/>
  <c r="K6" i="49"/>
  <c r="C12" i="49"/>
  <c r="O134" i="18"/>
  <c r="O23" i="18"/>
  <c r="Q23" i="44" s="1"/>
  <c r="R23" i="44" s="1"/>
  <c r="O128" i="18"/>
  <c r="Q128" i="18" s="1"/>
  <c r="G55" i="78"/>
  <c r="I7" i="19"/>
  <c r="C24" i="49"/>
  <c r="L147" i="18"/>
  <c r="H148" i="78" s="1"/>
  <c r="K191" i="49"/>
  <c r="K11" i="49"/>
  <c r="K142" i="49"/>
  <c r="K5" i="49"/>
  <c r="K10" i="49"/>
  <c r="K58" i="49"/>
  <c r="K202" i="49"/>
  <c r="H126" i="18"/>
  <c r="O126" i="18" s="1"/>
  <c r="K187" i="49"/>
  <c r="L10" i="18"/>
  <c r="L85" i="18"/>
  <c r="H85" i="44" s="1"/>
  <c r="I85" i="44" s="1"/>
  <c r="O194" i="18"/>
  <c r="Q194" i="44" s="1"/>
  <c r="R194" i="44" s="1"/>
  <c r="C26" i="49"/>
  <c r="L43" i="18"/>
  <c r="G44" i="78"/>
  <c r="C9" i="49"/>
  <c r="C23" i="49"/>
  <c r="F170" i="78"/>
  <c r="F46" i="78"/>
  <c r="F117" i="78"/>
  <c r="Q158" i="18"/>
  <c r="Q158" i="44"/>
  <c r="R158" i="44" s="1"/>
  <c r="G8" i="76"/>
  <c r="F74" i="78"/>
  <c r="H173" i="44"/>
  <c r="I173" i="44" s="1"/>
  <c r="H174" i="78"/>
  <c r="F163" i="78"/>
  <c r="F222" i="78"/>
  <c r="G12" i="76"/>
  <c r="Q16" i="19"/>
  <c r="T16" i="43" s="1"/>
  <c r="U16" i="43" s="1"/>
  <c r="M16" i="19"/>
  <c r="H17" i="76"/>
  <c r="P16" i="19"/>
  <c r="O16" i="19"/>
  <c r="N16" i="43" s="1"/>
  <c r="O16" i="43" s="1"/>
  <c r="F106" i="78"/>
  <c r="F95" i="78"/>
  <c r="F101" i="78"/>
  <c r="F185" i="78"/>
  <c r="F227" i="78"/>
  <c r="F28" i="78"/>
  <c r="F70" i="78"/>
  <c r="G17" i="76"/>
  <c r="F131" i="78"/>
  <c r="H33" i="78"/>
  <c r="H32" i="44"/>
  <c r="I32" i="44" s="1"/>
  <c r="G13" i="76"/>
  <c r="Q216" i="18"/>
  <c r="Q216" i="44"/>
  <c r="R216" i="44" s="1"/>
  <c r="Q227" i="44"/>
  <c r="R227" i="44" s="1"/>
  <c r="Q227" i="18"/>
  <c r="F122" i="78"/>
  <c r="Q31" i="44"/>
  <c r="R31" i="44" s="1"/>
  <c r="Q31" i="18"/>
  <c r="H128" i="44"/>
  <c r="I128" i="44" s="1"/>
  <c r="Q38" i="18"/>
  <c r="Q38" i="44"/>
  <c r="R38" i="44" s="1"/>
  <c r="F197" i="78"/>
  <c r="F133" i="78"/>
  <c r="F79" i="78"/>
  <c r="F208" i="78"/>
  <c r="F164" i="78"/>
  <c r="F201" i="78"/>
  <c r="Q160" i="44"/>
  <c r="R160" i="44" s="1"/>
  <c r="Q160" i="18"/>
  <c r="Q46" i="18"/>
  <c r="Q46" i="44"/>
  <c r="R46" i="44" s="1"/>
  <c r="Q118" i="18"/>
  <c r="Q118" i="44"/>
  <c r="R118" i="44" s="1"/>
  <c r="F165" i="78"/>
  <c r="M5" i="19"/>
  <c r="H6" i="76"/>
  <c r="P5" i="19"/>
  <c r="O5" i="19"/>
  <c r="N5" i="43" s="1"/>
  <c r="O5" i="43" s="1"/>
  <c r="Q5" i="19"/>
  <c r="T5" i="43" s="1"/>
  <c r="U5" i="43" s="1"/>
  <c r="F38" i="78"/>
  <c r="H71" i="78"/>
  <c r="H70" i="44"/>
  <c r="I70" i="44" s="1"/>
  <c r="H218" i="44"/>
  <c r="I218" i="44" s="1"/>
  <c r="H219" i="78"/>
  <c r="F200" i="78"/>
  <c r="G23" i="76"/>
  <c r="F183" i="78"/>
  <c r="Q206" i="18"/>
  <c r="Q206" i="44"/>
  <c r="R206" i="44" s="1"/>
  <c r="F69" i="78"/>
  <c r="O23" i="19"/>
  <c r="N23" i="43" s="1"/>
  <c r="O23" i="43" s="1"/>
  <c r="P23" i="19"/>
  <c r="M23" i="19"/>
  <c r="Q23" i="19"/>
  <c r="T23" i="43" s="1"/>
  <c r="U23" i="43" s="1"/>
  <c r="H24" i="76"/>
  <c r="F19" i="78"/>
  <c r="Q7" i="19"/>
  <c r="T7" i="43" s="1"/>
  <c r="U7" i="43" s="1"/>
  <c r="M7" i="19"/>
  <c r="O7" i="19"/>
  <c r="N7" i="43" s="1"/>
  <c r="O7" i="43" s="1"/>
  <c r="H8" i="76"/>
  <c r="P7" i="19"/>
  <c r="F210" i="78"/>
  <c r="F32" i="78"/>
  <c r="F180" i="78"/>
  <c r="Q59" i="18"/>
  <c r="Q59" i="44"/>
  <c r="R59" i="44" s="1"/>
  <c r="Q110" i="44"/>
  <c r="R110" i="44" s="1"/>
  <c r="Q110" i="18"/>
  <c r="H48" i="44"/>
  <c r="I48" i="44" s="1"/>
  <c r="H49" i="78"/>
  <c r="Q72" i="18"/>
  <c r="Q72" i="44"/>
  <c r="R72" i="44" s="1"/>
  <c r="F223" i="78"/>
  <c r="F225" i="78"/>
  <c r="F176" i="78"/>
  <c r="F129" i="78"/>
  <c r="F159" i="78"/>
  <c r="F187" i="78"/>
  <c r="F89" i="78"/>
  <c r="F51" i="78"/>
  <c r="F156" i="78"/>
  <c r="H76" i="44"/>
  <c r="I76" i="44" s="1"/>
  <c r="H77" i="78"/>
  <c r="G28" i="76"/>
  <c r="H75" i="78"/>
  <c r="H74" i="44"/>
  <c r="I74" i="44" s="1"/>
  <c r="F169" i="78"/>
  <c r="M15" i="19"/>
  <c r="P15" i="19"/>
  <c r="O15" i="19"/>
  <c r="N15" i="43" s="1"/>
  <c r="O15" i="43" s="1"/>
  <c r="Q15" i="19"/>
  <c r="T15" i="43" s="1"/>
  <c r="U15" i="43" s="1"/>
  <c r="H16" i="76"/>
  <c r="F127" i="78"/>
  <c r="Q119" i="18"/>
  <c r="Q119" i="44"/>
  <c r="R119" i="44" s="1"/>
  <c r="Q55" i="18"/>
  <c r="Q55" i="44"/>
  <c r="R55" i="44" s="1"/>
  <c r="Q180" i="44"/>
  <c r="R180" i="44" s="1"/>
  <c r="Q180" i="18"/>
  <c r="H4" i="44"/>
  <c r="I4" i="44" s="1"/>
  <c r="H187" i="78"/>
  <c r="H186" i="44"/>
  <c r="I186" i="44" s="1"/>
  <c r="H145" i="78"/>
  <c r="H144" i="44"/>
  <c r="I144" i="44" s="1"/>
  <c r="Q89" i="18"/>
  <c r="Q89" i="44"/>
  <c r="R89" i="44" s="1"/>
  <c r="H130" i="78"/>
  <c r="H129" i="44"/>
  <c r="I129" i="44" s="1"/>
  <c r="H58" i="44"/>
  <c r="I58" i="44" s="1"/>
  <c r="Q123" i="18"/>
  <c r="Q123" i="44"/>
  <c r="R123" i="44" s="1"/>
  <c r="F174" i="78"/>
  <c r="H28" i="76"/>
  <c r="M27" i="19"/>
  <c r="P27" i="19"/>
  <c r="Q27" i="19"/>
  <c r="T27" i="43" s="1"/>
  <c r="U27" i="43" s="1"/>
  <c r="O27" i="19"/>
  <c r="N27" i="43" s="1"/>
  <c r="O27" i="43" s="1"/>
  <c r="P19" i="19"/>
  <c r="M19" i="19"/>
  <c r="O19" i="19"/>
  <c r="N19" i="43" s="1"/>
  <c r="O19" i="43" s="1"/>
  <c r="Q19" i="19"/>
  <c r="T19" i="43" s="1"/>
  <c r="U19" i="43" s="1"/>
  <c r="H20" i="76"/>
  <c r="H5" i="44"/>
  <c r="I5" i="44" s="1"/>
  <c r="H6" i="78"/>
  <c r="H202" i="44"/>
  <c r="I202" i="44" s="1"/>
  <c r="H203" i="78"/>
  <c r="Q163" i="44"/>
  <c r="R163" i="44" s="1"/>
  <c r="Q163" i="18"/>
  <c r="H103" i="78"/>
  <c r="H102" i="44"/>
  <c r="I102" i="44" s="1"/>
  <c r="Q79" i="18"/>
  <c r="Q79" i="44"/>
  <c r="R79" i="44" s="1"/>
  <c r="Q156" i="44"/>
  <c r="R156" i="44" s="1"/>
  <c r="Q156" i="18"/>
  <c r="H108" i="44"/>
  <c r="I108" i="44" s="1"/>
  <c r="H109" i="78"/>
  <c r="Q193" i="44"/>
  <c r="R193" i="44" s="1"/>
  <c r="Q193" i="18"/>
  <c r="Q219" i="18"/>
  <c r="Q219" i="44"/>
  <c r="R219" i="44" s="1"/>
  <c r="Q61" i="44"/>
  <c r="R61" i="44" s="1"/>
  <c r="Q61" i="18"/>
  <c r="Q149" i="18"/>
  <c r="Q149" i="44"/>
  <c r="R149" i="44" s="1"/>
  <c r="H76" i="78"/>
  <c r="H75" i="44"/>
  <c r="I75" i="44" s="1"/>
  <c r="H61" i="78"/>
  <c r="H60" i="44"/>
  <c r="I60" i="44" s="1"/>
  <c r="Q15" i="44"/>
  <c r="R15" i="44" s="1"/>
  <c r="H43" i="44"/>
  <c r="I43" i="44" s="1"/>
  <c r="H44" i="78"/>
  <c r="Q138" i="44"/>
  <c r="R138" i="44" s="1"/>
  <c r="Q138" i="18"/>
  <c r="F96" i="78"/>
  <c r="F8" i="78"/>
  <c r="F230" i="78"/>
  <c r="F211" i="78"/>
  <c r="F93" i="78"/>
  <c r="G5" i="76"/>
  <c r="F144" i="78"/>
  <c r="H64" i="78"/>
  <c r="H63" i="44"/>
  <c r="I63" i="44" s="1"/>
  <c r="H39" i="78"/>
  <c r="H38" i="44"/>
  <c r="I38" i="44" s="1"/>
  <c r="Q208" i="18"/>
  <c r="Q208" i="44"/>
  <c r="R208" i="44" s="1"/>
  <c r="G22" i="76"/>
  <c r="F48" i="78"/>
  <c r="H153" i="78"/>
  <c r="H152" i="44"/>
  <c r="I152" i="44" s="1"/>
  <c r="F97" i="78"/>
  <c r="F107" i="78"/>
  <c r="H125" i="44"/>
  <c r="I125" i="44" s="1"/>
  <c r="H126" i="78"/>
  <c r="Q176" i="44"/>
  <c r="R176" i="44" s="1"/>
  <c r="Q176" i="18"/>
  <c r="G16" i="76"/>
  <c r="H37" i="78"/>
  <c r="H36" i="44"/>
  <c r="I36" i="44" s="1"/>
  <c r="F67" i="78"/>
  <c r="F80" i="78"/>
  <c r="F143" i="78"/>
  <c r="F41" i="78"/>
  <c r="F49" i="78"/>
  <c r="F160" i="78"/>
  <c r="F149" i="78"/>
  <c r="M10" i="19"/>
  <c r="O10" i="19"/>
  <c r="N10" i="43" s="1"/>
  <c r="O10" i="43" s="1"/>
  <c r="P10" i="19"/>
  <c r="Q10" i="19"/>
  <c r="T10" i="43" s="1"/>
  <c r="U10" i="43" s="1"/>
  <c r="H11" i="76"/>
  <c r="H59" i="44"/>
  <c r="I59" i="44" s="1"/>
  <c r="H60" i="78"/>
  <c r="H127" i="44"/>
  <c r="I127" i="44" s="1"/>
  <c r="H128" i="78"/>
  <c r="Q167" i="44"/>
  <c r="R167" i="44" s="1"/>
  <c r="Q167" i="18"/>
  <c r="F12" i="78"/>
  <c r="G14" i="76"/>
  <c r="F18" i="78"/>
  <c r="Q92" i="44"/>
  <c r="R92" i="44" s="1"/>
  <c r="Q92" i="18"/>
  <c r="M11" i="19"/>
  <c r="Q11" i="19"/>
  <c r="T11" i="43" s="1"/>
  <c r="U11" i="43" s="1"/>
  <c r="O11" i="19"/>
  <c r="N11" i="43" s="1"/>
  <c r="O11" i="43" s="1"/>
  <c r="H12" i="76"/>
  <c r="P11" i="19"/>
  <c r="F91" i="78"/>
  <c r="F81" i="78"/>
  <c r="F63" i="78"/>
  <c r="F220" i="78"/>
  <c r="F138" i="78"/>
  <c r="F92" i="78"/>
  <c r="F218" i="78"/>
  <c r="F232" i="78"/>
  <c r="Q116" i="18"/>
  <c r="Q116" i="44"/>
  <c r="R116" i="44" s="1"/>
  <c r="H156" i="78"/>
  <c r="H155" i="44"/>
  <c r="I155" i="44" s="1"/>
  <c r="Q74" i="18"/>
  <c r="Q74" i="44"/>
  <c r="R74" i="44" s="1"/>
  <c r="F182" i="78"/>
  <c r="F228" i="78"/>
  <c r="K48" i="49"/>
  <c r="O80" i="18"/>
  <c r="L80" i="18"/>
  <c r="G81" i="78"/>
  <c r="F130" i="78"/>
  <c r="Q22" i="19"/>
  <c r="T22" i="43" s="1"/>
  <c r="U22" i="43" s="1"/>
  <c r="O22" i="19"/>
  <c r="N22" i="43" s="1"/>
  <c r="O22" i="43" s="1"/>
  <c r="H23" i="76"/>
  <c r="M22" i="19"/>
  <c r="P22" i="19"/>
  <c r="H198" i="78"/>
  <c r="H197" i="44"/>
  <c r="I197" i="44" s="1"/>
  <c r="H195" i="44"/>
  <c r="I195" i="44" s="1"/>
  <c r="H196" i="78"/>
  <c r="H140" i="78"/>
  <c r="H139" i="44"/>
  <c r="I139" i="44" s="1"/>
  <c r="F135" i="78"/>
  <c r="H177" i="44"/>
  <c r="I177" i="44" s="1"/>
  <c r="H178" i="78"/>
  <c r="Q144" i="44"/>
  <c r="R144" i="44" s="1"/>
  <c r="Q144" i="18"/>
  <c r="Q224" i="44"/>
  <c r="R224" i="44" s="1"/>
  <c r="Q224" i="18"/>
  <c r="F90" i="78"/>
  <c r="Q107" i="18"/>
  <c r="Q107" i="44"/>
  <c r="R107" i="44" s="1"/>
  <c r="Q202" i="18"/>
  <c r="Q202" i="44"/>
  <c r="R202" i="44" s="1"/>
  <c r="Q207" i="18"/>
  <c r="Q207" i="44"/>
  <c r="R207" i="44" s="1"/>
  <c r="H226" i="78"/>
  <c r="H225" i="44"/>
  <c r="I225" i="44" s="1"/>
  <c r="O13" i="19"/>
  <c r="N13" i="43" s="1"/>
  <c r="O13" i="43" s="1"/>
  <c r="H14" i="76"/>
  <c r="P13" i="19"/>
  <c r="M13" i="19"/>
  <c r="Q13" i="19"/>
  <c r="T13" i="43" s="1"/>
  <c r="U13" i="43" s="1"/>
  <c r="M20" i="19"/>
  <c r="O20" i="19"/>
  <c r="N20" i="43" s="1"/>
  <c r="O20" i="43" s="1"/>
  <c r="Q20" i="19"/>
  <c r="T20" i="43" s="1"/>
  <c r="U20" i="43" s="1"/>
  <c r="P20" i="19"/>
  <c r="H21" i="76"/>
  <c r="H163" i="44"/>
  <c r="I163" i="44" s="1"/>
  <c r="H164" i="78"/>
  <c r="H80" i="78"/>
  <c r="H79" i="44"/>
  <c r="I79" i="44" s="1"/>
  <c r="H206" i="78"/>
  <c r="H205" i="44"/>
  <c r="I205" i="44" s="1"/>
  <c r="H131" i="78"/>
  <c r="H130" i="44"/>
  <c r="I130" i="44" s="1"/>
  <c r="Q87" i="18"/>
  <c r="Q87" i="44"/>
  <c r="R87" i="44" s="1"/>
  <c r="Q146" i="44"/>
  <c r="R146" i="44" s="1"/>
  <c r="Q146" i="18"/>
  <c r="Q10" i="18"/>
  <c r="Q10" i="44"/>
  <c r="R10" i="44" s="1"/>
  <c r="H47" i="44"/>
  <c r="I47" i="44" s="1"/>
  <c r="H48" i="78"/>
  <c r="H105" i="44"/>
  <c r="I105" i="44" s="1"/>
  <c r="H106" i="78"/>
  <c r="Q4" i="19"/>
  <c r="T4" i="43" s="1"/>
  <c r="U4" i="43" s="1"/>
  <c r="P4" i="19"/>
  <c r="O4" i="19"/>
  <c r="N4" i="43" s="1"/>
  <c r="O4" i="43" s="1"/>
  <c r="N4" i="19"/>
  <c r="K4" i="43" s="1"/>
  <c r="L4" i="43" s="1"/>
  <c r="H5" i="76"/>
  <c r="M4" i="19"/>
  <c r="F86" i="78"/>
  <c r="F4" i="78"/>
  <c r="F202" i="78"/>
  <c r="F56" i="78"/>
  <c r="F118" i="78"/>
  <c r="H164" i="44"/>
  <c r="I164" i="44" s="1"/>
  <c r="H165" i="78"/>
  <c r="Q98" i="18"/>
  <c r="Q98" i="44"/>
  <c r="R98" i="44" s="1"/>
  <c r="Q150" i="44"/>
  <c r="R150" i="44" s="1"/>
  <c r="Q150" i="18"/>
  <c r="Q136" i="44"/>
  <c r="R136" i="44" s="1"/>
  <c r="Q136" i="18"/>
  <c r="F162" i="78"/>
  <c r="F103" i="78"/>
  <c r="H116" i="78"/>
  <c r="H115" i="44"/>
  <c r="I115" i="44" s="1"/>
  <c r="Q134" i="18"/>
  <c r="Q134" i="44"/>
  <c r="R134" i="44" s="1"/>
  <c r="Q40" i="44"/>
  <c r="R40" i="44" s="1"/>
  <c r="Q40" i="18"/>
  <c r="Q68" i="18"/>
  <c r="Q68" i="44"/>
  <c r="R68" i="44" s="1"/>
  <c r="F59" i="78"/>
  <c r="H110" i="78"/>
  <c r="H109" i="44"/>
  <c r="I109" i="44" s="1"/>
  <c r="F188" i="78"/>
  <c r="H161" i="78"/>
  <c r="H160" i="44"/>
  <c r="I160" i="44" s="1"/>
  <c r="H118" i="44"/>
  <c r="I118" i="44" s="1"/>
  <c r="H119" i="78"/>
  <c r="F203" i="78"/>
  <c r="G18" i="76"/>
  <c r="F45" i="78"/>
  <c r="F136" i="78"/>
  <c r="Q183" i="44"/>
  <c r="R183" i="44" s="1"/>
  <c r="Q183" i="18"/>
  <c r="H159" i="78"/>
  <c r="H158" i="44"/>
  <c r="I158" i="44" s="1"/>
  <c r="Q164" i="18"/>
  <c r="Q164" i="44"/>
  <c r="R164" i="44" s="1"/>
  <c r="H99" i="78"/>
  <c r="H98" i="44"/>
  <c r="I98" i="44" s="1"/>
  <c r="Q173" i="44"/>
  <c r="R173" i="44" s="1"/>
  <c r="Q173" i="18"/>
  <c r="H221" i="78"/>
  <c r="H220" i="44"/>
  <c r="I220" i="44" s="1"/>
  <c r="C19" i="49"/>
  <c r="C13" i="49"/>
  <c r="F226" i="78"/>
  <c r="F205" i="78"/>
  <c r="F158" i="78"/>
  <c r="F217" i="78"/>
  <c r="F57" i="78"/>
  <c r="Q115" i="18"/>
  <c r="Q115" i="44"/>
  <c r="R115" i="44" s="1"/>
  <c r="H135" i="78"/>
  <c r="H134" i="44"/>
  <c r="I134" i="44" s="1"/>
  <c r="Q17" i="18"/>
  <c r="Q17" i="44"/>
  <c r="R17" i="44" s="1"/>
  <c r="F68" i="78"/>
  <c r="F145" i="78"/>
  <c r="G57" i="78"/>
  <c r="O56" i="18"/>
  <c r="L56" i="18"/>
  <c r="F214" i="78"/>
  <c r="H216" i="44"/>
  <c r="I216" i="44" s="1"/>
  <c r="H217" i="78"/>
  <c r="F25" i="78"/>
  <c r="H209" i="78"/>
  <c r="H208" i="44"/>
  <c r="I208" i="44" s="1"/>
  <c r="Q199" i="44"/>
  <c r="R199" i="44" s="1"/>
  <c r="Q199" i="18"/>
  <c r="Q42" i="44"/>
  <c r="R42" i="44" s="1"/>
  <c r="Q42" i="18"/>
  <c r="Q152" i="44"/>
  <c r="R152" i="44" s="1"/>
  <c r="Q152" i="18"/>
  <c r="G29" i="76"/>
  <c r="F147" i="78"/>
  <c r="Q82" i="44"/>
  <c r="R82" i="44" s="1"/>
  <c r="Q82" i="18"/>
  <c r="F50" i="78"/>
  <c r="F88" i="78"/>
  <c r="G15" i="76"/>
  <c r="H55" i="78"/>
  <c r="H54" i="44"/>
  <c r="I54" i="44" s="1"/>
  <c r="Q17" i="19"/>
  <c r="T17" i="43" s="1"/>
  <c r="U17" i="43" s="1"/>
  <c r="H18" i="76"/>
  <c r="O17" i="19"/>
  <c r="N17" i="43" s="1"/>
  <c r="O17" i="43" s="1"/>
  <c r="M17" i="19"/>
  <c r="P17" i="19"/>
  <c r="F61" i="78"/>
  <c r="Q125" i="44"/>
  <c r="R125" i="44" s="1"/>
  <c r="Q125" i="18"/>
  <c r="H207" i="78"/>
  <c r="H206" i="44"/>
  <c r="I206" i="44" s="1"/>
  <c r="H17" i="78"/>
  <c r="H16" i="44"/>
  <c r="I16" i="44" s="1"/>
  <c r="F27" i="78"/>
  <c r="F153" i="78"/>
  <c r="F17" i="78"/>
  <c r="F196" i="78"/>
  <c r="F152" i="78"/>
  <c r="F114" i="78"/>
  <c r="F168" i="78"/>
  <c r="F178" i="78"/>
  <c r="H110" i="44"/>
  <c r="I110" i="44" s="1"/>
  <c r="H111" i="78"/>
  <c r="H146" i="78"/>
  <c r="H145" i="44"/>
  <c r="I145" i="44" s="1"/>
  <c r="Q147" i="44"/>
  <c r="R147" i="44" s="1"/>
  <c r="Q48" i="18"/>
  <c r="Q48" i="44"/>
  <c r="R48" i="44" s="1"/>
  <c r="F77" i="78"/>
  <c r="F99" i="78"/>
  <c r="F39" i="78"/>
  <c r="F6" i="78"/>
  <c r="F179" i="78"/>
  <c r="G9" i="76"/>
  <c r="F105" i="78"/>
  <c r="F213" i="78"/>
  <c r="F141" i="78"/>
  <c r="H117" i="78"/>
  <c r="H116" i="44"/>
  <c r="I116" i="44" s="1"/>
  <c r="Q178" i="18"/>
  <c r="Q178" i="44"/>
  <c r="R178" i="44" s="1"/>
  <c r="Q157" i="18"/>
  <c r="Q157" i="44"/>
  <c r="R157" i="44" s="1"/>
  <c r="G8" i="78"/>
  <c r="L7" i="18"/>
  <c r="O7" i="18"/>
  <c r="M3" i="19"/>
  <c r="H4" i="76"/>
  <c r="Q3" i="19"/>
  <c r="T3" i="43" s="1"/>
  <c r="U3" i="43" s="1"/>
  <c r="O3" i="19"/>
  <c r="N3" i="43" s="1"/>
  <c r="O3" i="43" s="1"/>
  <c r="P3" i="19"/>
  <c r="K68" i="49"/>
  <c r="L231" i="18"/>
  <c r="G232" i="78"/>
  <c r="O231" i="18"/>
  <c r="F42" i="78"/>
  <c r="G11" i="76"/>
  <c r="H119" i="44"/>
  <c r="I119" i="44" s="1"/>
  <c r="H120" i="78"/>
  <c r="Q185" i="44"/>
  <c r="R185" i="44" s="1"/>
  <c r="Q185" i="18"/>
  <c r="F124" i="78"/>
  <c r="Q142" i="18"/>
  <c r="Q142" i="44"/>
  <c r="R142" i="44" s="1"/>
  <c r="Q171" i="18"/>
  <c r="Q171" i="44"/>
  <c r="R171" i="44" s="1"/>
  <c r="Q197" i="44"/>
  <c r="R197" i="44" s="1"/>
  <c r="Q197" i="18"/>
  <c r="Q44" i="44"/>
  <c r="R44" i="44" s="1"/>
  <c r="Q44" i="18"/>
  <c r="Q161" i="18"/>
  <c r="Q161" i="44"/>
  <c r="R161" i="44" s="1"/>
  <c r="G24" i="76"/>
  <c r="H90" i="78"/>
  <c r="H89" i="44"/>
  <c r="I89" i="44" s="1"/>
  <c r="H123" i="44"/>
  <c r="I123" i="44" s="1"/>
  <c r="H124" i="78"/>
  <c r="Q5" i="44"/>
  <c r="R5" i="44" s="1"/>
  <c r="Q5" i="18"/>
  <c r="H208" i="78"/>
  <c r="H207" i="44"/>
  <c r="I207" i="44" s="1"/>
  <c r="Q168" i="44"/>
  <c r="R168" i="44" s="1"/>
  <c r="Q168" i="18"/>
  <c r="H67" i="78"/>
  <c r="H66" i="44"/>
  <c r="I66" i="44" s="1"/>
  <c r="H13" i="44"/>
  <c r="I13" i="44" s="1"/>
  <c r="H14" i="78"/>
  <c r="Q205" i="44"/>
  <c r="R205" i="44" s="1"/>
  <c r="Q205" i="18"/>
  <c r="Q130" i="44"/>
  <c r="R130" i="44" s="1"/>
  <c r="Q130" i="18"/>
  <c r="H87" i="44"/>
  <c r="I87" i="44" s="1"/>
  <c r="H88" i="78"/>
  <c r="H52" i="44"/>
  <c r="I52" i="44" s="1"/>
  <c r="H53" i="78"/>
  <c r="Q108" i="18"/>
  <c r="Q108" i="44"/>
  <c r="R108" i="44" s="1"/>
  <c r="H193" i="44"/>
  <c r="I193" i="44" s="1"/>
  <c r="H194" i="78"/>
  <c r="H133" i="78"/>
  <c r="H132" i="44"/>
  <c r="I132" i="44" s="1"/>
  <c r="Q75" i="18"/>
  <c r="Q75" i="44"/>
  <c r="R75" i="44" s="1"/>
  <c r="Q60" i="44"/>
  <c r="R60" i="44" s="1"/>
  <c r="Q60" i="18"/>
  <c r="Q47" i="44"/>
  <c r="R47" i="44" s="1"/>
  <c r="Q47" i="18"/>
  <c r="H112" i="44"/>
  <c r="I112" i="44" s="1"/>
  <c r="H113" i="78"/>
  <c r="Q105" i="44"/>
  <c r="R105" i="44" s="1"/>
  <c r="F175" i="78"/>
  <c r="F167" i="78"/>
  <c r="F37" i="78"/>
  <c r="F23" i="78"/>
  <c r="F33" i="78"/>
  <c r="F123" i="78"/>
  <c r="G20" i="76"/>
  <c r="H173" i="78"/>
  <c r="H172" i="44"/>
  <c r="I172" i="44" s="1"/>
  <c r="Q220" i="18"/>
  <c r="Q220" i="44"/>
  <c r="R220" i="44" s="1"/>
  <c r="F119" i="78"/>
  <c r="H18" i="78"/>
  <c r="H17" i="44"/>
  <c r="I17" i="44" s="1"/>
  <c r="P28" i="19"/>
  <c r="O28" i="19"/>
  <c r="N28" i="43" s="1"/>
  <c r="O28" i="43" s="1"/>
  <c r="M28" i="19"/>
  <c r="Q28" i="19"/>
  <c r="T28" i="43" s="1"/>
  <c r="U28" i="43" s="1"/>
  <c r="H29" i="76"/>
  <c r="H65" i="44"/>
  <c r="I65" i="44" s="1"/>
  <c r="H66" i="78"/>
  <c r="F215" i="78"/>
  <c r="Q209" i="18"/>
  <c r="Q209" i="44"/>
  <c r="R209" i="44" s="1"/>
  <c r="F216" i="78"/>
  <c r="F154" i="78"/>
  <c r="F209" i="78"/>
  <c r="F15" i="78"/>
  <c r="G19" i="76"/>
  <c r="M9" i="19"/>
  <c r="H10" i="76"/>
  <c r="P9" i="19"/>
  <c r="Q9" i="19"/>
  <c r="T9" i="43" s="1"/>
  <c r="U9" i="43" s="1"/>
  <c r="O9" i="19"/>
  <c r="N9" i="43" s="1"/>
  <c r="O9" i="43" s="1"/>
  <c r="F125" i="78"/>
  <c r="F112" i="78"/>
  <c r="F36" i="78"/>
  <c r="F73" i="78"/>
  <c r="G27" i="76"/>
  <c r="F13" i="78"/>
  <c r="H151" i="78"/>
  <c r="H150" i="44"/>
  <c r="I150" i="44" s="1"/>
  <c r="H137" i="78"/>
  <c r="H136" i="44"/>
  <c r="I136" i="44" s="1"/>
  <c r="G6" i="76"/>
  <c r="Q101" i="18"/>
  <c r="Q101" i="44"/>
  <c r="R101" i="44" s="1"/>
  <c r="Q172" i="44"/>
  <c r="R172" i="44" s="1"/>
  <c r="Q172" i="18"/>
  <c r="F195" i="78"/>
  <c r="F82" i="78"/>
  <c r="C15" i="49"/>
  <c r="Q21" i="19"/>
  <c r="T21" i="43" s="1"/>
  <c r="U21" i="43" s="1"/>
  <c r="H22" i="76"/>
  <c r="P21" i="19"/>
  <c r="O21" i="19"/>
  <c r="N21" i="43" s="1"/>
  <c r="O21" i="43" s="1"/>
  <c r="M21" i="19"/>
  <c r="F128" i="78"/>
  <c r="F126" i="78"/>
  <c r="F137" i="78"/>
  <c r="G21" i="76"/>
  <c r="H40" i="44"/>
  <c r="I40" i="44" s="1"/>
  <c r="H41" i="78"/>
  <c r="H68" i="44"/>
  <c r="I68" i="44" s="1"/>
  <c r="H69" i="78"/>
  <c r="M14" i="19"/>
  <c r="O14" i="19"/>
  <c r="N14" i="43" s="1"/>
  <c r="O14" i="43" s="1"/>
  <c r="H15" i="76"/>
  <c r="P14" i="19"/>
  <c r="Q14" i="19"/>
  <c r="T14" i="43" s="1"/>
  <c r="U14" i="43" s="1"/>
  <c r="G10" i="76"/>
  <c r="F29" i="78"/>
  <c r="F34" i="78"/>
  <c r="Q32" i="44"/>
  <c r="R32" i="44" s="1"/>
  <c r="Q32" i="18"/>
  <c r="Q109" i="18"/>
  <c r="Q109" i="44"/>
  <c r="R109" i="44" s="1"/>
  <c r="H228" i="78"/>
  <c r="H227" i="44"/>
  <c r="I227" i="44" s="1"/>
  <c r="F132" i="78"/>
  <c r="F65" i="78"/>
  <c r="F5" i="78"/>
  <c r="H199" i="44"/>
  <c r="I199" i="44" s="1"/>
  <c r="H200" i="78"/>
  <c r="H42" i="44"/>
  <c r="I42" i="44" s="1"/>
  <c r="H43" i="78"/>
  <c r="F116" i="78"/>
  <c r="H82" i="44"/>
  <c r="I82" i="44" s="1"/>
  <c r="H83" i="78"/>
  <c r="H209" i="44"/>
  <c r="I209" i="44" s="1"/>
  <c r="H210" i="78"/>
  <c r="H46" i="44"/>
  <c r="I46" i="44" s="1"/>
  <c r="H47" i="78"/>
  <c r="F192" i="78"/>
  <c r="F47" i="78"/>
  <c r="Q94" i="18"/>
  <c r="Q94" i="44"/>
  <c r="R94" i="44" s="1"/>
  <c r="F60" i="78"/>
  <c r="Q218" i="18"/>
  <c r="Q218" i="44"/>
  <c r="R218" i="44" s="1"/>
  <c r="H176" i="44"/>
  <c r="I176" i="44" s="1"/>
  <c r="H177" i="78"/>
  <c r="F193" i="78"/>
  <c r="Q16" i="44"/>
  <c r="R16" i="44" s="1"/>
  <c r="Q16" i="18"/>
  <c r="F109" i="78"/>
  <c r="F102" i="78"/>
  <c r="F16" i="78"/>
  <c r="F161" i="78"/>
  <c r="F21" i="78"/>
  <c r="F155" i="78"/>
  <c r="F142" i="78"/>
  <c r="F157" i="78"/>
  <c r="Q127" i="44"/>
  <c r="R127" i="44" s="1"/>
  <c r="Q145" i="18"/>
  <c r="Q145" i="44"/>
  <c r="R145" i="44" s="1"/>
  <c r="H72" i="44"/>
  <c r="I72" i="44" s="1"/>
  <c r="H92" i="44"/>
  <c r="I92" i="44" s="1"/>
  <c r="H93" i="78"/>
  <c r="F55" i="78"/>
  <c r="F181" i="78"/>
  <c r="F150" i="78"/>
  <c r="F66" i="78"/>
  <c r="F198" i="78"/>
  <c r="F35" i="78"/>
  <c r="F219" i="78"/>
  <c r="Q76" i="44"/>
  <c r="R76" i="44" s="1"/>
  <c r="Q76" i="18"/>
  <c r="H178" i="44"/>
  <c r="I178" i="44" s="1"/>
  <c r="H179" i="78"/>
  <c r="H158" i="78"/>
  <c r="H157" i="44"/>
  <c r="I157" i="44" s="1"/>
  <c r="Q155" i="18"/>
  <c r="Q155" i="44"/>
  <c r="R155" i="44" s="1"/>
  <c r="L14" i="18"/>
  <c r="G15" i="78"/>
  <c r="O14" i="18"/>
  <c r="K147" i="49"/>
  <c r="F87" i="78"/>
  <c r="F139" i="78"/>
  <c r="H185" i="44"/>
  <c r="I185" i="44" s="1"/>
  <c r="H186" i="78"/>
  <c r="H142" i="44"/>
  <c r="I142" i="44" s="1"/>
  <c r="H143" i="78"/>
  <c r="H172" i="78"/>
  <c r="H171" i="44"/>
  <c r="I171" i="44" s="1"/>
  <c r="Q195" i="44"/>
  <c r="R195" i="44" s="1"/>
  <c r="Q195" i="18"/>
  <c r="H180" i="44"/>
  <c r="I180" i="44" s="1"/>
  <c r="H181" i="78"/>
  <c r="Q139" i="44"/>
  <c r="R139" i="44" s="1"/>
  <c r="Q139" i="18"/>
  <c r="Q186" i="44"/>
  <c r="R186" i="44" s="1"/>
  <c r="H44" i="44"/>
  <c r="I44" i="44" s="1"/>
  <c r="H45" i="78"/>
  <c r="Q177" i="44"/>
  <c r="R177" i="44" s="1"/>
  <c r="Q177" i="18"/>
  <c r="F98" i="78"/>
  <c r="H224" i="44"/>
  <c r="I224" i="44" s="1"/>
  <c r="H225" i="78"/>
  <c r="Q129" i="18"/>
  <c r="Q129" i="44"/>
  <c r="R129" i="44" s="1"/>
  <c r="Q58" i="44"/>
  <c r="R58" i="44" s="1"/>
  <c r="Q58" i="18"/>
  <c r="O12" i="19"/>
  <c r="N12" i="43" s="1"/>
  <c r="O12" i="43" s="1"/>
  <c r="M12" i="19"/>
  <c r="H13" i="76"/>
  <c r="P12" i="19"/>
  <c r="Q12" i="19"/>
  <c r="T12" i="43" s="1"/>
  <c r="U12" i="43" s="1"/>
  <c r="P25" i="19"/>
  <c r="H26" i="76"/>
  <c r="M25" i="19"/>
  <c r="O25" i="19"/>
  <c r="N25" i="43" s="1"/>
  <c r="O25" i="43" s="1"/>
  <c r="Q25" i="19"/>
  <c r="T25" i="43" s="1"/>
  <c r="U25" i="43" s="1"/>
  <c r="H108" i="78"/>
  <c r="H107" i="44"/>
  <c r="I107" i="44" s="1"/>
  <c r="H168" i="44"/>
  <c r="I168" i="44" s="1"/>
  <c r="H169" i="78"/>
  <c r="Q225" i="44"/>
  <c r="R225" i="44" s="1"/>
  <c r="Q225" i="18"/>
  <c r="P26" i="19"/>
  <c r="Q182" i="18"/>
  <c r="Q182" i="44"/>
  <c r="R182" i="44" s="1"/>
  <c r="Q102" i="44"/>
  <c r="R102" i="44" s="1"/>
  <c r="Q102" i="18"/>
  <c r="Q13" i="18"/>
  <c r="Q13" i="44"/>
  <c r="R13" i="44" s="1"/>
  <c r="F9" i="78"/>
  <c r="O24" i="19"/>
  <c r="N24" i="43" s="1"/>
  <c r="O24" i="43" s="1"/>
  <c r="P24" i="19"/>
  <c r="M24" i="19"/>
  <c r="Q24" i="19"/>
  <c r="T24" i="43" s="1"/>
  <c r="U24" i="43" s="1"/>
  <c r="H25" i="76"/>
  <c r="I7" i="76"/>
  <c r="H6" i="43"/>
  <c r="I6" i="43" s="1"/>
  <c r="H147" i="78"/>
  <c r="H146" i="44"/>
  <c r="I146" i="44" s="1"/>
  <c r="H219" i="44"/>
  <c r="I219" i="44" s="1"/>
  <c r="H220" i="78"/>
  <c r="H149" i="44"/>
  <c r="I149" i="44" s="1"/>
  <c r="H150" i="78"/>
  <c r="H10" i="44"/>
  <c r="I10" i="44" s="1"/>
  <c r="H11" i="78"/>
  <c r="H16" i="78"/>
  <c r="H15" i="44"/>
  <c r="I15" i="44" s="1"/>
  <c r="Q112" i="18"/>
  <c r="Q43" i="44"/>
  <c r="R43" i="44" s="1"/>
  <c r="Q43" i="18"/>
  <c r="Q194" i="18" l="1"/>
  <c r="H32" i="78"/>
  <c r="Q132" i="44"/>
  <c r="R132" i="44" s="1"/>
  <c r="P29" i="19"/>
  <c r="R29" i="19" s="1"/>
  <c r="H184" i="78"/>
  <c r="Q85" i="44"/>
  <c r="R85" i="44" s="1"/>
  <c r="Q52" i="18"/>
  <c r="Q8" i="19"/>
  <c r="T8" i="43" s="1"/>
  <c r="U8" i="43" s="1"/>
  <c r="O18" i="19"/>
  <c r="N18" i="43" s="1"/>
  <c r="O18" i="43" s="1"/>
  <c r="H95" i="78"/>
  <c r="O8" i="19"/>
  <c r="N8" i="43" s="1"/>
  <c r="O8" i="43" s="1"/>
  <c r="H56" i="78"/>
  <c r="G115" i="78"/>
  <c r="L114" i="18"/>
  <c r="O114" i="18"/>
  <c r="L18" i="18"/>
  <c r="M18" i="18"/>
  <c r="K18" i="44" s="1"/>
  <c r="L18" i="44" s="1"/>
  <c r="O18" i="18"/>
  <c r="N18" i="18"/>
  <c r="N18" i="44" s="1"/>
  <c r="O18" i="44" s="1"/>
  <c r="G19" i="78"/>
  <c r="P18" i="18"/>
  <c r="T18" i="44" s="1"/>
  <c r="U18" i="44" s="1"/>
  <c r="L191" i="18"/>
  <c r="G192" i="78"/>
  <c r="O191" i="18"/>
  <c r="L174" i="18"/>
  <c r="O174" i="18"/>
  <c r="G175" i="78"/>
  <c r="G142" i="78"/>
  <c r="O141" i="18"/>
  <c r="L141" i="18"/>
  <c r="O9" i="18"/>
  <c r="G10" i="78"/>
  <c r="L9" i="18"/>
  <c r="Q128" i="44"/>
  <c r="R128" i="44" s="1"/>
  <c r="G127" i="78"/>
  <c r="M29" i="19"/>
  <c r="H29" i="43" s="1"/>
  <c r="I29" i="43" s="1"/>
  <c r="Q29" i="19"/>
  <c r="T29" i="43" s="1"/>
  <c r="U29" i="43" s="1"/>
  <c r="H147" i="44"/>
  <c r="I147" i="44" s="1"/>
  <c r="H168" i="78"/>
  <c r="G214" i="78"/>
  <c r="L213" i="18"/>
  <c r="O213" i="18"/>
  <c r="L188" i="18"/>
  <c r="O188" i="18"/>
  <c r="G189" i="78"/>
  <c r="Q70" i="44"/>
  <c r="R70" i="44" s="1"/>
  <c r="P8" i="19"/>
  <c r="H138" i="44"/>
  <c r="I138" i="44" s="1"/>
  <c r="Q63" i="18"/>
  <c r="Q65" i="44"/>
  <c r="R65" i="44" s="1"/>
  <c r="H101" i="44"/>
  <c r="I101" i="44" s="1"/>
  <c r="H62" i="78"/>
  <c r="H182" i="44"/>
  <c r="I182" i="44" s="1"/>
  <c r="Q66" i="44"/>
  <c r="R66" i="44" s="1"/>
  <c r="H161" i="44"/>
  <c r="I161" i="44" s="1"/>
  <c r="L126" i="18"/>
  <c r="H127" i="78" s="1"/>
  <c r="O29" i="19"/>
  <c r="N29" i="43" s="1"/>
  <c r="O29" i="43" s="1"/>
  <c r="L78" i="18"/>
  <c r="G79" i="78"/>
  <c r="O78" i="18"/>
  <c r="G20" i="78"/>
  <c r="O19" i="18"/>
  <c r="L19" i="18"/>
  <c r="L131" i="18"/>
  <c r="O131" i="18"/>
  <c r="G132" i="78"/>
  <c r="G87" i="78"/>
  <c r="O86" i="18"/>
  <c r="L86" i="18"/>
  <c r="L97" i="18"/>
  <c r="O97" i="18"/>
  <c r="G98" i="78"/>
  <c r="L226" i="18"/>
  <c r="G227" i="78"/>
  <c r="O226" i="18"/>
  <c r="G180" i="78"/>
  <c r="L179" i="18"/>
  <c r="O179" i="18"/>
  <c r="L12" i="18"/>
  <c r="G13" i="78"/>
  <c r="O12" i="18"/>
  <c r="O215" i="18"/>
  <c r="G216" i="78"/>
  <c r="L215" i="18"/>
  <c r="O143" i="18"/>
  <c r="G144" i="78"/>
  <c r="L143" i="18"/>
  <c r="L137" i="18"/>
  <c r="G138" i="78"/>
  <c r="O137" i="18"/>
  <c r="O221" i="18"/>
  <c r="G222" i="78"/>
  <c r="L221" i="18"/>
  <c r="G12" i="78"/>
  <c r="L11" i="18"/>
  <c r="O11" i="18"/>
  <c r="L153" i="18"/>
  <c r="O153" i="18"/>
  <c r="G154" i="78"/>
  <c r="G121" i="78"/>
  <c r="O120" i="18"/>
  <c r="L120" i="18"/>
  <c r="G91" i="78"/>
  <c r="L90" i="18"/>
  <c r="O90" i="18"/>
  <c r="L151" i="18"/>
  <c r="O151" i="18"/>
  <c r="G152" i="78"/>
  <c r="H9" i="76"/>
  <c r="M26" i="19"/>
  <c r="Q18" i="19"/>
  <c r="T18" i="43" s="1"/>
  <c r="U18" i="43" s="1"/>
  <c r="H27" i="76"/>
  <c r="H8" i="44"/>
  <c r="I8" i="44" s="1"/>
  <c r="P18" i="19"/>
  <c r="H19" i="76"/>
  <c r="O26" i="19"/>
  <c r="N26" i="43" s="1"/>
  <c r="O26" i="43" s="1"/>
  <c r="O104" i="18"/>
  <c r="G105" i="78"/>
  <c r="L104" i="18"/>
  <c r="O162" i="18"/>
  <c r="L162" i="18"/>
  <c r="G163" i="78"/>
  <c r="O35" i="18"/>
  <c r="G36" i="78"/>
  <c r="L35" i="18"/>
  <c r="O27" i="18"/>
  <c r="G28" i="78"/>
  <c r="L27" i="18"/>
  <c r="P20" i="18"/>
  <c r="T20" i="44" s="1"/>
  <c r="U20" i="44" s="1"/>
  <c r="O20" i="18"/>
  <c r="M20" i="18"/>
  <c r="K20" i="44" s="1"/>
  <c r="L20" i="44" s="1"/>
  <c r="N20" i="18"/>
  <c r="N20" i="44" s="1"/>
  <c r="O20" i="44" s="1"/>
  <c r="G21" i="78"/>
  <c r="L20" i="18"/>
  <c r="L217" i="18"/>
  <c r="G218" i="78"/>
  <c r="O217" i="18"/>
  <c r="H24" i="78"/>
  <c r="Q4" i="44"/>
  <c r="R4" i="44" s="1"/>
  <c r="Q23" i="18"/>
  <c r="I24" i="78" s="1"/>
  <c r="L24" i="78" s="1"/>
  <c r="R6" i="19"/>
  <c r="J7" i="76" s="1"/>
  <c r="M7" i="76" s="1"/>
  <c r="L51" i="18"/>
  <c r="G52" i="78"/>
  <c r="O51" i="18"/>
  <c r="L88" i="18"/>
  <c r="O88" i="18"/>
  <c r="G89" i="78"/>
  <c r="O73" i="18"/>
  <c r="L73" i="18"/>
  <c r="G74" i="78"/>
  <c r="G123" i="78"/>
  <c r="O122" i="18"/>
  <c r="L122" i="18"/>
  <c r="L204" i="18"/>
  <c r="O204" i="18"/>
  <c r="G205" i="78"/>
  <c r="O165" i="18"/>
  <c r="G166" i="78"/>
  <c r="L165" i="18"/>
  <c r="L229" i="18"/>
  <c r="O229" i="18"/>
  <c r="G230" i="78"/>
  <c r="O77" i="18"/>
  <c r="L77" i="18"/>
  <c r="G78" i="78"/>
  <c r="M135" i="18"/>
  <c r="K135" i="44" s="1"/>
  <c r="L135" i="44" s="1"/>
  <c r="N135" i="18"/>
  <c r="N135" i="44" s="1"/>
  <c r="O135" i="44" s="1"/>
  <c r="L135" i="18"/>
  <c r="G136" i="78"/>
  <c r="O135" i="18"/>
  <c r="P135" i="18"/>
  <c r="T135" i="44" s="1"/>
  <c r="U135" i="44" s="1"/>
  <c r="G122" i="78"/>
  <c r="L121" i="18"/>
  <c r="O121" i="18"/>
  <c r="G101" i="78"/>
  <c r="O100" i="18"/>
  <c r="L100" i="18"/>
  <c r="O57" i="18"/>
  <c r="L57" i="18"/>
  <c r="G58" i="78"/>
  <c r="G185" i="78"/>
  <c r="L184" i="18"/>
  <c r="O184" i="18"/>
  <c r="L198" i="18"/>
  <c r="G199" i="78"/>
  <c r="O198" i="18"/>
  <c r="L148" i="18"/>
  <c r="O148" i="18"/>
  <c r="G149" i="78"/>
  <c r="O154" i="18"/>
  <c r="L154" i="18"/>
  <c r="G155" i="78"/>
  <c r="L67" i="18"/>
  <c r="G68" i="78"/>
  <c r="O67" i="18"/>
  <c r="O53" i="18"/>
  <c r="L53" i="18"/>
  <c r="G54" i="78"/>
  <c r="L228" i="18"/>
  <c r="O228" i="18"/>
  <c r="G229" i="78"/>
  <c r="L140" i="18"/>
  <c r="G141" i="78"/>
  <c r="O140" i="18"/>
  <c r="O106" i="18"/>
  <c r="L106" i="18"/>
  <c r="G107" i="78"/>
  <c r="L26" i="18"/>
  <c r="G27" i="78"/>
  <c r="O26" i="18"/>
  <c r="L133" i="18"/>
  <c r="G134" i="78"/>
  <c r="O133" i="18"/>
  <c r="G100" i="78"/>
  <c r="O99" i="18"/>
  <c r="L99" i="18"/>
  <c r="O3" i="18"/>
  <c r="G4" i="78"/>
  <c r="L3" i="18"/>
  <c r="G170" i="78"/>
  <c r="O169" i="18"/>
  <c r="L169" i="18"/>
  <c r="G38" i="78"/>
  <c r="L37" i="18"/>
  <c r="O37" i="18"/>
  <c r="L103" i="18"/>
  <c r="O103" i="18"/>
  <c r="G104" i="78"/>
  <c r="G215" i="78"/>
  <c r="L214" i="18"/>
  <c r="O214" i="18"/>
  <c r="G34" i="78"/>
  <c r="L33" i="18"/>
  <c r="O33" i="18"/>
  <c r="L96" i="18"/>
  <c r="G97" i="78"/>
  <c r="O96" i="18"/>
  <c r="L113" i="18"/>
  <c r="O113" i="18"/>
  <c r="G114" i="78"/>
  <c r="O159" i="18"/>
  <c r="L159" i="18"/>
  <c r="G160" i="78"/>
  <c r="G190" i="78"/>
  <c r="O189" i="18"/>
  <c r="L189" i="18"/>
  <c r="L29" i="18"/>
  <c r="G30" i="78"/>
  <c r="O29" i="18"/>
  <c r="G94" i="78"/>
  <c r="L93" i="18"/>
  <c r="O93" i="18"/>
  <c r="H157" i="78"/>
  <c r="Q54" i="44"/>
  <c r="R54" i="44" s="1"/>
  <c r="L95" i="18"/>
  <c r="O95" i="18"/>
  <c r="G96" i="78"/>
  <c r="L84" i="18"/>
  <c r="G85" i="78"/>
  <c r="O84" i="18"/>
  <c r="O28" i="18"/>
  <c r="L28" i="18"/>
  <c r="G29" i="78"/>
  <c r="G193" i="78"/>
  <c r="L192" i="18"/>
  <c r="O192" i="18"/>
  <c r="L166" i="18"/>
  <c r="O166" i="18"/>
  <c r="G167" i="78"/>
  <c r="L39" i="18"/>
  <c r="G40" i="78"/>
  <c r="O39" i="18"/>
  <c r="L24" i="18"/>
  <c r="O24" i="18"/>
  <c r="G25" i="78"/>
  <c r="O212" i="18"/>
  <c r="L212" i="18"/>
  <c r="G213" i="78"/>
  <c r="G231" i="78"/>
  <c r="L230" i="18"/>
  <c r="O230" i="18"/>
  <c r="Q36" i="18"/>
  <c r="H86" i="78"/>
  <c r="Q8" i="44"/>
  <c r="R8" i="44" s="1"/>
  <c r="O181" i="18"/>
  <c r="G182" i="78"/>
  <c r="L181" i="18"/>
  <c r="O196" i="18"/>
  <c r="L196" i="18"/>
  <c r="G197" i="78"/>
  <c r="O91" i="18"/>
  <c r="L91" i="18"/>
  <c r="G92" i="78"/>
  <c r="L34" i="18"/>
  <c r="G35" i="78"/>
  <c r="O34" i="18"/>
  <c r="G22" i="78"/>
  <c r="O21" i="18"/>
  <c r="L21" i="18"/>
  <c r="O117" i="18"/>
  <c r="L117" i="18"/>
  <c r="G118" i="78"/>
  <c r="G204" i="78"/>
  <c r="L203" i="18"/>
  <c r="O203" i="18"/>
  <c r="G224" i="78"/>
  <c r="L223" i="18"/>
  <c r="O223" i="18"/>
  <c r="G42" i="78"/>
  <c r="L41" i="18"/>
  <c r="O41" i="18"/>
  <c r="L81" i="18"/>
  <c r="O81" i="18"/>
  <c r="G82" i="78"/>
  <c r="O211" i="18"/>
  <c r="G212" i="78"/>
  <c r="L211" i="18"/>
  <c r="O222" i="18"/>
  <c r="G223" i="78"/>
  <c r="L222" i="18"/>
  <c r="O200" i="18"/>
  <c r="L200" i="18"/>
  <c r="G201" i="78"/>
  <c r="O170" i="18"/>
  <c r="G171" i="78"/>
  <c r="L170" i="18"/>
  <c r="G211" i="78"/>
  <c r="L210" i="18"/>
  <c r="O210" i="18"/>
  <c r="G26" i="78"/>
  <c r="O25" i="18"/>
  <c r="L25" i="18"/>
  <c r="O6" i="18"/>
  <c r="G7" i="78"/>
  <c r="L6" i="18"/>
  <c r="O124" i="18"/>
  <c r="G125" i="78"/>
  <c r="L124" i="18"/>
  <c r="L83" i="18"/>
  <c r="O83" i="18"/>
  <c r="G84" i="78"/>
  <c r="L175" i="18"/>
  <c r="O175" i="18"/>
  <c r="G176" i="78"/>
  <c r="O30" i="18"/>
  <c r="L30" i="18"/>
  <c r="G31" i="78"/>
  <c r="G63" i="78"/>
  <c r="O62" i="18"/>
  <c r="L62" i="18"/>
  <c r="L49" i="18"/>
  <c r="O49" i="18"/>
  <c r="G50" i="78"/>
  <c r="L69" i="18"/>
  <c r="G70" i="78"/>
  <c r="O69" i="18"/>
  <c r="O187" i="18"/>
  <c r="L187" i="18"/>
  <c r="G188" i="78"/>
  <c r="G65" i="78"/>
  <c r="L64" i="18"/>
  <c r="O64" i="18"/>
  <c r="O71" i="18"/>
  <c r="L71" i="18"/>
  <c r="G72" i="78"/>
  <c r="O111" i="18"/>
  <c r="L111" i="18"/>
  <c r="G112" i="78"/>
  <c r="G191" i="78"/>
  <c r="O190" i="18"/>
  <c r="L190" i="18"/>
  <c r="G46" i="78"/>
  <c r="O45" i="18"/>
  <c r="L45" i="18"/>
  <c r="O50" i="18"/>
  <c r="G51" i="78"/>
  <c r="L50" i="18"/>
  <c r="G202" i="78"/>
  <c r="O201" i="18"/>
  <c r="L201" i="18"/>
  <c r="L22" i="18"/>
  <c r="G23" i="78"/>
  <c r="O22" i="18"/>
  <c r="L194" i="18"/>
  <c r="G195" i="78"/>
  <c r="W112" i="44"/>
  <c r="X112" i="44" s="1"/>
  <c r="Y112" i="44" s="1"/>
  <c r="K113" i="78" s="1"/>
  <c r="I113" i="78"/>
  <c r="L113" i="78" s="1"/>
  <c r="R24" i="19"/>
  <c r="Q24" i="43"/>
  <c r="R24" i="43" s="1"/>
  <c r="W102" i="44"/>
  <c r="X102" i="44" s="1"/>
  <c r="Y102" i="44" s="1"/>
  <c r="K103" i="78" s="1"/>
  <c r="I103" i="78"/>
  <c r="L103" i="78" s="1"/>
  <c r="W43" i="44"/>
  <c r="X43" i="44" s="1"/>
  <c r="Y43" i="44" s="1"/>
  <c r="K44" i="78" s="1"/>
  <c r="I44" i="78"/>
  <c r="H26" i="43"/>
  <c r="I26" i="43" s="1"/>
  <c r="I27" i="76"/>
  <c r="Q14" i="18"/>
  <c r="Q14" i="44"/>
  <c r="R14" i="44" s="1"/>
  <c r="I156" i="78"/>
  <c r="L156" i="78" s="1"/>
  <c r="W155" i="44"/>
  <c r="X155" i="44" s="1"/>
  <c r="Y155" i="44" s="1"/>
  <c r="K156" i="78" s="1"/>
  <c r="I128" i="78"/>
  <c r="L128" i="78" s="1"/>
  <c r="W127" i="44"/>
  <c r="X127" i="44" s="1"/>
  <c r="I219" i="78"/>
  <c r="L219" i="78" s="1"/>
  <c r="W218" i="44"/>
  <c r="X218" i="44" s="1"/>
  <c r="Y218" i="44" s="1"/>
  <c r="K219" i="78" s="1"/>
  <c r="I95" i="78"/>
  <c r="L95" i="78" s="1"/>
  <c r="W94" i="44"/>
  <c r="X94" i="44" s="1"/>
  <c r="I19" i="76"/>
  <c r="H18" i="43"/>
  <c r="I18" i="43" s="1"/>
  <c r="R14" i="19"/>
  <c r="Q14" i="43"/>
  <c r="R14" i="43" s="1"/>
  <c r="Q28" i="43"/>
  <c r="R28" i="43" s="1"/>
  <c r="R28" i="19"/>
  <c r="W47" i="44"/>
  <c r="X47" i="44" s="1"/>
  <c r="Y47" i="44" s="1"/>
  <c r="K48" i="78" s="1"/>
  <c r="I48" i="78"/>
  <c r="L48" i="78" s="1"/>
  <c r="W205" i="44"/>
  <c r="X205" i="44" s="1"/>
  <c r="Y205" i="44" s="1"/>
  <c r="K206" i="78" s="1"/>
  <c r="I206" i="78"/>
  <c r="I169" i="78"/>
  <c r="L169" i="78" s="1"/>
  <c r="W168" i="44"/>
  <c r="X168" i="44" s="1"/>
  <c r="Y168" i="44" s="1"/>
  <c r="K169" i="78" s="1"/>
  <c r="I143" i="78"/>
  <c r="L143" i="78" s="1"/>
  <c r="W142" i="44"/>
  <c r="X142" i="44" s="1"/>
  <c r="Y142" i="44" s="1"/>
  <c r="K143" i="78" s="1"/>
  <c r="H232" i="78"/>
  <c r="H231" i="44"/>
  <c r="I231" i="44" s="1"/>
  <c r="H7" i="44"/>
  <c r="I7" i="44" s="1"/>
  <c r="H8" i="78"/>
  <c r="I49" i="78"/>
  <c r="L49" i="78" s="1"/>
  <c r="W48" i="44"/>
  <c r="X48" i="44" s="1"/>
  <c r="Y48" i="44" s="1"/>
  <c r="K49" i="78" s="1"/>
  <c r="W152" i="44"/>
  <c r="X152" i="44" s="1"/>
  <c r="Y152" i="44" s="1"/>
  <c r="K153" i="78" s="1"/>
  <c r="I153" i="78"/>
  <c r="L153" i="78" s="1"/>
  <c r="I200" i="78"/>
  <c r="L200" i="78" s="1"/>
  <c r="W199" i="44"/>
  <c r="X199" i="44" s="1"/>
  <c r="Y199" i="44" s="1"/>
  <c r="K200" i="78" s="1"/>
  <c r="I18" i="78"/>
  <c r="L18" i="78" s="1"/>
  <c r="W17" i="44"/>
  <c r="X17" i="44" s="1"/>
  <c r="Y17" i="44" s="1"/>
  <c r="K18" i="78" s="1"/>
  <c r="I116" i="78"/>
  <c r="L116" i="78" s="1"/>
  <c r="W115" i="44"/>
  <c r="X115" i="44" s="1"/>
  <c r="Y115" i="44" s="1"/>
  <c r="K116" i="78" s="1"/>
  <c r="I41" i="78"/>
  <c r="L41" i="78" s="1"/>
  <c r="W40" i="44"/>
  <c r="X40" i="44" s="1"/>
  <c r="Y40" i="44" s="1"/>
  <c r="K41" i="78" s="1"/>
  <c r="I137" i="78"/>
  <c r="L137" i="78" s="1"/>
  <c r="W136" i="44"/>
  <c r="X136" i="44" s="1"/>
  <c r="Y136" i="44" s="1"/>
  <c r="K137" i="78" s="1"/>
  <c r="H20" i="43"/>
  <c r="I20" i="43" s="1"/>
  <c r="I21" i="76"/>
  <c r="I225" i="78"/>
  <c r="L225" i="78" s="1"/>
  <c r="W224" i="44"/>
  <c r="X224" i="44" s="1"/>
  <c r="Y224" i="44" s="1"/>
  <c r="K225" i="78" s="1"/>
  <c r="Q22" i="43"/>
  <c r="R22" i="43" s="1"/>
  <c r="R22" i="19"/>
  <c r="W116" i="44"/>
  <c r="X116" i="44" s="1"/>
  <c r="Y116" i="44" s="1"/>
  <c r="K117" i="78" s="1"/>
  <c r="I117" i="78"/>
  <c r="L117" i="78" s="1"/>
  <c r="W149" i="44"/>
  <c r="X149" i="44" s="1"/>
  <c r="Y149" i="44" s="1"/>
  <c r="K150" i="78" s="1"/>
  <c r="I150" i="78"/>
  <c r="L150" i="78" s="1"/>
  <c r="I80" i="78"/>
  <c r="L80" i="78" s="1"/>
  <c r="W79" i="44"/>
  <c r="X79" i="44" s="1"/>
  <c r="W123" i="44"/>
  <c r="X123" i="44" s="1"/>
  <c r="Y123" i="44" s="1"/>
  <c r="K124" i="78" s="1"/>
  <c r="I124" i="78"/>
  <c r="L124" i="78" s="1"/>
  <c r="W55" i="44"/>
  <c r="X55" i="44" s="1"/>
  <c r="Y55" i="44" s="1"/>
  <c r="K56" i="78" s="1"/>
  <c r="I56" i="78"/>
  <c r="I16" i="76"/>
  <c r="H15" i="43"/>
  <c r="I15" i="43" s="1"/>
  <c r="W59" i="44"/>
  <c r="X59" i="44" s="1"/>
  <c r="Y59" i="44" s="1"/>
  <c r="K60" i="78" s="1"/>
  <c r="I60" i="78"/>
  <c r="L60" i="78" s="1"/>
  <c r="H23" i="43"/>
  <c r="I23" i="43" s="1"/>
  <c r="I24" i="76"/>
  <c r="I6" i="76"/>
  <c r="H5" i="43"/>
  <c r="I5" i="43" s="1"/>
  <c r="I119" i="78"/>
  <c r="L119" i="78" s="1"/>
  <c r="W118" i="44"/>
  <c r="X118" i="44" s="1"/>
  <c r="Y118" i="44" s="1"/>
  <c r="K119" i="78" s="1"/>
  <c r="I39" i="78"/>
  <c r="L39" i="78" s="1"/>
  <c r="W38" i="44"/>
  <c r="X38" i="44" s="1"/>
  <c r="Y38" i="44" s="1"/>
  <c r="K39" i="78" s="1"/>
  <c r="H16" i="43"/>
  <c r="I16" i="43" s="1"/>
  <c r="I17" i="76"/>
  <c r="I195" i="78"/>
  <c r="W194" i="44"/>
  <c r="X194" i="44" s="1"/>
  <c r="W129" i="44"/>
  <c r="X129" i="44" s="1"/>
  <c r="Y129" i="44" s="1"/>
  <c r="K130" i="78" s="1"/>
  <c r="I130" i="78"/>
  <c r="L130" i="78" s="1"/>
  <c r="I25" i="76"/>
  <c r="H24" i="43"/>
  <c r="I24" i="43" s="1"/>
  <c r="W13" i="44"/>
  <c r="X13" i="44" s="1"/>
  <c r="Y13" i="44" s="1"/>
  <c r="K14" i="78" s="1"/>
  <c r="I14" i="78"/>
  <c r="L14" i="78" s="1"/>
  <c r="I26" i="76"/>
  <c r="H25" i="43"/>
  <c r="I25" i="43" s="1"/>
  <c r="R12" i="19"/>
  <c r="Q12" i="43"/>
  <c r="R12" i="43" s="1"/>
  <c r="W58" i="44"/>
  <c r="X58" i="44" s="1"/>
  <c r="Y58" i="44" s="1"/>
  <c r="K59" i="78" s="1"/>
  <c r="I59" i="78"/>
  <c r="L59" i="78" s="1"/>
  <c r="I187" i="78"/>
  <c r="L187" i="78" s="1"/>
  <c r="W186" i="44"/>
  <c r="X186" i="44" s="1"/>
  <c r="Y186" i="44" s="1"/>
  <c r="K187" i="78" s="1"/>
  <c r="W195" i="44"/>
  <c r="X195" i="44" s="1"/>
  <c r="Y195" i="44" s="1"/>
  <c r="K196" i="78" s="1"/>
  <c r="I196" i="78"/>
  <c r="L196" i="78" s="1"/>
  <c r="I37" i="78"/>
  <c r="L37" i="78" s="1"/>
  <c r="W36" i="44"/>
  <c r="X36" i="44" s="1"/>
  <c r="Y36" i="44" s="1"/>
  <c r="K37" i="78" s="1"/>
  <c r="W109" i="44"/>
  <c r="X109" i="44" s="1"/>
  <c r="Y109" i="44" s="1"/>
  <c r="K110" i="78" s="1"/>
  <c r="I110" i="78"/>
  <c r="I22" i="76"/>
  <c r="H21" i="43"/>
  <c r="I21" i="43" s="1"/>
  <c r="R9" i="19"/>
  <c r="Q9" i="43"/>
  <c r="R9" i="43" s="1"/>
  <c r="W75" i="44"/>
  <c r="X75" i="44" s="1"/>
  <c r="Y75" i="44" s="1"/>
  <c r="K76" i="78" s="1"/>
  <c r="I76" i="78"/>
  <c r="L76" i="78" s="1"/>
  <c r="I45" i="78"/>
  <c r="L45" i="78" s="1"/>
  <c r="W44" i="44"/>
  <c r="X44" i="44" s="1"/>
  <c r="Y44" i="44" s="1"/>
  <c r="K45" i="78" s="1"/>
  <c r="I198" i="78"/>
  <c r="L198" i="78" s="1"/>
  <c r="W197" i="44"/>
  <c r="X197" i="44" s="1"/>
  <c r="Y197" i="44" s="1"/>
  <c r="K198" i="78" s="1"/>
  <c r="W178" i="44"/>
  <c r="X178" i="44" s="1"/>
  <c r="Y178" i="44" s="1"/>
  <c r="K179" i="78" s="1"/>
  <c r="I179" i="78"/>
  <c r="L179" i="78" s="1"/>
  <c r="I148" i="78"/>
  <c r="W147" i="44"/>
  <c r="X147" i="44" s="1"/>
  <c r="Y147" i="44" s="1"/>
  <c r="K148" i="78" s="1"/>
  <c r="I126" i="78"/>
  <c r="L126" i="78" s="1"/>
  <c r="W125" i="44"/>
  <c r="X125" i="44" s="1"/>
  <c r="Y125" i="44" s="1"/>
  <c r="K126" i="78" s="1"/>
  <c r="Q17" i="43"/>
  <c r="R17" i="43" s="1"/>
  <c r="R17" i="19"/>
  <c r="W82" i="44"/>
  <c r="X82" i="44" s="1"/>
  <c r="Y82" i="44" s="1"/>
  <c r="K83" i="78" s="1"/>
  <c r="I83" i="78"/>
  <c r="L83" i="78" s="1"/>
  <c r="W183" i="44"/>
  <c r="X183" i="44" s="1"/>
  <c r="Y183" i="44" s="1"/>
  <c r="K184" i="78" s="1"/>
  <c r="I184" i="78"/>
  <c r="L184" i="78" s="1"/>
  <c r="I11" i="78"/>
  <c r="L11" i="78" s="1"/>
  <c r="W10" i="44"/>
  <c r="X10" i="44" s="1"/>
  <c r="I133" i="78"/>
  <c r="L133" i="78" s="1"/>
  <c r="W132" i="44"/>
  <c r="X132" i="44" s="1"/>
  <c r="R20" i="19"/>
  <c r="Q20" i="43"/>
  <c r="R20" i="43" s="1"/>
  <c r="I203" i="78"/>
  <c r="L203" i="78" s="1"/>
  <c r="W202" i="44"/>
  <c r="X202" i="44" s="1"/>
  <c r="Y202" i="44" s="1"/>
  <c r="K203" i="78" s="1"/>
  <c r="I108" i="78"/>
  <c r="L108" i="78" s="1"/>
  <c r="W107" i="44"/>
  <c r="X107" i="44" s="1"/>
  <c r="Y107" i="44" s="1"/>
  <c r="K108" i="78" s="1"/>
  <c r="I23" i="76"/>
  <c r="H22" i="43"/>
  <c r="I22" i="43" s="1"/>
  <c r="R11" i="19"/>
  <c r="Q11" i="43"/>
  <c r="R11" i="43" s="1"/>
  <c r="I12" i="76"/>
  <c r="H11" i="43"/>
  <c r="I11" i="43" s="1"/>
  <c r="I11" i="76"/>
  <c r="H10" i="43"/>
  <c r="I10" i="43" s="1"/>
  <c r="L44" i="78"/>
  <c r="I16" i="78"/>
  <c r="L16" i="78" s="1"/>
  <c r="W15" i="44"/>
  <c r="X15" i="44" s="1"/>
  <c r="Y15" i="44" s="1"/>
  <c r="K16" i="78" s="1"/>
  <c r="I86" i="78"/>
  <c r="L86" i="78" s="1"/>
  <c r="W85" i="44"/>
  <c r="X85" i="44" s="1"/>
  <c r="Y85" i="44" s="1"/>
  <c r="K86" i="78" s="1"/>
  <c r="I53" i="78"/>
  <c r="L53" i="78" s="1"/>
  <c r="W52" i="44"/>
  <c r="X52" i="44" s="1"/>
  <c r="Y52" i="44" s="1"/>
  <c r="K53" i="78" s="1"/>
  <c r="I181" i="78"/>
  <c r="L181" i="78" s="1"/>
  <c r="W180" i="44"/>
  <c r="X180" i="44" s="1"/>
  <c r="Y180" i="44" s="1"/>
  <c r="K181" i="78" s="1"/>
  <c r="Q29" i="43"/>
  <c r="R29" i="43" s="1"/>
  <c r="Q23" i="43"/>
  <c r="R23" i="43" s="1"/>
  <c r="R23" i="19"/>
  <c r="W160" i="44"/>
  <c r="X160" i="44" s="1"/>
  <c r="Y160" i="44" s="1"/>
  <c r="K161" i="78" s="1"/>
  <c r="I161" i="78"/>
  <c r="L161" i="78" s="1"/>
  <c r="I32" i="78"/>
  <c r="L32" i="78" s="1"/>
  <c r="W31" i="44"/>
  <c r="X31" i="44" s="1"/>
  <c r="Y31" i="44" s="1"/>
  <c r="K32" i="78" s="1"/>
  <c r="I228" i="78"/>
  <c r="L228" i="78" s="1"/>
  <c r="W227" i="44"/>
  <c r="X227" i="44" s="1"/>
  <c r="Y227" i="44" s="1"/>
  <c r="K228" i="78" s="1"/>
  <c r="H15" i="78"/>
  <c r="H14" i="44"/>
  <c r="I14" i="44" s="1"/>
  <c r="I146" i="78"/>
  <c r="L146" i="78" s="1"/>
  <c r="W145" i="44"/>
  <c r="X145" i="44" s="1"/>
  <c r="Y145" i="44" s="1"/>
  <c r="K146" i="78" s="1"/>
  <c r="I71" i="78"/>
  <c r="L71" i="78" s="1"/>
  <c r="W70" i="44"/>
  <c r="X70" i="44" s="1"/>
  <c r="Y70" i="44" s="1"/>
  <c r="K71" i="78" s="1"/>
  <c r="I33" i="78"/>
  <c r="L33" i="78" s="1"/>
  <c r="W32" i="44"/>
  <c r="X32" i="44" s="1"/>
  <c r="Y32" i="44" s="1"/>
  <c r="K33" i="78" s="1"/>
  <c r="I102" i="78"/>
  <c r="L102" i="78" s="1"/>
  <c r="W101" i="44"/>
  <c r="X101" i="44" s="1"/>
  <c r="Y101" i="44" s="1"/>
  <c r="K102" i="78" s="1"/>
  <c r="Y94" i="44"/>
  <c r="K95" i="78" s="1"/>
  <c r="H28" i="43"/>
  <c r="I28" i="43" s="1"/>
  <c r="I29" i="76"/>
  <c r="W220" i="44"/>
  <c r="X220" i="44" s="1"/>
  <c r="Y220" i="44" s="1"/>
  <c r="K221" i="78" s="1"/>
  <c r="I221" i="78"/>
  <c r="L221" i="78" s="1"/>
  <c r="I61" i="78"/>
  <c r="L61" i="78" s="1"/>
  <c r="W60" i="44"/>
  <c r="X60" i="44" s="1"/>
  <c r="Y60" i="44" s="1"/>
  <c r="K61" i="78" s="1"/>
  <c r="Y132" i="44"/>
  <c r="K133" i="78" s="1"/>
  <c r="W130" i="44"/>
  <c r="X130" i="44" s="1"/>
  <c r="Y130" i="44" s="1"/>
  <c r="K131" i="78" s="1"/>
  <c r="I131" i="78"/>
  <c r="L131" i="78" s="1"/>
  <c r="W5" i="44"/>
  <c r="X5" i="44" s="1"/>
  <c r="Y5" i="44" s="1"/>
  <c r="K6" i="78" s="1"/>
  <c r="I6" i="78"/>
  <c r="L6" i="78" s="1"/>
  <c r="W161" i="44"/>
  <c r="X161" i="44" s="1"/>
  <c r="Y161" i="44" s="1"/>
  <c r="K162" i="78" s="1"/>
  <c r="I162" i="78"/>
  <c r="L162" i="78" s="1"/>
  <c r="W4" i="44"/>
  <c r="X4" i="44" s="1"/>
  <c r="Y4" i="44" s="1"/>
  <c r="K5" i="78" s="1"/>
  <c r="I5" i="78"/>
  <c r="L5" i="78" s="1"/>
  <c r="W171" i="44"/>
  <c r="X171" i="44" s="1"/>
  <c r="Y171" i="44" s="1"/>
  <c r="K172" i="78" s="1"/>
  <c r="I172" i="78"/>
  <c r="L172" i="78" s="1"/>
  <c r="Q231" i="18"/>
  <c r="Q231" i="44"/>
  <c r="R231" i="44" s="1"/>
  <c r="R3" i="19"/>
  <c r="Q3" i="43"/>
  <c r="R3" i="43" s="1"/>
  <c r="H3" i="43"/>
  <c r="I3" i="43" s="1"/>
  <c r="I4" i="76"/>
  <c r="I18" i="76"/>
  <c r="H17" i="43"/>
  <c r="I17" i="43" s="1"/>
  <c r="W42" i="44"/>
  <c r="X42" i="44" s="1"/>
  <c r="Y42" i="44" s="1"/>
  <c r="K43" i="78" s="1"/>
  <c r="I43" i="78"/>
  <c r="L43" i="78" s="1"/>
  <c r="I64" i="78"/>
  <c r="L64" i="78" s="1"/>
  <c r="W63" i="44"/>
  <c r="X63" i="44" s="1"/>
  <c r="Y63" i="44" s="1"/>
  <c r="K64" i="78" s="1"/>
  <c r="H57" i="78"/>
  <c r="H56" i="44"/>
  <c r="I56" i="44" s="1"/>
  <c r="W164" i="44"/>
  <c r="X164" i="44" s="1"/>
  <c r="Y164" i="44" s="1"/>
  <c r="K165" i="78" s="1"/>
  <c r="I165" i="78"/>
  <c r="L165" i="78" s="1"/>
  <c r="I151" i="78"/>
  <c r="L151" i="78" s="1"/>
  <c r="W150" i="44"/>
  <c r="X150" i="44" s="1"/>
  <c r="Y150" i="44" s="1"/>
  <c r="K151" i="78" s="1"/>
  <c r="I5" i="76"/>
  <c r="H4" i="43"/>
  <c r="I4" i="43" s="1"/>
  <c r="Q4" i="43"/>
  <c r="R4" i="43" s="1"/>
  <c r="R4" i="19"/>
  <c r="I147" i="78"/>
  <c r="L147" i="78" s="1"/>
  <c r="W146" i="44"/>
  <c r="X146" i="44" s="1"/>
  <c r="Y146" i="44" s="1"/>
  <c r="K147" i="78" s="1"/>
  <c r="Y79" i="44"/>
  <c r="K80" i="78" s="1"/>
  <c r="I14" i="76"/>
  <c r="H13" i="43"/>
  <c r="I13" i="43" s="1"/>
  <c r="I145" i="78"/>
  <c r="L145" i="78" s="1"/>
  <c r="W144" i="44"/>
  <c r="X144" i="44" s="1"/>
  <c r="Y144" i="44" s="1"/>
  <c r="K145" i="78" s="1"/>
  <c r="W8" i="44"/>
  <c r="X8" i="44" s="1"/>
  <c r="I9" i="78"/>
  <c r="L9" i="78" s="1"/>
  <c r="H80" i="44"/>
  <c r="I80" i="44" s="1"/>
  <c r="H81" i="78"/>
  <c r="W74" i="44"/>
  <c r="X74" i="44" s="1"/>
  <c r="Y74" i="44" s="1"/>
  <c r="K75" i="78" s="1"/>
  <c r="I75" i="78"/>
  <c r="L75" i="78" s="1"/>
  <c r="I93" i="78"/>
  <c r="L93" i="78" s="1"/>
  <c r="W92" i="44"/>
  <c r="X92" i="44" s="1"/>
  <c r="Y92" i="44" s="1"/>
  <c r="K93" i="78" s="1"/>
  <c r="Y127" i="44"/>
  <c r="K128" i="78" s="1"/>
  <c r="W219" i="44"/>
  <c r="X219" i="44" s="1"/>
  <c r="Y219" i="44" s="1"/>
  <c r="K220" i="78" s="1"/>
  <c r="I220" i="78"/>
  <c r="L220" i="78" s="1"/>
  <c r="I67" i="78"/>
  <c r="L67" i="78" s="1"/>
  <c r="W66" i="44"/>
  <c r="X66" i="44" s="1"/>
  <c r="Y66" i="44" s="1"/>
  <c r="K67" i="78" s="1"/>
  <c r="H19" i="43"/>
  <c r="I19" i="43" s="1"/>
  <c r="I20" i="76"/>
  <c r="R27" i="19"/>
  <c r="Q27" i="43"/>
  <c r="R27" i="43" s="1"/>
  <c r="I90" i="78"/>
  <c r="L90" i="78" s="1"/>
  <c r="W89" i="44"/>
  <c r="X89" i="44" s="1"/>
  <c r="Y89" i="44" s="1"/>
  <c r="K90" i="78" s="1"/>
  <c r="W119" i="44"/>
  <c r="X119" i="44" s="1"/>
  <c r="Y119" i="44" s="1"/>
  <c r="K120" i="78" s="1"/>
  <c r="I120" i="78"/>
  <c r="L120" i="78" s="1"/>
  <c r="W72" i="44"/>
  <c r="X72" i="44" s="1"/>
  <c r="Y72" i="44" s="1"/>
  <c r="K73" i="78" s="1"/>
  <c r="I73" i="78"/>
  <c r="L73" i="78" s="1"/>
  <c r="L148" i="78"/>
  <c r="H7" i="43"/>
  <c r="I7" i="43" s="1"/>
  <c r="I8" i="76"/>
  <c r="I207" i="78"/>
  <c r="L207" i="78" s="1"/>
  <c r="W206" i="44"/>
  <c r="X206" i="44" s="1"/>
  <c r="Y206" i="44" s="1"/>
  <c r="K207" i="78" s="1"/>
  <c r="Q5" i="43"/>
  <c r="R5" i="43" s="1"/>
  <c r="R5" i="19"/>
  <c r="W46" i="44"/>
  <c r="X46" i="44" s="1"/>
  <c r="Y46" i="44" s="1"/>
  <c r="K47" i="78" s="1"/>
  <c r="I47" i="78"/>
  <c r="L47" i="78" s="1"/>
  <c r="W216" i="44"/>
  <c r="X216" i="44" s="1"/>
  <c r="Y216" i="44" s="1"/>
  <c r="K217" i="78" s="1"/>
  <c r="I217" i="78"/>
  <c r="L217" i="78" s="1"/>
  <c r="R16" i="19"/>
  <c r="Q16" i="43"/>
  <c r="R16" i="43" s="1"/>
  <c r="R8" i="19"/>
  <c r="Q8" i="43"/>
  <c r="R8" i="43" s="1"/>
  <c r="Y10" i="44"/>
  <c r="K11" i="78" s="1"/>
  <c r="I9" i="76"/>
  <c r="H8" i="43"/>
  <c r="I8" i="43" s="1"/>
  <c r="I183" i="78"/>
  <c r="L183" i="78" s="1"/>
  <c r="W182" i="44"/>
  <c r="X182" i="44" s="1"/>
  <c r="Y182" i="44" s="1"/>
  <c r="K183" i="78" s="1"/>
  <c r="Q26" i="43"/>
  <c r="R26" i="43" s="1"/>
  <c r="R26" i="19"/>
  <c r="W225" i="44"/>
  <c r="X225" i="44" s="1"/>
  <c r="Y225" i="44" s="1"/>
  <c r="K226" i="78" s="1"/>
  <c r="I226" i="78"/>
  <c r="L226" i="78" s="1"/>
  <c r="Q25" i="43"/>
  <c r="R25" i="43" s="1"/>
  <c r="R25" i="19"/>
  <c r="H12" i="43"/>
  <c r="I12" i="43" s="1"/>
  <c r="I13" i="76"/>
  <c r="I178" i="78"/>
  <c r="L178" i="78" s="1"/>
  <c r="W177" i="44"/>
  <c r="X177" i="44" s="1"/>
  <c r="Y177" i="44" s="1"/>
  <c r="K178" i="78" s="1"/>
  <c r="W139" i="44"/>
  <c r="X139" i="44" s="1"/>
  <c r="Y139" i="44" s="1"/>
  <c r="K140" i="78" s="1"/>
  <c r="I140" i="78"/>
  <c r="L140" i="78" s="1"/>
  <c r="I77" i="78"/>
  <c r="L77" i="78" s="1"/>
  <c r="W76" i="44"/>
  <c r="X76" i="44" s="1"/>
  <c r="Y76" i="44" s="1"/>
  <c r="K77" i="78" s="1"/>
  <c r="I17" i="78"/>
  <c r="L17" i="78" s="1"/>
  <c r="W16" i="44"/>
  <c r="X16" i="44" s="1"/>
  <c r="Y16" i="44" s="1"/>
  <c r="K17" i="78" s="1"/>
  <c r="Q18" i="43"/>
  <c r="R18" i="43" s="1"/>
  <c r="R18" i="19"/>
  <c r="W128" i="44"/>
  <c r="X128" i="44" s="1"/>
  <c r="Y128" i="44" s="1"/>
  <c r="K129" i="78" s="1"/>
  <c r="I129" i="78"/>
  <c r="L129" i="78" s="1"/>
  <c r="H14" i="43"/>
  <c r="I14" i="43" s="1"/>
  <c r="I15" i="76"/>
  <c r="R21" i="19"/>
  <c r="Q21" i="43"/>
  <c r="R21" i="43" s="1"/>
  <c r="I173" i="78"/>
  <c r="L173" i="78" s="1"/>
  <c r="W172" i="44"/>
  <c r="X172" i="44" s="1"/>
  <c r="Y172" i="44" s="1"/>
  <c r="K173" i="78" s="1"/>
  <c r="I10" i="76"/>
  <c r="H9" i="43"/>
  <c r="I9" i="43" s="1"/>
  <c r="I210" i="78"/>
  <c r="L210" i="78" s="1"/>
  <c r="W209" i="44"/>
  <c r="X209" i="44" s="1"/>
  <c r="Y209" i="44" s="1"/>
  <c r="K210" i="78" s="1"/>
  <c r="W105" i="44"/>
  <c r="X105" i="44" s="1"/>
  <c r="Y105" i="44" s="1"/>
  <c r="K106" i="78" s="1"/>
  <c r="I106" i="78"/>
  <c r="L106" i="78" s="1"/>
  <c r="W108" i="44"/>
  <c r="X108" i="44" s="1"/>
  <c r="Y108" i="44" s="1"/>
  <c r="K109" i="78" s="1"/>
  <c r="I109" i="78"/>
  <c r="L109" i="78" s="1"/>
  <c r="I186" i="78"/>
  <c r="L186" i="78" s="1"/>
  <c r="W185" i="44"/>
  <c r="X185" i="44" s="1"/>
  <c r="Y185" i="44" s="1"/>
  <c r="K186" i="78" s="1"/>
  <c r="Q7" i="44"/>
  <c r="R7" i="44" s="1"/>
  <c r="Q7" i="18"/>
  <c r="I158" i="78"/>
  <c r="L158" i="78" s="1"/>
  <c r="W157" i="44"/>
  <c r="X157" i="44" s="1"/>
  <c r="Y157" i="44" s="1"/>
  <c r="K158" i="78" s="1"/>
  <c r="I66" i="78"/>
  <c r="L66" i="78" s="1"/>
  <c r="W65" i="44"/>
  <c r="X65" i="44" s="1"/>
  <c r="Y65" i="44" s="1"/>
  <c r="K66" i="78" s="1"/>
  <c r="Q56" i="18"/>
  <c r="Q56" i="44"/>
  <c r="R56" i="44" s="1"/>
  <c r="I174" i="78"/>
  <c r="L174" i="78" s="1"/>
  <c r="W173" i="44"/>
  <c r="X173" i="44" s="1"/>
  <c r="Y173" i="44" s="1"/>
  <c r="K174" i="78" s="1"/>
  <c r="L110" i="78"/>
  <c r="I69" i="78"/>
  <c r="L69" i="78" s="1"/>
  <c r="W68" i="44"/>
  <c r="X68" i="44" s="1"/>
  <c r="Y68" i="44" s="1"/>
  <c r="K69" i="78" s="1"/>
  <c r="W134" i="44"/>
  <c r="X134" i="44" s="1"/>
  <c r="Y134" i="44" s="1"/>
  <c r="K135" i="78" s="1"/>
  <c r="I135" i="78"/>
  <c r="L135" i="78" s="1"/>
  <c r="W98" i="44"/>
  <c r="X98" i="44" s="1"/>
  <c r="Y98" i="44" s="1"/>
  <c r="K99" i="78" s="1"/>
  <c r="I99" i="78"/>
  <c r="L99" i="78" s="1"/>
  <c r="I88" i="78"/>
  <c r="L88" i="78" s="1"/>
  <c r="W87" i="44"/>
  <c r="X87" i="44" s="1"/>
  <c r="Y87" i="44" s="1"/>
  <c r="K88" i="78" s="1"/>
  <c r="L206" i="78"/>
  <c r="R13" i="19"/>
  <c r="Q13" i="43"/>
  <c r="R13" i="43" s="1"/>
  <c r="I208" i="78"/>
  <c r="L208" i="78" s="1"/>
  <c r="W207" i="44"/>
  <c r="X207" i="44" s="1"/>
  <c r="Y207" i="44" s="1"/>
  <c r="K208" i="78" s="1"/>
  <c r="Q80" i="44"/>
  <c r="R80" i="44" s="1"/>
  <c r="Q80" i="18"/>
  <c r="W167" i="44"/>
  <c r="X167" i="44" s="1"/>
  <c r="Y167" i="44" s="1"/>
  <c r="K168" i="78" s="1"/>
  <c r="I168" i="78"/>
  <c r="L168" i="78" s="1"/>
  <c r="R10" i="19"/>
  <c r="Q10" i="43"/>
  <c r="R10" i="43" s="1"/>
  <c r="W176" i="44"/>
  <c r="X176" i="44" s="1"/>
  <c r="Y176" i="44" s="1"/>
  <c r="K177" i="78" s="1"/>
  <c r="I177" i="78"/>
  <c r="L177" i="78" s="1"/>
  <c r="I209" i="78"/>
  <c r="L209" i="78" s="1"/>
  <c r="W208" i="44"/>
  <c r="X208" i="44" s="1"/>
  <c r="Y208" i="44" s="1"/>
  <c r="K209" i="78" s="1"/>
  <c r="I139" i="78"/>
  <c r="L139" i="78" s="1"/>
  <c r="W138" i="44"/>
  <c r="X138" i="44" s="1"/>
  <c r="W61" i="44"/>
  <c r="X61" i="44" s="1"/>
  <c r="Y61" i="44" s="1"/>
  <c r="K62" i="78" s="1"/>
  <c r="I62" i="78"/>
  <c r="L62" i="78" s="1"/>
  <c r="W193" i="44"/>
  <c r="X193" i="44" s="1"/>
  <c r="Y193" i="44" s="1"/>
  <c r="K194" i="78" s="1"/>
  <c r="I194" i="78"/>
  <c r="L194" i="78" s="1"/>
  <c r="I157" i="78"/>
  <c r="W156" i="44"/>
  <c r="X156" i="44" s="1"/>
  <c r="Y156" i="44" s="1"/>
  <c r="K157" i="78" s="1"/>
  <c r="W163" i="44"/>
  <c r="X163" i="44" s="1"/>
  <c r="Y163" i="44" s="1"/>
  <c r="K164" i="78" s="1"/>
  <c r="I164" i="78"/>
  <c r="L164" i="78" s="1"/>
  <c r="R19" i="19"/>
  <c r="Q19" i="43"/>
  <c r="R19" i="43" s="1"/>
  <c r="H27" i="43"/>
  <c r="I27" i="43" s="1"/>
  <c r="I28" i="76"/>
  <c r="Q126" i="44"/>
  <c r="R126" i="44" s="1"/>
  <c r="Q126" i="18"/>
  <c r="Q15" i="43"/>
  <c r="R15" i="43" s="1"/>
  <c r="R15" i="19"/>
  <c r="W110" i="44"/>
  <c r="X110" i="44" s="1"/>
  <c r="Y110" i="44" s="1"/>
  <c r="K111" i="78" s="1"/>
  <c r="I111" i="78"/>
  <c r="L111" i="78" s="1"/>
  <c r="Q7" i="43"/>
  <c r="R7" i="43" s="1"/>
  <c r="R7" i="19"/>
  <c r="W54" i="44"/>
  <c r="X54" i="44" s="1"/>
  <c r="Y54" i="44" s="1"/>
  <c r="K55" i="78" s="1"/>
  <c r="I55" i="78"/>
  <c r="L55" i="78" s="1"/>
  <c r="I159" i="78"/>
  <c r="L159" i="78" s="1"/>
  <c r="W158" i="44"/>
  <c r="X158" i="44" s="1"/>
  <c r="Y158" i="44" s="1"/>
  <c r="K159" i="78" s="1"/>
  <c r="I30" i="76" l="1"/>
  <c r="Y8" i="44"/>
  <c r="K9" i="78" s="1"/>
  <c r="L56" i="78"/>
  <c r="H215" i="44"/>
  <c r="I215" i="44" s="1"/>
  <c r="H216" i="78"/>
  <c r="Q191" i="18"/>
  <c r="Q191" i="44"/>
  <c r="R191" i="44" s="1"/>
  <c r="H18" i="44"/>
  <c r="I18" i="44" s="1"/>
  <c r="H19" i="78"/>
  <c r="W23" i="44"/>
  <c r="X23" i="44" s="1"/>
  <c r="Y23" i="44" s="1"/>
  <c r="K24" i="78" s="1"/>
  <c r="H218" i="78"/>
  <c r="H217" i="44"/>
  <c r="I217" i="44" s="1"/>
  <c r="Q35" i="44"/>
  <c r="R35" i="44" s="1"/>
  <c r="Q35" i="18"/>
  <c r="H104" i="44"/>
  <c r="I104" i="44" s="1"/>
  <c r="H105" i="78"/>
  <c r="Q151" i="18"/>
  <c r="Q151" i="44"/>
  <c r="R151" i="44" s="1"/>
  <c r="H12" i="78"/>
  <c r="H11" i="44"/>
  <c r="I11" i="44" s="1"/>
  <c r="Q221" i="18"/>
  <c r="Q221" i="44"/>
  <c r="R221" i="44" s="1"/>
  <c r="H143" i="44"/>
  <c r="I143" i="44" s="1"/>
  <c r="H144" i="78"/>
  <c r="H12" i="44"/>
  <c r="I12" i="44" s="1"/>
  <c r="H13" i="78"/>
  <c r="Q226" i="18"/>
  <c r="Q226" i="44"/>
  <c r="R226" i="44" s="1"/>
  <c r="Q97" i="18"/>
  <c r="Q97" i="44"/>
  <c r="R97" i="44" s="1"/>
  <c r="H19" i="44"/>
  <c r="I19" i="44" s="1"/>
  <c r="H20" i="78"/>
  <c r="H188" i="44"/>
  <c r="I188" i="44" s="1"/>
  <c r="H189" i="78"/>
  <c r="Q9" i="18"/>
  <c r="Q9" i="44"/>
  <c r="R9" i="44" s="1"/>
  <c r="Q114" i="44"/>
  <c r="R114" i="44" s="1"/>
  <c r="Q114" i="18"/>
  <c r="Q11" i="18"/>
  <c r="Q11" i="44"/>
  <c r="R11" i="44" s="1"/>
  <c r="H138" i="78"/>
  <c r="H137" i="44"/>
  <c r="I137" i="44" s="1"/>
  <c r="Q188" i="44"/>
  <c r="R188" i="44" s="1"/>
  <c r="Q188" i="18"/>
  <c r="H21" i="78"/>
  <c r="H20" i="44"/>
  <c r="I20" i="44" s="1"/>
  <c r="Q20" i="18"/>
  <c r="Q20" i="44"/>
  <c r="R20" i="44" s="1"/>
  <c r="Q27" i="44"/>
  <c r="R27" i="44" s="1"/>
  <c r="Q27" i="18"/>
  <c r="H152" i="78"/>
  <c r="H151" i="44"/>
  <c r="I151" i="44" s="1"/>
  <c r="H121" i="78"/>
  <c r="H120" i="44"/>
  <c r="I120" i="44" s="1"/>
  <c r="Q153" i="44"/>
  <c r="R153" i="44" s="1"/>
  <c r="Q153" i="18"/>
  <c r="Q137" i="18"/>
  <c r="Q137" i="44"/>
  <c r="R137" i="44" s="1"/>
  <c r="Q215" i="18"/>
  <c r="Q215" i="44"/>
  <c r="R215" i="44" s="1"/>
  <c r="Q179" i="18"/>
  <c r="Q179" i="44"/>
  <c r="R179" i="44" s="1"/>
  <c r="H97" i="44"/>
  <c r="I97" i="44" s="1"/>
  <c r="H98" i="78"/>
  <c r="Q19" i="18"/>
  <c r="Q19" i="44"/>
  <c r="R19" i="44" s="1"/>
  <c r="H79" i="78"/>
  <c r="H78" i="44"/>
  <c r="I78" i="44" s="1"/>
  <c r="Q213" i="18"/>
  <c r="Q213" i="44"/>
  <c r="R213" i="44" s="1"/>
  <c r="H141" i="44"/>
  <c r="I141" i="44" s="1"/>
  <c r="H142" i="78"/>
  <c r="Q174" i="18"/>
  <c r="Q174" i="44"/>
  <c r="R174" i="44" s="1"/>
  <c r="H192" i="78"/>
  <c r="H191" i="44"/>
  <c r="I191" i="44" s="1"/>
  <c r="Q18" i="18"/>
  <c r="Q18" i="44"/>
  <c r="R18" i="44" s="1"/>
  <c r="H115" i="78"/>
  <c r="H114" i="44"/>
  <c r="I114" i="44" s="1"/>
  <c r="H28" i="78"/>
  <c r="H27" i="44"/>
  <c r="I27" i="44" s="1"/>
  <c r="Q162" i="18"/>
  <c r="Q162" i="44"/>
  <c r="R162" i="44" s="1"/>
  <c r="H90" i="44"/>
  <c r="I90" i="44" s="1"/>
  <c r="H91" i="78"/>
  <c r="Q86" i="44"/>
  <c r="R86" i="44" s="1"/>
  <c r="Q86" i="18"/>
  <c r="H131" i="44"/>
  <c r="I131" i="44" s="1"/>
  <c r="H132" i="78"/>
  <c r="Q78" i="18"/>
  <c r="Q78" i="44"/>
  <c r="R78" i="44" s="1"/>
  <c r="Y138" i="44"/>
  <c r="K139" i="78" s="1"/>
  <c r="H126" i="44"/>
  <c r="I126" i="44" s="1"/>
  <c r="Q217" i="44"/>
  <c r="R217" i="44" s="1"/>
  <c r="Q217" i="18"/>
  <c r="H35" i="44"/>
  <c r="I35" i="44" s="1"/>
  <c r="H36" i="78"/>
  <c r="H162" i="44"/>
  <c r="I162" i="44" s="1"/>
  <c r="H163" i="78"/>
  <c r="Q104" i="18"/>
  <c r="Q104" i="44"/>
  <c r="R104" i="44" s="1"/>
  <c r="Q90" i="44"/>
  <c r="R90" i="44" s="1"/>
  <c r="Q90" i="18"/>
  <c r="Q120" i="18"/>
  <c r="Q120" i="44"/>
  <c r="R120" i="44" s="1"/>
  <c r="H154" i="78"/>
  <c r="H153" i="44"/>
  <c r="I153" i="44" s="1"/>
  <c r="H221" i="44"/>
  <c r="I221" i="44" s="1"/>
  <c r="H222" i="78"/>
  <c r="Q143" i="44"/>
  <c r="R143" i="44" s="1"/>
  <c r="Q143" i="18"/>
  <c r="Q12" i="18"/>
  <c r="Q12" i="44"/>
  <c r="R12" i="44" s="1"/>
  <c r="H180" i="78"/>
  <c r="H179" i="44"/>
  <c r="I179" i="44" s="1"/>
  <c r="H227" i="78"/>
  <c r="H226" i="44"/>
  <c r="I226" i="44" s="1"/>
  <c r="H86" i="44"/>
  <c r="I86" i="44" s="1"/>
  <c r="H87" i="78"/>
  <c r="Q131" i="44"/>
  <c r="R131" i="44" s="1"/>
  <c r="Q131" i="18"/>
  <c r="H213" i="44"/>
  <c r="I213" i="44" s="1"/>
  <c r="H214" i="78"/>
  <c r="H9" i="44"/>
  <c r="I9" i="44" s="1"/>
  <c r="H10" i="78"/>
  <c r="Q141" i="44"/>
  <c r="R141" i="44" s="1"/>
  <c r="Q141" i="18"/>
  <c r="H175" i="78"/>
  <c r="H174" i="44"/>
  <c r="I174" i="44" s="1"/>
  <c r="H64" i="44"/>
  <c r="I64" i="44" s="1"/>
  <c r="H65" i="78"/>
  <c r="Q187" i="44"/>
  <c r="R187" i="44" s="1"/>
  <c r="Q187" i="18"/>
  <c r="Q6" i="44"/>
  <c r="R6" i="44" s="1"/>
  <c r="Q6" i="18"/>
  <c r="H196" i="44"/>
  <c r="I196" i="44" s="1"/>
  <c r="H197" i="78"/>
  <c r="Q230" i="44"/>
  <c r="R230" i="44" s="1"/>
  <c r="Q230" i="18"/>
  <c r="H213" i="78"/>
  <c r="H212" i="44"/>
  <c r="I212" i="44" s="1"/>
  <c r="H25" i="78"/>
  <c r="H24" i="44"/>
  <c r="I24" i="44" s="1"/>
  <c r="H54" i="78"/>
  <c r="H53" i="44"/>
  <c r="I53" i="44" s="1"/>
  <c r="H68" i="78"/>
  <c r="H67" i="44"/>
  <c r="I67" i="44" s="1"/>
  <c r="H88" i="44"/>
  <c r="I88" i="44" s="1"/>
  <c r="H89" i="78"/>
  <c r="H194" i="44"/>
  <c r="I194" i="44" s="1"/>
  <c r="Y194" i="44" s="1"/>
  <c r="K195" i="78" s="1"/>
  <c r="H195" i="78"/>
  <c r="H201" i="44"/>
  <c r="I201" i="44" s="1"/>
  <c r="H202" i="78"/>
  <c r="H71" i="44"/>
  <c r="I71" i="44" s="1"/>
  <c r="H72" i="78"/>
  <c r="Q69" i="18"/>
  <c r="Q69" i="44"/>
  <c r="R69" i="44" s="1"/>
  <c r="Q49" i="18"/>
  <c r="Q49" i="44"/>
  <c r="R49" i="44" s="1"/>
  <c r="Q83" i="44"/>
  <c r="R83" i="44" s="1"/>
  <c r="Q83" i="18"/>
  <c r="Q124" i="18"/>
  <c r="Q124" i="44"/>
  <c r="R124" i="44" s="1"/>
  <c r="H25" i="44"/>
  <c r="I25" i="44" s="1"/>
  <c r="H26" i="78"/>
  <c r="H211" i="78"/>
  <c r="H210" i="44"/>
  <c r="I210" i="44" s="1"/>
  <c r="Q170" i="18"/>
  <c r="Q170" i="44"/>
  <c r="R170" i="44" s="1"/>
  <c r="H223" i="78"/>
  <c r="H222" i="44"/>
  <c r="I222" i="44" s="1"/>
  <c r="H81" i="44"/>
  <c r="I81" i="44" s="1"/>
  <c r="H82" i="78"/>
  <c r="Q223" i="44"/>
  <c r="R223" i="44" s="1"/>
  <c r="Q223" i="18"/>
  <c r="H204" i="78"/>
  <c r="H203" i="44"/>
  <c r="I203" i="44" s="1"/>
  <c r="Q117" i="44"/>
  <c r="R117" i="44" s="1"/>
  <c r="Q117" i="18"/>
  <c r="Q34" i="18"/>
  <c r="Q34" i="44"/>
  <c r="R34" i="44" s="1"/>
  <c r="H92" i="78"/>
  <c r="H91" i="44"/>
  <c r="I91" i="44" s="1"/>
  <c r="Q196" i="18"/>
  <c r="Q196" i="44"/>
  <c r="R196" i="44" s="1"/>
  <c r="H230" i="44"/>
  <c r="I230" i="44" s="1"/>
  <c r="H231" i="78"/>
  <c r="Q212" i="44"/>
  <c r="R212" i="44" s="1"/>
  <c r="Q212" i="18"/>
  <c r="Q39" i="44"/>
  <c r="R39" i="44" s="1"/>
  <c r="Q39" i="18"/>
  <c r="Q166" i="18"/>
  <c r="Q166" i="44"/>
  <c r="R166" i="44" s="1"/>
  <c r="Q84" i="18"/>
  <c r="Q84" i="44"/>
  <c r="R84" i="44" s="1"/>
  <c r="Q95" i="18"/>
  <c r="Q95" i="44"/>
  <c r="R95" i="44" s="1"/>
  <c r="Q93" i="44"/>
  <c r="R93" i="44" s="1"/>
  <c r="Q93" i="18"/>
  <c r="H38" i="78"/>
  <c r="H37" i="44"/>
  <c r="I37" i="44" s="1"/>
  <c r="H99" i="44"/>
  <c r="I99" i="44" s="1"/>
  <c r="H100" i="78"/>
  <c r="H26" i="44"/>
  <c r="I26" i="44" s="1"/>
  <c r="H27" i="78"/>
  <c r="Q140" i="18"/>
  <c r="Q140" i="44"/>
  <c r="R140" i="44" s="1"/>
  <c r="Q228" i="44"/>
  <c r="R228" i="44" s="1"/>
  <c r="Q228" i="18"/>
  <c r="Q53" i="18"/>
  <c r="Q53" i="44"/>
  <c r="R53" i="44" s="1"/>
  <c r="Q148" i="44"/>
  <c r="R148" i="44" s="1"/>
  <c r="Q148" i="18"/>
  <c r="H199" i="78"/>
  <c r="H198" i="44"/>
  <c r="I198" i="44" s="1"/>
  <c r="Q100" i="44"/>
  <c r="R100" i="44" s="1"/>
  <c r="Q100" i="18"/>
  <c r="H135" i="44"/>
  <c r="I135" i="44" s="1"/>
  <c r="H136" i="78"/>
  <c r="H78" i="78"/>
  <c r="H77" i="44"/>
  <c r="I77" i="44" s="1"/>
  <c r="H229" i="44"/>
  <c r="I229" i="44" s="1"/>
  <c r="H230" i="78"/>
  <c r="Q122" i="18"/>
  <c r="Q122" i="44"/>
  <c r="R122" i="44" s="1"/>
  <c r="Q73" i="18"/>
  <c r="Q73" i="44"/>
  <c r="R73" i="44" s="1"/>
  <c r="Q51" i="44"/>
  <c r="R51" i="44" s="1"/>
  <c r="Q51" i="18"/>
  <c r="H23" i="78"/>
  <c r="H22" i="44"/>
  <c r="I22" i="44" s="1"/>
  <c r="H50" i="44"/>
  <c r="I50" i="44" s="1"/>
  <c r="H51" i="78"/>
  <c r="Q45" i="18"/>
  <c r="Q45" i="44"/>
  <c r="R45" i="44" s="1"/>
  <c r="Q210" i="44"/>
  <c r="R210" i="44" s="1"/>
  <c r="Q210" i="18"/>
  <c r="Q203" i="18"/>
  <c r="Q203" i="44"/>
  <c r="R203" i="44" s="1"/>
  <c r="H118" i="78"/>
  <c r="H117" i="44"/>
  <c r="I117" i="44" s="1"/>
  <c r="Q181" i="18"/>
  <c r="Q181" i="44"/>
  <c r="R181" i="44" s="1"/>
  <c r="Q29" i="18"/>
  <c r="Q29" i="44"/>
  <c r="R29" i="44" s="1"/>
  <c r="Q189" i="18"/>
  <c r="Q189" i="44"/>
  <c r="R189" i="44" s="1"/>
  <c r="Q159" i="44"/>
  <c r="R159" i="44" s="1"/>
  <c r="Q159" i="18"/>
  <c r="Q96" i="18"/>
  <c r="Q96" i="44"/>
  <c r="R96" i="44" s="1"/>
  <c r="H34" i="78"/>
  <c r="H33" i="44"/>
  <c r="I33" i="44" s="1"/>
  <c r="Q3" i="18"/>
  <c r="Q3" i="44"/>
  <c r="R3" i="44" s="1"/>
  <c r="H73" i="44"/>
  <c r="I73" i="44" s="1"/>
  <c r="H74" i="78"/>
  <c r="W6" i="43"/>
  <c r="X6" i="43" s="1"/>
  <c r="Y6" i="43" s="1"/>
  <c r="L7" i="76" s="1"/>
  <c r="L195" i="78"/>
  <c r="Q22" i="18"/>
  <c r="Q22" i="44"/>
  <c r="R22" i="44" s="1"/>
  <c r="Q201" i="44"/>
  <c r="R201" i="44" s="1"/>
  <c r="Q201" i="18"/>
  <c r="Q50" i="44"/>
  <c r="R50" i="44" s="1"/>
  <c r="Q50" i="18"/>
  <c r="H191" i="78"/>
  <c r="H190" i="44"/>
  <c r="I190" i="44" s="1"/>
  <c r="H112" i="78"/>
  <c r="H111" i="44"/>
  <c r="I111" i="44" s="1"/>
  <c r="Q71" i="44"/>
  <c r="R71" i="44" s="1"/>
  <c r="Q71" i="18"/>
  <c r="H49" i="44"/>
  <c r="I49" i="44" s="1"/>
  <c r="H50" i="78"/>
  <c r="Q175" i="44"/>
  <c r="R175" i="44" s="1"/>
  <c r="Q175" i="18"/>
  <c r="H83" i="44"/>
  <c r="I83" i="44" s="1"/>
  <c r="H84" i="78"/>
  <c r="H7" i="78"/>
  <c r="H6" i="44"/>
  <c r="I6" i="44" s="1"/>
  <c r="Q25" i="18"/>
  <c r="Q25" i="44"/>
  <c r="R25" i="44" s="1"/>
  <c r="Q211" i="44"/>
  <c r="R211" i="44" s="1"/>
  <c r="Q211" i="18"/>
  <c r="Q41" i="18"/>
  <c r="Q41" i="44"/>
  <c r="R41" i="44" s="1"/>
  <c r="H224" i="78"/>
  <c r="H223" i="44"/>
  <c r="I223" i="44" s="1"/>
  <c r="H21" i="44"/>
  <c r="I21" i="44" s="1"/>
  <c r="H22" i="78"/>
  <c r="Q91" i="18"/>
  <c r="Q91" i="44"/>
  <c r="R91" i="44" s="1"/>
  <c r="H182" i="78"/>
  <c r="H181" i="44"/>
  <c r="I181" i="44" s="1"/>
  <c r="H166" i="44"/>
  <c r="I166" i="44" s="1"/>
  <c r="H167" i="78"/>
  <c r="H96" i="78"/>
  <c r="H95" i="44"/>
  <c r="I95" i="44" s="1"/>
  <c r="H94" i="78"/>
  <c r="H93" i="44"/>
  <c r="I93" i="44" s="1"/>
  <c r="H30" i="78"/>
  <c r="H29" i="44"/>
  <c r="I29" i="44" s="1"/>
  <c r="Q113" i="18"/>
  <c r="Q113" i="44"/>
  <c r="R113" i="44" s="1"/>
  <c r="H97" i="78"/>
  <c r="H96" i="44"/>
  <c r="I96" i="44" s="1"/>
  <c r="Q214" i="18"/>
  <c r="Q214" i="44"/>
  <c r="R214" i="44" s="1"/>
  <c r="Q103" i="44"/>
  <c r="R103" i="44" s="1"/>
  <c r="Q103" i="18"/>
  <c r="H3" i="44"/>
  <c r="I3" i="44" s="1"/>
  <c r="H4" i="78"/>
  <c r="Q99" i="18"/>
  <c r="Q99" i="44"/>
  <c r="R99" i="44" s="1"/>
  <c r="H133" i="44"/>
  <c r="I133" i="44" s="1"/>
  <c r="H134" i="78"/>
  <c r="H228" i="44"/>
  <c r="I228" i="44" s="1"/>
  <c r="H229" i="78"/>
  <c r="Q67" i="18"/>
  <c r="Q67" i="44"/>
  <c r="R67" i="44" s="1"/>
  <c r="H155" i="78"/>
  <c r="H154" i="44"/>
  <c r="I154" i="44" s="1"/>
  <c r="H149" i="78"/>
  <c r="H148" i="44"/>
  <c r="I148" i="44" s="1"/>
  <c r="Q184" i="44"/>
  <c r="R184" i="44" s="1"/>
  <c r="Q184" i="18"/>
  <c r="H58" i="78"/>
  <c r="H57" i="44"/>
  <c r="I57" i="44" s="1"/>
  <c r="Q77" i="44"/>
  <c r="R77" i="44" s="1"/>
  <c r="Q77" i="18"/>
  <c r="H166" i="78"/>
  <c r="H165" i="44"/>
  <c r="I165" i="44" s="1"/>
  <c r="Q204" i="18"/>
  <c r="Q204" i="44"/>
  <c r="R204" i="44" s="1"/>
  <c r="Q62" i="44"/>
  <c r="R62" i="44" s="1"/>
  <c r="Q62" i="18"/>
  <c r="Q30" i="18"/>
  <c r="Q30" i="44"/>
  <c r="R30" i="44" s="1"/>
  <c r="Q200" i="44"/>
  <c r="R200" i="44" s="1"/>
  <c r="Q200" i="18"/>
  <c r="H211" i="44"/>
  <c r="I211" i="44" s="1"/>
  <c r="H212" i="78"/>
  <c r="Q81" i="18"/>
  <c r="Q81" i="44"/>
  <c r="R81" i="44" s="1"/>
  <c r="H192" i="44"/>
  <c r="I192" i="44" s="1"/>
  <c r="H193" i="78"/>
  <c r="Q28" i="44"/>
  <c r="R28" i="44" s="1"/>
  <c r="Q28" i="18"/>
  <c r="Q37" i="18"/>
  <c r="Q37" i="44"/>
  <c r="R37" i="44" s="1"/>
  <c r="Q169" i="44"/>
  <c r="R169" i="44" s="1"/>
  <c r="Q169" i="18"/>
  <c r="Q133" i="44"/>
  <c r="R133" i="44" s="1"/>
  <c r="Q133" i="18"/>
  <c r="Q106" i="44"/>
  <c r="R106" i="44" s="1"/>
  <c r="Q106" i="18"/>
  <c r="H101" i="78"/>
  <c r="H100" i="44"/>
  <c r="I100" i="44" s="1"/>
  <c r="H121" i="44"/>
  <c r="I121" i="44" s="1"/>
  <c r="H122" i="78"/>
  <c r="Q229" i="18"/>
  <c r="Q229" i="44"/>
  <c r="R229" i="44" s="1"/>
  <c r="Q165" i="44"/>
  <c r="R165" i="44" s="1"/>
  <c r="Q165" i="18"/>
  <c r="H122" i="44"/>
  <c r="I122" i="44" s="1"/>
  <c r="H123" i="78"/>
  <c r="L157" i="78"/>
  <c r="H45" i="44"/>
  <c r="I45" i="44" s="1"/>
  <c r="H46" i="78"/>
  <c r="Q190" i="18"/>
  <c r="Q190" i="44"/>
  <c r="R190" i="44" s="1"/>
  <c r="Q111" i="18"/>
  <c r="Q111" i="44"/>
  <c r="R111" i="44" s="1"/>
  <c r="Q64" i="44"/>
  <c r="R64" i="44" s="1"/>
  <c r="Q64" i="18"/>
  <c r="H187" i="44"/>
  <c r="I187" i="44" s="1"/>
  <c r="H188" i="78"/>
  <c r="H70" i="78"/>
  <c r="H69" i="44"/>
  <c r="I69" i="44" s="1"/>
  <c r="H62" i="44"/>
  <c r="I62" i="44" s="1"/>
  <c r="H63" i="78"/>
  <c r="H31" i="78"/>
  <c r="H30" i="44"/>
  <c r="I30" i="44" s="1"/>
  <c r="H175" i="44"/>
  <c r="I175" i="44" s="1"/>
  <c r="H176" i="78"/>
  <c r="H124" i="44"/>
  <c r="I124" i="44" s="1"/>
  <c r="H125" i="78"/>
  <c r="H170" i="44"/>
  <c r="I170" i="44" s="1"/>
  <c r="H171" i="78"/>
  <c r="H201" i="78"/>
  <c r="H200" i="44"/>
  <c r="I200" i="44" s="1"/>
  <c r="Q222" i="44"/>
  <c r="R222" i="44" s="1"/>
  <c r="Q222" i="18"/>
  <c r="H41" i="44"/>
  <c r="I41" i="44" s="1"/>
  <c r="H42" i="78"/>
  <c r="Q21" i="44"/>
  <c r="R21" i="44" s="1"/>
  <c r="Q21" i="18"/>
  <c r="H34" i="44"/>
  <c r="I34" i="44" s="1"/>
  <c r="H35" i="78"/>
  <c r="Q24" i="44"/>
  <c r="R24" i="44" s="1"/>
  <c r="Q24" i="18"/>
  <c r="H39" i="44"/>
  <c r="I39" i="44" s="1"/>
  <c r="H40" i="78"/>
  <c r="Q192" i="44"/>
  <c r="R192" i="44" s="1"/>
  <c r="Q192" i="18"/>
  <c r="H29" i="78"/>
  <c r="H28" i="44"/>
  <c r="I28" i="44" s="1"/>
  <c r="H84" i="44"/>
  <c r="I84" i="44" s="1"/>
  <c r="H85" i="78"/>
  <c r="H190" i="78"/>
  <c r="H189" i="44"/>
  <c r="I189" i="44" s="1"/>
  <c r="H159" i="44"/>
  <c r="I159" i="44" s="1"/>
  <c r="H160" i="78"/>
  <c r="H114" i="78"/>
  <c r="H113" i="44"/>
  <c r="I113" i="44" s="1"/>
  <c r="Q33" i="44"/>
  <c r="R33" i="44" s="1"/>
  <c r="Q33" i="18"/>
  <c r="H214" i="44"/>
  <c r="I214" i="44" s="1"/>
  <c r="H215" i="78"/>
  <c r="H103" i="44"/>
  <c r="I103" i="44" s="1"/>
  <c r="H104" i="78"/>
  <c r="H169" i="44"/>
  <c r="I169" i="44" s="1"/>
  <c r="H170" i="78"/>
  <c r="Q26" i="44"/>
  <c r="R26" i="44" s="1"/>
  <c r="Q26" i="18"/>
  <c r="H107" i="78"/>
  <c r="H106" i="44"/>
  <c r="I106" i="44" s="1"/>
  <c r="H141" i="78"/>
  <c r="H140" i="44"/>
  <c r="I140" i="44" s="1"/>
  <c r="Q154" i="18"/>
  <c r="Q154" i="44"/>
  <c r="R154" i="44" s="1"/>
  <c r="Q198" i="44"/>
  <c r="R198" i="44" s="1"/>
  <c r="Q198" i="18"/>
  <c r="H184" i="44"/>
  <c r="I184" i="44" s="1"/>
  <c r="H185" i="78"/>
  <c r="Q57" i="18"/>
  <c r="Q57" i="44"/>
  <c r="R57" i="44" s="1"/>
  <c r="Q121" i="44"/>
  <c r="R121" i="44" s="1"/>
  <c r="Q121" i="18"/>
  <c r="Q135" i="18"/>
  <c r="Q135" i="44"/>
  <c r="R135" i="44" s="1"/>
  <c r="H205" i="78"/>
  <c r="H204" i="44"/>
  <c r="I204" i="44" s="1"/>
  <c r="Q88" i="44"/>
  <c r="R88" i="44" s="1"/>
  <c r="Q88" i="18"/>
  <c r="H52" i="78"/>
  <c r="H51" i="44"/>
  <c r="I51" i="44" s="1"/>
  <c r="I127" i="78"/>
  <c r="L127" i="78" s="1"/>
  <c r="W126" i="44"/>
  <c r="X126" i="44" s="1"/>
  <c r="Y126" i="44" s="1"/>
  <c r="K127" i="78" s="1"/>
  <c r="J11" i="76"/>
  <c r="W10" i="43"/>
  <c r="X10" i="43" s="1"/>
  <c r="Y10" i="43" s="1"/>
  <c r="L11" i="76" s="1"/>
  <c r="J14" i="76"/>
  <c r="M14" i="76" s="1"/>
  <c r="W13" i="43"/>
  <c r="X13" i="43" s="1"/>
  <c r="Y13" i="43" s="1"/>
  <c r="L14" i="76" s="1"/>
  <c r="J26" i="76"/>
  <c r="M26" i="76" s="1"/>
  <c r="Q9" i="76" s="1"/>
  <c r="W25" i="43"/>
  <c r="X25" i="43" s="1"/>
  <c r="Y25" i="43" s="1"/>
  <c r="L26" i="76" s="1"/>
  <c r="W26" i="43"/>
  <c r="X26" i="43" s="1"/>
  <c r="Y26" i="43" s="1"/>
  <c r="L27" i="76" s="1"/>
  <c r="J27" i="76"/>
  <c r="M27" i="76" s="1"/>
  <c r="M11" i="76"/>
  <c r="J10" i="76"/>
  <c r="M10" i="76" s="1"/>
  <c r="W9" i="43"/>
  <c r="X9" i="43" s="1"/>
  <c r="Y9" i="43" s="1"/>
  <c r="L10" i="76" s="1"/>
  <c r="J13" i="76"/>
  <c r="W12" i="43"/>
  <c r="X12" i="43" s="1"/>
  <c r="Y12" i="43" s="1"/>
  <c r="L13" i="76" s="1"/>
  <c r="W16" i="43"/>
  <c r="X16" i="43" s="1"/>
  <c r="Y16" i="43" s="1"/>
  <c r="L17" i="76" s="1"/>
  <c r="J17" i="76"/>
  <c r="M17" i="76" s="1"/>
  <c r="W5" i="43"/>
  <c r="X5" i="43" s="1"/>
  <c r="Y5" i="43" s="1"/>
  <c r="L6" i="76" s="1"/>
  <c r="J6" i="76"/>
  <c r="M6" i="76" s="1"/>
  <c r="J5" i="76"/>
  <c r="M5" i="76" s="1"/>
  <c r="W4" i="43"/>
  <c r="X4" i="43" s="1"/>
  <c r="Y4" i="43" s="1"/>
  <c r="L5" i="76" s="1"/>
  <c r="W3" i="43"/>
  <c r="X3" i="43" s="1"/>
  <c r="Y3" i="43" s="1"/>
  <c r="J4" i="76"/>
  <c r="M4" i="76" s="1"/>
  <c r="W11" i="43"/>
  <c r="X11" i="43" s="1"/>
  <c r="Y11" i="43" s="1"/>
  <c r="L12" i="76" s="1"/>
  <c r="J12" i="76"/>
  <c r="M12" i="76" s="1"/>
  <c r="J21" i="76"/>
  <c r="M21" i="76" s="1"/>
  <c r="W20" i="43"/>
  <c r="X20" i="43" s="1"/>
  <c r="Y20" i="43" s="1"/>
  <c r="L21" i="76" s="1"/>
  <c r="J23" i="76"/>
  <c r="M23" i="76" s="1"/>
  <c r="W22" i="43"/>
  <c r="X22" i="43" s="1"/>
  <c r="Y22" i="43" s="1"/>
  <c r="L23" i="76" s="1"/>
  <c r="W7" i="43"/>
  <c r="X7" i="43" s="1"/>
  <c r="Y7" i="43" s="1"/>
  <c r="L8" i="76" s="1"/>
  <c r="J8" i="76"/>
  <c r="M8" i="76" s="1"/>
  <c r="J16" i="76"/>
  <c r="M16" i="76" s="1"/>
  <c r="W15" i="43"/>
  <c r="X15" i="43" s="1"/>
  <c r="Y15" i="43" s="1"/>
  <c r="L16" i="76" s="1"/>
  <c r="I8" i="78"/>
  <c r="L8" i="78" s="1"/>
  <c r="W7" i="44"/>
  <c r="X7" i="44" s="1"/>
  <c r="Y7" i="44" s="1"/>
  <c r="K8" i="78" s="1"/>
  <c r="J22" i="76"/>
  <c r="M22" i="76" s="1"/>
  <c r="W21" i="43"/>
  <c r="X21" i="43" s="1"/>
  <c r="Y21" i="43" s="1"/>
  <c r="L22" i="76" s="1"/>
  <c r="M13" i="76"/>
  <c r="J28" i="76"/>
  <c r="M28" i="76" s="1"/>
  <c r="W27" i="43"/>
  <c r="X27" i="43" s="1"/>
  <c r="Y27" i="43" s="1"/>
  <c r="L28" i="76" s="1"/>
  <c r="J30" i="76"/>
  <c r="M30" i="76" s="1"/>
  <c r="W29" i="43"/>
  <c r="X29" i="43" s="1"/>
  <c r="Y29" i="43" s="1"/>
  <c r="L30" i="76" s="1"/>
  <c r="W17" i="43"/>
  <c r="X17" i="43" s="1"/>
  <c r="Y17" i="43" s="1"/>
  <c r="L18" i="76" s="1"/>
  <c r="J18" i="76"/>
  <c r="M18" i="76" s="1"/>
  <c r="W28" i="43"/>
  <c r="X28" i="43" s="1"/>
  <c r="Y28" i="43" s="1"/>
  <c r="L29" i="76" s="1"/>
  <c r="J29" i="76"/>
  <c r="M29" i="76" s="1"/>
  <c r="J15" i="76"/>
  <c r="M15" i="76" s="1"/>
  <c r="W14" i="43"/>
  <c r="X14" i="43" s="1"/>
  <c r="Y14" i="43" s="1"/>
  <c r="L15" i="76" s="1"/>
  <c r="I15" i="78"/>
  <c r="L15" i="78" s="1"/>
  <c r="W14" i="44"/>
  <c r="X14" i="44" s="1"/>
  <c r="Y14" i="44" s="1"/>
  <c r="K15" i="78" s="1"/>
  <c r="W24" i="43"/>
  <c r="X24" i="43" s="1"/>
  <c r="Y24" i="43" s="1"/>
  <c r="L25" i="76" s="1"/>
  <c r="J25" i="76"/>
  <c r="M25" i="76" s="1"/>
  <c r="W19" i="43"/>
  <c r="X19" i="43" s="1"/>
  <c r="Y19" i="43" s="1"/>
  <c r="L20" i="76" s="1"/>
  <c r="J20" i="76"/>
  <c r="M20" i="76" s="1"/>
  <c r="I81" i="78"/>
  <c r="L81" i="78" s="1"/>
  <c r="W80" i="44"/>
  <c r="X80" i="44" s="1"/>
  <c r="Y80" i="44" s="1"/>
  <c r="K81" i="78" s="1"/>
  <c r="W56" i="44"/>
  <c r="X56" i="44" s="1"/>
  <c r="Y56" i="44" s="1"/>
  <c r="K57" i="78" s="1"/>
  <c r="I57" i="78"/>
  <c r="L57" i="78" s="1"/>
  <c r="J19" i="76"/>
  <c r="M19" i="76" s="1"/>
  <c r="W18" i="43"/>
  <c r="X18" i="43" s="1"/>
  <c r="Y18" i="43" s="1"/>
  <c r="L19" i="76" s="1"/>
  <c r="W8" i="43"/>
  <c r="X8" i="43" s="1"/>
  <c r="Y8" i="43" s="1"/>
  <c r="L9" i="76" s="1"/>
  <c r="J9" i="76"/>
  <c r="M9" i="76" s="1"/>
  <c r="W231" i="44"/>
  <c r="X231" i="44" s="1"/>
  <c r="Y231" i="44" s="1"/>
  <c r="K232" i="78" s="1"/>
  <c r="I232" i="78"/>
  <c r="L232" i="78" s="1"/>
  <c r="J24" i="76"/>
  <c r="M24" i="76" s="1"/>
  <c r="W23" i="43"/>
  <c r="X23" i="43" s="1"/>
  <c r="Y23" i="43" s="1"/>
  <c r="L24" i="76" s="1"/>
  <c r="W78" i="44" l="1"/>
  <c r="X78" i="44" s="1"/>
  <c r="Y78" i="44" s="1"/>
  <c r="K79" i="78" s="1"/>
  <c r="I79" i="78"/>
  <c r="L79" i="78" s="1"/>
  <c r="W226" i="44"/>
  <c r="X226" i="44" s="1"/>
  <c r="Y226" i="44" s="1"/>
  <c r="K227" i="78" s="1"/>
  <c r="I227" i="78"/>
  <c r="L227" i="78" s="1"/>
  <c r="W131" i="44"/>
  <c r="X131" i="44" s="1"/>
  <c r="Y131" i="44" s="1"/>
  <c r="K132" i="78" s="1"/>
  <c r="I132" i="78"/>
  <c r="L132" i="78" s="1"/>
  <c r="W27" i="44"/>
  <c r="X27" i="44" s="1"/>
  <c r="Y27" i="44" s="1"/>
  <c r="K28" i="78" s="1"/>
  <c r="I28" i="78"/>
  <c r="L28" i="78" s="1"/>
  <c r="W114" i="44"/>
  <c r="X114" i="44" s="1"/>
  <c r="Y114" i="44" s="1"/>
  <c r="K115" i="78" s="1"/>
  <c r="I115" i="78"/>
  <c r="L115" i="78" s="1"/>
  <c r="I36" i="78"/>
  <c r="L36" i="78" s="1"/>
  <c r="W35" i="44"/>
  <c r="X35" i="44" s="1"/>
  <c r="Y35" i="44" s="1"/>
  <c r="K36" i="78" s="1"/>
  <c r="I192" i="78"/>
  <c r="L192" i="78" s="1"/>
  <c r="W191" i="44"/>
  <c r="X191" i="44" s="1"/>
  <c r="Y191" i="44" s="1"/>
  <c r="K192" i="78" s="1"/>
  <c r="W20" i="44"/>
  <c r="X20" i="44" s="1"/>
  <c r="Y20" i="44" s="1"/>
  <c r="K21" i="78" s="1"/>
  <c r="I21" i="78"/>
  <c r="L21" i="78" s="1"/>
  <c r="I12" i="78"/>
  <c r="L12" i="78" s="1"/>
  <c r="W11" i="44"/>
  <c r="X11" i="44" s="1"/>
  <c r="Y11" i="44" s="1"/>
  <c r="K12" i="78" s="1"/>
  <c r="W9" i="44"/>
  <c r="X9" i="44" s="1"/>
  <c r="Y9" i="44" s="1"/>
  <c r="K10" i="78" s="1"/>
  <c r="I10" i="78"/>
  <c r="L10" i="78" s="1"/>
  <c r="W12" i="44"/>
  <c r="X12" i="44" s="1"/>
  <c r="I13" i="78"/>
  <c r="L13" i="78" s="1"/>
  <c r="I121" i="78"/>
  <c r="L121" i="78" s="1"/>
  <c r="W120" i="44"/>
  <c r="X120" i="44" s="1"/>
  <c r="Y120" i="44" s="1"/>
  <c r="K121" i="78" s="1"/>
  <c r="W104" i="44"/>
  <c r="X104" i="44" s="1"/>
  <c r="Y104" i="44" s="1"/>
  <c r="K105" i="78" s="1"/>
  <c r="I105" i="78"/>
  <c r="L105" i="78" s="1"/>
  <c r="I19" i="78"/>
  <c r="L19" i="78" s="1"/>
  <c r="W18" i="44"/>
  <c r="X18" i="44" s="1"/>
  <c r="Y18" i="44" s="1"/>
  <c r="K19" i="78" s="1"/>
  <c r="I175" i="78"/>
  <c r="L175" i="78" s="1"/>
  <c r="W174" i="44"/>
  <c r="X174" i="44" s="1"/>
  <c r="Y174" i="44" s="1"/>
  <c r="K175" i="78" s="1"/>
  <c r="I214" i="78"/>
  <c r="L214" i="78" s="1"/>
  <c r="W213" i="44"/>
  <c r="X213" i="44" s="1"/>
  <c r="Y213" i="44" s="1"/>
  <c r="K214" i="78" s="1"/>
  <c r="I20" i="78"/>
  <c r="L20" i="78" s="1"/>
  <c r="W19" i="44"/>
  <c r="X19" i="44" s="1"/>
  <c r="W179" i="44"/>
  <c r="X179" i="44" s="1"/>
  <c r="Y179" i="44" s="1"/>
  <c r="K180" i="78" s="1"/>
  <c r="I180" i="78"/>
  <c r="L180" i="78" s="1"/>
  <c r="W137" i="44"/>
  <c r="X137" i="44" s="1"/>
  <c r="Y137" i="44" s="1"/>
  <c r="K138" i="78" s="1"/>
  <c r="I138" i="78"/>
  <c r="L138" i="78" s="1"/>
  <c r="I98" i="78"/>
  <c r="L98" i="78" s="1"/>
  <c r="W97" i="44"/>
  <c r="X97" i="44" s="1"/>
  <c r="Y97" i="44" s="1"/>
  <c r="K98" i="78" s="1"/>
  <c r="Y12" i="44"/>
  <c r="K13" i="78" s="1"/>
  <c r="I222" i="78"/>
  <c r="L222" i="78" s="1"/>
  <c r="W221" i="44"/>
  <c r="X221" i="44" s="1"/>
  <c r="Y221" i="44" s="1"/>
  <c r="K222" i="78" s="1"/>
  <c r="W151" i="44"/>
  <c r="X151" i="44" s="1"/>
  <c r="Y151" i="44" s="1"/>
  <c r="K152" i="78" s="1"/>
  <c r="I152" i="78"/>
  <c r="L152" i="78" s="1"/>
  <c r="I163" i="78"/>
  <c r="L163" i="78" s="1"/>
  <c r="W162" i="44"/>
  <c r="X162" i="44" s="1"/>
  <c r="Y162" i="44" s="1"/>
  <c r="K163" i="78" s="1"/>
  <c r="W215" i="44"/>
  <c r="X215" i="44" s="1"/>
  <c r="Y215" i="44" s="1"/>
  <c r="K216" i="78" s="1"/>
  <c r="I216" i="78"/>
  <c r="L216" i="78" s="1"/>
  <c r="Y19" i="44"/>
  <c r="K20" i="78" s="1"/>
  <c r="I142" i="78"/>
  <c r="L142" i="78" s="1"/>
  <c r="W141" i="44"/>
  <c r="X141" i="44" s="1"/>
  <c r="Y141" i="44" s="1"/>
  <c r="K142" i="78" s="1"/>
  <c r="W143" i="44"/>
  <c r="X143" i="44" s="1"/>
  <c r="Y143" i="44" s="1"/>
  <c r="K144" i="78" s="1"/>
  <c r="I144" i="78"/>
  <c r="L144" i="78" s="1"/>
  <c r="I91" i="78"/>
  <c r="L91" i="78" s="1"/>
  <c r="W90" i="44"/>
  <c r="X90" i="44" s="1"/>
  <c r="Y90" i="44" s="1"/>
  <c r="K91" i="78" s="1"/>
  <c r="W217" i="44"/>
  <c r="X217" i="44" s="1"/>
  <c r="Y217" i="44" s="1"/>
  <c r="K218" i="78" s="1"/>
  <c r="I218" i="78"/>
  <c r="L218" i="78" s="1"/>
  <c r="W86" i="44"/>
  <c r="X86" i="44" s="1"/>
  <c r="Y86" i="44" s="1"/>
  <c r="K87" i="78" s="1"/>
  <c r="I87" i="78"/>
  <c r="L87" i="78" s="1"/>
  <c r="I154" i="78"/>
  <c r="L154" i="78" s="1"/>
  <c r="W153" i="44"/>
  <c r="X153" i="44" s="1"/>
  <c r="Y153" i="44" s="1"/>
  <c r="K154" i="78" s="1"/>
  <c r="I189" i="78"/>
  <c r="L189" i="78" s="1"/>
  <c r="W188" i="44"/>
  <c r="X188" i="44" s="1"/>
  <c r="Y188" i="44" s="1"/>
  <c r="K189" i="78" s="1"/>
  <c r="I89" i="78"/>
  <c r="L89" i="78" s="1"/>
  <c r="W88" i="44"/>
  <c r="X88" i="44" s="1"/>
  <c r="Y88" i="44" s="1"/>
  <c r="K89" i="78" s="1"/>
  <c r="W222" i="44"/>
  <c r="X222" i="44" s="1"/>
  <c r="Y222" i="44" s="1"/>
  <c r="K223" i="78" s="1"/>
  <c r="I223" i="78"/>
  <c r="L223" i="78" s="1"/>
  <c r="I31" i="78"/>
  <c r="L31" i="78" s="1"/>
  <c r="W30" i="44"/>
  <c r="X30" i="44" s="1"/>
  <c r="Y30" i="44" s="1"/>
  <c r="K31" i="78" s="1"/>
  <c r="W41" i="44"/>
  <c r="X41" i="44" s="1"/>
  <c r="Y41" i="44" s="1"/>
  <c r="K42" i="78" s="1"/>
  <c r="I42" i="78"/>
  <c r="L42" i="78" s="1"/>
  <c r="W25" i="44"/>
  <c r="X25" i="44" s="1"/>
  <c r="Y25" i="44" s="1"/>
  <c r="K26" i="78" s="1"/>
  <c r="I26" i="78"/>
  <c r="L26" i="78" s="1"/>
  <c r="W29" i="44"/>
  <c r="X29" i="44" s="1"/>
  <c r="Y29" i="44" s="1"/>
  <c r="K30" i="78" s="1"/>
  <c r="I30" i="78"/>
  <c r="L30" i="78" s="1"/>
  <c r="I171" i="78"/>
  <c r="L171" i="78" s="1"/>
  <c r="W170" i="44"/>
  <c r="X170" i="44" s="1"/>
  <c r="Y170" i="44" s="1"/>
  <c r="K171" i="78" s="1"/>
  <c r="I58" i="78"/>
  <c r="L58" i="78" s="1"/>
  <c r="W57" i="44"/>
  <c r="X57" i="44" s="1"/>
  <c r="Y57" i="44" s="1"/>
  <c r="K58" i="78" s="1"/>
  <c r="I112" i="78"/>
  <c r="L112" i="78" s="1"/>
  <c r="W111" i="44"/>
  <c r="X111" i="44" s="1"/>
  <c r="Y111" i="44" s="1"/>
  <c r="K112" i="78" s="1"/>
  <c r="I166" i="78"/>
  <c r="L166" i="78" s="1"/>
  <c r="W165" i="44"/>
  <c r="X165" i="44" s="1"/>
  <c r="Y165" i="44" s="1"/>
  <c r="K166" i="78" s="1"/>
  <c r="I107" i="78"/>
  <c r="L107" i="78" s="1"/>
  <c r="W106" i="44"/>
  <c r="X106" i="44" s="1"/>
  <c r="Y106" i="44" s="1"/>
  <c r="K107" i="78" s="1"/>
  <c r="W169" i="44"/>
  <c r="X169" i="44" s="1"/>
  <c r="Y169" i="44" s="1"/>
  <c r="K170" i="78" s="1"/>
  <c r="I170" i="78"/>
  <c r="L170" i="78" s="1"/>
  <c r="I29" i="78"/>
  <c r="L29" i="78" s="1"/>
  <c r="W28" i="44"/>
  <c r="X28" i="44" s="1"/>
  <c r="Y28" i="44" s="1"/>
  <c r="K29" i="78" s="1"/>
  <c r="I201" i="78"/>
  <c r="L201" i="78" s="1"/>
  <c r="W200" i="44"/>
  <c r="X200" i="44" s="1"/>
  <c r="Y200" i="44" s="1"/>
  <c r="K201" i="78" s="1"/>
  <c r="W62" i="44"/>
  <c r="X62" i="44" s="1"/>
  <c r="Y62" i="44" s="1"/>
  <c r="K63" i="78" s="1"/>
  <c r="I63" i="78"/>
  <c r="L63" i="78" s="1"/>
  <c r="W211" i="44"/>
  <c r="X211" i="44" s="1"/>
  <c r="Y211" i="44" s="1"/>
  <c r="K212" i="78" s="1"/>
  <c r="I212" i="78"/>
  <c r="L212" i="78" s="1"/>
  <c r="I176" i="78"/>
  <c r="L176" i="78" s="1"/>
  <c r="W175" i="44"/>
  <c r="X175" i="44" s="1"/>
  <c r="Y175" i="44" s="1"/>
  <c r="K176" i="78" s="1"/>
  <c r="I72" i="78"/>
  <c r="L72" i="78" s="1"/>
  <c r="W71" i="44"/>
  <c r="X71" i="44" s="1"/>
  <c r="Y71" i="44" s="1"/>
  <c r="K72" i="78" s="1"/>
  <c r="W201" i="44"/>
  <c r="X201" i="44" s="1"/>
  <c r="I202" i="78"/>
  <c r="L202" i="78" s="1"/>
  <c r="W93" i="44"/>
  <c r="X93" i="44" s="1"/>
  <c r="Y93" i="44" s="1"/>
  <c r="K94" i="78" s="1"/>
  <c r="I94" i="78"/>
  <c r="L94" i="78" s="1"/>
  <c r="I40" i="78"/>
  <c r="W39" i="44"/>
  <c r="X39" i="44" s="1"/>
  <c r="Y39" i="44" s="1"/>
  <c r="K40" i="78" s="1"/>
  <c r="Y91" i="44"/>
  <c r="K92" i="78" s="1"/>
  <c r="I118" i="78"/>
  <c r="L118" i="78" s="1"/>
  <c r="W117" i="44"/>
  <c r="X117" i="44" s="1"/>
  <c r="Y117" i="44" s="1"/>
  <c r="K118" i="78" s="1"/>
  <c r="W223" i="44"/>
  <c r="X223" i="44" s="1"/>
  <c r="Y223" i="44" s="1"/>
  <c r="K224" i="78" s="1"/>
  <c r="I224" i="78"/>
  <c r="L224" i="78" s="1"/>
  <c r="I199" i="78"/>
  <c r="L199" i="78" s="1"/>
  <c r="W198" i="44"/>
  <c r="X198" i="44" s="1"/>
  <c r="Y198" i="44" s="1"/>
  <c r="K199" i="78" s="1"/>
  <c r="I27" i="78"/>
  <c r="L27" i="78" s="1"/>
  <c r="W26" i="44"/>
  <c r="X26" i="44" s="1"/>
  <c r="Y26" i="44" s="1"/>
  <c r="K27" i="78" s="1"/>
  <c r="I38" i="78"/>
  <c r="L38" i="78" s="1"/>
  <c r="W37" i="44"/>
  <c r="X37" i="44" s="1"/>
  <c r="Y37" i="44" s="1"/>
  <c r="K38" i="78" s="1"/>
  <c r="I167" i="78"/>
  <c r="L167" i="78" s="1"/>
  <c r="W166" i="44"/>
  <c r="X166" i="44" s="1"/>
  <c r="Y166" i="44" s="1"/>
  <c r="K167" i="78" s="1"/>
  <c r="I70" i="78"/>
  <c r="L70" i="78" s="1"/>
  <c r="W69" i="44"/>
  <c r="X69" i="44" s="1"/>
  <c r="Y69" i="44" s="1"/>
  <c r="K70" i="78" s="1"/>
  <c r="I188" i="78"/>
  <c r="L188" i="78" s="1"/>
  <c r="W187" i="44"/>
  <c r="X187" i="44" s="1"/>
  <c r="Y187" i="44" s="1"/>
  <c r="K188" i="78" s="1"/>
  <c r="I136" i="78"/>
  <c r="L136" i="78" s="1"/>
  <c r="W135" i="44"/>
  <c r="X135" i="44" s="1"/>
  <c r="Y135" i="44" s="1"/>
  <c r="K136" i="78" s="1"/>
  <c r="W64" i="44"/>
  <c r="X64" i="44" s="1"/>
  <c r="Y64" i="44" s="1"/>
  <c r="K65" i="78" s="1"/>
  <c r="I65" i="78"/>
  <c r="L65" i="78" s="1"/>
  <c r="I82" i="78"/>
  <c r="L82" i="78" s="1"/>
  <c r="W81" i="44"/>
  <c r="X81" i="44" s="1"/>
  <c r="Y81" i="44" s="1"/>
  <c r="K82" i="78" s="1"/>
  <c r="I68" i="78"/>
  <c r="L68" i="78" s="1"/>
  <c r="W67" i="44"/>
  <c r="X67" i="44" s="1"/>
  <c r="Y67" i="44" s="1"/>
  <c r="K68" i="78" s="1"/>
  <c r="I215" i="78"/>
  <c r="L215" i="78" s="1"/>
  <c r="W214" i="44"/>
  <c r="X214" i="44" s="1"/>
  <c r="Y214" i="44" s="1"/>
  <c r="K215" i="78" s="1"/>
  <c r="W113" i="44"/>
  <c r="X113" i="44" s="1"/>
  <c r="Y113" i="44" s="1"/>
  <c r="K114" i="78" s="1"/>
  <c r="I114" i="78"/>
  <c r="L114" i="78" s="1"/>
  <c r="I92" i="78"/>
  <c r="L92" i="78" s="1"/>
  <c r="W91" i="44"/>
  <c r="X91" i="44" s="1"/>
  <c r="W3" i="44"/>
  <c r="X3" i="44" s="1"/>
  <c r="Y3" i="44" s="1"/>
  <c r="K4" i="78" s="1"/>
  <c r="I4" i="78"/>
  <c r="L4" i="78" s="1"/>
  <c r="I97" i="78"/>
  <c r="L97" i="78" s="1"/>
  <c r="W96" i="44"/>
  <c r="X96" i="44" s="1"/>
  <c r="Y96" i="44" s="1"/>
  <c r="K97" i="78" s="1"/>
  <c r="I190" i="78"/>
  <c r="L190" i="78" s="1"/>
  <c r="W189" i="44"/>
  <c r="X189" i="44" s="1"/>
  <c r="Y189" i="44" s="1"/>
  <c r="K190" i="78" s="1"/>
  <c r="W181" i="44"/>
  <c r="X181" i="44" s="1"/>
  <c r="Y181" i="44" s="1"/>
  <c r="K182" i="78" s="1"/>
  <c r="I182" i="78"/>
  <c r="L182" i="78" s="1"/>
  <c r="W203" i="44"/>
  <c r="X203" i="44" s="1"/>
  <c r="Y203" i="44" s="1"/>
  <c r="K204" i="78" s="1"/>
  <c r="I204" i="78"/>
  <c r="L204" i="78" s="1"/>
  <c r="W45" i="44"/>
  <c r="X45" i="44" s="1"/>
  <c r="Y45" i="44" s="1"/>
  <c r="K46" i="78" s="1"/>
  <c r="I46" i="78"/>
  <c r="L46" i="78" s="1"/>
  <c r="W73" i="44"/>
  <c r="X73" i="44" s="1"/>
  <c r="Y73" i="44" s="1"/>
  <c r="K74" i="78" s="1"/>
  <c r="I74" i="78"/>
  <c r="L74" i="78" s="1"/>
  <c r="W53" i="44"/>
  <c r="X53" i="44" s="1"/>
  <c r="Y53" i="44" s="1"/>
  <c r="K54" i="78" s="1"/>
  <c r="I54" i="78"/>
  <c r="L54" i="78" s="1"/>
  <c r="I141" i="78"/>
  <c r="L141" i="78" s="1"/>
  <c r="W140" i="44"/>
  <c r="X140" i="44" s="1"/>
  <c r="Y140" i="44" s="1"/>
  <c r="K141" i="78" s="1"/>
  <c r="W84" i="44"/>
  <c r="X84" i="44" s="1"/>
  <c r="Y84" i="44" s="1"/>
  <c r="K85" i="78" s="1"/>
  <c r="I85" i="78"/>
  <c r="L85" i="78" s="1"/>
  <c r="W124" i="44"/>
  <c r="X124" i="44" s="1"/>
  <c r="Y124" i="44" s="1"/>
  <c r="K125" i="78" s="1"/>
  <c r="I125" i="78"/>
  <c r="L125" i="78" s="1"/>
  <c r="P15" i="78" s="1"/>
  <c r="I50" i="78"/>
  <c r="L50" i="78" s="1"/>
  <c r="W49" i="44"/>
  <c r="X49" i="44" s="1"/>
  <c r="Y49" i="44" s="1"/>
  <c r="K50" i="78" s="1"/>
  <c r="I231" i="78"/>
  <c r="L231" i="78" s="1"/>
  <c r="W230" i="44"/>
  <c r="X230" i="44" s="1"/>
  <c r="Y230" i="44" s="1"/>
  <c r="K231" i="78" s="1"/>
  <c r="W6" i="44"/>
  <c r="X6" i="44" s="1"/>
  <c r="Y6" i="44" s="1"/>
  <c r="K7" i="78" s="1"/>
  <c r="I7" i="78"/>
  <c r="L7" i="78" s="1"/>
  <c r="I34" i="78"/>
  <c r="L34" i="78" s="1"/>
  <c r="W33" i="44"/>
  <c r="X33" i="44" s="1"/>
  <c r="Y33" i="44" s="1"/>
  <c r="K34" i="78" s="1"/>
  <c r="I193" i="78"/>
  <c r="L193" i="78" s="1"/>
  <c r="W192" i="44"/>
  <c r="X192" i="44" s="1"/>
  <c r="Y192" i="44" s="1"/>
  <c r="K193" i="78" s="1"/>
  <c r="W24" i="44"/>
  <c r="X24" i="44" s="1"/>
  <c r="Y24" i="44" s="1"/>
  <c r="I25" i="78"/>
  <c r="L25" i="78" s="1"/>
  <c r="W21" i="44"/>
  <c r="X21" i="44" s="1"/>
  <c r="Y21" i="44" s="1"/>
  <c r="K22" i="78" s="1"/>
  <c r="I22" i="78"/>
  <c r="L22" i="78" s="1"/>
  <c r="W229" i="44"/>
  <c r="X229" i="44" s="1"/>
  <c r="Y229" i="44" s="1"/>
  <c r="K230" i="78" s="1"/>
  <c r="I230" i="78"/>
  <c r="L230" i="78" s="1"/>
  <c r="W204" i="44"/>
  <c r="X204" i="44" s="1"/>
  <c r="Y204" i="44" s="1"/>
  <c r="K205" i="78" s="1"/>
  <c r="I205" i="78"/>
  <c r="L205" i="78" s="1"/>
  <c r="W99" i="44"/>
  <c r="X99" i="44" s="1"/>
  <c r="Y99" i="44" s="1"/>
  <c r="K100" i="78" s="1"/>
  <c r="I100" i="78"/>
  <c r="L100" i="78" s="1"/>
  <c r="I23" i="78"/>
  <c r="L23" i="78" s="1"/>
  <c r="W22" i="44"/>
  <c r="X22" i="44" s="1"/>
  <c r="Y22" i="44" s="1"/>
  <c r="K23" i="78" s="1"/>
  <c r="W122" i="44"/>
  <c r="X122" i="44" s="1"/>
  <c r="Y122" i="44" s="1"/>
  <c r="K123" i="78" s="1"/>
  <c r="I123" i="78"/>
  <c r="L123" i="78" s="1"/>
  <c r="P8" i="78" s="1"/>
  <c r="W95" i="44"/>
  <c r="X95" i="44" s="1"/>
  <c r="Y95" i="44" s="1"/>
  <c r="K96" i="78" s="1"/>
  <c r="I96" i="78"/>
  <c r="L96" i="78" s="1"/>
  <c r="I197" i="78"/>
  <c r="L197" i="78" s="1"/>
  <c r="W196" i="44"/>
  <c r="X196" i="44" s="1"/>
  <c r="Y196" i="44" s="1"/>
  <c r="K197" i="78" s="1"/>
  <c r="W34" i="44"/>
  <c r="X34" i="44" s="1"/>
  <c r="Y34" i="44" s="1"/>
  <c r="K35" i="78" s="1"/>
  <c r="I35" i="78"/>
  <c r="L35" i="78" s="1"/>
  <c r="Y201" i="44"/>
  <c r="K202" i="78" s="1"/>
  <c r="I122" i="78"/>
  <c r="L122" i="78" s="1"/>
  <c r="W121" i="44"/>
  <c r="X121" i="44" s="1"/>
  <c r="L40" i="78"/>
  <c r="P12" i="78" s="1"/>
  <c r="Y121" i="44"/>
  <c r="K122" i="78" s="1"/>
  <c r="P7" i="78"/>
  <c r="I155" i="78"/>
  <c r="L155" i="78" s="1"/>
  <c r="W154" i="44"/>
  <c r="X154" i="44" s="1"/>
  <c r="Y154" i="44" s="1"/>
  <c r="K155" i="78" s="1"/>
  <c r="W190" i="44"/>
  <c r="X190" i="44" s="1"/>
  <c r="Y190" i="44" s="1"/>
  <c r="K191" i="78" s="1"/>
  <c r="I191" i="78"/>
  <c r="L191" i="78" s="1"/>
  <c r="W133" i="44"/>
  <c r="X133" i="44" s="1"/>
  <c r="Y133" i="44" s="1"/>
  <c r="K134" i="78" s="1"/>
  <c r="I134" i="78"/>
  <c r="L134" i="78" s="1"/>
  <c r="W77" i="44"/>
  <c r="X77" i="44" s="1"/>
  <c r="Y77" i="44" s="1"/>
  <c r="K78" i="78" s="1"/>
  <c r="I78" i="78"/>
  <c r="L78" i="78" s="1"/>
  <c r="I185" i="78"/>
  <c r="L185" i="78" s="1"/>
  <c r="W184" i="44"/>
  <c r="X184" i="44" s="1"/>
  <c r="Y184" i="44" s="1"/>
  <c r="K185" i="78" s="1"/>
  <c r="I104" i="78"/>
  <c r="L104" i="78" s="1"/>
  <c r="W103" i="44"/>
  <c r="X103" i="44" s="1"/>
  <c r="Y103" i="44" s="1"/>
  <c r="K104" i="78" s="1"/>
  <c r="I51" i="78"/>
  <c r="L51" i="78" s="1"/>
  <c r="W50" i="44"/>
  <c r="X50" i="44" s="1"/>
  <c r="Y50" i="44" s="1"/>
  <c r="K51" i="78" s="1"/>
  <c r="W159" i="44"/>
  <c r="X159" i="44" s="1"/>
  <c r="Y159" i="44" s="1"/>
  <c r="K160" i="78" s="1"/>
  <c r="I160" i="78"/>
  <c r="L160" i="78" s="1"/>
  <c r="I211" i="78"/>
  <c r="L211" i="78" s="1"/>
  <c r="W210" i="44"/>
  <c r="X210" i="44" s="1"/>
  <c r="Y210" i="44" s="1"/>
  <c r="K211" i="78" s="1"/>
  <c r="W51" i="44"/>
  <c r="X51" i="44" s="1"/>
  <c r="Y51" i="44" s="1"/>
  <c r="K52" i="78" s="1"/>
  <c r="I52" i="78"/>
  <c r="L52" i="78" s="1"/>
  <c r="W100" i="44"/>
  <c r="X100" i="44" s="1"/>
  <c r="Y100" i="44" s="1"/>
  <c r="K101" i="78" s="1"/>
  <c r="I101" i="78"/>
  <c r="L101" i="78" s="1"/>
  <c r="I149" i="78"/>
  <c r="L149" i="78" s="1"/>
  <c r="W148" i="44"/>
  <c r="X148" i="44" s="1"/>
  <c r="Y148" i="44" s="1"/>
  <c r="K149" i="78" s="1"/>
  <c r="W228" i="44"/>
  <c r="X228" i="44" s="1"/>
  <c r="Y228" i="44" s="1"/>
  <c r="K229" i="78" s="1"/>
  <c r="I229" i="78"/>
  <c r="L229" i="78" s="1"/>
  <c r="W212" i="44"/>
  <c r="X212" i="44" s="1"/>
  <c r="Y212" i="44" s="1"/>
  <c r="K213" i="78" s="1"/>
  <c r="I213" i="78"/>
  <c r="L213" i="78" s="1"/>
  <c r="I84" i="78"/>
  <c r="L84" i="78" s="1"/>
  <c r="W83" i="44"/>
  <c r="X83" i="44" s="1"/>
  <c r="Y83" i="44" s="1"/>
  <c r="K84" i="78" s="1"/>
  <c r="Q5" i="76"/>
  <c r="Q8" i="76"/>
  <c r="Q7" i="76"/>
  <c r="Q6" i="76"/>
  <c r="Q4" i="76"/>
  <c r="L4" i="76"/>
  <c r="C8" i="43"/>
  <c r="C10" i="43" s="1"/>
  <c r="C52" i="32"/>
  <c r="C54" i="32" s="1"/>
  <c r="C55" i="32" s="1"/>
  <c r="P6" i="78" l="1"/>
  <c r="P19" i="78"/>
  <c r="P13" i="78"/>
  <c r="P20" i="78"/>
  <c r="P11" i="78"/>
  <c r="K25" i="78"/>
  <c r="C7" i="44"/>
  <c r="C9" i="44" s="1"/>
  <c r="C14" i="44" s="1"/>
  <c r="P18" i="78"/>
  <c r="D52" i="32"/>
  <c r="D54" i="32" s="1"/>
  <c r="D55" i="32" s="1"/>
  <c r="P4" i="78"/>
  <c r="P9" i="78"/>
  <c r="P10" i="78"/>
  <c r="P5" i="78"/>
  <c r="P14" i="78"/>
  <c r="P16" i="78"/>
  <c r="P17" i="78"/>
  <c r="C10" i="44"/>
  <c r="C15" i="43"/>
  <c r="C11" i="43"/>
  <c r="K27" i="76" l="1"/>
  <c r="N27" i="76" s="1"/>
  <c r="K20" i="76"/>
  <c r="N20" i="76" s="1"/>
  <c r="K4" i="76"/>
  <c r="N4" i="76" s="1"/>
  <c r="K21" i="76"/>
  <c r="N21" i="76" s="1"/>
  <c r="K28" i="76"/>
  <c r="N28" i="76" s="1"/>
  <c r="K6" i="76"/>
  <c r="N6" i="76" s="1"/>
  <c r="K14" i="76"/>
  <c r="N14" i="76" s="1"/>
  <c r="K17" i="76"/>
  <c r="N17" i="76" s="1"/>
  <c r="K11" i="76"/>
  <c r="N11" i="76" s="1"/>
  <c r="K13" i="76"/>
  <c r="N13" i="76" s="1"/>
  <c r="K15" i="76"/>
  <c r="N15" i="76" s="1"/>
  <c r="K29" i="76"/>
  <c r="N29" i="76" s="1"/>
  <c r="K10" i="76"/>
  <c r="N10" i="76" s="1"/>
  <c r="K5" i="76"/>
  <c r="N5" i="76" s="1"/>
  <c r="K12" i="76"/>
  <c r="N12" i="76" s="1"/>
  <c r="K30" i="76"/>
  <c r="N30" i="76" s="1"/>
  <c r="K7" i="76"/>
  <c r="N7" i="76" s="1"/>
  <c r="K23" i="76"/>
  <c r="N23" i="76" s="1"/>
  <c r="K25" i="76"/>
  <c r="N25" i="76" s="1"/>
  <c r="K18" i="76"/>
  <c r="N18" i="76" s="1"/>
  <c r="K26" i="76"/>
  <c r="N26" i="76" s="1"/>
  <c r="R9" i="76" s="1"/>
  <c r="K24" i="76"/>
  <c r="N24" i="76" s="1"/>
  <c r="K19" i="76"/>
  <c r="N19" i="76" s="1"/>
  <c r="K16" i="76"/>
  <c r="N16" i="76" s="1"/>
  <c r="K8" i="76"/>
  <c r="N8" i="76" s="1"/>
  <c r="K22" i="76"/>
  <c r="N22" i="76" s="1"/>
  <c r="R8" i="76" s="1"/>
  <c r="K9" i="76"/>
  <c r="N9" i="76" s="1"/>
  <c r="J200" i="78"/>
  <c r="M200" i="78" s="1"/>
  <c r="J211" i="78"/>
  <c r="M211" i="78" s="1"/>
  <c r="J58" i="78"/>
  <c r="M58" i="78" s="1"/>
  <c r="J159" i="78"/>
  <c r="M159" i="78" s="1"/>
  <c r="J191" i="78"/>
  <c r="M191" i="78" s="1"/>
  <c r="J154" i="78"/>
  <c r="M154" i="78" s="1"/>
  <c r="J87" i="78"/>
  <c r="M87" i="78" s="1"/>
  <c r="J136" i="78"/>
  <c r="M136" i="78" s="1"/>
  <c r="J160" i="78"/>
  <c r="M160" i="78" s="1"/>
  <c r="J217" i="78"/>
  <c r="M217" i="78" s="1"/>
  <c r="J16" i="78"/>
  <c r="M16" i="78" s="1"/>
  <c r="J213" i="78"/>
  <c r="M213" i="78" s="1"/>
  <c r="J201" i="78"/>
  <c r="M201" i="78" s="1"/>
  <c r="J68" i="78"/>
  <c r="M68" i="78" s="1"/>
  <c r="J203" i="78"/>
  <c r="M203" i="78" s="1"/>
  <c r="J232" i="78"/>
  <c r="M232" i="78" s="1"/>
  <c r="J36" i="78"/>
  <c r="M36" i="78" s="1"/>
  <c r="J134" i="78"/>
  <c r="M134" i="78" s="1"/>
  <c r="J173" i="78"/>
  <c r="M173" i="78" s="1"/>
  <c r="J47" i="78"/>
  <c r="M47" i="78" s="1"/>
  <c r="J129" i="78"/>
  <c r="M129" i="78" s="1"/>
  <c r="J147" i="78"/>
  <c r="M147" i="78" s="1"/>
  <c r="J220" i="78"/>
  <c r="M220" i="78" s="1"/>
  <c r="J135" i="78"/>
  <c r="M135" i="78" s="1"/>
  <c r="J24" i="78"/>
  <c r="M24" i="78" s="1"/>
  <c r="J33" i="78"/>
  <c r="M33" i="78" s="1"/>
  <c r="J199" i="78"/>
  <c r="M199" i="78" s="1"/>
  <c r="J126" i="78"/>
  <c r="M126" i="78" s="1"/>
  <c r="J11" i="78"/>
  <c r="M11" i="78" s="1"/>
  <c r="J208" i="78"/>
  <c r="M208" i="78" s="1"/>
  <c r="J37" i="78"/>
  <c r="M37" i="78" s="1"/>
  <c r="J19" i="78"/>
  <c r="M19" i="78" s="1"/>
  <c r="J38" i="78"/>
  <c r="M38" i="78" s="1"/>
  <c r="J195" i="78"/>
  <c r="M195" i="78" s="1"/>
  <c r="J92" i="78"/>
  <c r="M92" i="78" s="1"/>
  <c r="J117" i="78"/>
  <c r="M117" i="78" s="1"/>
  <c r="J186" i="78"/>
  <c r="M186" i="78" s="1"/>
  <c r="J79" i="78"/>
  <c r="M79" i="78" s="1"/>
  <c r="J187" i="78"/>
  <c r="M187" i="78" s="1"/>
  <c r="J65" i="78"/>
  <c r="M65" i="78" s="1"/>
  <c r="J53" i="78"/>
  <c r="M53" i="78" s="1"/>
  <c r="J85" i="78"/>
  <c r="M85" i="78" s="1"/>
  <c r="J27" i="78"/>
  <c r="M27" i="78" s="1"/>
  <c r="J51" i="78"/>
  <c r="M51" i="78" s="1"/>
  <c r="J64" i="78"/>
  <c r="M64" i="78" s="1"/>
  <c r="J110" i="78"/>
  <c r="M110" i="78" s="1"/>
  <c r="J69" i="78"/>
  <c r="M69" i="78" s="1"/>
  <c r="J230" i="78"/>
  <c r="M230" i="78" s="1"/>
  <c r="J157" i="78"/>
  <c r="M157" i="78" s="1"/>
  <c r="J4" i="78"/>
  <c r="M4" i="78" s="1"/>
  <c r="J99" i="78"/>
  <c r="M99" i="78" s="1"/>
  <c r="J22" i="78"/>
  <c r="M22" i="78" s="1"/>
  <c r="J45" i="78"/>
  <c r="M45" i="78" s="1"/>
  <c r="J167" i="78"/>
  <c r="M167" i="78" s="1"/>
  <c r="J100" i="78"/>
  <c r="M100" i="78" s="1"/>
  <c r="J106" i="78"/>
  <c r="M106" i="78" s="1"/>
  <c r="J127" i="78"/>
  <c r="M127" i="78" s="1"/>
  <c r="J188" i="78"/>
  <c r="M188" i="78" s="1"/>
  <c r="J206" i="78"/>
  <c r="M206" i="78" s="1"/>
  <c r="J141" i="78"/>
  <c r="M141" i="78" s="1"/>
  <c r="J9" i="78"/>
  <c r="M9" i="78" s="1"/>
  <c r="J30" i="78"/>
  <c r="M30" i="78" s="1"/>
  <c r="J164" i="78"/>
  <c r="M164" i="78" s="1"/>
  <c r="J18" i="78"/>
  <c r="M18" i="78" s="1"/>
  <c r="J21" i="78"/>
  <c r="M21" i="78" s="1"/>
  <c r="J107" i="78"/>
  <c r="M107" i="78" s="1"/>
  <c r="J137" i="78"/>
  <c r="M137" i="78" s="1"/>
  <c r="J153" i="78"/>
  <c r="M153" i="78" s="1"/>
  <c r="J210" i="78"/>
  <c r="M210" i="78" s="1"/>
  <c r="J41" i="78"/>
  <c r="M41" i="78" s="1"/>
  <c r="J40" i="78"/>
  <c r="M40" i="78" s="1"/>
  <c r="J105" i="78"/>
  <c r="M105" i="78" s="1"/>
  <c r="J128" i="78"/>
  <c r="M128" i="78" s="1"/>
  <c r="J96" i="78"/>
  <c r="M96" i="78" s="1"/>
  <c r="J132" i="78"/>
  <c r="M132" i="78" s="1"/>
  <c r="J32" i="78"/>
  <c r="M32" i="78" s="1"/>
  <c r="J231" i="78"/>
  <c r="M231" i="78" s="1"/>
  <c r="J169" i="78"/>
  <c r="M169" i="78" s="1"/>
  <c r="J6" i="78"/>
  <c r="M6" i="78" s="1"/>
  <c r="J196" i="78"/>
  <c r="M196" i="78" s="1"/>
  <c r="J138" i="78"/>
  <c r="M138" i="78" s="1"/>
  <c r="J70" i="78"/>
  <c r="M70" i="78" s="1"/>
  <c r="J171" i="78"/>
  <c r="M171" i="78" s="1"/>
  <c r="J8" i="78"/>
  <c r="M8" i="78" s="1"/>
  <c r="J207" i="78"/>
  <c r="M207" i="78" s="1"/>
  <c r="J197" i="78"/>
  <c r="M197" i="78" s="1"/>
  <c r="J143" i="78"/>
  <c r="M143" i="78" s="1"/>
  <c r="J34" i="78"/>
  <c r="M34" i="78" s="1"/>
  <c r="J227" i="78"/>
  <c r="M227" i="78" s="1"/>
  <c r="J95" i="78"/>
  <c r="M95" i="78" s="1"/>
  <c r="J13" i="78"/>
  <c r="M13" i="78" s="1"/>
  <c r="J12" i="78"/>
  <c r="M12" i="78" s="1"/>
  <c r="J214" i="78"/>
  <c r="M214" i="78" s="1"/>
  <c r="J222" i="78"/>
  <c r="M222" i="78" s="1"/>
  <c r="J57" i="78"/>
  <c r="M57" i="78" s="1"/>
  <c r="J215" i="78"/>
  <c r="M215" i="78" s="1"/>
  <c r="J209" i="78"/>
  <c r="M209" i="78" s="1"/>
  <c r="J145" i="78"/>
  <c r="M145" i="78" s="1"/>
  <c r="J149" i="78"/>
  <c r="M149" i="78" s="1"/>
  <c r="J193" i="78"/>
  <c r="M193" i="78" s="1"/>
  <c r="J184" i="78"/>
  <c r="M184" i="78" s="1"/>
  <c r="J63" i="78"/>
  <c r="M63" i="78" s="1"/>
  <c r="J81" i="78"/>
  <c r="M81" i="78" s="1"/>
  <c r="J133" i="78"/>
  <c r="M133" i="78" s="1"/>
  <c r="J103" i="78"/>
  <c r="M103" i="78" s="1"/>
  <c r="J140" i="78"/>
  <c r="M140" i="78" s="1"/>
  <c r="J29" i="78"/>
  <c r="M29" i="78" s="1"/>
  <c r="J48" i="78"/>
  <c r="M48" i="78" s="1"/>
  <c r="J226" i="78"/>
  <c r="M226" i="78" s="1"/>
  <c r="J123" i="78"/>
  <c r="M123" i="78" s="1"/>
  <c r="J75" i="78"/>
  <c r="M75" i="78" s="1"/>
  <c r="J177" i="78"/>
  <c r="M177" i="78" s="1"/>
  <c r="J219" i="78"/>
  <c r="M219" i="78" s="1"/>
  <c r="J146" i="78"/>
  <c r="M146" i="78" s="1"/>
  <c r="J189" i="78"/>
  <c r="M189" i="78" s="1"/>
  <c r="J35" i="78"/>
  <c r="M35" i="78" s="1"/>
  <c r="J73" i="78"/>
  <c r="M73" i="78" s="1"/>
  <c r="J161" i="78"/>
  <c r="M161" i="78" s="1"/>
  <c r="J225" i="78"/>
  <c r="M225" i="78" s="1"/>
  <c r="J142" i="78"/>
  <c r="M142" i="78" s="1"/>
  <c r="J7" i="78"/>
  <c r="M7" i="78" s="1"/>
  <c r="J148" i="78"/>
  <c r="M148" i="78" s="1"/>
  <c r="J162" i="78"/>
  <c r="M162" i="78" s="1"/>
  <c r="J223" i="78"/>
  <c r="M223" i="78" s="1"/>
  <c r="J98" i="78"/>
  <c r="M98" i="78" s="1"/>
  <c r="J15" i="78"/>
  <c r="M15" i="78" s="1"/>
  <c r="J72" i="78"/>
  <c r="M72" i="78" s="1"/>
  <c r="J172" i="78"/>
  <c r="M172" i="78" s="1"/>
  <c r="J152" i="78"/>
  <c r="M152" i="78" s="1"/>
  <c r="J54" i="78"/>
  <c r="M54" i="78" s="1"/>
  <c r="J183" i="78"/>
  <c r="M183" i="78" s="1"/>
  <c r="J216" i="78"/>
  <c r="M216" i="78" s="1"/>
  <c r="J150" i="78"/>
  <c r="M150" i="78" s="1"/>
  <c r="J139" i="78"/>
  <c r="M139" i="78" s="1"/>
  <c r="J76" i="78"/>
  <c r="M76" i="78" s="1"/>
  <c r="J115" i="78"/>
  <c r="M115" i="78" s="1"/>
  <c r="J104" i="78"/>
  <c r="M104" i="78" s="1"/>
  <c r="J26" i="78"/>
  <c r="M26" i="78" s="1"/>
  <c r="J101" i="78"/>
  <c r="M101" i="78" s="1"/>
  <c r="J60" i="78"/>
  <c r="M60" i="78" s="1"/>
  <c r="J90" i="78"/>
  <c r="M90" i="78" s="1"/>
  <c r="J165" i="78"/>
  <c r="M165" i="78" s="1"/>
  <c r="J43" i="78"/>
  <c r="M43" i="78" s="1"/>
  <c r="J179" i="78"/>
  <c r="M179" i="78" s="1"/>
  <c r="J23" i="78"/>
  <c r="M23" i="78" s="1"/>
  <c r="J175" i="78"/>
  <c r="M175" i="78" s="1"/>
  <c r="J93" i="78"/>
  <c r="M93" i="78" s="1"/>
  <c r="J168" i="78"/>
  <c r="M168" i="78" s="1"/>
  <c r="J181" i="78"/>
  <c r="M181" i="78" s="1"/>
  <c r="J52" i="78"/>
  <c r="M52" i="78" s="1"/>
  <c r="J25" i="78"/>
  <c r="M25" i="78" s="1"/>
  <c r="J84" i="78"/>
  <c r="M84" i="78" s="1"/>
  <c r="J155" i="78"/>
  <c r="M155" i="78" s="1"/>
  <c r="J114" i="78"/>
  <c r="M114" i="78" s="1"/>
  <c r="J59" i="78"/>
  <c r="M59" i="78" s="1"/>
  <c r="J131" i="78"/>
  <c r="M131" i="78" s="1"/>
  <c r="J130" i="78"/>
  <c r="M130" i="78" s="1"/>
  <c r="J224" i="78"/>
  <c r="M224" i="78" s="1"/>
  <c r="J156" i="78"/>
  <c r="M156" i="78" s="1"/>
  <c r="J120" i="78"/>
  <c r="M120" i="78" s="1"/>
  <c r="J42" i="78"/>
  <c r="M42" i="78" s="1"/>
  <c r="J144" i="78"/>
  <c r="M144" i="78" s="1"/>
  <c r="J229" i="78"/>
  <c r="M229" i="78" s="1"/>
  <c r="J67" i="78"/>
  <c r="M67" i="78" s="1"/>
  <c r="J82" i="78"/>
  <c r="M82" i="78" s="1"/>
  <c r="J190" i="78"/>
  <c r="M190" i="78" s="1"/>
  <c r="J202" i="78"/>
  <c r="M202" i="78" s="1"/>
  <c r="J5" i="78"/>
  <c r="M5" i="78" s="1"/>
  <c r="J194" i="78"/>
  <c r="M194" i="78" s="1"/>
  <c r="J39" i="78"/>
  <c r="M39" i="78" s="1"/>
  <c r="J50" i="78"/>
  <c r="M50" i="78" s="1"/>
  <c r="J221" i="78"/>
  <c r="M221" i="78" s="1"/>
  <c r="J71" i="78"/>
  <c r="M71" i="78" s="1"/>
  <c r="J174" i="78"/>
  <c r="M174" i="78" s="1"/>
  <c r="J102" i="78"/>
  <c r="M102" i="78" s="1"/>
  <c r="J108" i="78"/>
  <c r="M108" i="78" s="1"/>
  <c r="J97" i="78"/>
  <c r="M97" i="78" s="1"/>
  <c r="J205" i="78"/>
  <c r="M205" i="78" s="1"/>
  <c r="J204" i="78"/>
  <c r="M204" i="78" s="1"/>
  <c r="J121" i="78"/>
  <c r="M121" i="78" s="1"/>
  <c r="J14" i="78"/>
  <c r="M14" i="78" s="1"/>
  <c r="J192" i="78"/>
  <c r="M192" i="78" s="1"/>
  <c r="J198" i="78"/>
  <c r="M198" i="78" s="1"/>
  <c r="J122" i="78"/>
  <c r="M122" i="78" s="1"/>
  <c r="J109" i="78"/>
  <c r="M109" i="78" s="1"/>
  <c r="J166" i="78"/>
  <c r="M166" i="78" s="1"/>
  <c r="J86" i="78"/>
  <c r="M86" i="78" s="1"/>
  <c r="J46" i="78"/>
  <c r="M46" i="78" s="1"/>
  <c r="J89" i="78"/>
  <c r="M89" i="78" s="1"/>
  <c r="J180" i="78"/>
  <c r="M180" i="78" s="1"/>
  <c r="J80" i="78"/>
  <c r="M80" i="78" s="1"/>
  <c r="J111" i="78"/>
  <c r="M111" i="78" s="1"/>
  <c r="J185" i="78"/>
  <c r="M185" i="78" s="1"/>
  <c r="J77" i="78"/>
  <c r="M77" i="78" s="1"/>
  <c r="J178" i="78"/>
  <c r="M178" i="78" s="1"/>
  <c r="J91" i="78"/>
  <c r="M91" i="78" s="1"/>
  <c r="J118" i="78"/>
  <c r="M118" i="78" s="1"/>
  <c r="J44" i="78"/>
  <c r="M44" i="78" s="1"/>
  <c r="J182" i="78"/>
  <c r="M182" i="78" s="1"/>
  <c r="J56" i="78"/>
  <c r="M56" i="78" s="1"/>
  <c r="J119" i="78"/>
  <c r="M119" i="78" s="1"/>
  <c r="J112" i="78"/>
  <c r="M112" i="78" s="1"/>
  <c r="J116" i="78"/>
  <c r="M116" i="78" s="1"/>
  <c r="J17" i="78"/>
  <c r="M17" i="78" s="1"/>
  <c r="J170" i="78"/>
  <c r="M170" i="78" s="1"/>
  <c r="J10" i="78"/>
  <c r="M10" i="78" s="1"/>
  <c r="J218" i="78"/>
  <c r="M218" i="78" s="1"/>
  <c r="J163" i="78"/>
  <c r="M163" i="78" s="1"/>
  <c r="J66" i="78"/>
  <c r="M66" i="78" s="1"/>
  <c r="J62" i="78"/>
  <c r="M62" i="78" s="1"/>
  <c r="J151" i="78"/>
  <c r="M151" i="78" s="1"/>
  <c r="J124" i="78"/>
  <c r="M124" i="78" s="1"/>
  <c r="J49" i="78"/>
  <c r="M49" i="78" s="1"/>
  <c r="J74" i="78"/>
  <c r="M74" i="78" s="1"/>
  <c r="J212" i="78"/>
  <c r="M212" i="78" s="1"/>
  <c r="J228" i="78"/>
  <c r="M228" i="78" s="1"/>
  <c r="J31" i="78"/>
  <c r="M31" i="78" s="1"/>
  <c r="J113" i="78"/>
  <c r="M113" i="78" s="1"/>
  <c r="J78" i="78"/>
  <c r="M78" i="78" s="1"/>
  <c r="J158" i="78"/>
  <c r="M158" i="78" s="1"/>
  <c r="J20" i="78"/>
  <c r="M20" i="78" s="1"/>
  <c r="J176" i="78"/>
  <c r="M176" i="78" s="1"/>
  <c r="J28" i="78"/>
  <c r="M28" i="78" s="1"/>
  <c r="J88" i="78"/>
  <c r="M88" i="78" s="1"/>
  <c r="J61" i="78"/>
  <c r="M61" i="78" s="1"/>
  <c r="J125" i="78"/>
  <c r="M125" i="78" s="1"/>
  <c r="Q15" i="78" s="1"/>
  <c r="J55" i="78"/>
  <c r="M55" i="78" s="1"/>
  <c r="J94" i="78"/>
  <c r="M94" i="78" s="1"/>
  <c r="J83" i="78"/>
  <c r="M83" i="78" s="1"/>
  <c r="Q4" i="78" l="1"/>
  <c r="Q7" i="78"/>
  <c r="R5" i="76"/>
  <c r="Q14" i="78"/>
  <c r="Q8" i="78"/>
  <c r="Q6" i="78"/>
  <c r="Q17" i="78"/>
  <c r="Q9" i="78"/>
  <c r="Q20" i="78"/>
  <c r="Q16" i="78"/>
  <c r="Q19" i="78"/>
  <c r="R4" i="76"/>
  <c r="Q5" i="78"/>
  <c r="Q13" i="78"/>
  <c r="R6" i="76"/>
  <c r="Q12" i="78"/>
  <c r="Q18" i="78"/>
  <c r="Q10" i="78"/>
  <c r="Q11" i="78"/>
  <c r="R7" i="76"/>
</calcChain>
</file>

<file path=xl/sharedStrings.xml><?xml version="1.0" encoding="utf-8"?>
<sst xmlns="http://schemas.openxmlformats.org/spreadsheetml/2006/main" count="8084" uniqueCount="557">
  <si>
    <t>DISTANCES (KM)</t>
  </si>
  <si>
    <t>Avonmouth</t>
  </si>
  <si>
    <t>Bacton IP</t>
  </si>
  <si>
    <t>Bacton UKCS</t>
  </si>
  <si>
    <t>Burton Point</t>
  </si>
  <si>
    <t>Barrow</t>
  </si>
  <si>
    <t>Barton Stacey</t>
  </si>
  <si>
    <t>Canonbie</t>
  </si>
  <si>
    <t>Cheshire</t>
  </si>
  <si>
    <t>Caythorpe</t>
  </si>
  <si>
    <t>Dynevor Arms</t>
  </si>
  <si>
    <t>Fleetwood</t>
  </si>
  <si>
    <t>Glenmavis</t>
  </si>
  <si>
    <t>Garton</t>
  </si>
  <si>
    <t>Hole House Farm</t>
  </si>
  <si>
    <t>Hatfield Moor (onshore)</t>
  </si>
  <si>
    <t>Hornsea</t>
  </si>
  <si>
    <t>Hatfield Moor (storage)</t>
  </si>
  <si>
    <t>Isle of Grain</t>
  </si>
  <si>
    <t>Milford Haven</t>
  </si>
  <si>
    <t>Partington</t>
  </si>
  <si>
    <t>St Fergus</t>
  </si>
  <si>
    <t>Teesside</t>
  </si>
  <si>
    <t>Theddlethorpe</t>
  </si>
  <si>
    <t>Wytch Farm</t>
  </si>
  <si>
    <t>Entry Point</t>
  </si>
  <si>
    <t>Aberdeen</t>
  </si>
  <si>
    <t>Abson (Seabank Power Station phase I)</t>
  </si>
  <si>
    <t>Alrewas (EM)</t>
  </si>
  <si>
    <t>Alrewas (WM)</t>
  </si>
  <si>
    <t>Armadale</t>
  </si>
  <si>
    <t>Aspley</t>
  </si>
  <si>
    <t>Asselby</t>
  </si>
  <si>
    <t>Audley (NW)</t>
  </si>
  <si>
    <t>Audley (WM)</t>
  </si>
  <si>
    <t>Austrey</t>
  </si>
  <si>
    <t>Avonmouth Max Refill</t>
  </si>
  <si>
    <t>Aylesbeare</t>
  </si>
  <si>
    <t>Bacton</t>
  </si>
  <si>
    <t>Bacton (Baird)</t>
  </si>
  <si>
    <t>Bacton (BBL)</t>
  </si>
  <si>
    <t>Bacton (Great Yarmouth)</t>
  </si>
  <si>
    <t>Bacton (IUK)</t>
  </si>
  <si>
    <t>Baldersby</t>
  </si>
  <si>
    <t>Balgray</t>
  </si>
  <si>
    <t>Barking (Horndon)</t>
  </si>
  <si>
    <t>Barrow (Bains)</t>
  </si>
  <si>
    <t>Barrow (Black Start)</t>
  </si>
  <si>
    <t>Barrow (Gateway)</t>
  </si>
  <si>
    <t>Barton Stacey Max Refill (Humbly Grove)</t>
  </si>
  <si>
    <t>Bathgate</t>
  </si>
  <si>
    <t>Billingham ICI (Terra Billingham)</t>
  </si>
  <si>
    <t>Bishop Auckland</t>
  </si>
  <si>
    <t>Bishop Auckland (test facility)</t>
  </si>
  <si>
    <t>Blaby</t>
  </si>
  <si>
    <t>Blackness (BP Grangemouth)</t>
  </si>
  <si>
    <t>Blackrod</t>
  </si>
  <si>
    <t>Blyborough</t>
  </si>
  <si>
    <t>Blyborough (Brigg)</t>
  </si>
  <si>
    <t>Blyborough (Cottam)</t>
  </si>
  <si>
    <t>Braishfield A</t>
  </si>
  <si>
    <t>Braishfield B</t>
  </si>
  <si>
    <t>Brine Field (Teesside) Power Station</t>
  </si>
  <si>
    <t>Brisley</t>
  </si>
  <si>
    <t>Broxburn</t>
  </si>
  <si>
    <t>Burley Bank</t>
  </si>
  <si>
    <t>Burnhervie</t>
  </si>
  <si>
    <t>Burton Point (Connahs Quay)</t>
  </si>
  <si>
    <t>Caldecott</t>
  </si>
  <si>
    <t>Caldecott (Corby Power Station)</t>
  </si>
  <si>
    <t>Cambridge</t>
  </si>
  <si>
    <t>Careston</t>
  </si>
  <si>
    <t>Carrington (Partington) Power Station</t>
  </si>
  <si>
    <t>Centrax Industrial</t>
  </si>
  <si>
    <t>Cirencester</t>
  </si>
  <si>
    <t>Cockenzie Power Station</t>
  </si>
  <si>
    <t>Coffinswell</t>
  </si>
  <si>
    <t>Coldstream</t>
  </si>
  <si>
    <t>Corbridge</t>
  </si>
  <si>
    <t>Coryton 2 (Thames Haven) Power Station</t>
  </si>
  <si>
    <t>Cowpen Bewley</t>
  </si>
  <si>
    <t>Crawley Down</t>
  </si>
  <si>
    <t>Deborah Storage (Bacton)</t>
  </si>
  <si>
    <t>Deeside</t>
  </si>
  <si>
    <t>Didcot</t>
  </si>
  <si>
    <t>Dowlais</t>
  </si>
  <si>
    <t>Drakelow Power Station</t>
  </si>
  <si>
    <t>Drointon</t>
  </si>
  <si>
    <t>Drum</t>
  </si>
  <si>
    <t>Dyffryn Clydach</t>
  </si>
  <si>
    <t>Dynevor Max Refill</t>
  </si>
  <si>
    <t>Eastoft (Keadby Blackstart)</t>
  </si>
  <si>
    <t>Eastoft (Keadby)</t>
  </si>
  <si>
    <t>Easton Grey</t>
  </si>
  <si>
    <t>Ecclestone</t>
  </si>
  <si>
    <t>Elton</t>
  </si>
  <si>
    <t>Enron Billingham</t>
  </si>
  <si>
    <t>Epping Green (Enfield Energy, aka Brimsdown)</t>
  </si>
  <si>
    <t>Evesham</t>
  </si>
  <si>
    <t>Farningham</t>
  </si>
  <si>
    <t>Farningham B</t>
  </si>
  <si>
    <t>Ferny Knoll (AM Paper)</t>
  </si>
  <si>
    <t>Fiddington</t>
  </si>
  <si>
    <t>Ganstead</t>
  </si>
  <si>
    <t>Garton Max Refill (Aldbrough)</t>
  </si>
  <si>
    <t>Gilwern</t>
  </si>
  <si>
    <t>Glenmavis Max Refill</t>
  </si>
  <si>
    <t>Goole (Guardian Glass)</t>
  </si>
  <si>
    <t>Gosberton</t>
  </si>
  <si>
    <t>Gowkhall (Longannet)</t>
  </si>
  <si>
    <t>Grain Power Station</t>
  </si>
  <si>
    <t>Great Wilbraham</t>
  </si>
  <si>
    <t>Guyzance</t>
  </si>
  <si>
    <t>Hardwick</t>
  </si>
  <si>
    <t>Harwarden (Shotton, aka Shotton Paper)</t>
  </si>
  <si>
    <t>Hatfield Moor Max Refill</t>
  </si>
  <si>
    <t>Hatfield Power Station</t>
  </si>
  <si>
    <t>Hill Top Farm (Hole House Farm)</t>
  </si>
  <si>
    <t>Hole House Max Refill</t>
  </si>
  <si>
    <t>Holford</t>
  </si>
  <si>
    <t>Hollingsgreen (Hays Chemicals)</t>
  </si>
  <si>
    <t>Holmes Chapel</t>
  </si>
  <si>
    <t>Horndon</t>
  </si>
  <si>
    <t>Hornsea Max Refill</t>
  </si>
  <si>
    <t>Humbleton</t>
  </si>
  <si>
    <t>Hume</t>
  </si>
  <si>
    <t>Ilchester</t>
  </si>
  <si>
    <t>Ipsden</t>
  </si>
  <si>
    <t>Ipsden 2</t>
  </si>
  <si>
    <t>Keld</t>
  </si>
  <si>
    <t>Kenn</t>
  </si>
  <si>
    <t>Kinknockie</t>
  </si>
  <si>
    <t>Kirkstead</t>
  </si>
  <si>
    <t>Langage Power Station</t>
  </si>
  <si>
    <t>Langholm</t>
  </si>
  <si>
    <t>Lauderhill</t>
  </si>
  <si>
    <t>Leamington</t>
  </si>
  <si>
    <t>Little Burdon</t>
  </si>
  <si>
    <t>Littleton Drew</t>
  </si>
  <si>
    <t>Lockerbie</t>
  </si>
  <si>
    <t>Lower Quinton</t>
  </si>
  <si>
    <t>Lupton</t>
  </si>
  <si>
    <t>Luxborough Lane</t>
  </si>
  <si>
    <t>Lyneham (Choakford)</t>
  </si>
  <si>
    <t>Maelor</t>
  </si>
  <si>
    <t>Malpas</t>
  </si>
  <si>
    <t>Mappowder</t>
  </si>
  <si>
    <t>Marchwood Power Station</t>
  </si>
  <si>
    <t>Market Harborough</t>
  </si>
  <si>
    <t>Matching Green</t>
  </si>
  <si>
    <t>Medway (aka Isle of Grain Power Station, NOT Grain Power)</t>
  </si>
  <si>
    <t>Melkinthorpe</t>
  </si>
  <si>
    <t>Mickle Trafford</t>
  </si>
  <si>
    <t>Middle Stoke (Damhead Creek, aka Kingsnorth Power Station)</t>
  </si>
  <si>
    <t>Milwich</t>
  </si>
  <si>
    <t>Moffat (Irish Interconnector)</t>
  </si>
  <si>
    <t>Netherhowcleugh</t>
  </si>
  <si>
    <t>Pannal</t>
  </si>
  <si>
    <t>Partington Max Refill</t>
  </si>
  <si>
    <t>Paull</t>
  </si>
  <si>
    <t>Pembroke Power Station</t>
  </si>
  <si>
    <t>Peterborough (Peterborough Power Station)</t>
  </si>
  <si>
    <t>Peterborough Eye (Tee)</t>
  </si>
  <si>
    <t>Peters Green</t>
  </si>
  <si>
    <t>Peters Green South Mimms</t>
  </si>
  <si>
    <t>Phillips Petroleum, Teesside</t>
  </si>
  <si>
    <t>Pickering</t>
  </si>
  <si>
    <t>Pickmere (Winnington Power, aka Brunner Mond)</t>
  </si>
  <si>
    <t>Pitcairngreen</t>
  </si>
  <si>
    <t>Pucklechurch</t>
  </si>
  <si>
    <t>Rawcliffe</t>
  </si>
  <si>
    <t>Roosecote Power Station (Barrow)</t>
  </si>
  <si>
    <t>Rosehill (Saltend Power Station)</t>
  </si>
  <si>
    <t>Ross (SW)</t>
  </si>
  <si>
    <t>Ross (WM)</t>
  </si>
  <si>
    <t>Roudham Heath</t>
  </si>
  <si>
    <t>Rough Max Refill</t>
  </si>
  <si>
    <t>Royston</t>
  </si>
  <si>
    <t>Rugby</t>
  </si>
  <si>
    <t>Ryehouse</t>
  </si>
  <si>
    <t>Saddle Bow (Kings Lynn)</t>
  </si>
  <si>
    <t>Saltend BPHP (BP Saltend HP)</t>
  </si>
  <si>
    <t>Saltfleetby Storage (Theddlethorpe)</t>
  </si>
  <si>
    <t>Saltwick Pressure Controlled</t>
  </si>
  <si>
    <t>Saltwick Volumetric Controlled</t>
  </si>
  <si>
    <t>Samlesbury</t>
  </si>
  <si>
    <t>Sandy Lane (Blackburn CHP, aka Sappi Paper Mill)</t>
  </si>
  <si>
    <t>Seabank (DN)</t>
  </si>
  <si>
    <t>Seabank (Seabank Power Station phase II)</t>
  </si>
  <si>
    <t>Sellafield Power Station</t>
  </si>
  <si>
    <t>Shellstar (aka Kemira, not Kemira CHP)</t>
  </si>
  <si>
    <t>Shorne</t>
  </si>
  <si>
    <t>Shotwick (Bridgewater Paper)</t>
  </si>
  <si>
    <t>Shustoke</t>
  </si>
  <si>
    <t>Silk Willoughby</t>
  </si>
  <si>
    <t>Soutra</t>
  </si>
  <si>
    <t>Spalding 2 (South Holland) Power Station</t>
  </si>
  <si>
    <t>St. Fergus (Peterhead)</t>
  </si>
  <si>
    <t>St. Fergus (Shell Blackstart)</t>
  </si>
  <si>
    <t>St. Neots (Little Barford)</t>
  </si>
  <si>
    <t>Stallingborough</t>
  </si>
  <si>
    <t>Stanford Le Hope (Coryton)</t>
  </si>
  <si>
    <t>Staythorpe</t>
  </si>
  <si>
    <t>Stranraer</t>
  </si>
  <si>
    <t>Stratford-upon-Avon</t>
  </si>
  <si>
    <t>Stublach (Cheshire)</t>
  </si>
  <si>
    <t>Sutton Bridge</t>
  </si>
  <si>
    <t>Sutton Bridge Power Station</t>
  </si>
  <si>
    <t>Tatsfield</t>
  </si>
  <si>
    <t>Teesside (BASF, aka BASF Teesside)</t>
  </si>
  <si>
    <t>Teesside Hydrogen</t>
  </si>
  <si>
    <t>Terra Nitrogen (aka ICI, Terra Severnside)</t>
  </si>
  <si>
    <t>Thornton Curtis (DN)</t>
  </si>
  <si>
    <t>Thornton Curtis (Humber Refinery, aka Immingham)</t>
  </si>
  <si>
    <t>Thornton Curtis (Killingholme)</t>
  </si>
  <si>
    <t>Thrintoft</t>
  </si>
  <si>
    <t>Tilbury Power Station</t>
  </si>
  <si>
    <t>Tonna (Baglan Bay)</t>
  </si>
  <si>
    <t>Towlaw</t>
  </si>
  <si>
    <t>Towton</t>
  </si>
  <si>
    <t>Tur Langton</t>
  </si>
  <si>
    <t>Upper Neeston (Milford Haven Refinery)</t>
  </si>
  <si>
    <t>Walesby</t>
  </si>
  <si>
    <t>Warburton</t>
  </si>
  <si>
    <t>West Burton Power Station</t>
  </si>
  <si>
    <t>West Winch</t>
  </si>
  <si>
    <t>Weston Point</t>
  </si>
  <si>
    <t>Weston Point (Castner Kelner, aka ICI Runcorn)</t>
  </si>
  <si>
    <t>Weston Point (Rocksavage)</t>
  </si>
  <si>
    <t>Wetheral</t>
  </si>
  <si>
    <t>Whitwell</t>
  </si>
  <si>
    <t>Willington Power Station</t>
  </si>
  <si>
    <t>Winkfield (NT)</t>
  </si>
  <si>
    <t>Winkfield (SE)</t>
  </si>
  <si>
    <t>Winkfield (SO)</t>
  </si>
  <si>
    <t>Wragg Marsh (Spalding)</t>
  </si>
  <si>
    <t>Wyre Power Station</t>
  </si>
  <si>
    <t>Yelverton</t>
  </si>
  <si>
    <t>Zeneca (ICI Avecia, aka 'Zenica')</t>
  </si>
  <si>
    <t>Trafford Power Station</t>
  </si>
  <si>
    <t>Apache (Sage Black Start)</t>
  </si>
  <si>
    <t>Seal Sands TGPP</t>
  </si>
  <si>
    <t>Exit Point</t>
  </si>
  <si>
    <t>Weighted Average Distance (AD_En)</t>
  </si>
  <si>
    <t>Exit Points</t>
  </si>
  <si>
    <t>Weighted Average Distance (AD_Ex)</t>
  </si>
  <si>
    <t>Weight of cost for a given entry point (W_C,En)</t>
  </si>
  <si>
    <t>Weight of cost for a given exit point  (W_C,Ex)</t>
  </si>
  <si>
    <t>Forecast Contracted Capacity (CAP_Ex)</t>
  </si>
  <si>
    <t>Part of the transmission services revenue to be recovered from capacity-based transmission tariffs (£m)</t>
  </si>
  <si>
    <t>Part of the transmission services revenue to be recovered from capacity-based transmission tariffs (£)</t>
  </si>
  <si>
    <t>Revenue Inputs</t>
  </si>
  <si>
    <t>Part of the transmission services revenue to be recovered from capacity-based transmission tariffs (p)</t>
  </si>
  <si>
    <t>Reference price at an entry point (T_En)
p/kWh/a</t>
  </si>
  <si>
    <t>Reference price at an exit point (T_Ex)
p/kWh/a</t>
  </si>
  <si>
    <t>Part of TS Revenue to be recovered from capacity-based tariffs at an Entry Point (R_En) (p)</t>
  </si>
  <si>
    <t>Part of TS Revenue to be recovered from capacity-based tariffs at an Exit Point (R_Ex) (p)</t>
  </si>
  <si>
    <t>Revenue</t>
  </si>
  <si>
    <t>Entry</t>
  </si>
  <si>
    <t>Exit</t>
  </si>
  <si>
    <t>Quarterly standard capacity products</t>
  </si>
  <si>
    <t>Monthly standard capacity products</t>
  </si>
  <si>
    <t>Daily standard capacity products</t>
  </si>
  <si>
    <t>Within-day standard capacity products</t>
  </si>
  <si>
    <t>Forecast Contracted Capacity</t>
  </si>
  <si>
    <t>Storage Discount</t>
  </si>
  <si>
    <t>Location Type</t>
  </si>
  <si>
    <t>STORAGE SITE</t>
  </si>
  <si>
    <t>INTERCONNECTION POINT</t>
  </si>
  <si>
    <t>BEACH TERMINAL</t>
  </si>
  <si>
    <t>ONSHORE FIELD</t>
  </si>
  <si>
    <t>LNG IMPORTATION TERMINAL</t>
  </si>
  <si>
    <t>Exit Zone (if applicable)</t>
  </si>
  <si>
    <t>GDN (SC)</t>
  </si>
  <si>
    <t>SC1</t>
  </si>
  <si>
    <t>DC</t>
  </si>
  <si>
    <t>Other</t>
  </si>
  <si>
    <t>GDN (EM)</t>
  </si>
  <si>
    <t>EM3</t>
  </si>
  <si>
    <t>GDN (WM)</t>
  </si>
  <si>
    <t>WM2</t>
  </si>
  <si>
    <t>SC2</t>
  </si>
  <si>
    <t>WM1</t>
  </si>
  <si>
    <t>GDN (NE)</t>
  </si>
  <si>
    <t>NE1</t>
  </si>
  <si>
    <t>GDN (NW)</t>
  </si>
  <si>
    <t>NW2</t>
  </si>
  <si>
    <t>GDN (SW)</t>
  </si>
  <si>
    <t>SW3</t>
  </si>
  <si>
    <t>GDN (EA)</t>
  </si>
  <si>
    <t>EA1</t>
  </si>
  <si>
    <t>INTERCONNECTOR</t>
  </si>
  <si>
    <t>SC4</t>
  </si>
  <si>
    <t>GDN (NO)</t>
  </si>
  <si>
    <t>NO1</t>
  </si>
  <si>
    <t>NW1</t>
  </si>
  <si>
    <t>EM2</t>
  </si>
  <si>
    <t>GDN (SO)</t>
  </si>
  <si>
    <t>SO2</t>
  </si>
  <si>
    <t>EM4</t>
  </si>
  <si>
    <t>EA4</t>
  </si>
  <si>
    <t>SW2</t>
  </si>
  <si>
    <t>GDN (WS)</t>
  </si>
  <si>
    <t>WS</t>
  </si>
  <si>
    <t>SW1</t>
  </si>
  <si>
    <t>GDN (SE)</t>
  </si>
  <si>
    <t>SE1</t>
  </si>
  <si>
    <t>NE2</t>
  </si>
  <si>
    <t>EA2</t>
  </si>
  <si>
    <t>SO1</t>
  </si>
  <si>
    <t>GDN (NT)</t>
  </si>
  <si>
    <t>NT2</t>
  </si>
  <si>
    <t>NO2</t>
  </si>
  <si>
    <t>WM3</t>
  </si>
  <si>
    <t>GDN (WN)</t>
  </si>
  <si>
    <t>WN</t>
  </si>
  <si>
    <t>NE3</t>
  </si>
  <si>
    <t>NT3</t>
  </si>
  <si>
    <t>EM1</t>
  </si>
  <si>
    <t xml:space="preserve">DC </t>
  </si>
  <si>
    <t>NT1</t>
  </si>
  <si>
    <t>SE2</t>
  </si>
  <si>
    <t>EA3</t>
  </si>
  <si>
    <t>Entry Point Type</t>
  </si>
  <si>
    <t>Reserve Price for Yearly Standard Capacity
(p/kWh/d)</t>
  </si>
  <si>
    <t>Reserve Price for Quarterly Standard Capacity
(p/kWh/d)</t>
  </si>
  <si>
    <t>Reserve Price for Monthly Standard Capacity
(p/kWh/d)</t>
  </si>
  <si>
    <t>Reserve Price for Within-day Standard Capacity
(p/kWh/d)</t>
  </si>
  <si>
    <t>Reserve Price for Daily Standard Capacity
(p/kWh/d)</t>
  </si>
  <si>
    <t>Exit Point Type</t>
  </si>
  <si>
    <t>EXIT RESERVE PRICES</t>
  </si>
  <si>
    <t>ENTRY RESERVE PRICES</t>
  </si>
  <si>
    <t>Percentage Discount</t>
  </si>
  <si>
    <r>
      <t xml:space="preserve">Entry/Exit Split: Percentage of Revenue associated to capacity-based transmission tariffs at entry points 
</t>
    </r>
    <r>
      <rPr>
        <i/>
        <sz val="11"/>
        <color theme="0"/>
        <rFont val="Calibri"/>
        <family val="2"/>
        <scheme val="minor"/>
      </rPr>
      <t>(note: Exit percentage will automatically calculate)</t>
    </r>
  </si>
  <si>
    <t>Select scenario from drop down list</t>
  </si>
  <si>
    <t>Not Applicable</t>
  </si>
  <si>
    <t>Yes</t>
  </si>
  <si>
    <t>No</t>
  </si>
  <si>
    <t>(kWh/d)</t>
  </si>
  <si>
    <t>Difference to Target Recovery (£):</t>
  </si>
  <si>
    <t>Total Revenue Recovered (£):</t>
  </si>
  <si>
    <t>Difference to Target Recovery (£m):</t>
  </si>
  <si>
    <t>INPUTS</t>
  </si>
  <si>
    <t>RESULTS</t>
  </si>
  <si>
    <t>Revenue Recovered
Yearly
(£)</t>
  </si>
  <si>
    <t>Revenue Recovered
Quarterly
(£)</t>
  </si>
  <si>
    <t>Revenue Recovered
Monthly
(£)</t>
  </si>
  <si>
    <t>Revenue Recovered
Daily
(£)</t>
  </si>
  <si>
    <t>Reserve Price for Within Day Standard Capacity
(p/kWh/d)</t>
  </si>
  <si>
    <t>Revenue Recovered
Within Day
(£)</t>
  </si>
  <si>
    <t>Part of the transmission services revenue to be recovered from capacity-based transmission tariffs at all exit points (R_∑Ex)</t>
  </si>
  <si>
    <t>Part of the transmission services revenue to be recovered from capacity-based transmission tariffs at all entry points (R_∑En) - WITHOUT EXITING CONTRACTS IF APPLICABLE</t>
  </si>
  <si>
    <t>Target Revenue Recovery for Entry (£):</t>
  </si>
  <si>
    <t>Entry Revenue Adjustment (£)</t>
  </si>
  <si>
    <t>Exit Revenue Adjustment (£)</t>
  </si>
  <si>
    <t>Revenue Input Figure Adjustment (£):</t>
  </si>
  <si>
    <t>Outputs</t>
  </si>
  <si>
    <t>Type of adjustment:</t>
  </si>
  <si>
    <t>Target Revenue Recovery for Exit (£):</t>
  </si>
  <si>
    <t>Gas Year</t>
  </si>
  <si>
    <t>Gas Year Start</t>
  </si>
  <si>
    <t>Gas Year End</t>
  </si>
  <si>
    <t>Number of days in Gas Year</t>
  </si>
  <si>
    <t>01-Oct-2018 to 30-Sep-2019</t>
  </si>
  <si>
    <t>Please select relevant Gas Year from drop down list</t>
  </si>
  <si>
    <t>Number of Days in Gas Year</t>
  </si>
  <si>
    <t>Reset Model</t>
  </si>
  <si>
    <t>Revenue Reconcilliation</t>
  </si>
  <si>
    <t>Please enter the relevant Entry or Exit 'K' adjustment figure from year t-2 (£)</t>
  </si>
  <si>
    <t>Estimated Capacity Booking Split</t>
  </si>
  <si>
    <t>Total Capacity (kWh/d)</t>
  </si>
  <si>
    <t>Pro</t>
  </si>
  <si>
    <t>A</t>
  </si>
  <si>
    <t>Di_ex-ante (%)</t>
  </si>
  <si>
    <t>Reserve Price for Daily Interruptible Capacity
(p/kWh/d)</t>
  </si>
  <si>
    <t>Actual Bookings
Yearly</t>
  </si>
  <si>
    <t>Actual Bookings
Quarterly</t>
  </si>
  <si>
    <t>Actual Bookings
Monthly</t>
  </si>
  <si>
    <t>Actual Bookings
Daily</t>
  </si>
  <si>
    <t>Actual Bookings
Within Day</t>
  </si>
  <si>
    <t>Actual Bookings
Daily Interruptible</t>
  </si>
  <si>
    <t>Revenue Recovered
Daily Interruptible
(£)</t>
  </si>
  <si>
    <t>IP Multipliers</t>
  </si>
  <si>
    <t>Non-IP Multipliers</t>
  </si>
  <si>
    <t>Non Zero Reference price at an entry point (T_En)
p/kWh/a</t>
  </si>
  <si>
    <t>Nearest Location</t>
  </si>
  <si>
    <t>Non Zero Reference Price 
(p/kWh/a)</t>
  </si>
  <si>
    <t>Reference Price 
(p/kWh/a)</t>
  </si>
  <si>
    <t>Non Zero Reference price at an exit point (T_Ex)
p/kWh/a</t>
  </si>
  <si>
    <t>Calculate Prices</t>
  </si>
  <si>
    <t>Please click on the 'Calculate  Prices' button once your inputs have been selected and before proceeding to view the outputs in the following tabs</t>
  </si>
  <si>
    <t>Revenue Split</t>
  </si>
  <si>
    <t>Yes_or_No</t>
  </si>
  <si>
    <t>National Grid</t>
  </si>
  <si>
    <t>Comments</t>
  </si>
  <si>
    <t>Version</t>
  </si>
  <si>
    <t>Date</t>
  </si>
  <si>
    <t>Produced by</t>
  </si>
  <si>
    <t>Description</t>
  </si>
  <si>
    <t>Transmission Services Charges - calculation model</t>
  </si>
  <si>
    <t>including the calculation of Reference Prices and Reserve Prices for NTS Entry Capacity and NTS Exit Capacity Charges</t>
  </si>
  <si>
    <t>Total Revenue (£/annum)</t>
  </si>
  <si>
    <t>Entry_Sheet_Lookup</t>
  </si>
  <si>
    <t>Exit_Sheet_Lookup</t>
  </si>
  <si>
    <t>Entry Forecast Sheet</t>
  </si>
  <si>
    <t>Exit Forecast Sheet</t>
  </si>
  <si>
    <t>01-Oct-2019 to 30-Sep-2020</t>
  </si>
  <si>
    <t>Revenue (£m)</t>
  </si>
  <si>
    <t>18-19 FCC - Entry</t>
  </si>
  <si>
    <t>18-19 FCC - Exit</t>
  </si>
  <si>
    <t>Select a percentage multiplier to apply to the FCC for each NTS Entry/Exit point</t>
  </si>
  <si>
    <t>Expected Revenue Recovery Results</t>
  </si>
  <si>
    <t>Adjustments</t>
  </si>
  <si>
    <t>Target Revenue Recovery for Entry/Exit (£):</t>
  </si>
  <si>
    <t>Calculate adjusted prices:</t>
  </si>
  <si>
    <t>Probability of Interruption</t>
  </si>
  <si>
    <t>Please select the relevant tab to complete any required probabilities of interruption</t>
  </si>
  <si>
    <t>Adjusted Prices</t>
  </si>
  <si>
    <t>Please click on the relevant button to see the initial Entry or Exit Prices.</t>
  </si>
  <si>
    <t>If you have reason to believe that your selected FCC is not reflective of anticipated bookings then please use the following tabs to apply further adjustments:</t>
  </si>
  <si>
    <t>Anticipated Booking Scenario</t>
  </si>
  <si>
    <t>LNG Discount</t>
  </si>
  <si>
    <t>Revenue from anticipated Capacity Booked (£)</t>
  </si>
  <si>
    <t>1.0</t>
  </si>
  <si>
    <t>Entry: MSEC</t>
  </si>
  <si>
    <t>Entry: DADSEC
Exit: Firm</t>
  </si>
  <si>
    <t>Entry: WDDSEC</t>
  </si>
  <si>
    <t>QSEC</t>
  </si>
  <si>
    <t>N/A</t>
  </si>
  <si>
    <t>MSEC</t>
  </si>
  <si>
    <t>DADSEC</t>
  </si>
  <si>
    <t>WDDSEC</t>
  </si>
  <si>
    <t>DISEC</t>
  </si>
  <si>
    <t>Enduring Firm</t>
  </si>
  <si>
    <t>Daily Firm</t>
  </si>
  <si>
    <t>Off-peak</t>
  </si>
  <si>
    <t>DNO</t>
  </si>
  <si>
    <t>POWER STATION</t>
  </si>
  <si>
    <t>INDUSTRIAL</t>
  </si>
  <si>
    <t>IP Quarterly (%)
Non-IP N/A</t>
  </si>
  <si>
    <t>IP Yearly (%)
Non-IP QSEC (%)</t>
  </si>
  <si>
    <t>IP Monthly (%)
Non-IP MSEC (%)</t>
  </si>
  <si>
    <t>IP Daily (%)
Non-IP DADSEC (%)</t>
  </si>
  <si>
    <t>IP Within Day (%)
Non-IP WDDSEC (%)</t>
  </si>
  <si>
    <t>IP Daily Interruptible (%)
Non-IP DISEC (%)</t>
  </si>
  <si>
    <t>IP Yearly (%)
Non-IP Enduring Firm (%)</t>
  </si>
  <si>
    <t>IP Daily (%)
Non-IP Daily Firm (%)</t>
  </si>
  <si>
    <t>IP Monthly (%)
Non-IP N/A</t>
  </si>
  <si>
    <t>IP Within Day (%)
Non-IP N/A</t>
  </si>
  <si>
    <t>IP Daily Interruptible (%)
Non-IP Offpeak (%)</t>
  </si>
  <si>
    <t>Non IP - QSEC</t>
  </si>
  <si>
    <t>Non-IP - N/A</t>
  </si>
  <si>
    <t>Non-IP - MSEC</t>
  </si>
  <si>
    <t>Non-IP - WDDSEC</t>
  </si>
  <si>
    <t>Non-IP - DISEC</t>
  </si>
  <si>
    <t>Non-IP - DADSEC</t>
  </si>
  <si>
    <t>Non-IP - Off-peak</t>
  </si>
  <si>
    <t>Non-IP - Enduring Firm</t>
  </si>
  <si>
    <t>Non-IP - Daily Firm</t>
  </si>
  <si>
    <t>Once you have received a message to say that prices have been calculated, please click on the relevant button to see the initial Entry or Exit Prices. Please note that these will be overwritten once adjustments have been applied.</t>
  </si>
  <si>
    <t>Per Category</t>
  </si>
  <si>
    <t>Industrial</t>
  </si>
  <si>
    <t>Interconnector</t>
  </si>
  <si>
    <t>Power Station</t>
  </si>
  <si>
    <t>Storage Site</t>
  </si>
  <si>
    <t>01-Oct-2020 to 30-Sep-2021</t>
  </si>
  <si>
    <t>01-Oct-2021 to 30-Sep-2022</t>
  </si>
  <si>
    <t>19-20 FCC - Entry</t>
  </si>
  <si>
    <t>20-21 FCC - Entry</t>
  </si>
  <si>
    <t>21-22 FCC - Entry</t>
  </si>
  <si>
    <t>19-20 FCC - Exit</t>
  </si>
  <si>
    <t>20-21 FCC - Exit</t>
  </si>
  <si>
    <t>21-22 FCC - Exit</t>
  </si>
  <si>
    <t>IP</t>
  </si>
  <si>
    <t>Non-IP</t>
  </si>
  <si>
    <t>Average</t>
  </si>
  <si>
    <t>Category</t>
  </si>
  <si>
    <t>Easington</t>
  </si>
  <si>
    <t>Moffat (irish Interconnector)</t>
  </si>
  <si>
    <t>Calculated Capacity Revenue (Based on FCC)
(£)</t>
  </si>
  <si>
    <t>01-Oct-2022 to 30-Sep-2023</t>
  </si>
  <si>
    <t>01-Oct-2023 to 30-Sep-2024</t>
  </si>
  <si>
    <t>01-Oct-2024 to 30-Sep-2025</t>
  </si>
  <si>
    <t>01-Oct-2025 to 30-Sep-2026</t>
  </si>
  <si>
    <t>01-Oct-2026 to 30-Sep-2027</t>
  </si>
  <si>
    <t>01-Oct-2027 to 30-Sep-2028</t>
  </si>
  <si>
    <t>01-Oct-2028 to 30-Sep-2029</t>
  </si>
  <si>
    <t>01-Oct-2029 to 30-Sep-2030</t>
  </si>
  <si>
    <t>01-Oct-2030 to 30-Sep-2031</t>
  </si>
  <si>
    <t>Site Type</t>
  </si>
  <si>
    <t>Select Base Reference Price Model</t>
  </si>
  <si>
    <t>CWD</t>
  </si>
  <si>
    <t>Reset Model Parameters</t>
  </si>
  <si>
    <t>PS</t>
  </si>
  <si>
    <t>Model_Type</t>
  </si>
  <si>
    <t>Entry_Forecast_Inputs</t>
  </si>
  <si>
    <t>Exit_Forecast_Inputs</t>
  </si>
  <si>
    <t>01-Oct-2031 to 30-Sep-2032</t>
  </si>
  <si>
    <t>01-Oct-2032 to 30-Sep-2033</t>
  </si>
  <si>
    <t>01-Oct-2033 to 30-Sep-2034</t>
  </si>
  <si>
    <t>Reference Prices
p/kWh/a</t>
  </si>
  <si>
    <t>Firm Capacity Reserve Prices
p/kWh/d</t>
  </si>
  <si>
    <t>Interruptible Capacity Reserve Prices
p/kWh/d</t>
  </si>
  <si>
    <t>Anticipated Bookings (Firm)
kWh/d</t>
  </si>
  <si>
    <t>Anticipated Bookings (Interruptible)
kWh/d</t>
  </si>
  <si>
    <t>Bookings that can incur the RRC (Firm &amp; Interruptible &amp; EC if applicable)
kWh/d</t>
  </si>
  <si>
    <t>Forecasting Contracted Capacity (CAP_Ex)
kWh/d</t>
  </si>
  <si>
    <t>Revenue from anticipated Capacity Booked (without Historical Contracts) (£)</t>
  </si>
  <si>
    <t>Historical contracts 
kWh/d</t>
  </si>
  <si>
    <t>Historical Contracts</t>
  </si>
  <si>
    <t>Revenue associated to Historical Contracts for Entry Capacity (£)</t>
  </si>
  <si>
    <t>Revenue associated to Historical Contracts for Entry Capacity (p)</t>
  </si>
  <si>
    <t>Calculated Capacity Revenue (Based on Anticipated Booking Scenario)
(£)</t>
  </si>
  <si>
    <t>site type</t>
  </si>
  <si>
    <t>22-23 FCC - Entry</t>
  </si>
  <si>
    <t>22-23 FCC - Exit</t>
  </si>
  <si>
    <t>Forecasted Contracted Capacity</t>
  </si>
  <si>
    <t>Forecasted Contracted Capacity
(CAP_En)</t>
  </si>
  <si>
    <t>Forecasted Contracted Capacity (CAP_En)
kWh/d</t>
  </si>
  <si>
    <t>Transmission Services Entry Revenue Recovery Charge</t>
  </si>
  <si>
    <t>Transmission Services Exit Revenue Recovery Charge</t>
  </si>
  <si>
    <t>Existing Contracts (kWh/d)</t>
  </si>
  <si>
    <t>Existing Contracts (all sites)</t>
  </si>
  <si>
    <t>Unit Price Adjustment for all Exit Bookings (p/kWh/d):</t>
  </si>
  <si>
    <t>Calculated Transmission Services Revenue Recovery (Based on Anticipated Booking Scenario)
(£)</t>
  </si>
  <si>
    <t>TSRRC
p/kWh/d</t>
  </si>
  <si>
    <t xml:space="preserve"> TSRRC
p/kWh/d</t>
  </si>
  <si>
    <t>Remaining Forecast Contracted Capacity (with Existing Contracts Removed if appropriate)
(CAP_En)</t>
  </si>
  <si>
    <t>Unit Price Adjustment for Entry Bookings excluding all Existing Contracts (p/kWh/d):</t>
  </si>
  <si>
    <t xml:space="preserve">Removes Revenue and Capacity levels associated with Historical Contracts from the Target Revenue and Forecast Contracted Capacity respectively. Please note this only adjusts the values included into the RPM. Revenue Recovery charges will be calculated as prescribed in the Rev. Recovery tabs. </t>
  </si>
  <si>
    <t>Please click on the Reset button before the initial interation of the model (reset will default to CWD)</t>
  </si>
  <si>
    <t>BIOMETHANE PLANT</t>
  </si>
  <si>
    <t>MURROW</t>
  </si>
  <si>
    <t>Murrow</t>
  </si>
  <si>
    <t>Air_Products (Teesside)</t>
  </si>
  <si>
    <t>Fordoun CNG Station</t>
  </si>
  <si>
    <t>Palm_Paper</t>
  </si>
  <si>
    <t>St_Fergus_Segal</t>
  </si>
  <si>
    <t>Kinneil CHP</t>
  </si>
  <si>
    <t>Eggborough_PS</t>
  </si>
  <si>
    <t>KEADBY_2 PS</t>
  </si>
  <si>
    <t>23-24 FCC - Entry</t>
  </si>
  <si>
    <t>23-24 FCC - Exit</t>
  </si>
  <si>
    <t>Exclude Existing Contracts</t>
  </si>
  <si>
    <t>Please select the revelevant tav to adjust the  split of the Forecasted Contracted capacity into different auction type</t>
  </si>
  <si>
    <t>Saltholme</t>
  </si>
  <si>
    <t>Glasgoforest</t>
  </si>
  <si>
    <t>24-25 FCC - Entry</t>
  </si>
  <si>
    <t>24-25 FCC - Exit</t>
  </si>
  <si>
    <t xml:space="preserve"> </t>
  </si>
  <si>
    <t>% Entry</t>
  </si>
  <si>
    <t>Tx Charge Model - October 2020</t>
  </si>
  <si>
    <t>Contact for any questions: box.NTSGasCharges@nationalgrid.com</t>
  </si>
  <si>
    <r>
      <rPr>
        <u/>
        <sz val="12"/>
        <color indexed="9"/>
        <rFont val="Arial"/>
        <family val="2"/>
      </rPr>
      <t>Disclaimer:</t>
    </r>
    <r>
      <rPr>
        <sz val="12"/>
        <color indexed="9"/>
        <rFont val="Arial"/>
        <family val="2"/>
      </rPr>
      <t xml:space="preserve"> This NTS  Transmission Services Model  is provided to you by National Grid Gas plc (“NGG”) solely for the purposes of study in connection with the charge setting process and is not to be used for any commercial purpose.  The information that it contains is for guidance purposes only and is given in good faith.  However, no warranty or representation or other obligation or commitment of any kind is given by NGG, its employees or advisors as to the accuracy or completeness of any such information. Neither  NGG nor its employees or advisors shall be under any liability for any error or misstatement in the information provided.  While certain precautions have been taken to detect computer viruses, we cannot guarantee that the Tariff Model is virus-free and NGG shall not be liable for any loss or damage which occurs as a result of any virus.  Your use of the Tariff Model shall constitute your acceptance of the above.
</t>
    </r>
  </si>
  <si>
    <t>Model Software Change History</t>
  </si>
  <si>
    <t>Version created in connection with the October 2020 charge</t>
  </si>
  <si>
    <t xml:space="preserve">This is a copy of the NTS Transmission Services Model that calculates charges associated to Transmission Services. This version is published to provide Users with the information used to set the charges for October 2020 and to test sentivities of various combinations of potential changes. This modelshould not be used as any indication of actual charges.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</si>
</sst>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0_ ;[Red]\-#,##0\ "/>
    <numFmt numFmtId="170" formatCode="0.000000"/>
    <numFmt numFmtId="171" formatCode="#,##0.0000_ ;[Red]\-#,##0.0000\ "/>
    <numFmt numFmtId="172" formatCode="0.0000"/>
    <numFmt numFmtId="173" formatCode="#,##0.0000"/>
    <numFmt numFmtId="174" formatCode="dd\-mmm\-yyyy"/>
    <numFmt numFmtId="175" formatCode="[$-F800]dddd\,\ mmmm\ dd\,\ yyyy"/>
    <numFmt numFmtId="176" formatCode="0.0%"/>
    <numFmt numFmtId="177" formatCode="_-* #,##0.000_-;\-* #,##0.000_-;_-* &quot;-&quot;??_-;_-@_-"/>
    <numFmt numFmtId="178" formatCode="d\-mmm\-yyyy"/>
    <numFmt numFmtId="179" formatCode="#,##0;\(#,##0\)"/>
    <numFmt numFmtId="180" formatCode="_-[$€-2]* #,##0.00_-;\-[$€-2]* #,##0.00_-;_-[$€-2]* &quot;-&quot;??_-"/>
    <numFmt numFmtId="181" formatCode="General_)"/>
    <numFmt numFmtId="182" formatCode="#,##0.0\ ;\(#,##0.0\)"/>
    <numFmt numFmtId="183" formatCode="#,##0_);[Red]\(#,##0\);&quot;-&quot;"/>
    <numFmt numFmtId="184" formatCode="_(* #,##0_);_(* \(#,##0\);_(* &quot;0&quot;_);_(@_)"/>
    <numFmt numFmtId="185" formatCode="#,##0.0_);\(#,##0.0\)"/>
    <numFmt numFmtId="186" formatCode="&quot;$&quot;_(#,##0.00_);&quot;$&quot;\(#,##0.00\)"/>
    <numFmt numFmtId="187" formatCode="_-&quot;$&quot;* #,##0.0_-;\-&quot;$&quot;* #,##0.0_-;_-&quot;$&quot;* &quot;-&quot;??_-;_-@_-"/>
    <numFmt numFmtId="188" formatCode="#,##0.0_)\x;\(#,##0.0\)\x"/>
    <numFmt numFmtId="189" formatCode="&quot;$&quot;#,##0"/>
    <numFmt numFmtId="190" formatCode="#,##0.0_)_x;\(#,##0.0\)_x"/>
    <numFmt numFmtId="191" formatCode="_(&quot;$&quot;* #,##0_);_(&quot;$&quot;* \(#,##0\);_(&quot;$&quot;* &quot;-&quot;??_);_(@_)"/>
    <numFmt numFmtId="192" formatCode="0.0_)\%;\(0.0\)\%"/>
    <numFmt numFmtId="193" formatCode="#,##0.0_)_%;\(#,##0.0\)_%"/>
    <numFmt numFmtId="194" formatCode="_(&quot;$&quot;* #,##0.0_);_(&quot;$&quot;* \(#,##0.0\);_(&quot;$&quot;* &quot;-&quot;?_);_(@_)"/>
    <numFmt numFmtId="195" formatCode="\£\ #,##0_);[Red]\(\£\ #,##0\)"/>
    <numFmt numFmtId="196" formatCode="#,##0.00;[Red]\(#,##0.00\);\-"/>
    <numFmt numFmtId="197" formatCode="\¥\ #,##0_);[Red]\(\¥\ #,##0\)"/>
    <numFmt numFmtId="198" formatCode="0;[Red]\(0\);\-"/>
    <numFmt numFmtId="199" formatCode="#,##0;[Red]\(#,##0\);\-"/>
    <numFmt numFmtId="200" formatCode="0.0;\(0.0\);\-"/>
    <numFmt numFmtId="201" formatCode="0.00;\(0.00\);\-"/>
    <numFmt numFmtId="202" formatCode="0.00;[Red]\(0.00\);\-"/>
    <numFmt numFmtId="203" formatCode="0.000;\(0.000\);\-"/>
    <numFmt numFmtId="204" formatCode="m\-d\-yy"/>
    <numFmt numFmtId="205" formatCode="_ &quot;R&quot;\ * #,##0_ ;_ &quot;R&quot;\ * \-#,##0_ ;_ &quot;R&quot;\ * &quot;-&quot;_ ;_ @_ "/>
    <numFmt numFmtId="206" formatCode="0.0%;\(0.0\)%"/>
    <numFmt numFmtId="207" formatCode="\•\ \ @"/>
    <numFmt numFmtId="208" formatCode="_-* #,##0_-;* \(#,##0\)_-;_-@_-"/>
    <numFmt numFmtId="209" formatCode="_(* #,##0_);_(* \(#,##0\);_(* 0_);_(@_)"/>
    <numFmt numFmtId="210" formatCode="0.000_)"/>
    <numFmt numFmtId="211" formatCode="#,##0.000;[Red]\(#,##0.000\);\-"/>
    <numFmt numFmtId="212" formatCode="#,##0_%_);\(#,##0\)_%;**;@_%_)"/>
    <numFmt numFmtId="213" formatCode="0.0_x_)_);&quot;NM&quot;_x_)_);0.0_x_)_);@_%_)"/>
    <numFmt numFmtId="214" formatCode="0.0\ \x;\(0.0\ \x\)"/>
    <numFmt numFmtId="215" formatCode="0.0_ ;\(0.0\)_ \ "/>
    <numFmt numFmtId="216" formatCode="_(&quot;$&quot;* #,##0_);_(&quot;$&quot;* \(#,##0\);_(&quot;$&quot;* &quot;-&quot;_);_(@_)"/>
    <numFmt numFmtId="217" formatCode="m/d"/>
    <numFmt numFmtId="218" formatCode="0.0\ \ \x\ ;\(0.0\)\ \ \x\ "/>
    <numFmt numFmtId="219" formatCode="\ \ _•\–\ \ \ \ @"/>
    <numFmt numFmtId="220" formatCode="&quot;$&quot;#,##0.0;[Red]&quot;$&quot;#,##0.0"/>
    <numFmt numFmtId="221" formatCode="0.00,,;[Red]\(0.00,,\);\-"/>
    <numFmt numFmtId="222" formatCode="&quot;$&quot;#,##0.00_);[Red]\(&quot;$&quot;#,##0.00\)"/>
    <numFmt numFmtId="223" formatCode="&quot;$&quot;#,##0_);[Red]\(&quot;$&quot;#,##0\)"/>
    <numFmt numFmtId="224" formatCode="0.00_)"/>
    <numFmt numFmtId="225" formatCode="0.0\x"/>
    <numFmt numFmtId="226" formatCode="0.0\ \x"/>
    <numFmt numFmtId="227" formatCode="0%_);\(0%\);0%_);@_%_)"/>
    <numFmt numFmtId="228" formatCode="[Blue]#,##0;[Red]\(#,##0\);\-"/>
    <numFmt numFmtId="229" formatCode="[Blue]#,##0.0;[Red]\(#,##0.0\);\-"/>
    <numFmt numFmtId="230" formatCode="[Blue]#,##0.00;[Red]\(#,##0.00\);\-"/>
    <numFmt numFmtId="231" formatCode="[Blue]#,##0.000;[Red]\(#,##0.000\);\-"/>
    <numFmt numFmtId="232" formatCode="#,##0.0;[Red]\(#,##0.0\);\-"/>
    <numFmt numFmtId="233" formatCode="0.00%;[Red]\(0.00%\);\-"/>
    <numFmt numFmtId="234" formatCode="_-* #,##0.00%_-;* \(#,##0.00\)%_-;_-@_-"/>
    <numFmt numFmtId="235" formatCode="0.0\ \x\ ;\(0.0\)\ \x\ "/>
    <numFmt numFmtId="236" formatCode="0.0%;\(0.0%\);\-"/>
    <numFmt numFmtId="237" formatCode="0.00%;\(0.00%\);\-"/>
    <numFmt numFmtId="238" formatCode="0.0000%"/>
    <numFmt numFmtId="239" formatCode="m/d/yy\ h:mm:ss"/>
    <numFmt numFmtId="240" formatCode="000\-00\-0000\ "/>
    <numFmt numFmtId="241" formatCode="0____"/>
    <numFmt numFmtId="242" formatCode="_-* #,##0.00\ _D_M_-;\-* #,##0.00\ _D_M_-;_-* &quot;-&quot;??\ _D_M_-;_-@_-"/>
    <numFmt numFmtId="243" formatCode="#,##0.0_);\(#,##0.0\);\-_)"/>
    <numFmt numFmtId="244" formatCode="#,##0.0;[Red]\(#,##0.0\)"/>
    <numFmt numFmtId="245" formatCode="#,##0.00;[Red]\-#,##0.00;\-"/>
    <numFmt numFmtId="246" formatCode="#,##0.00;[Red]#,##0.00;\-"/>
    <numFmt numFmtId="247" formatCode="#,##0.0_);[Red]\(#,##0.0\);\-"/>
    <numFmt numFmtId="248" formatCode="#,##0_ ;\-#,##0\ "/>
    <numFmt numFmtId="249" formatCode="_-* #,##0.0000_-;\-* #,##0.0000_-;_-* &quot;-&quot;??_-;_-@_-"/>
    <numFmt numFmtId="250" formatCode="#,##0.000000"/>
    <numFmt numFmtId="251" formatCode="0.000"/>
    <numFmt numFmtId="252" formatCode="&quot;£&quot;#,##0.00"/>
    <numFmt numFmtId="253" formatCode="_-* #,##0.0000_-;\-* #,##0.0000_-;_-* &quot;-&quot;????_-;_-@_-"/>
    <numFmt numFmtId="254" formatCode="0.0000000"/>
  </numFmts>
  <fonts count="210">
    <font>
      <sz val="11"/>
      <color theme="1"/>
      <name val="Calibri"/>
      <family val="2"/>
      <scheme val="minor"/>
    </font>
    <font>
      <b/>
      <sz val="11"/>
      <color theme="1"/>
      <name val="Calibri"/>
      <family val="2"/>
      <scheme val="minor"/>
    </font>
    <font>
      <b/>
      <u/>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0"/>
      <color indexed="8"/>
      <name val="Arial"/>
      <family val="2"/>
    </font>
    <font>
      <sz val="10"/>
      <color indexed="8"/>
      <name val="Arial"/>
      <family val="2"/>
    </font>
    <font>
      <sz val="11"/>
      <color rgb="FFFF0000"/>
      <name val="Calibri"/>
      <family val="2"/>
      <scheme val="minor"/>
    </font>
    <font>
      <i/>
      <sz val="11"/>
      <color theme="1"/>
      <name val="Calibri"/>
      <family val="2"/>
      <scheme val="minor"/>
    </font>
    <font>
      <sz val="11"/>
      <name val="Calibri"/>
      <family val="2"/>
      <scheme val="minor"/>
    </font>
    <font>
      <b/>
      <sz val="11"/>
      <color theme="0"/>
      <name val="Calibri"/>
      <family val="2"/>
      <scheme val="minor"/>
    </font>
    <font>
      <sz val="11"/>
      <color theme="0"/>
      <name val="Calibri"/>
      <family val="2"/>
      <scheme val="minor"/>
    </font>
    <font>
      <i/>
      <sz val="11"/>
      <color theme="0"/>
      <name val="Calibri"/>
      <family val="2"/>
      <scheme val="minor"/>
    </font>
    <font>
      <b/>
      <sz val="11"/>
      <color theme="0"/>
      <name val="Arial"/>
      <family val="2"/>
    </font>
    <font>
      <sz val="10"/>
      <color rgb="FFFF0000"/>
      <name val="Arial"/>
      <family val="2"/>
    </font>
    <font>
      <b/>
      <sz val="10"/>
      <color rgb="FFFF0000"/>
      <name val="Arial"/>
      <family val="2"/>
    </font>
    <font>
      <sz val="11"/>
      <color theme="0" tint="-0.499984740745262"/>
      <name val="Calibri"/>
      <family val="2"/>
      <scheme val="minor"/>
    </font>
    <font>
      <b/>
      <sz val="16"/>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Arial"/>
      <family val="2"/>
    </font>
    <font>
      <u/>
      <sz val="10"/>
      <color indexed="12"/>
      <name val="Arial"/>
      <family val="2"/>
    </font>
    <font>
      <b/>
      <sz val="20"/>
      <color indexed="48"/>
      <name val="Arial"/>
      <family val="2"/>
    </font>
    <font>
      <sz val="10"/>
      <color indexed="9"/>
      <name val="Arial"/>
      <family val="2"/>
    </font>
    <font>
      <b/>
      <sz val="14"/>
      <color indexed="9"/>
      <name val="Arial"/>
      <family val="2"/>
    </font>
    <font>
      <b/>
      <sz val="14"/>
      <color indexed="48"/>
      <name val="Arial"/>
      <family val="2"/>
    </font>
    <font>
      <b/>
      <sz val="24"/>
      <color indexed="9"/>
      <name val="Arial"/>
      <family val="2"/>
    </font>
    <font>
      <sz val="12"/>
      <color indexed="9"/>
      <name val="Arial"/>
      <family val="2"/>
    </font>
    <font>
      <b/>
      <i/>
      <sz val="12"/>
      <color indexed="9"/>
      <name val="Arial"/>
      <family val="2"/>
    </font>
    <font>
      <b/>
      <sz val="12"/>
      <color indexed="9"/>
      <name val="Arial"/>
      <family val="2"/>
    </font>
    <font>
      <b/>
      <sz val="18"/>
      <color indexed="9"/>
      <name val="Arial"/>
      <family val="2"/>
    </font>
    <font>
      <sz val="18"/>
      <name val="Arial"/>
      <family val="2"/>
    </font>
    <font>
      <b/>
      <sz val="12"/>
      <color rgb="FFFF0000"/>
      <name val="Arial"/>
      <family val="2"/>
    </font>
    <font>
      <b/>
      <i/>
      <sz val="12"/>
      <color rgb="FFFF0000"/>
      <name val="Arial"/>
      <family val="2"/>
    </font>
    <font>
      <sz val="12"/>
      <name val="Arial"/>
      <family val="2"/>
    </font>
    <font>
      <u/>
      <sz val="12"/>
      <color indexed="12"/>
      <name val="Arial"/>
      <family val="2"/>
    </font>
    <font>
      <sz val="8"/>
      <name val="Arial"/>
      <family val="2"/>
    </font>
    <font>
      <b/>
      <sz val="8"/>
      <name val="Arial"/>
      <family val="2"/>
    </font>
    <font>
      <sz val="8"/>
      <color indexed="12"/>
      <name val="Arial"/>
      <family val="2"/>
    </font>
    <font>
      <sz val="8"/>
      <color indexed="8"/>
      <name val="Arial"/>
      <family val="2"/>
    </font>
    <font>
      <b/>
      <sz val="12"/>
      <name val="Arial"/>
      <family val="2"/>
    </font>
    <font>
      <b/>
      <sz val="8"/>
      <color indexed="8"/>
      <name val="Arial"/>
      <family val="2"/>
    </font>
    <font>
      <sz val="12"/>
      <name val="Arial"/>
      <family val="2"/>
    </font>
    <font>
      <b/>
      <u/>
      <sz val="12"/>
      <name val="Arial"/>
      <family val="2"/>
    </font>
    <font>
      <b/>
      <sz val="9"/>
      <name val="Arial"/>
      <family val="2"/>
    </font>
    <font>
      <sz val="9"/>
      <name val="Arial"/>
      <family val="2"/>
    </font>
    <font>
      <b/>
      <sz val="14"/>
      <name val="Arial"/>
      <family val="2"/>
    </font>
    <font>
      <sz val="14"/>
      <name val="Arial"/>
      <family val="2"/>
    </font>
    <font>
      <b/>
      <sz val="10"/>
      <color indexed="12"/>
      <name val="Arial"/>
      <family val="2"/>
    </font>
    <font>
      <sz val="10"/>
      <color indexed="12"/>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i/>
      <sz val="10"/>
      <name val="Arial"/>
      <family val="2"/>
    </font>
    <font>
      <b/>
      <sz val="10"/>
      <color indexed="10"/>
      <name val="Arial"/>
      <family val="2"/>
    </font>
    <font>
      <sz val="10"/>
      <name val="Helv"/>
      <charset val="204"/>
    </font>
    <font>
      <sz val="11"/>
      <color indexed="16"/>
      <name val="Calibri"/>
      <family val="2"/>
    </font>
    <font>
      <b/>
      <sz val="11"/>
      <color indexed="53"/>
      <name val="Calibri"/>
      <family val="2"/>
    </font>
    <font>
      <i/>
      <sz val="10"/>
      <color indexed="23"/>
      <name val="Arial"/>
      <family val="2"/>
    </font>
    <font>
      <b/>
      <sz val="12"/>
      <color indexed="8"/>
      <name val="HELV"/>
    </font>
    <font>
      <b/>
      <sz val="15"/>
      <color indexed="62"/>
      <name val="Calibri"/>
      <family val="2"/>
    </font>
    <font>
      <b/>
      <sz val="12"/>
      <color indexed="18"/>
      <name val="Arial"/>
      <family val="2"/>
    </font>
    <font>
      <b/>
      <sz val="11"/>
      <color indexed="62"/>
      <name val="Calibri"/>
      <family val="2"/>
    </font>
    <font>
      <sz val="11"/>
      <color indexed="48"/>
      <name val="Calibri"/>
      <family val="2"/>
    </font>
    <font>
      <sz val="11"/>
      <color indexed="53"/>
      <name val="Calibri"/>
      <family val="2"/>
    </font>
    <font>
      <sz val="10"/>
      <name val="Verdana"/>
      <family val="2"/>
    </font>
    <font>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8"/>
      <color indexed="62"/>
      <name val="Cambria"/>
      <family val="2"/>
    </font>
    <font>
      <sz val="9"/>
      <name val="NewsGoth Lt BT"/>
      <family val="2"/>
    </font>
    <font>
      <sz val="12"/>
      <name val="Times New Roman"/>
      <family val="1"/>
    </font>
    <font>
      <sz val="9"/>
      <name val="Times"/>
      <family val="1"/>
    </font>
    <font>
      <sz val="10"/>
      <name val="Helv"/>
    </font>
    <font>
      <sz val="10"/>
      <color indexed="12"/>
      <name val="Tms Rmn"/>
    </font>
    <font>
      <b/>
      <sz val="10"/>
      <color indexed="12"/>
      <name val="Tms Rmn"/>
    </font>
    <font>
      <sz val="10"/>
      <name val="Tms Rmn"/>
    </font>
    <font>
      <sz val="10"/>
      <name val="Times New Roman"/>
      <family val="1"/>
    </font>
    <font>
      <sz val="11"/>
      <name val="Times New Roman"/>
      <family val="1"/>
    </font>
    <font>
      <sz val="12"/>
      <name val="Tms Rmn"/>
    </font>
    <font>
      <b/>
      <sz val="12"/>
      <name val="Times New Roman"/>
      <family val="1"/>
    </font>
    <font>
      <b/>
      <sz val="10"/>
      <color indexed="8"/>
      <name val="Times New Roman"/>
      <family val="1"/>
    </font>
    <font>
      <sz val="12"/>
      <name val="±¼¸²Ã¼"/>
      <charset val="129"/>
    </font>
    <font>
      <b/>
      <sz val="10"/>
      <name val="Times"/>
      <family val="1"/>
    </font>
    <font>
      <sz val="8"/>
      <name val="Palatino"/>
      <family val="1"/>
    </font>
    <font>
      <sz val="11"/>
      <name val="CG Omega"/>
      <family val="2"/>
    </font>
    <font>
      <sz val="1"/>
      <color indexed="8"/>
      <name val="Courier"/>
      <family val="3"/>
    </font>
    <font>
      <sz val="10"/>
      <name val="MS Serif"/>
      <family val="1"/>
    </font>
    <font>
      <sz val="10"/>
      <name val="Times"/>
      <family val="1"/>
    </font>
    <font>
      <sz val="10"/>
      <color indexed="16"/>
      <name val="MS Serif"/>
      <family val="1"/>
    </font>
    <font>
      <b/>
      <i/>
      <sz val="14"/>
      <name val="Tms Rmn"/>
    </font>
    <font>
      <sz val="7"/>
      <name val="Palatino"/>
      <family val="1"/>
    </font>
    <font>
      <b/>
      <i/>
      <sz val="10"/>
      <color indexed="16"/>
      <name val="Arial"/>
      <family val="2"/>
    </font>
    <font>
      <sz val="6"/>
      <color indexed="16"/>
      <name val="Palatino"/>
      <family val="1"/>
    </font>
    <font>
      <b/>
      <sz val="10"/>
      <color indexed="16"/>
      <name val="Arial"/>
      <family val="2"/>
    </font>
    <font>
      <sz val="10"/>
      <color indexed="20"/>
      <name val="Arial"/>
      <family val="2"/>
    </font>
    <font>
      <b/>
      <sz val="15"/>
      <name val="Times"/>
      <family val="1"/>
    </font>
    <font>
      <b/>
      <sz val="11"/>
      <name val="Helv"/>
    </font>
    <font>
      <sz val="7"/>
      <name val="Small Fonts"/>
      <family val="2"/>
    </font>
    <font>
      <sz val="10"/>
      <name val="Palatino"/>
      <family val="1"/>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name val="Helv"/>
    </font>
    <font>
      <sz val="10"/>
      <color indexed="8"/>
      <name val="Times New Roman"/>
      <family val="1"/>
    </font>
    <font>
      <sz val="9.5"/>
      <color indexed="23"/>
      <name val="Helvetica-Black"/>
    </font>
    <font>
      <b/>
      <sz val="20"/>
      <name val="Times New Roman"/>
      <family val="1"/>
    </font>
    <font>
      <sz val="10"/>
      <name val="Geneva"/>
    </font>
    <font>
      <b/>
      <sz val="18"/>
      <name val="Arial"/>
      <family val="2"/>
    </font>
    <font>
      <b/>
      <sz val="14"/>
      <color indexed="13"/>
      <name val="Helv"/>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sz val="16"/>
      <name val="Arial"/>
      <family val="2"/>
    </font>
    <font>
      <u/>
      <sz val="8"/>
      <color indexed="8"/>
      <name val="Arial"/>
      <family val="2"/>
    </font>
    <font>
      <b/>
      <sz val="10"/>
      <color indexed="18"/>
      <name val="Arial"/>
      <family val="2"/>
    </font>
    <font>
      <sz val="10"/>
      <name val="Corporate Mono"/>
    </font>
    <font>
      <b/>
      <sz val="16"/>
      <name val="Arial"/>
      <family val="2"/>
    </font>
    <font>
      <u/>
      <sz val="9"/>
      <color indexed="12"/>
      <name val="Arial MT"/>
    </font>
    <font>
      <u/>
      <sz val="8"/>
      <color indexed="12"/>
      <name val="Arial"/>
      <family val="2"/>
    </font>
    <font>
      <sz val="10"/>
      <color theme="1"/>
      <name val="Verdana"/>
      <family val="2"/>
    </font>
    <font>
      <sz val="10"/>
      <color indexed="8"/>
      <name val="Verdana"/>
      <family val="2"/>
    </font>
    <font>
      <b/>
      <sz val="10"/>
      <color indexed="39"/>
      <name val="Arial"/>
      <family val="2"/>
    </font>
    <font>
      <sz val="10"/>
      <color indexed="39"/>
      <name val="Arial"/>
      <family val="2"/>
    </font>
    <font>
      <sz val="10"/>
      <name val="Gill Sans MT"/>
      <family val="2"/>
    </font>
    <font>
      <u/>
      <sz val="11"/>
      <color indexed="12"/>
      <name val="CG Omega"/>
      <family val="2"/>
    </font>
    <font>
      <sz val="11"/>
      <color indexed="37"/>
      <name val="Calibri"/>
      <family val="2"/>
    </font>
    <font>
      <b/>
      <sz val="11"/>
      <color indexed="17"/>
      <name val="Calibri"/>
      <family val="2"/>
    </font>
    <font>
      <i/>
      <sz val="10"/>
      <color indexed="18"/>
      <name val="Arial"/>
      <family val="2"/>
    </font>
    <font>
      <b/>
      <sz val="13"/>
      <color indexed="62"/>
      <name val="Calibri"/>
      <family val="2"/>
    </font>
    <font>
      <u/>
      <sz val="11"/>
      <color indexed="48"/>
      <name val="CG Omega"/>
      <family val="2"/>
    </font>
    <font>
      <i/>
      <sz val="10"/>
      <color indexed="10"/>
      <name val="Arial"/>
      <family val="2"/>
    </font>
    <font>
      <sz val="8"/>
      <color indexed="62"/>
      <name val="Arial"/>
      <family val="2"/>
    </font>
    <font>
      <sz val="19"/>
      <name val="Arial"/>
      <family val="2"/>
    </font>
    <font>
      <sz val="8"/>
      <color indexed="14"/>
      <name val="Arial"/>
      <family val="2"/>
    </font>
    <font>
      <sz val="11"/>
      <color indexed="14"/>
      <name val="Calibri"/>
      <family val="2"/>
    </font>
    <font>
      <sz val="10"/>
      <color theme="0"/>
      <name val="Verdana"/>
      <family val="2"/>
    </font>
    <font>
      <sz val="10"/>
      <color rgb="FF9C0006"/>
      <name val="Verdana"/>
      <family val="2"/>
    </font>
    <font>
      <b/>
      <sz val="10"/>
      <color rgb="FFFA7D00"/>
      <name val="Verdana"/>
      <family val="2"/>
    </font>
    <font>
      <sz val="10"/>
      <color theme="1"/>
      <name val="Arial"/>
      <family val="2"/>
    </font>
    <font>
      <i/>
      <sz val="10"/>
      <color rgb="FF7F7F7F"/>
      <name val="Verdana"/>
      <family val="2"/>
    </font>
    <font>
      <sz val="10"/>
      <color rgb="FF006100"/>
      <name val="Verdana"/>
      <family val="2"/>
    </font>
    <font>
      <u/>
      <sz val="11"/>
      <color theme="10"/>
      <name val="Calibri"/>
      <family val="2"/>
      <scheme val="minor"/>
    </font>
    <font>
      <u/>
      <sz val="10"/>
      <color theme="10"/>
      <name val="Verdana"/>
      <family val="2"/>
    </font>
    <font>
      <sz val="10"/>
      <color rgb="FF3F3F76"/>
      <name val="Verdana"/>
      <family val="2"/>
    </font>
    <font>
      <sz val="10"/>
      <color theme="0" tint="-4.9989318521683403E-2"/>
      <name val="Gill Sans MT"/>
      <family val="2"/>
    </font>
    <font>
      <sz val="10"/>
      <color theme="1"/>
      <name val="Gill Sans MT"/>
      <family val="2"/>
    </font>
    <font>
      <u/>
      <sz val="10"/>
      <color theme="1"/>
      <name val="Gill Sans MT"/>
      <family val="2"/>
    </font>
    <font>
      <sz val="10"/>
      <color rgb="FF9C6500"/>
      <name val="Verdana"/>
      <family val="2"/>
    </font>
    <font>
      <u/>
      <sz val="12"/>
      <color indexed="9"/>
      <name val="Arial"/>
      <family val="2"/>
    </font>
    <font>
      <sz val="10"/>
      <name val="Arial"/>
      <family val="2"/>
    </font>
    <font>
      <sz val="11"/>
      <color rgb="FFC00000"/>
      <name val="Calibri"/>
      <family val="2"/>
      <scheme val="minor"/>
    </font>
    <font>
      <sz val="10"/>
      <color theme="0" tint="-0.499984740745262"/>
      <name val="Arial"/>
      <family val="2"/>
    </font>
    <font>
      <sz val="10"/>
      <color theme="0" tint="-0.34998626667073579"/>
      <name val="Arial"/>
      <family val="2"/>
    </font>
    <font>
      <b/>
      <sz val="10"/>
      <color theme="1"/>
      <name val="Arial"/>
      <family val="2"/>
    </font>
    <font>
      <sz val="10"/>
      <name val="Arial"/>
      <family val="2"/>
    </font>
    <font>
      <sz val="10"/>
      <color theme="1"/>
      <name val="Calibri"/>
      <family val="2"/>
      <scheme val="minor"/>
    </font>
    <font>
      <b/>
      <sz val="10"/>
      <color theme="1"/>
      <name val="Calibri"/>
      <family val="2"/>
      <scheme val="minor"/>
    </font>
    <font>
      <b/>
      <i/>
      <sz val="11"/>
      <color theme="1"/>
      <name val="Calibri"/>
      <family val="2"/>
      <scheme val="minor"/>
    </font>
    <font>
      <i/>
      <sz val="10"/>
      <color theme="1"/>
      <name val="Calibri"/>
      <family val="2"/>
      <scheme val="minor"/>
    </font>
    <font>
      <b/>
      <sz val="10"/>
      <color indexed="8"/>
      <name val="Calibri"/>
      <family val="2"/>
      <scheme val="minor"/>
    </font>
    <font>
      <sz val="11"/>
      <color theme="1"/>
      <name val="Calibri"/>
      <family val="2"/>
    </font>
    <font>
      <sz val="18"/>
      <color theme="3"/>
      <name val="Cambria"/>
      <family val="2"/>
      <scheme val="major"/>
    </font>
    <font>
      <sz val="11"/>
      <color rgb="FF9C5700"/>
      <name val="Calibri"/>
      <family val="2"/>
      <scheme val="minor"/>
    </font>
    <font>
      <sz val="10"/>
      <color theme="3" tint="0.39997558519241921"/>
      <name val="Arial"/>
      <family val="2"/>
    </font>
    <font>
      <sz val="11"/>
      <color theme="3" tint="0.39997558519241921"/>
      <name val="Calibri"/>
      <family val="2"/>
      <scheme val="minor"/>
    </font>
    <font>
      <sz val="11"/>
      <color theme="4"/>
      <name val="Calibri"/>
      <family val="2"/>
      <scheme val="minor"/>
    </font>
    <font>
      <sz val="11"/>
      <color rgb="FF000000"/>
      <name val="Calibri"/>
      <family val="2"/>
    </font>
    <font>
      <b/>
      <u/>
      <sz val="11"/>
      <name val="Calibri"/>
      <family val="2"/>
      <scheme val="minor"/>
    </font>
    <font>
      <i/>
      <sz val="11"/>
      <name val="Calibri"/>
      <family val="2"/>
      <scheme val="minor"/>
    </font>
    <font>
      <b/>
      <i/>
      <sz val="11"/>
      <name val="Calibri"/>
      <family val="2"/>
      <scheme val="minor"/>
    </font>
  </fonts>
  <fills count="156">
    <fill>
      <patternFill patternType="none"/>
    </fill>
    <fill>
      <patternFill patternType="gray125"/>
    </fill>
    <fill>
      <patternFill patternType="solid">
        <fgColor theme="6" tint="0.39994506668294322"/>
        <bgColor indexed="64"/>
      </patternFill>
    </fill>
    <fill>
      <patternFill patternType="solid">
        <fgColor theme="7" tint="0.59996337778862885"/>
        <bgColor indexed="64"/>
      </patternFill>
    </fill>
    <fill>
      <patternFill patternType="solid">
        <fgColor theme="7" tint="0.59999389629810485"/>
        <bgColor indexed="64"/>
      </patternFill>
    </fill>
    <fill>
      <patternFill patternType="solid">
        <fgColor rgb="FFFFFFCC"/>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7" tint="-0.24994659260841701"/>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64"/>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44"/>
        <bgColor indexed="64"/>
      </patternFill>
    </fill>
    <fill>
      <patternFill patternType="solid">
        <fgColor indexed="22"/>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3"/>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16"/>
        <bgColor indexed="64"/>
      </patternFill>
    </fill>
    <fill>
      <patternFill patternType="solid">
        <fgColor indexed="8"/>
        <bgColor indexed="64"/>
      </patternFill>
    </fill>
    <fill>
      <patternFill patternType="solid">
        <fgColor indexed="9"/>
        <bgColor indexed="64"/>
      </patternFill>
    </fill>
    <fill>
      <patternFill patternType="solid">
        <fgColor theme="0" tint="-0.249977111117893"/>
        <bgColor indexed="64"/>
      </patternFill>
    </fill>
    <fill>
      <patternFill patternType="solid">
        <fgColor indexed="50"/>
      </patternFill>
    </fill>
    <fill>
      <patternFill patternType="lightUp">
        <fgColor indexed="48"/>
        <bgColor indexed="41"/>
      </patternFill>
    </fill>
    <fill>
      <patternFill patternType="solid">
        <fgColor indexed="15"/>
      </patternFill>
    </fill>
    <fill>
      <patternFill patternType="solid">
        <fgColor rgb="FFFFC000"/>
        <bgColor indexed="64"/>
      </patternFill>
    </fill>
    <fill>
      <patternFill patternType="solid">
        <fgColor indexed="35"/>
      </patternFill>
    </fill>
    <fill>
      <patternFill patternType="solid">
        <fgColor indexed="24"/>
      </patternFill>
    </fill>
    <fill>
      <patternFill patternType="solid">
        <fgColor indexed="58"/>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7"/>
        <bgColor indexed="64"/>
      </patternFill>
    </fill>
    <fill>
      <patternFill patternType="solid">
        <fgColor indexed="12"/>
      </patternFill>
    </fill>
    <fill>
      <patternFill patternType="solid">
        <fgColor indexed="23"/>
      </patternFill>
    </fill>
    <fill>
      <patternFill patternType="solid">
        <fgColor rgb="FFC5E1FF"/>
        <bgColor indexed="64"/>
      </patternFill>
    </fill>
    <fill>
      <patternFill patternType="solid">
        <fgColor theme="0" tint="-0.499984740745262"/>
        <bgColor indexed="64"/>
      </patternFill>
    </fill>
    <fill>
      <patternFill patternType="solid">
        <fgColor theme="0" tint="-0.14999847407452621"/>
        <bgColor indexed="64"/>
      </patternFill>
    </fill>
    <fill>
      <patternFill patternType="darkTrellis">
        <fgColor theme="4" tint="0.79995117038483843"/>
        <bgColor auto="1"/>
      </patternFill>
    </fill>
    <fill>
      <patternFill patternType="solid">
        <fgColor theme="7" tint="0.39997558519241921"/>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00CC00"/>
        <bgColor indexed="64"/>
      </patternFill>
    </fill>
    <fill>
      <patternFill patternType="solid">
        <fgColor rgb="FF00B050"/>
        <bgColor indexed="64"/>
      </patternFill>
    </fill>
  </fills>
  <borders count="138">
    <border>
      <left/>
      <right/>
      <top/>
      <bottom/>
      <diagonal/>
    </border>
    <border>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medium">
        <color indexed="64"/>
      </left>
      <right style="thin">
        <color theme="0"/>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medium">
        <color indexed="64"/>
      </top>
      <bottom style="thin">
        <color indexed="64"/>
      </bottom>
      <diagonal/>
    </border>
  </borders>
  <cellStyleXfs count="9285">
    <xf numFmtId="0" fontId="0" fillId="0" borderId="0"/>
    <xf numFmtId="0" fontId="4" fillId="0" borderId="0" applyFont="0" applyFill="0" applyBorder="0" applyAlignment="0" applyProtection="0"/>
    <xf numFmtId="0"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0" fontId="3" fillId="0" borderId="0"/>
    <xf numFmtId="0" fontId="3" fillId="0" borderId="0"/>
    <xf numFmtId="0" fontId="3" fillId="0" borderId="0"/>
    <xf numFmtId="0" fontId="6" fillId="0" borderId="0" applyFont="0" applyFill="0" applyBorder="0" applyAlignment="0" applyProtection="0"/>
    <xf numFmtId="0" fontId="4" fillId="0" borderId="0"/>
    <xf numFmtId="0" fontId="4" fillId="0" borderId="0" applyFont="0" applyFill="0" applyBorder="0" applyAlignment="0" applyProtection="0"/>
    <xf numFmtId="0" fontId="6" fillId="0" borderId="0" applyFont="0" applyFill="0" applyBorder="0" applyAlignment="0" applyProtection="0"/>
    <xf numFmtId="0" fontId="6" fillId="0" borderId="0"/>
    <xf numFmtId="0"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43" fontId="3" fillId="0" borderId="0" applyFont="0" applyFill="0" applyBorder="0" applyAlignment="0" applyProtection="0"/>
    <xf numFmtId="0" fontId="4" fillId="0" borderId="0"/>
    <xf numFmtId="0" fontId="3"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applyFont="0" applyFill="0" applyBorder="0" applyAlignment="0" applyProtection="0"/>
    <xf numFmtId="0" fontId="3" fillId="0" borderId="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20" fillId="0" borderId="0" applyNumberFormat="0" applyFill="0" applyBorder="0" applyAlignment="0" applyProtection="0"/>
    <xf numFmtId="0" fontId="21" fillId="0" borderId="40" applyNumberFormat="0" applyFill="0" applyAlignment="0" applyProtection="0"/>
    <xf numFmtId="0" fontId="22" fillId="0" borderId="41" applyNumberFormat="0" applyFill="0" applyAlignment="0" applyProtection="0"/>
    <xf numFmtId="0" fontId="23" fillId="0" borderId="42" applyNumberFormat="0" applyFill="0" applyAlignment="0" applyProtection="0"/>
    <xf numFmtId="0" fontId="23" fillId="0" borderId="0" applyNumberFormat="0" applyFill="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8" borderId="43" applyNumberFormat="0" applyAlignment="0" applyProtection="0"/>
    <xf numFmtId="0" fontId="28" fillId="19" borderId="44" applyNumberFormat="0" applyAlignment="0" applyProtection="0"/>
    <xf numFmtId="0" fontId="29" fillId="19" borderId="43" applyNumberFormat="0" applyAlignment="0" applyProtection="0"/>
    <xf numFmtId="0" fontId="30" fillId="0" borderId="45" applyNumberFormat="0" applyFill="0" applyAlignment="0" applyProtection="0"/>
    <xf numFmtId="0" fontId="12" fillId="20" borderId="46" applyNumberFormat="0" applyAlignment="0" applyProtection="0"/>
    <xf numFmtId="0" fontId="9" fillId="0" borderId="0" applyNumberFormat="0" applyFill="0" applyBorder="0" applyAlignment="0" applyProtection="0"/>
    <xf numFmtId="0" fontId="31" fillId="0" borderId="0" applyNumberFormat="0" applyFill="0" applyBorder="0" applyAlignment="0" applyProtection="0"/>
    <xf numFmtId="0" fontId="1" fillId="0" borderId="48" applyNumberFormat="0" applyFill="0" applyAlignment="0" applyProtection="0"/>
    <xf numFmtId="0" fontId="1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3" fillId="45" borderId="0" applyNumberFormat="0" applyBorder="0" applyAlignment="0" applyProtection="0"/>
    <xf numFmtId="0" fontId="32" fillId="0" borderId="0" applyFont="0" applyFill="0" applyBorder="0" applyAlignment="0" applyProtection="0"/>
    <xf numFmtId="44" fontId="4" fillId="0" borderId="0" applyFont="0" applyFill="0" applyBorder="0" applyAlignment="0" applyProtection="0"/>
    <xf numFmtId="0" fontId="46" fillId="0" borderId="0" applyFont="0" applyFill="0" applyBorder="0" applyAlignment="0" applyProtection="0"/>
    <xf numFmtId="182" fontId="57" fillId="0" borderId="0"/>
    <xf numFmtId="183" fontId="4" fillId="0" borderId="0"/>
    <xf numFmtId="183" fontId="4" fillId="0" borderId="0"/>
    <xf numFmtId="183" fontId="4" fillId="0" borderId="0"/>
    <xf numFmtId="182" fontId="57" fillId="0" borderId="0"/>
    <xf numFmtId="183" fontId="4" fillId="0" borderId="0"/>
    <xf numFmtId="183" fontId="4" fillId="0" borderId="0"/>
    <xf numFmtId="183" fontId="4" fillId="0" borderId="0"/>
    <xf numFmtId="0" fontId="4" fillId="0" borderId="0"/>
    <xf numFmtId="0" fontId="4" fillId="0" borderId="0"/>
    <xf numFmtId="0" fontId="4" fillId="0" borderId="0"/>
    <xf numFmtId="41" fontId="4" fillId="0" borderId="0" applyFont="0" applyFill="0" applyBorder="0" applyAlignment="0" applyProtection="0"/>
    <xf numFmtId="0" fontId="102" fillId="0" borderId="0" applyNumberFormat="0" applyFill="0" applyBorder="0" applyAlignment="0" applyProtection="0">
      <alignment vertical="top"/>
      <protection locked="0"/>
    </xf>
    <xf numFmtId="43" fontId="4" fillId="0" borderId="0" applyFont="0" applyFill="0" applyBorder="0" applyAlignment="0" applyProtection="0"/>
    <xf numFmtId="184" fontId="103" fillId="0" borderId="0">
      <alignment horizontal="right" vertical="center"/>
    </xf>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57"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0" fontId="57"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57"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4" fillId="0" borderId="0"/>
    <xf numFmtId="0" fontId="4" fillId="0" borderId="0"/>
    <xf numFmtId="0" fontId="4" fillId="0" borderId="0"/>
    <xf numFmtId="0" fontId="82" fillId="0" borderId="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57"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57"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0" fontId="5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0" fontId="57"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4" fillId="0" borderId="0"/>
    <xf numFmtId="0" fontId="4" fillId="0" borderId="0"/>
    <xf numFmtId="0" fontId="4" fillId="0" borderId="0"/>
    <xf numFmtId="0" fontId="82"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5" fontId="102" fillId="0" borderId="0" applyFont="0" applyFill="0" applyBorder="0" applyAlignment="0" applyProtection="0"/>
    <xf numFmtId="195" fontId="102" fillId="0" borderId="0" applyFont="0" applyFill="0" applyBorder="0" applyAlignment="0" applyProtection="0"/>
    <xf numFmtId="195" fontId="102" fillId="0" borderId="0" applyFont="0" applyFill="0" applyBorder="0" applyAlignment="0" applyProtection="0"/>
    <xf numFmtId="196" fontId="105" fillId="0" borderId="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179" fontId="4" fillId="0" borderId="0" applyBorder="0"/>
    <xf numFmtId="179" fontId="4" fillId="0" borderId="0" applyBorder="0"/>
    <xf numFmtId="179" fontId="4" fillId="0" borderId="0" applyBorder="0"/>
    <xf numFmtId="0" fontId="4" fillId="0" borderId="0" applyBorder="0"/>
    <xf numFmtId="0" fontId="4" fillId="0" borderId="0" applyBorder="0"/>
    <xf numFmtId="0" fontId="4" fillId="0" borderId="0" applyBorder="0"/>
    <xf numFmtId="179" fontId="4" fillId="0" borderId="0" applyBorder="0"/>
    <xf numFmtId="179" fontId="4" fillId="0" borderId="0" applyBorder="0"/>
    <xf numFmtId="179" fontId="4" fillId="0" borderId="0" applyBorder="0"/>
    <xf numFmtId="198" fontId="105" fillId="0" borderId="0"/>
    <xf numFmtId="198" fontId="106" fillId="0" borderId="0"/>
    <xf numFmtId="199" fontId="105" fillId="0" borderId="0"/>
    <xf numFmtId="200" fontId="107" fillId="0" borderId="0"/>
    <xf numFmtId="0" fontId="106" fillId="0" borderId="0"/>
    <xf numFmtId="0" fontId="8" fillId="48" borderId="0" applyNumberFormat="0" applyBorder="0" applyAlignment="0" applyProtection="0"/>
    <xf numFmtId="0" fontId="79" fillId="47" borderId="0" applyNumberFormat="0" applyBorder="0" applyAlignment="0" applyProtection="0"/>
    <xf numFmtId="0" fontId="8" fillId="4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47" borderId="0" applyNumberFormat="0" applyBorder="0" applyAlignment="0" applyProtection="0"/>
    <xf numFmtId="0" fontId="3" fillId="23" borderId="0" applyNumberFormat="0" applyBorder="0" applyAlignment="0" applyProtection="0"/>
    <xf numFmtId="0" fontId="79" fillId="4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8" fillId="48" borderId="0" applyNumberFormat="0" applyBorder="0" applyAlignment="0" applyProtection="0"/>
    <xf numFmtId="0" fontId="3" fillId="23" borderId="0" applyNumberFormat="0" applyBorder="0" applyAlignment="0" applyProtection="0"/>
    <xf numFmtId="0" fontId="8" fillId="50" borderId="0" applyNumberFormat="0" applyBorder="0" applyAlignment="0" applyProtection="0"/>
    <xf numFmtId="0" fontId="79" fillId="49" borderId="0" applyNumberFormat="0" applyBorder="0" applyAlignment="0" applyProtection="0"/>
    <xf numFmtId="0" fontId="8" fillId="50"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49" borderId="0" applyNumberFormat="0" applyBorder="0" applyAlignment="0" applyProtection="0"/>
    <xf numFmtId="0" fontId="3" fillId="27" borderId="0" applyNumberFormat="0" applyBorder="0" applyAlignment="0" applyProtection="0"/>
    <xf numFmtId="0" fontId="79" fillId="4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8" fillId="50" borderId="0" applyNumberFormat="0" applyBorder="0" applyAlignment="0" applyProtection="0"/>
    <xf numFmtId="0" fontId="3" fillId="27" borderId="0" applyNumberFormat="0" applyBorder="0" applyAlignment="0" applyProtection="0"/>
    <xf numFmtId="0" fontId="8" fillId="52" borderId="0" applyNumberFormat="0" applyBorder="0" applyAlignment="0" applyProtection="0"/>
    <xf numFmtId="0" fontId="79" fillId="51" borderId="0" applyNumberFormat="0" applyBorder="0" applyAlignment="0" applyProtection="0"/>
    <xf numFmtId="0" fontId="8" fillId="52"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51" borderId="0" applyNumberFormat="0" applyBorder="0" applyAlignment="0" applyProtection="0"/>
    <xf numFmtId="0" fontId="3" fillId="31" borderId="0" applyNumberFormat="0" applyBorder="0" applyAlignment="0" applyProtection="0"/>
    <xf numFmtId="0" fontId="79" fillId="5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8" fillId="52" borderId="0" applyNumberFormat="0" applyBorder="0" applyAlignment="0" applyProtection="0"/>
    <xf numFmtId="0" fontId="3" fillId="31" borderId="0" applyNumberFormat="0" applyBorder="0" applyAlignment="0" applyProtection="0"/>
    <xf numFmtId="0" fontId="8" fillId="54" borderId="0" applyNumberFormat="0" applyBorder="0" applyAlignment="0" applyProtection="0"/>
    <xf numFmtId="0" fontId="79" fillId="53" borderId="0" applyNumberFormat="0" applyBorder="0" applyAlignment="0" applyProtection="0"/>
    <xf numFmtId="0" fontId="8" fillId="5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3" borderId="0" applyNumberFormat="0" applyBorder="0" applyAlignment="0" applyProtection="0"/>
    <xf numFmtId="0" fontId="3" fillId="35" borderId="0" applyNumberFormat="0" applyBorder="0" applyAlignment="0" applyProtection="0"/>
    <xf numFmtId="0" fontId="79" fillId="5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8" fillId="54" borderId="0" applyNumberFormat="0" applyBorder="0" applyAlignment="0" applyProtection="0"/>
    <xf numFmtId="0" fontId="3" fillId="35" borderId="0" applyNumberFormat="0" applyBorder="0" applyAlignment="0" applyProtection="0"/>
    <xf numFmtId="0" fontId="8" fillId="56" borderId="0" applyNumberFormat="0" applyBorder="0" applyAlignment="0" applyProtection="0"/>
    <xf numFmtId="0" fontId="79" fillId="55" borderId="0" applyNumberFormat="0" applyBorder="0" applyAlignment="0" applyProtection="0"/>
    <xf numFmtId="0" fontId="8" fillId="5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9" fillId="55" borderId="0" applyNumberFormat="0" applyBorder="0" applyAlignment="0" applyProtection="0"/>
    <xf numFmtId="0" fontId="3" fillId="39" borderId="0" applyNumberFormat="0" applyBorder="0" applyAlignment="0" applyProtection="0"/>
    <xf numFmtId="0" fontId="79" fillId="55" borderId="0" applyNumberFormat="0" applyBorder="0" applyAlignment="0" applyProtection="0"/>
    <xf numFmtId="0" fontId="3" fillId="39" borderId="0" applyNumberFormat="0" applyBorder="0" applyAlignment="0" applyProtection="0"/>
    <xf numFmtId="0" fontId="8" fillId="56" borderId="0" applyNumberFormat="0" applyBorder="0" applyAlignment="0" applyProtection="0"/>
    <xf numFmtId="0" fontId="3" fillId="39" borderId="0" applyNumberFormat="0" applyBorder="0" applyAlignment="0" applyProtection="0"/>
    <xf numFmtId="0" fontId="8" fillId="49" borderId="0" applyNumberFormat="0" applyBorder="0" applyAlignment="0" applyProtection="0"/>
    <xf numFmtId="0" fontId="79" fillId="57" borderId="0" applyNumberFormat="0" applyBorder="0" applyAlignment="0" applyProtection="0"/>
    <xf numFmtId="0" fontId="8" fillId="4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9" fillId="57" borderId="0" applyNumberFormat="0" applyBorder="0" applyAlignment="0" applyProtection="0"/>
    <xf numFmtId="0" fontId="3" fillId="43" borderId="0" applyNumberFormat="0" applyBorder="0" applyAlignment="0" applyProtection="0"/>
    <xf numFmtId="0" fontId="79" fillId="57" borderId="0" applyNumberFormat="0" applyBorder="0" applyAlignment="0" applyProtection="0"/>
    <xf numFmtId="0" fontId="3" fillId="43" borderId="0" applyNumberFormat="0" applyBorder="0" applyAlignment="0" applyProtection="0"/>
    <xf numFmtId="0" fontId="8" fillId="49" borderId="0" applyNumberFormat="0" applyBorder="0" applyAlignment="0" applyProtection="0"/>
    <xf numFmtId="0" fontId="3" fillId="43" borderId="0" applyNumberFormat="0" applyBorder="0" applyAlignment="0" applyProtection="0"/>
    <xf numFmtId="201" fontId="105" fillId="0" borderId="0"/>
    <xf numFmtId="202" fontId="106" fillId="0" borderId="0"/>
    <xf numFmtId="203" fontId="105" fillId="0" borderId="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79" fillId="56" borderId="0" applyNumberFormat="0" applyBorder="0" applyAlignment="0" applyProtection="0"/>
    <xf numFmtId="0" fontId="3" fillId="24" borderId="0" applyNumberFormat="0" applyBorder="0" applyAlignment="0" applyProtection="0"/>
    <xf numFmtId="0" fontId="79" fillId="56" borderId="0" applyNumberFormat="0" applyBorder="0" applyAlignment="0" applyProtection="0"/>
    <xf numFmtId="0" fontId="3" fillId="24" borderId="0" applyNumberFormat="0" applyBorder="0" applyAlignment="0" applyProtection="0"/>
    <xf numFmtId="0" fontId="8" fillId="58" borderId="0" applyNumberFormat="0" applyBorder="0" applyAlignment="0" applyProtection="0"/>
    <xf numFmtId="0" fontId="3" fillId="24" borderId="0" applyNumberFormat="0" applyBorder="0" applyAlignment="0" applyProtection="0"/>
    <xf numFmtId="0" fontId="8" fillId="50" borderId="0" applyNumberFormat="0" applyBorder="0" applyAlignment="0" applyProtection="0"/>
    <xf numFmtId="0" fontId="79" fillId="50" borderId="0" applyNumberFormat="0" applyBorder="0" applyAlignment="0" applyProtection="0"/>
    <xf numFmtId="0" fontId="8" fillId="50"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9" fillId="50" borderId="0" applyNumberFormat="0" applyBorder="0" applyAlignment="0" applyProtection="0"/>
    <xf numFmtId="0" fontId="3" fillId="28" borderId="0" applyNumberFormat="0" applyBorder="0" applyAlignment="0" applyProtection="0"/>
    <xf numFmtId="0" fontId="79" fillId="50" borderId="0" applyNumberFormat="0" applyBorder="0" applyAlignment="0" applyProtection="0"/>
    <xf numFmtId="0" fontId="3" fillId="28" borderId="0" applyNumberFormat="0" applyBorder="0" applyAlignment="0" applyProtection="0"/>
    <xf numFmtId="0" fontId="8" fillId="50" borderId="0" applyNumberFormat="0" applyBorder="0" applyAlignment="0" applyProtection="0"/>
    <xf numFmtId="0" fontId="3" fillId="28" borderId="0" applyNumberFormat="0" applyBorder="0" applyAlignment="0" applyProtection="0"/>
    <xf numFmtId="0" fontId="8" fillId="60" borderId="0" applyNumberFormat="0" applyBorder="0" applyAlignment="0" applyProtection="0"/>
    <xf numFmtId="0" fontId="79" fillId="59" borderId="0" applyNumberFormat="0" applyBorder="0" applyAlignment="0" applyProtection="0"/>
    <xf numFmtId="0" fontId="8" fillId="6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79" fillId="59" borderId="0" applyNumberFormat="0" applyBorder="0" applyAlignment="0" applyProtection="0"/>
    <xf numFmtId="0" fontId="3" fillId="32" borderId="0" applyNumberFormat="0" applyBorder="0" applyAlignment="0" applyProtection="0"/>
    <xf numFmtId="0" fontId="79" fillId="5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8" fillId="60" borderId="0" applyNumberFormat="0" applyBorder="0" applyAlignment="0" applyProtection="0"/>
    <xf numFmtId="0" fontId="3" fillId="32" borderId="0" applyNumberFormat="0" applyBorder="0" applyAlignment="0" applyProtection="0"/>
    <xf numFmtId="0" fontId="8" fillId="61" borderId="0" applyNumberFormat="0" applyBorder="0" applyAlignment="0" applyProtection="0"/>
    <xf numFmtId="0" fontId="79" fillId="53" borderId="0" applyNumberFormat="0" applyBorder="0" applyAlignment="0" applyProtection="0"/>
    <xf numFmtId="0" fontId="8" fillId="6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79" fillId="53" borderId="0" applyNumberFormat="0" applyBorder="0" applyAlignment="0" applyProtection="0"/>
    <xf numFmtId="0" fontId="3" fillId="36" borderId="0" applyNumberFormat="0" applyBorder="0" applyAlignment="0" applyProtection="0"/>
    <xf numFmtId="0" fontId="79" fillId="53" borderId="0" applyNumberFormat="0" applyBorder="0" applyAlignment="0" applyProtection="0"/>
    <xf numFmtId="0" fontId="3" fillId="36" borderId="0" applyNumberFormat="0" applyBorder="0" applyAlignment="0" applyProtection="0"/>
    <xf numFmtId="0" fontId="8" fillId="61" borderId="0" applyNumberFormat="0" applyBorder="0" applyAlignment="0" applyProtection="0"/>
    <xf numFmtId="0" fontId="3" fillId="36"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79" fillId="56" borderId="0" applyNumberFormat="0" applyBorder="0" applyAlignment="0" applyProtection="0"/>
    <xf numFmtId="0" fontId="3" fillId="40" borderId="0" applyNumberFormat="0" applyBorder="0" applyAlignment="0" applyProtection="0"/>
    <xf numFmtId="0" fontId="79" fillId="56" borderId="0" applyNumberFormat="0" applyBorder="0" applyAlignment="0" applyProtection="0"/>
    <xf numFmtId="0" fontId="3" fillId="40" borderId="0" applyNumberFormat="0" applyBorder="0" applyAlignment="0" applyProtection="0"/>
    <xf numFmtId="0" fontId="8" fillId="58" borderId="0" applyNumberFormat="0" applyBorder="0" applyAlignment="0" applyProtection="0"/>
    <xf numFmtId="0" fontId="3" fillId="40" borderId="0" applyNumberFormat="0" applyBorder="0" applyAlignment="0" applyProtection="0"/>
    <xf numFmtId="0" fontId="8" fillId="57" borderId="0" applyNumberFormat="0" applyBorder="0" applyAlignment="0" applyProtection="0"/>
    <xf numFmtId="0" fontId="79" fillId="62" borderId="0" applyNumberFormat="0" applyBorder="0" applyAlignment="0" applyProtection="0"/>
    <xf numFmtId="0" fontId="8" fillId="5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79" fillId="62" borderId="0" applyNumberFormat="0" applyBorder="0" applyAlignment="0" applyProtection="0"/>
    <xf numFmtId="0" fontId="3" fillId="44" borderId="0" applyNumberFormat="0" applyBorder="0" applyAlignment="0" applyProtection="0"/>
    <xf numFmtId="0" fontId="79" fillId="62" borderId="0" applyNumberFormat="0" applyBorder="0" applyAlignment="0" applyProtection="0"/>
    <xf numFmtId="0" fontId="3" fillId="44" borderId="0" applyNumberFormat="0" applyBorder="0" applyAlignment="0" applyProtection="0"/>
    <xf numFmtId="0" fontId="8" fillId="57" borderId="0" applyNumberFormat="0" applyBorder="0" applyAlignment="0" applyProtection="0"/>
    <xf numFmtId="0" fontId="3" fillId="44" borderId="0" applyNumberFormat="0" applyBorder="0" applyAlignment="0" applyProtection="0"/>
    <xf numFmtId="0" fontId="35" fillId="58" borderId="0" applyNumberFormat="0" applyBorder="0" applyAlignment="0" applyProtection="0"/>
    <xf numFmtId="0" fontId="78" fillId="63" borderId="0" applyNumberFormat="0" applyBorder="0" applyAlignment="0" applyProtection="0"/>
    <xf numFmtId="0" fontId="35" fillId="58" borderId="0" applyNumberFormat="0" applyBorder="0" applyAlignment="0" applyProtection="0"/>
    <xf numFmtId="0" fontId="13" fillId="25" borderId="0" applyNumberFormat="0" applyBorder="0" applyAlignment="0" applyProtection="0"/>
    <xf numFmtId="0" fontId="78" fillId="63" borderId="0" applyNumberFormat="0" applyBorder="0" applyAlignment="0" applyProtection="0"/>
    <xf numFmtId="0" fontId="13" fillId="25" borderId="0" applyNumberFormat="0" applyBorder="0" applyAlignment="0" applyProtection="0"/>
    <xf numFmtId="0" fontId="35" fillId="50" borderId="0" applyNumberFormat="0" applyBorder="0" applyAlignment="0" applyProtection="0"/>
    <xf numFmtId="0" fontId="78" fillId="50" borderId="0" applyNumberFormat="0" applyBorder="0" applyAlignment="0" applyProtection="0"/>
    <xf numFmtId="0" fontId="35" fillId="50" borderId="0" applyNumberFormat="0" applyBorder="0" applyAlignment="0" applyProtection="0"/>
    <xf numFmtId="0" fontId="13" fillId="29" borderId="0" applyNumberFormat="0" applyBorder="0" applyAlignment="0" applyProtection="0"/>
    <xf numFmtId="0" fontId="78" fillId="50" borderId="0" applyNumberFormat="0" applyBorder="0" applyAlignment="0" applyProtection="0"/>
    <xf numFmtId="0" fontId="13" fillId="29" borderId="0" applyNumberFormat="0" applyBorder="0" applyAlignment="0" applyProtection="0"/>
    <xf numFmtId="0" fontId="35" fillId="60" borderId="0" applyNumberFormat="0" applyBorder="0" applyAlignment="0" applyProtection="0"/>
    <xf numFmtId="0" fontId="78" fillId="59" borderId="0" applyNumberFormat="0" applyBorder="0" applyAlignment="0" applyProtection="0"/>
    <xf numFmtId="0" fontId="35" fillId="60" borderId="0" applyNumberFormat="0" applyBorder="0" applyAlignment="0" applyProtection="0"/>
    <xf numFmtId="0" fontId="13" fillId="33" borderId="0" applyNumberFormat="0" applyBorder="0" applyAlignment="0" applyProtection="0"/>
    <xf numFmtId="0" fontId="78" fillId="5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35" fillId="61" borderId="0" applyNumberFormat="0" applyBorder="0" applyAlignment="0" applyProtection="0"/>
    <xf numFmtId="0" fontId="78" fillId="64" borderId="0" applyNumberFormat="0" applyBorder="0" applyAlignment="0" applyProtection="0"/>
    <xf numFmtId="0" fontId="35" fillId="61" borderId="0" applyNumberFormat="0" applyBorder="0" applyAlignment="0" applyProtection="0"/>
    <xf numFmtId="0" fontId="13" fillId="37" borderId="0" applyNumberFormat="0" applyBorder="0" applyAlignment="0" applyProtection="0"/>
    <xf numFmtId="0" fontId="78" fillId="64"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5" fillId="58" borderId="0" applyNumberFormat="0" applyBorder="0" applyAlignment="0" applyProtection="0"/>
    <xf numFmtId="0" fontId="78" fillId="65" borderId="0" applyNumberFormat="0" applyBorder="0" applyAlignment="0" applyProtection="0"/>
    <xf numFmtId="0" fontId="35" fillId="58" borderId="0" applyNumberFormat="0" applyBorder="0" applyAlignment="0" applyProtection="0"/>
    <xf numFmtId="0" fontId="13" fillId="41" borderId="0" applyNumberFormat="0" applyBorder="0" applyAlignment="0" applyProtection="0"/>
    <xf numFmtId="0" fontId="78" fillId="65" borderId="0" applyNumberFormat="0" applyBorder="0" applyAlignment="0" applyProtection="0"/>
    <xf numFmtId="0" fontId="13" fillId="41" borderId="0" applyNumberFormat="0" applyBorder="0" applyAlignment="0" applyProtection="0"/>
    <xf numFmtId="0" fontId="35" fillId="57" borderId="0" applyNumberFormat="0" applyBorder="0" applyAlignment="0" applyProtection="0"/>
    <xf numFmtId="0" fontId="78" fillId="66" borderId="0" applyNumberFormat="0" applyBorder="0" applyAlignment="0" applyProtection="0"/>
    <xf numFmtId="0" fontId="35" fillId="57" borderId="0" applyNumberFormat="0" applyBorder="0" applyAlignment="0" applyProtection="0"/>
    <xf numFmtId="0" fontId="13" fillId="45" borderId="0" applyNumberFormat="0" applyBorder="0" applyAlignment="0" applyProtection="0"/>
    <xf numFmtId="0" fontId="78" fillId="6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9" fillId="73" borderId="0" applyNumberFormat="0" applyBorder="0" applyAlignment="0" applyProtection="0"/>
    <xf numFmtId="0" fontId="79" fillId="74"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9" fillId="77" borderId="0" applyNumberFormat="0" applyBorder="0" applyAlignment="0" applyProtection="0"/>
    <xf numFmtId="0" fontId="79" fillId="78" borderId="0" applyNumberFormat="0" applyBorder="0" applyAlignment="0" applyProtection="0"/>
    <xf numFmtId="0" fontId="78" fillId="79"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9" fillId="78" borderId="0" applyNumberFormat="0" applyBorder="0" applyAlignment="0" applyProtection="0"/>
    <xf numFmtId="0" fontId="79" fillId="79"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8" fillId="69"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9" fillId="83" borderId="0" applyNumberFormat="0" applyBorder="0" applyAlignment="0" applyProtection="0"/>
    <xf numFmtId="0" fontId="79" fillId="74" borderId="0" applyNumberFormat="0" applyBorder="0" applyAlignment="0" applyProtection="0"/>
    <xf numFmtId="0" fontId="78" fillId="84"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204" fontId="5" fillId="86" borderId="66">
      <alignment horizontal="center" vertical="center"/>
    </xf>
    <xf numFmtId="204" fontId="5" fillId="86" borderId="66">
      <alignment horizontal="center" vertical="center"/>
    </xf>
    <xf numFmtId="204" fontId="5" fillId="86" borderId="66">
      <alignment horizontal="center" vertical="center"/>
    </xf>
    <xf numFmtId="204" fontId="5" fillId="86" borderId="66">
      <alignment horizontal="center" vertical="center"/>
    </xf>
    <xf numFmtId="179" fontId="108" fillId="0" borderId="0" applyFont="0" applyFill="0" applyBorder="0" applyAlignment="0" applyProtection="0"/>
    <xf numFmtId="0" fontId="108" fillId="0" borderId="0" applyFont="0" applyFill="0" applyBorder="0" applyAlignment="0" applyProtection="0"/>
    <xf numFmtId="205" fontId="109" fillId="0" borderId="0" applyFont="0" applyFill="0" applyBorder="0" applyAlignment="0" applyProtection="0"/>
    <xf numFmtId="0" fontId="108" fillId="0" borderId="0" applyFont="0" applyFill="0" applyBorder="0" applyAlignment="0" applyProtection="0"/>
    <xf numFmtId="0" fontId="83" fillId="74" borderId="0" applyNumberFormat="0" applyBorder="0" applyAlignment="0" applyProtection="0"/>
    <xf numFmtId="0" fontId="68" fillId="49" borderId="0" applyNumberFormat="0" applyBorder="0" applyAlignment="0" applyProtection="0"/>
    <xf numFmtId="0" fontId="83" fillId="74" borderId="0" applyNumberFormat="0" applyBorder="0" applyAlignment="0" applyProtection="0"/>
    <xf numFmtId="0" fontId="25" fillId="16" borderId="0" applyNumberFormat="0" applyBorder="0" applyAlignment="0" applyProtection="0"/>
    <xf numFmtId="0" fontId="68" fillId="49" borderId="0" applyNumberFormat="0" applyBorder="0" applyAlignment="0" applyProtection="0"/>
    <xf numFmtId="0" fontId="25" fillId="16" borderId="0" applyNumberFormat="0" applyBorder="0" applyAlignment="0" applyProtection="0"/>
    <xf numFmtId="0" fontId="5" fillId="86" borderId="0" applyNumberFormat="0" applyFont="0" applyAlignment="0">
      <alignment horizontal="center"/>
    </xf>
    <xf numFmtId="0" fontId="5" fillId="86" borderId="0" applyNumberFormat="0" applyFont="0" applyAlignment="0">
      <alignment horizontal="center"/>
    </xf>
    <xf numFmtId="206" fontId="52" fillId="86" borderId="0" applyFont="0" applyFill="0" applyBorder="0" applyAlignment="0" applyProtection="0"/>
    <xf numFmtId="0" fontId="110" fillId="0" borderId="0" applyNumberFormat="0" applyFill="0" applyBorder="0" applyAlignment="0" applyProtection="0"/>
    <xf numFmtId="0" fontId="111" fillId="0" borderId="25" applyNumberFormat="0" applyFill="0" applyAlignment="0" applyProtection="0"/>
    <xf numFmtId="0" fontId="105" fillId="0" borderId="0"/>
    <xf numFmtId="207" fontId="102" fillId="0" borderId="0" applyFont="0" applyFill="0" applyBorder="0" applyAlignment="0" applyProtection="0"/>
    <xf numFmtId="207" fontId="102" fillId="0" borderId="0" applyFont="0" applyFill="0" applyBorder="0" applyAlignment="0" applyProtection="0"/>
    <xf numFmtId="207" fontId="10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0" borderId="0"/>
    <xf numFmtId="0" fontId="108" fillId="0" borderId="0" applyFill="0" applyBorder="0" applyAlignment="0"/>
    <xf numFmtId="0" fontId="108" fillId="0" borderId="0" applyFill="0" applyBorder="0" applyAlignment="0"/>
    <xf numFmtId="0" fontId="108" fillId="0" borderId="0" applyFill="0" applyBorder="0" applyAlignment="0"/>
    <xf numFmtId="208" fontId="4" fillId="87" borderId="0"/>
    <xf numFmtId="208" fontId="4" fillId="87" borderId="0"/>
    <xf numFmtId="208" fontId="4" fillId="87" borderId="0"/>
    <xf numFmtId="0" fontId="4" fillId="0" borderId="0">
      <alignment vertical="center"/>
    </xf>
    <xf numFmtId="0" fontId="4" fillId="0" borderId="0">
      <alignment vertical="center"/>
    </xf>
    <xf numFmtId="0" fontId="4" fillId="0" borderId="0">
      <alignment vertical="center"/>
    </xf>
    <xf numFmtId="0" fontId="84" fillId="88" borderId="67" applyNumberFormat="0" applyAlignment="0" applyProtection="0"/>
    <xf numFmtId="0" fontId="72" fillId="61" borderId="67" applyNumberFormat="0" applyAlignment="0" applyProtection="0"/>
    <xf numFmtId="0" fontId="84" fillId="88" borderId="67" applyNumberFormat="0" applyAlignment="0" applyProtection="0"/>
    <xf numFmtId="0" fontId="29" fillId="19" borderId="43" applyNumberFormat="0" applyAlignment="0" applyProtection="0"/>
    <xf numFmtId="0" fontId="72" fillId="61" borderId="67" applyNumberFormat="0" applyAlignment="0" applyProtection="0"/>
    <xf numFmtId="0" fontId="29" fillId="19" borderId="43" applyNumberFormat="0" applyAlignment="0" applyProtection="0"/>
    <xf numFmtId="0" fontId="74" fillId="75" borderId="68" applyNumberFormat="0" applyAlignment="0" applyProtection="0"/>
    <xf numFmtId="0" fontId="74" fillId="89" borderId="68" applyNumberFormat="0" applyAlignment="0" applyProtection="0"/>
    <xf numFmtId="0" fontId="74" fillId="75" borderId="68" applyNumberFormat="0" applyAlignment="0" applyProtection="0"/>
    <xf numFmtId="0" fontId="12" fillId="20" borderId="46" applyNumberFormat="0" applyAlignment="0" applyProtection="0"/>
    <xf numFmtId="0" fontId="74" fillId="89" borderId="68" applyNumberFormat="0" applyAlignment="0" applyProtection="0"/>
    <xf numFmtId="0" fontId="12" fillId="20" borderId="46" applyNumberFormat="0" applyAlignment="0" applyProtection="0"/>
    <xf numFmtId="37" fontId="5" fillId="0" borderId="25">
      <alignment horizontal="center"/>
    </xf>
    <xf numFmtId="37" fontId="5" fillId="0" borderId="25">
      <alignment horizontal="center"/>
    </xf>
    <xf numFmtId="209" fontId="114" fillId="0" borderId="0">
      <alignment horizontal="right" vertical="center"/>
    </xf>
    <xf numFmtId="209" fontId="114" fillId="0" borderId="0">
      <alignment horizontal="right" vertical="center"/>
    </xf>
    <xf numFmtId="37" fontId="5" fillId="0" borderId="0">
      <alignment horizontal="center" vertical="center" wrapText="1"/>
    </xf>
    <xf numFmtId="37" fontId="5" fillId="0" borderId="0">
      <alignment horizontal="center" vertical="center" wrapText="1"/>
    </xf>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232" fontId="107" fillId="0" borderId="0"/>
    <xf numFmtId="196" fontId="105" fillId="0" borderId="0"/>
    <xf numFmtId="211" fontId="107" fillId="0" borderId="0"/>
    <xf numFmtId="0" fontId="115" fillId="0" borderId="0" applyFont="0" applyFill="0" applyBorder="0" applyAlignment="0" applyProtection="0">
      <alignment horizontal="right"/>
    </xf>
    <xf numFmtId="212" fontId="1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15" fillId="0" borderId="0" applyFont="0" applyFill="0" applyBorder="0" applyAlignment="0" applyProtection="0">
      <alignment horizontal="right"/>
    </xf>
    <xf numFmtId="176" fontId="116" fillId="0" borderId="0" applyFont="0" applyFill="0" applyBorder="0" applyAlignment="0" applyProtection="0"/>
    <xf numFmtId="176" fontId="11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176" fontId="11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43" fontId="48" fillId="0" borderId="0" applyFont="0" applyFill="0" applyBorder="0" applyAlignment="0" applyProtection="0"/>
    <xf numFmtId="167" fontId="116"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38" fontId="102" fillId="0" borderId="0" applyFill="0" applyBorder="0" applyProtection="0">
      <alignment horizontal="center"/>
    </xf>
    <xf numFmtId="38" fontId="102" fillId="0" borderId="0" applyFill="0" applyBorder="0" applyProtection="0">
      <alignment horizontal="center"/>
    </xf>
    <xf numFmtId="38" fontId="102" fillId="0" borderId="0" applyFill="0" applyBorder="0" applyProtection="0">
      <alignment horizontal="center"/>
    </xf>
    <xf numFmtId="0" fontId="117" fillId="0" borderId="0">
      <protection locked="0"/>
    </xf>
    <xf numFmtId="0" fontId="117" fillId="0" borderId="0">
      <protection locked="0"/>
    </xf>
    <xf numFmtId="0" fontId="117" fillId="0" borderId="0">
      <protection locked="0"/>
    </xf>
    <xf numFmtId="181" fontId="4" fillId="0" borderId="0" applyFill="0" applyBorder="0">
      <alignment horizontal="left"/>
    </xf>
    <xf numFmtId="181" fontId="4" fillId="0" borderId="0" applyFill="0" applyBorder="0">
      <alignment horizontal="left"/>
    </xf>
    <xf numFmtId="181" fontId="4" fillId="0" borderId="0" applyFill="0" applyBorder="0">
      <alignment horizontal="left"/>
    </xf>
    <xf numFmtId="0" fontId="118" fillId="0" borderId="0" applyNumberFormat="0" applyAlignment="0">
      <alignment horizontal="left"/>
    </xf>
    <xf numFmtId="0" fontId="118" fillId="0" borderId="0" applyNumberFormat="0" applyAlignment="0">
      <alignment horizontal="left"/>
    </xf>
    <xf numFmtId="0" fontId="118" fillId="0" borderId="0" applyNumberFormat="0" applyAlignment="0">
      <alignment horizontal="left"/>
    </xf>
    <xf numFmtId="37" fontId="4" fillId="90" borderId="0" applyFont="0" applyBorder="0" applyAlignment="0" applyProtection="0"/>
    <xf numFmtId="185" fontId="104" fillId="90" borderId="0" applyFont="0" applyBorder="0" applyAlignment="0" applyProtection="0"/>
    <xf numFmtId="39" fontId="104" fillId="90" borderId="0" applyFont="0" applyBorder="0" applyAlignment="0" applyProtection="0"/>
    <xf numFmtId="216" fontId="4" fillId="0" borderId="0">
      <alignment horizontal="right"/>
    </xf>
    <xf numFmtId="216" fontId="4" fillId="0" borderId="0">
      <alignment horizontal="right"/>
    </xf>
    <xf numFmtId="216" fontId="4" fillId="0" borderId="0">
      <alignment horizontal="right"/>
    </xf>
    <xf numFmtId="0" fontId="115" fillId="0" borderId="0" applyFont="0" applyFill="0" applyBorder="0" applyAlignment="0" applyProtection="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115" fillId="0" borderId="0" applyFont="0" applyFill="0" applyBorder="0" applyAlignment="0" applyProtection="0">
      <alignment horizontal="right"/>
    </xf>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0" fontId="115" fillId="0" borderId="0" applyFont="0" applyFill="0" applyBorder="0" applyAlignment="0" applyProtection="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19" fontId="102" fillId="0" borderId="0" applyFont="0" applyFill="0" applyBorder="0" applyAlignment="0" applyProtection="0"/>
    <xf numFmtId="219" fontId="102" fillId="0" borderId="0" applyFont="0" applyFill="0" applyBorder="0" applyAlignment="0" applyProtection="0"/>
    <xf numFmtId="219" fontId="102" fillId="0" borderId="0" applyFont="0" applyFill="0" applyBorder="0" applyAlignment="0" applyProtection="0"/>
    <xf numFmtId="178" fontId="4" fillId="0" borderId="0" applyFill="0" applyBorder="0"/>
    <xf numFmtId="178" fontId="4" fillId="0" borderId="0" applyFill="0" applyBorder="0"/>
    <xf numFmtId="178" fontId="4" fillId="0" borderId="0" applyFill="0" applyBorder="0"/>
    <xf numFmtId="0" fontId="115"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199" fontId="107" fillId="0" borderId="0">
      <alignment horizontal="right"/>
    </xf>
    <xf numFmtId="196" fontId="107" fillId="0" borderId="0">
      <alignment horizontal="right"/>
      <protection locked="0"/>
    </xf>
    <xf numFmtId="196" fontId="107" fillId="0" borderId="0"/>
    <xf numFmtId="221" fontId="107" fillId="0" borderId="0">
      <alignment horizontal="right"/>
      <protection locked="0"/>
    </xf>
    <xf numFmtId="41" fontId="4" fillId="0" borderId="0" applyFont="0" applyFill="0" applyBorder="0" applyAlignment="0" applyProtection="0"/>
    <xf numFmtId="43" fontId="4" fillId="0" borderId="0" applyFont="0" applyFill="0" applyBorder="0" applyAlignment="0" applyProtection="0"/>
    <xf numFmtId="222" fontId="102" fillId="0" borderId="0" applyFill="0" applyBorder="0" applyProtection="0">
      <alignment horizontal="center"/>
    </xf>
    <xf numFmtId="222" fontId="102" fillId="0" borderId="0" applyFill="0" applyBorder="0" applyProtection="0">
      <alignment horizontal="center"/>
    </xf>
    <xf numFmtId="222" fontId="102" fillId="0" borderId="0" applyFill="0" applyBorder="0" applyProtection="0">
      <alignment horizontal="center"/>
    </xf>
    <xf numFmtId="223" fontId="102" fillId="0" borderId="0">
      <alignment horizontal="center"/>
    </xf>
    <xf numFmtId="223" fontId="102" fillId="0" borderId="0">
      <alignment horizontal="center"/>
    </xf>
    <xf numFmtId="223" fontId="102" fillId="0" borderId="0">
      <alignment horizontal="center"/>
    </xf>
    <xf numFmtId="222" fontId="102" fillId="0" borderId="0" applyFill="0" applyBorder="0" applyProtection="0">
      <alignment horizontal="center"/>
    </xf>
    <xf numFmtId="0" fontId="115" fillId="0" borderId="69" applyNumberFormat="0" applyFont="0" applyFill="0" applyAlignment="0" applyProtection="0"/>
    <xf numFmtId="179" fontId="60" fillId="0" borderId="70"/>
    <xf numFmtId="198" fontId="107" fillId="0" borderId="0"/>
    <xf numFmtId="0" fontId="77" fillId="91" borderId="0" applyNumberFormat="0" applyBorder="0" applyAlignment="0" applyProtection="0"/>
    <xf numFmtId="0" fontId="77" fillId="92" borderId="0" applyNumberFormat="0" applyBorder="0" applyAlignment="0" applyProtection="0"/>
    <xf numFmtId="0" fontId="77" fillId="93" borderId="0" applyNumberFormat="0" applyBorder="0" applyAlignment="0" applyProtection="0"/>
    <xf numFmtId="0" fontId="120" fillId="0" borderId="0" applyNumberFormat="0" applyAlignment="0">
      <alignment horizontal="left"/>
    </xf>
    <xf numFmtId="0" fontId="120" fillId="0" borderId="0" applyNumberFormat="0" applyAlignment="0">
      <alignment horizontal="left"/>
    </xf>
    <xf numFmtId="0" fontId="120" fillId="0" borderId="0" applyNumberFormat="0" applyAlignment="0">
      <alignment horizontal="left"/>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8" fillId="0" borderId="0" applyFont="0" applyFill="0" applyBorder="0" applyAlignment="0" applyProtection="0"/>
    <xf numFmtId="0" fontId="85" fillId="0" borderId="0" applyNumberFormat="0" applyFill="0" applyBorder="0" applyAlignment="0" applyProtection="0"/>
    <xf numFmtId="0" fontId="76" fillId="0" borderId="0" applyNumberFormat="0" applyFill="0" applyBorder="0" applyAlignment="0" applyProtection="0"/>
    <xf numFmtId="0" fontId="85" fillId="0" borderId="0" applyNumberFormat="0" applyFill="0" applyBorder="0" applyAlignment="0" applyProtection="0"/>
    <xf numFmtId="0" fontId="31" fillId="0" borderId="0" applyNumberFormat="0" applyFill="0" applyBorder="0" applyAlignment="0" applyProtection="0"/>
    <xf numFmtId="0" fontId="76" fillId="0" borderId="0" applyNumberFormat="0" applyFill="0" applyBorder="0" applyAlignment="0" applyProtection="0"/>
    <xf numFmtId="0" fontId="31" fillId="0" borderId="0" applyNumberFormat="0" applyFill="0" applyBorder="0" applyAlignment="0" applyProtection="0"/>
    <xf numFmtId="0" fontId="117" fillId="0" borderId="0">
      <protection locked="0"/>
    </xf>
    <xf numFmtId="0" fontId="117" fillId="0" borderId="0">
      <protection locked="0"/>
    </xf>
    <xf numFmtId="0" fontId="117" fillId="0" borderId="0">
      <protection locked="0"/>
    </xf>
    <xf numFmtId="181" fontId="86" fillId="0" borderId="0"/>
    <xf numFmtId="181" fontId="86" fillId="0" borderId="0"/>
    <xf numFmtId="0" fontId="121" fillId="0" borderId="0"/>
    <xf numFmtId="0" fontId="122" fillId="0" borderId="0" applyFill="0" applyBorder="0" applyProtection="0">
      <alignment horizontal="left"/>
    </xf>
    <xf numFmtId="4" fontId="123" fillId="0" borderId="0">
      <protection locked="0"/>
    </xf>
    <xf numFmtId="4" fontId="123" fillId="0" borderId="0">
      <protection locked="0"/>
    </xf>
    <xf numFmtId="4" fontId="123" fillId="0" borderId="0">
      <protection locked="0"/>
    </xf>
    <xf numFmtId="0" fontId="67" fillId="94" borderId="0" applyNumberFormat="0" applyBorder="0" applyAlignment="0" applyProtection="0"/>
    <xf numFmtId="0" fontId="67" fillId="51" borderId="0" applyNumberFormat="0" applyBorder="0" applyAlignment="0" applyProtection="0"/>
    <xf numFmtId="0" fontId="67" fillId="94" borderId="0" applyNumberFormat="0" applyBorder="0" applyAlignment="0" applyProtection="0"/>
    <xf numFmtId="0" fontId="24" fillId="15" borderId="0" applyNumberFormat="0" applyBorder="0" applyAlignment="0" applyProtection="0"/>
    <xf numFmtId="0" fontId="67" fillId="51" borderId="0" applyNumberFormat="0" applyBorder="0" applyAlignment="0" applyProtection="0"/>
    <xf numFmtId="0" fontId="24" fillId="15" borderId="0" applyNumberFormat="0" applyBorder="0" applyAlignment="0" applyProtection="0"/>
    <xf numFmtId="38" fontId="48" fillId="87" borderId="0" applyNumberForma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115" fillId="0" borderId="0" applyFont="0" applyFill="0" applyBorder="0" applyAlignment="0" applyProtection="0">
      <alignment horizontal="right"/>
    </xf>
    <xf numFmtId="0" fontId="124" fillId="0" borderId="0" applyProtection="0">
      <alignment horizontal="right"/>
    </xf>
    <xf numFmtId="0" fontId="52" fillId="0" borderId="71" applyNumberFormat="0" applyAlignment="0" applyProtection="0">
      <alignment horizontal="left" vertical="center"/>
    </xf>
    <xf numFmtId="0" fontId="52" fillId="0" borderId="23">
      <alignment horizontal="left" vertical="center"/>
    </xf>
    <xf numFmtId="0" fontId="87" fillId="0" borderId="73" applyNumberFormat="0" applyFill="0" applyAlignment="0" applyProtection="0"/>
    <xf numFmtId="0" fontId="64" fillId="0" borderId="72" applyNumberFormat="0" applyFill="0" applyAlignment="0" applyProtection="0"/>
    <xf numFmtId="0" fontId="87" fillId="0" borderId="73" applyNumberFormat="0" applyFill="0" applyAlignment="0" applyProtection="0"/>
    <xf numFmtId="0" fontId="21" fillId="0" borderId="40" applyNumberFormat="0" applyFill="0" applyAlignment="0" applyProtection="0"/>
    <xf numFmtId="0" fontId="64" fillId="0" borderId="72" applyNumberFormat="0" applyFill="0" applyAlignment="0" applyProtection="0"/>
    <xf numFmtId="0" fontId="21" fillId="0" borderId="40" applyNumberFormat="0" applyFill="0" applyAlignment="0" applyProtection="0"/>
    <xf numFmtId="0" fontId="88" fillId="0" borderId="0" applyNumberFormat="0" applyFill="0" applyBorder="0"/>
    <xf numFmtId="0" fontId="65" fillId="0" borderId="74" applyNumberFormat="0" applyFill="0" applyAlignment="0" applyProtection="0"/>
    <xf numFmtId="0" fontId="88" fillId="0" borderId="0" applyNumberFormat="0" applyFill="0" applyBorder="0"/>
    <xf numFmtId="0" fontId="22" fillId="0" borderId="41" applyNumberFormat="0" applyFill="0" applyAlignment="0" applyProtection="0"/>
    <xf numFmtId="0" fontId="65" fillId="0" borderId="74" applyNumberFormat="0" applyFill="0" applyAlignment="0" applyProtection="0"/>
    <xf numFmtId="0" fontId="22" fillId="0" borderId="41" applyNumberFormat="0" applyFill="0" applyAlignment="0" applyProtection="0"/>
    <xf numFmtId="179" fontId="7" fillId="0" borderId="0" applyFill="0" applyBorder="0"/>
    <xf numFmtId="0" fontId="66" fillId="0" borderId="75" applyNumberFormat="0" applyFill="0" applyAlignment="0" applyProtection="0"/>
    <xf numFmtId="179" fontId="7" fillId="0" borderId="0" applyFill="0" applyBorder="0"/>
    <xf numFmtId="0" fontId="23" fillId="0" borderId="42" applyNumberFormat="0" applyFill="0" applyAlignment="0" applyProtection="0"/>
    <xf numFmtId="0" fontId="66" fillId="0" borderId="75" applyNumberFormat="0" applyFill="0" applyAlignment="0" applyProtection="0"/>
    <xf numFmtId="0" fontId="23" fillId="0" borderId="42" applyNumberFormat="0" applyFill="0" applyAlignment="0" applyProtection="0"/>
    <xf numFmtId="0" fontId="89" fillId="0" borderId="0" applyNumberFormat="0" applyFill="0" applyBorder="0" applyAlignment="0" applyProtection="0"/>
    <xf numFmtId="0" fontId="66" fillId="0" borderId="0" applyNumberFormat="0" applyFill="0" applyBorder="0" applyAlignment="0" applyProtection="0"/>
    <xf numFmtId="0" fontId="89"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224" fontId="125" fillId="0" borderId="0">
      <alignment horizontal="right"/>
    </xf>
    <xf numFmtId="224" fontId="125" fillId="0" borderId="0">
      <alignment horizontal="right"/>
    </xf>
    <xf numFmtId="224" fontId="125" fillId="0" borderId="0">
      <alignment horizontal="right"/>
    </xf>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81" fillId="0" borderId="0">
      <alignment wrapText="1"/>
    </xf>
    <xf numFmtId="10" fontId="48" fillId="95" borderId="4" applyNumberFormat="0" applyBorder="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70" fillId="57" borderId="67" applyNumberFormat="0" applyAlignment="0" applyProtection="0"/>
    <xf numFmtId="0" fontId="90" fillId="84" borderId="67" applyNumberFormat="0" applyAlignment="0" applyProtection="0"/>
    <xf numFmtId="0" fontId="27" fillId="18" borderId="43" applyNumberFormat="0" applyAlignment="0" applyProtection="0"/>
    <xf numFmtId="0" fontId="70" fillId="57"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27" fillId="18" borderId="43"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27" fillId="18" borderId="43" applyNumberFormat="0" applyAlignment="0" applyProtection="0"/>
    <xf numFmtId="0" fontId="90" fillId="84"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90" fillId="84" borderId="67" applyNumberFormat="0" applyAlignment="0" applyProtection="0"/>
    <xf numFmtId="0" fontId="90" fillId="84" borderId="67" applyNumberFormat="0" applyAlignment="0" applyProtection="0"/>
    <xf numFmtId="0" fontId="27" fillId="18" borderId="43"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90" fillId="84" borderId="67" applyNumberFormat="0" applyAlignment="0" applyProtection="0"/>
    <xf numFmtId="0" fontId="70" fillId="57" borderId="67" applyNumberFormat="0" applyAlignment="0" applyProtection="0"/>
    <xf numFmtId="0" fontId="70" fillId="57" borderId="67" applyNumberFormat="0" applyAlignment="0" applyProtection="0"/>
    <xf numFmtId="0" fontId="90" fillId="84"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90" fillId="84"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90" fillId="84"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90" fillId="84"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90" fillId="84" borderId="67" applyNumberFormat="0" applyAlignment="0" applyProtection="0"/>
    <xf numFmtId="0" fontId="90" fillId="84" borderId="67" applyNumberFormat="0" applyAlignment="0" applyProtection="0"/>
    <xf numFmtId="0" fontId="70" fillId="57" borderId="67" applyNumberFormat="0" applyAlignment="0" applyProtection="0"/>
    <xf numFmtId="0" fontId="90" fillId="84" borderId="67" applyNumberFormat="0" applyAlignment="0" applyProtection="0"/>
    <xf numFmtId="0" fontId="70" fillId="57" borderId="67" applyNumberFormat="0" applyAlignment="0" applyProtection="0"/>
    <xf numFmtId="0" fontId="61" fillId="0" borderId="0" applyNumberFormat="0" applyFill="0" applyBorder="0" applyAlignment="0">
      <protection locked="0"/>
    </xf>
    <xf numFmtId="0" fontId="61" fillId="0" borderId="0" applyNumberFormat="0" applyFill="0" applyBorder="0" applyAlignment="0">
      <protection locked="0"/>
    </xf>
    <xf numFmtId="0" fontId="61" fillId="0" borderId="0" applyNumberFormat="0" applyFill="0" applyBorder="0" applyAlignment="0">
      <protection locked="0"/>
    </xf>
    <xf numFmtId="208" fontId="5" fillId="96" borderId="0">
      <protection locked="0"/>
    </xf>
    <xf numFmtId="208" fontId="5" fillId="96" borderId="0">
      <protection locked="0"/>
    </xf>
    <xf numFmtId="168" fontId="102" fillId="0" borderId="0"/>
    <xf numFmtId="168" fontId="102" fillId="0" borderId="0"/>
    <xf numFmtId="168" fontId="102" fillId="0" borderId="0"/>
    <xf numFmtId="0" fontId="91" fillId="0" borderId="78" applyNumberFormat="0" applyFill="0" applyAlignment="0" applyProtection="0"/>
    <xf numFmtId="0" fontId="73" fillId="0" borderId="77" applyNumberFormat="0" applyFill="0" applyAlignment="0" applyProtection="0"/>
    <xf numFmtId="0" fontId="91" fillId="0" borderId="78" applyNumberFormat="0" applyFill="0" applyAlignment="0" applyProtection="0"/>
    <xf numFmtId="0" fontId="30" fillId="0" borderId="45" applyNumberFormat="0" applyFill="0" applyAlignment="0" applyProtection="0"/>
    <xf numFmtId="0" fontId="73" fillId="0" borderId="77" applyNumberFormat="0" applyFill="0" applyAlignment="0" applyProtection="0"/>
    <xf numFmtId="0" fontId="30" fillId="0" borderId="45" applyNumberFormat="0" applyFill="0" applyAlignment="0" applyProtection="0"/>
    <xf numFmtId="40" fontId="126" fillId="0" borderId="0">
      <alignment horizontal="right"/>
    </xf>
    <xf numFmtId="40" fontId="126" fillId="0" borderId="0">
      <alignment horizontal="right"/>
    </xf>
    <xf numFmtId="40" fontId="126" fillId="0" borderId="0">
      <alignment horizontal="right"/>
    </xf>
    <xf numFmtId="37" fontId="58" fillId="0" borderId="0"/>
    <xf numFmtId="0" fontId="127" fillId="0" borderId="0">
      <alignment vertical="center"/>
    </xf>
    <xf numFmtId="0" fontId="128" fillId="0" borderId="1"/>
    <xf numFmtId="225" fontId="102" fillId="0" borderId="0" applyFill="0" applyBorder="0" applyProtection="0">
      <alignment horizontal="center"/>
    </xf>
    <xf numFmtId="225" fontId="102" fillId="0" borderId="0" applyFill="0" applyBorder="0" applyProtection="0">
      <alignment horizontal="center"/>
    </xf>
    <xf numFmtId="225" fontId="102" fillId="0" borderId="0" applyFill="0" applyBorder="0" applyProtection="0">
      <alignment horizontal="center"/>
    </xf>
    <xf numFmtId="226" fontId="102" fillId="0" borderId="0" applyFont="0" applyFill="0" applyBorder="0" applyAlignment="0" applyProtection="0">
      <alignment horizontal="centerContinuous"/>
      <protection locked="0"/>
    </xf>
    <xf numFmtId="226" fontId="102" fillId="0" borderId="0" applyFont="0" applyFill="0" applyBorder="0" applyAlignment="0" applyProtection="0">
      <alignment horizontal="centerContinuous"/>
      <protection locked="0"/>
    </xf>
    <xf numFmtId="227" fontId="48" fillId="0" borderId="0" applyFont="0" applyFill="0" applyBorder="0" applyAlignment="0" applyProtection="0">
      <alignment horizontal="right"/>
    </xf>
    <xf numFmtId="0" fontId="69" fillId="84" borderId="0" applyNumberFormat="0" applyBorder="0" applyAlignment="0" applyProtection="0"/>
    <xf numFmtId="0" fontId="69" fillId="97" borderId="0" applyNumberFormat="0" applyBorder="0" applyAlignment="0" applyProtection="0"/>
    <xf numFmtId="0" fontId="69" fillId="84" borderId="0" applyNumberFormat="0" applyBorder="0" applyAlignment="0" applyProtection="0"/>
    <xf numFmtId="0" fontId="26" fillId="17" borderId="0" applyNumberFormat="0" applyBorder="0" applyAlignment="0" applyProtection="0"/>
    <xf numFmtId="0" fontId="69" fillId="97" borderId="0" applyNumberFormat="0" applyBorder="0" applyAlignment="0" applyProtection="0"/>
    <xf numFmtId="0" fontId="26" fillId="17" borderId="0" applyNumberFormat="0" applyBorder="0" applyAlignment="0" applyProtection="0"/>
    <xf numFmtId="37" fontId="129" fillId="0" borderId="0"/>
    <xf numFmtId="37" fontId="129" fillId="0" borderId="0"/>
    <xf numFmtId="37" fontId="129" fillId="0" borderId="0"/>
    <xf numFmtId="0" fontId="4" fillId="0" borderId="0"/>
    <xf numFmtId="0" fontId="4" fillId="0" borderId="0"/>
    <xf numFmtId="0" fontId="4" fillId="0" borderId="0"/>
    <xf numFmtId="228" fontId="108" fillId="0" borderId="0"/>
    <xf numFmtId="228" fontId="108" fillId="0" borderId="0"/>
    <xf numFmtId="228" fontId="108" fillId="0" borderId="25"/>
    <xf numFmtId="228" fontId="108" fillId="0" borderId="25"/>
    <xf numFmtId="228" fontId="108" fillId="0" borderId="79"/>
    <xf numFmtId="228" fontId="108" fillId="0" borderId="79"/>
    <xf numFmtId="229" fontId="107" fillId="0" borderId="0"/>
    <xf numFmtId="230" fontId="107" fillId="0" borderId="0"/>
    <xf numFmtId="231" fontId="107"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92" fillId="0" borderId="0"/>
    <xf numFmtId="0" fontId="3" fillId="0" borderId="0"/>
    <xf numFmtId="0" fontId="3" fillId="0" borderId="0"/>
    <xf numFmtId="0" fontId="92" fillId="0" borderId="0"/>
    <xf numFmtId="0" fontId="4" fillId="0" borderId="0"/>
    <xf numFmtId="0" fontId="48" fillId="0" borderId="0" applyFont="0" applyFill="0" applyBorder="0" applyAlignment="0" applyProtection="0"/>
    <xf numFmtId="0" fontId="92" fillId="0" borderId="0"/>
    <xf numFmtId="0" fontId="79" fillId="0" borderId="0"/>
    <xf numFmtId="0" fontId="48" fillId="0" borderId="0"/>
    <xf numFmtId="0" fontId="79" fillId="0" borderId="0"/>
    <xf numFmtId="0" fontId="3" fillId="0" borderId="0"/>
    <xf numFmtId="0" fontId="3"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4"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xf numFmtId="0" fontId="79" fillId="0" borderId="0" applyFill="0" applyBorder="0" applyAlignment="0" applyProtection="0"/>
    <xf numFmtId="0" fontId="3" fillId="0" borderId="0"/>
    <xf numFmtId="0" fontId="3"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48" fillId="0" borderId="0"/>
    <xf numFmtId="0" fontId="79" fillId="0" borderId="0" applyFill="0" applyBorder="0" applyAlignment="0" applyProtection="0"/>
    <xf numFmtId="0" fontId="4"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xf numFmtId="0" fontId="54" fillId="0" borderId="0"/>
    <xf numFmtId="0" fontId="4" fillId="0" borderId="0"/>
    <xf numFmtId="0" fontId="4" fillId="0" borderId="0"/>
    <xf numFmtId="0" fontId="4" fillId="0" borderId="0"/>
    <xf numFmtId="0" fontId="79" fillId="0" borderId="0" applyFill="0" applyBorder="0" applyAlignment="0" applyProtection="0"/>
    <xf numFmtId="0" fontId="3" fillId="0" borderId="0"/>
    <xf numFmtId="0" fontId="3" fillId="0" borderId="0"/>
    <xf numFmtId="0" fontId="48" fillId="0" borderId="0" applyFont="0" applyFill="0" applyBorder="0" applyAlignment="0" applyProtection="0"/>
    <xf numFmtId="0" fontId="4" fillId="0" borderId="0"/>
    <xf numFmtId="0" fontId="4" fillId="0" borderId="0" applyFont="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3" fillId="0" borderId="0"/>
    <xf numFmtId="0" fontId="79"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8" fillId="0" borderId="0" applyFont="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232" fontId="105" fillId="0" borderId="79"/>
    <xf numFmtId="0" fontId="61" fillId="0" borderId="0" applyFill="0" applyBorder="0">
      <protection locked="0"/>
    </xf>
    <xf numFmtId="0" fontId="61" fillId="0" borderId="0" applyFill="0" applyBorder="0">
      <protection locked="0"/>
    </xf>
    <xf numFmtId="0" fontId="61" fillId="0" borderId="0" applyFill="0" applyBorder="0">
      <protection locked="0"/>
    </xf>
    <xf numFmtId="0" fontId="130" fillId="0" borderId="0"/>
    <xf numFmtId="0" fontId="4" fillId="83" borderId="80" applyNumberFormat="0" applyFont="0" applyAlignment="0" applyProtection="0"/>
    <xf numFmtId="0" fontId="79" fillId="21" borderId="47"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79" fillId="21" borderId="47" applyNumberFormat="0" applyFont="0" applyAlignment="0" applyProtection="0"/>
    <xf numFmtId="0" fontId="4" fillId="83" borderId="80" applyNumberFormat="0" applyFont="0" applyAlignment="0" applyProtection="0"/>
    <xf numFmtId="0" fontId="79" fillId="21" borderId="47" applyNumberFormat="0" applyFont="0" applyAlignment="0" applyProtection="0"/>
    <xf numFmtId="0" fontId="79" fillId="21" borderId="47" applyNumberFormat="0" applyFont="0" applyAlignment="0" applyProtection="0"/>
    <xf numFmtId="0" fontId="79" fillId="21" borderId="47" applyNumberFormat="0" applyFont="0" applyAlignment="0" applyProtection="0"/>
    <xf numFmtId="0" fontId="79" fillId="52" borderId="80" applyNumberFormat="0" applyFont="0" applyAlignment="0" applyProtection="0"/>
    <xf numFmtId="0" fontId="79" fillId="21" borderId="47" applyNumberFormat="0" applyFont="0" applyAlignment="0" applyProtection="0"/>
    <xf numFmtId="0" fontId="4" fillId="83" borderId="80" applyNumberFormat="0" applyFont="0" applyAlignment="0" applyProtection="0"/>
    <xf numFmtId="0" fontId="79" fillId="52" borderId="80" applyNumberFormat="0" applyFont="0" applyAlignment="0" applyProtection="0"/>
    <xf numFmtId="0" fontId="4" fillId="83" borderId="80" applyNumberFormat="0" applyFont="0" applyAlignment="0" applyProtection="0"/>
    <xf numFmtId="0" fontId="79" fillId="52" borderId="80"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4" fillId="0" borderId="0"/>
    <xf numFmtId="0" fontId="4" fillId="0" borderId="0"/>
    <xf numFmtId="0" fontId="4" fillId="0" borderId="0"/>
    <xf numFmtId="0" fontId="71" fillId="88" borderId="81" applyNumberFormat="0" applyAlignment="0" applyProtection="0"/>
    <xf numFmtId="0" fontId="71" fillId="61" borderId="81" applyNumberFormat="0" applyAlignment="0" applyProtection="0"/>
    <xf numFmtId="0" fontId="71" fillId="88" borderId="81" applyNumberFormat="0" applyAlignment="0" applyProtection="0"/>
    <xf numFmtId="0" fontId="28" fillId="19" borderId="44" applyNumberFormat="0" applyAlignment="0" applyProtection="0"/>
    <xf numFmtId="0" fontId="71" fillId="61" borderId="81" applyNumberFormat="0" applyAlignment="0" applyProtection="0"/>
    <xf numFmtId="0" fontId="28" fillId="19" borderId="44" applyNumberFormat="0" applyAlignment="0" applyProtection="0"/>
    <xf numFmtId="40" fontId="8" fillId="54" borderId="0">
      <alignment horizontal="right"/>
    </xf>
    <xf numFmtId="40" fontId="8" fillId="54" borderId="0">
      <alignment horizontal="right"/>
    </xf>
    <xf numFmtId="0" fontId="131" fillId="98" borderId="0">
      <alignment horizontal="center"/>
    </xf>
    <xf numFmtId="0" fontId="132" fillId="99" borderId="0"/>
    <xf numFmtId="0" fontId="133" fillId="54" borderId="0" applyBorder="0">
      <alignment horizontal="centerContinuous"/>
    </xf>
    <xf numFmtId="0" fontId="134" fillId="99" borderId="0" applyBorder="0">
      <alignment horizontal="centerContinuous"/>
    </xf>
    <xf numFmtId="0" fontId="102" fillId="100" borderId="0" applyNumberFormat="0" applyFont="0" applyBorder="0" applyAlignment="0"/>
    <xf numFmtId="1" fontId="135" fillId="0" borderId="0" applyProtection="0">
      <alignment horizontal="right" vertical="center"/>
    </xf>
    <xf numFmtId="185" fontId="136" fillId="0" borderId="0">
      <alignment horizontal="left"/>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233" fontId="107"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4" fontId="5" fillId="90" borderId="0" applyBorder="0" applyAlignment="0">
      <protection locked="0"/>
    </xf>
    <xf numFmtId="234" fontId="5" fillId="90" borderId="0" applyBorder="0" applyAlignment="0">
      <protection locked="0"/>
    </xf>
    <xf numFmtId="9" fontId="107" fillId="0" borderId="0"/>
    <xf numFmtId="176" fontId="107" fillId="0" borderId="0"/>
    <xf numFmtId="10" fontId="107"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105" fillId="0" borderId="0"/>
    <xf numFmtId="237" fontId="105" fillId="0" borderId="0"/>
    <xf numFmtId="237" fontId="107" fillId="0" borderId="0"/>
    <xf numFmtId="40" fontId="4" fillId="0" borderId="0"/>
    <xf numFmtId="40" fontId="4" fillId="0" borderId="0"/>
    <xf numFmtId="40" fontId="4" fillId="0" borderId="0"/>
    <xf numFmtId="0" fontId="93" fillId="0" borderId="0" applyNumberFormat="0" applyFont="0" applyFill="0" applyBorder="0" applyAlignment="0" applyProtection="0">
      <alignment horizontal="left"/>
    </xf>
    <xf numFmtId="0" fontId="93" fillId="0" borderId="0" applyNumberFormat="0" applyFont="0" applyFill="0" applyBorder="0" applyAlignment="0" applyProtection="0">
      <alignment horizontal="left"/>
    </xf>
    <xf numFmtId="0" fontId="93" fillId="0" borderId="0" applyNumberFormat="0" applyFont="0" applyFill="0" applyBorder="0" applyAlignment="0" applyProtection="0">
      <alignment horizontal="left"/>
    </xf>
    <xf numFmtId="14" fontId="137" fillId="0" borderId="0" applyNumberFormat="0" applyFill="0" applyBorder="0" applyAlignment="0" applyProtection="0">
      <alignment horizontal="left"/>
    </xf>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59" fillId="0" borderId="0" applyNumberFormat="0" applyFill="0" applyBorder="0" applyAlignment="0" applyProtection="0"/>
    <xf numFmtId="0" fontId="5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56" fillId="0" borderId="0" applyNumberFormat="0" applyFill="0" applyBorder="0" applyProtection="0">
      <alignment horizontal="left"/>
    </xf>
    <xf numFmtId="0" fontId="56" fillId="0" borderId="0" applyNumberFormat="0" applyFill="0" applyBorder="0" applyProtection="0">
      <alignment horizontal="left"/>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239"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8" applyNumberFormat="0" applyFont="0" applyFill="0" applyAlignment="0" applyProtection="0"/>
    <xf numFmtId="0" fontId="4" fillId="0" borderId="98" applyNumberFormat="0" applyFont="0" applyFill="0" applyAlignment="0" applyProtection="0"/>
    <xf numFmtId="0" fontId="4" fillId="0" borderId="98" applyNumberFormat="0" applyFont="0" applyFill="0" applyAlignment="0" applyProtection="0"/>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protection locked="0"/>
    </xf>
    <xf numFmtId="0" fontId="138" fillId="0" borderId="84">
      <protection locked="0"/>
    </xf>
    <xf numFmtId="0" fontId="138" fillId="0" borderId="84">
      <protection locked="0"/>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185" fontId="138" fillId="0" borderId="0"/>
    <xf numFmtId="185" fontId="138" fillId="0" borderId="0"/>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protection locked="0"/>
    </xf>
    <xf numFmtId="0" fontId="138" fillId="0" borderId="84">
      <protection locked="0"/>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185" fontId="138" fillId="0" borderId="0"/>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185" fontId="138" fillId="0" borderId="0"/>
    <xf numFmtId="185" fontId="138" fillId="0" borderId="0"/>
    <xf numFmtId="185" fontId="138" fillId="0" borderId="0"/>
    <xf numFmtId="185" fontId="138" fillId="0" borderId="0"/>
    <xf numFmtId="185" fontId="138" fillId="0" borderId="0"/>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0" fontId="138" fillId="0" borderId="84">
      <protection locked="0"/>
    </xf>
    <xf numFmtId="0" fontId="138" fillId="0" borderId="84">
      <protection locked="0"/>
    </xf>
    <xf numFmtId="0" fontId="138" fillId="0" borderId="84">
      <protection locked="0"/>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protection locked="0"/>
    </xf>
    <xf numFmtId="0" fontId="138" fillId="0" borderId="84">
      <protection locked="0"/>
    </xf>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0" fontId="138" fillId="0" borderId="0"/>
    <xf numFmtId="0" fontId="138" fillId="0" borderId="0"/>
    <xf numFmtId="0" fontId="138" fillId="0" borderId="0"/>
    <xf numFmtId="0" fontId="138" fillId="0" borderId="0"/>
    <xf numFmtId="0" fontId="138" fillId="0" borderId="0"/>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0" fontId="138" fillId="0" borderId="84">
      <protection locked="0"/>
    </xf>
    <xf numFmtId="0" fontId="138" fillId="0" borderId="84">
      <protection locked="0"/>
    </xf>
    <xf numFmtId="0" fontId="138" fillId="0" borderId="84">
      <protection locked="0"/>
    </xf>
    <xf numFmtId="185" fontId="138" fillId="0" borderId="0"/>
    <xf numFmtId="185" fontId="138" fillId="0" borderId="0"/>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185" fontId="138" fillId="0" borderId="0"/>
    <xf numFmtId="185" fontId="138" fillId="0" borderId="0"/>
    <xf numFmtId="185" fontId="138" fillId="0" borderId="0"/>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0" fontId="138" fillId="0" borderId="84">
      <protection locked="0"/>
    </xf>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0" fontId="138" fillId="0" borderId="84">
      <alignment horizontal="centerContinuous"/>
    </xf>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4">
      <alignment horizontal="centerContinuous"/>
    </xf>
    <xf numFmtId="0" fontId="138" fillId="0" borderId="84">
      <alignment horizontal="centerContinuous"/>
    </xf>
    <xf numFmtId="0" fontId="138" fillId="0" borderId="84">
      <protection locked="0"/>
    </xf>
    <xf numFmtId="0" fontId="138" fillId="0" borderId="84">
      <protection locked="0"/>
    </xf>
    <xf numFmtId="0" fontId="138" fillId="0" borderId="84">
      <protection locked="0"/>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0" fontId="138" fillId="0" borderId="84">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4">
      <protection locked="0"/>
    </xf>
    <xf numFmtId="0" fontId="138" fillId="0" borderId="84">
      <protection locked="0"/>
    </xf>
    <xf numFmtId="0" fontId="139" fillId="0" borderId="99">
      <alignment vertical="center"/>
    </xf>
    <xf numFmtId="4" fontId="94" fillId="101" borderId="100" applyNumberFormat="0" applyProtection="0">
      <alignment vertical="center"/>
    </xf>
    <xf numFmtId="4" fontId="94" fillId="101" borderId="100" applyNumberFormat="0" applyProtection="0">
      <alignment vertical="center"/>
    </xf>
    <xf numFmtId="4" fontId="94" fillId="101" borderId="100" applyNumberFormat="0" applyProtection="0">
      <alignment vertical="center"/>
    </xf>
    <xf numFmtId="4" fontId="95" fillId="101" borderId="100" applyNumberFormat="0" applyProtection="0">
      <alignment vertical="center"/>
    </xf>
    <xf numFmtId="4" fontId="95" fillId="101" borderId="100" applyNumberFormat="0" applyProtection="0">
      <alignment vertical="center"/>
    </xf>
    <xf numFmtId="4" fontId="95" fillId="101" borderId="100" applyNumberFormat="0" applyProtection="0">
      <alignment vertical="center"/>
    </xf>
    <xf numFmtId="4" fontId="96" fillId="101" borderId="100" applyNumberFormat="0" applyProtection="0">
      <alignment horizontal="left" vertical="center" indent="1"/>
    </xf>
    <xf numFmtId="4" fontId="96" fillId="101" borderId="100" applyNumberFormat="0" applyProtection="0">
      <alignment horizontal="left" vertical="center" indent="1"/>
    </xf>
    <xf numFmtId="4" fontId="96" fillId="101" borderId="100" applyNumberFormat="0" applyProtection="0">
      <alignment horizontal="left" vertical="center" indent="1"/>
    </xf>
    <xf numFmtId="0" fontId="4" fillId="0" borderId="0"/>
    <xf numFmtId="0" fontId="4" fillId="0" borderId="0"/>
    <xf numFmtId="0" fontId="4" fillId="0" borderId="0"/>
    <xf numFmtId="0" fontId="4" fillId="0" borderId="0"/>
    <xf numFmtId="0" fontId="7" fillId="97" borderId="100" applyNumberFormat="0" applyProtection="0">
      <alignment horizontal="left" vertical="top" indent="1"/>
    </xf>
    <xf numFmtId="4" fontId="96" fillId="102" borderId="0" applyNumberFormat="0" applyProtection="0">
      <alignment horizontal="left" vertical="center" indent="1"/>
    </xf>
    <xf numFmtId="4" fontId="96" fillId="102" borderId="0" applyNumberFormat="0" applyProtection="0">
      <alignment horizontal="left" vertical="center" indent="1"/>
    </xf>
    <xf numFmtId="4" fontId="96" fillId="102" borderId="0" applyNumberFormat="0" applyProtection="0">
      <alignment horizontal="left" vertical="center" indent="1"/>
    </xf>
    <xf numFmtId="4" fontId="96" fillId="103" borderId="100" applyNumberFormat="0" applyProtection="0">
      <alignment horizontal="right" vertical="center"/>
    </xf>
    <xf numFmtId="4" fontId="96" fillId="103" borderId="100" applyNumberFormat="0" applyProtection="0">
      <alignment horizontal="right" vertical="center"/>
    </xf>
    <xf numFmtId="4" fontId="96" fillId="103" borderId="100" applyNumberFormat="0" applyProtection="0">
      <alignment horizontal="right" vertical="center"/>
    </xf>
    <xf numFmtId="4" fontId="96" fillId="104" borderId="100" applyNumberFormat="0" applyProtection="0">
      <alignment horizontal="right" vertical="center"/>
    </xf>
    <xf numFmtId="4" fontId="96" fillId="104" borderId="100" applyNumberFormat="0" applyProtection="0">
      <alignment horizontal="right" vertical="center"/>
    </xf>
    <xf numFmtId="4" fontId="96" fillId="104" borderId="100" applyNumberFormat="0" applyProtection="0">
      <alignment horizontal="right" vertical="center"/>
    </xf>
    <xf numFmtId="4" fontId="96" fillId="96" borderId="100" applyNumberFormat="0" applyProtection="0">
      <alignment horizontal="right" vertical="center"/>
    </xf>
    <xf numFmtId="4" fontId="96" fillId="96" borderId="100" applyNumberFormat="0" applyProtection="0">
      <alignment horizontal="right" vertical="center"/>
    </xf>
    <xf numFmtId="4" fontId="96" fillId="96" borderId="100" applyNumberFormat="0" applyProtection="0">
      <alignment horizontal="right" vertical="center"/>
    </xf>
    <xf numFmtId="4" fontId="96" fillId="105" borderId="100" applyNumberFormat="0" applyProtection="0">
      <alignment horizontal="right" vertical="center"/>
    </xf>
    <xf numFmtId="4" fontId="96" fillId="105" borderId="100" applyNumberFormat="0" applyProtection="0">
      <alignment horizontal="right" vertical="center"/>
    </xf>
    <xf numFmtId="4" fontId="96" fillId="105" borderId="100" applyNumberFormat="0" applyProtection="0">
      <alignment horizontal="right" vertical="center"/>
    </xf>
    <xf numFmtId="4" fontId="96" fillId="106" borderId="100" applyNumberFormat="0" applyProtection="0">
      <alignment horizontal="right" vertical="center"/>
    </xf>
    <xf numFmtId="4" fontId="96" fillId="106" borderId="100" applyNumberFormat="0" applyProtection="0">
      <alignment horizontal="right" vertical="center"/>
    </xf>
    <xf numFmtId="4" fontId="96" fillId="106" borderId="100" applyNumberFormat="0" applyProtection="0">
      <alignment horizontal="right" vertical="center"/>
    </xf>
    <xf numFmtId="4" fontId="96" fillId="107" borderId="100" applyNumberFormat="0" applyProtection="0">
      <alignment horizontal="right" vertical="center"/>
    </xf>
    <xf numFmtId="4" fontId="96" fillId="107" borderId="100" applyNumberFormat="0" applyProtection="0">
      <alignment horizontal="right" vertical="center"/>
    </xf>
    <xf numFmtId="4" fontId="96" fillId="107" borderId="100" applyNumberFormat="0" applyProtection="0">
      <alignment horizontal="right" vertical="center"/>
    </xf>
    <xf numFmtId="4" fontId="96" fillId="108" borderId="100" applyNumberFormat="0" applyProtection="0">
      <alignment horizontal="right" vertical="center"/>
    </xf>
    <xf numFmtId="4" fontId="96" fillId="108" borderId="100" applyNumberFormat="0" applyProtection="0">
      <alignment horizontal="right" vertical="center"/>
    </xf>
    <xf numFmtId="4" fontId="96" fillId="108" borderId="100" applyNumberFormat="0" applyProtection="0">
      <alignment horizontal="right" vertical="center"/>
    </xf>
    <xf numFmtId="4" fontId="96" fillId="109" borderId="100" applyNumberFormat="0" applyProtection="0">
      <alignment horizontal="right" vertical="center"/>
    </xf>
    <xf numFmtId="4" fontId="96" fillId="109" borderId="100" applyNumberFormat="0" applyProtection="0">
      <alignment horizontal="right" vertical="center"/>
    </xf>
    <xf numFmtId="4" fontId="96" fillId="109" borderId="100" applyNumberFormat="0" applyProtection="0">
      <alignment horizontal="right" vertical="center"/>
    </xf>
    <xf numFmtId="4" fontId="96" fillId="110" borderId="100" applyNumberFormat="0" applyProtection="0">
      <alignment horizontal="right" vertical="center"/>
    </xf>
    <xf numFmtId="4" fontId="96" fillId="110" borderId="100" applyNumberFormat="0" applyProtection="0">
      <alignment horizontal="right" vertical="center"/>
    </xf>
    <xf numFmtId="4" fontId="96" fillId="110" borderId="100" applyNumberFormat="0" applyProtection="0">
      <alignment horizontal="right" vertical="center"/>
    </xf>
    <xf numFmtId="4" fontId="94" fillId="111" borderId="101" applyNumberFormat="0" applyProtection="0">
      <alignment horizontal="left" vertical="center" indent="1"/>
    </xf>
    <xf numFmtId="4" fontId="94" fillId="111" borderId="101" applyNumberFormat="0" applyProtection="0">
      <alignment horizontal="left" vertical="center" indent="1"/>
    </xf>
    <xf numFmtId="4" fontId="94" fillId="111" borderId="101" applyNumberFormat="0" applyProtection="0">
      <alignment horizontal="left" vertical="center" indent="1"/>
    </xf>
    <xf numFmtId="4" fontId="94" fillId="86" borderId="0" applyNumberFormat="0" applyProtection="0">
      <alignment horizontal="left" vertical="center" indent="1"/>
    </xf>
    <xf numFmtId="4" fontId="94" fillId="86" borderId="0" applyNumberFormat="0" applyProtection="0">
      <alignment horizontal="left" vertical="center" indent="1"/>
    </xf>
    <xf numFmtId="4" fontId="94" fillId="86" borderId="0" applyNumberFormat="0" applyProtection="0">
      <alignment horizontal="left" vertical="center" indent="1"/>
    </xf>
    <xf numFmtId="4" fontId="94" fillId="102" borderId="0" applyNumberFormat="0" applyProtection="0">
      <alignment horizontal="left" vertical="center" indent="1"/>
    </xf>
    <xf numFmtId="4" fontId="94" fillId="102" borderId="0" applyNumberFormat="0" applyProtection="0">
      <alignment horizontal="left" vertical="center" indent="1"/>
    </xf>
    <xf numFmtId="4" fontId="94" fillId="102" borderId="0" applyNumberFormat="0" applyProtection="0">
      <alignment horizontal="left" vertical="center" indent="1"/>
    </xf>
    <xf numFmtId="4" fontId="96" fillId="86" borderId="100" applyNumberFormat="0" applyProtection="0">
      <alignment horizontal="right" vertical="center"/>
    </xf>
    <xf numFmtId="4" fontId="96" fillId="86" borderId="100" applyNumberFormat="0" applyProtection="0">
      <alignment horizontal="right" vertical="center"/>
    </xf>
    <xf numFmtId="4" fontId="96" fillId="86" borderId="100" applyNumberFormat="0" applyProtection="0">
      <alignment horizontal="right" vertical="center"/>
    </xf>
    <xf numFmtId="4" fontId="8" fillId="86" borderId="0" applyNumberFormat="0" applyProtection="0">
      <alignment horizontal="left" vertical="center" indent="1"/>
    </xf>
    <xf numFmtId="4" fontId="8" fillId="86" borderId="0" applyNumberFormat="0" applyProtection="0">
      <alignment horizontal="left" vertical="center" indent="1"/>
    </xf>
    <xf numFmtId="4" fontId="8" fillId="86" borderId="0" applyNumberFormat="0" applyProtection="0">
      <alignment horizontal="left" vertical="center" indent="1"/>
    </xf>
    <xf numFmtId="4" fontId="8" fillId="102" borderId="0" applyNumberFormat="0" applyProtection="0">
      <alignment horizontal="left" vertical="center" indent="1"/>
    </xf>
    <xf numFmtId="4" fontId="8" fillId="102" borderId="0" applyNumberFormat="0" applyProtection="0">
      <alignment horizontal="left" vertical="center" indent="1"/>
    </xf>
    <xf numFmtId="4" fontId="8" fillId="102" borderId="0" applyNumberFormat="0" applyProtection="0">
      <alignment horizontal="left" vertical="center" indent="1"/>
    </xf>
    <xf numFmtId="0" fontId="4" fillId="0" borderId="0"/>
    <xf numFmtId="0" fontId="4" fillId="0" borderId="0"/>
    <xf numFmtId="0" fontId="4" fillId="0" borderId="0"/>
    <xf numFmtId="0" fontId="4" fillId="0" borderId="0"/>
    <xf numFmtId="0" fontId="4" fillId="58" borderId="100" applyNumberFormat="0" applyProtection="0">
      <alignment horizontal="left" vertical="center" indent="1"/>
    </xf>
    <xf numFmtId="0" fontId="4" fillId="0" borderId="0"/>
    <xf numFmtId="0" fontId="4" fillId="0" borderId="0"/>
    <xf numFmtId="0" fontId="4" fillId="0" borderId="0"/>
    <xf numFmtId="0" fontId="4" fillId="0" borderId="0"/>
    <xf numFmtId="0" fontId="4" fillId="58" borderId="100" applyNumberFormat="0" applyProtection="0">
      <alignment horizontal="left" vertical="top" indent="1"/>
    </xf>
    <xf numFmtId="0" fontId="4" fillId="0" borderId="0"/>
    <xf numFmtId="0" fontId="4" fillId="0" borderId="0"/>
    <xf numFmtId="0" fontId="4" fillId="0" borderId="0"/>
    <xf numFmtId="0" fontId="4" fillId="0" borderId="0"/>
    <xf numFmtId="0" fontId="4" fillId="48" borderId="100" applyNumberFormat="0" applyProtection="0">
      <alignment horizontal="left" vertical="center" indent="1"/>
    </xf>
    <xf numFmtId="0" fontId="4" fillId="0" borderId="0"/>
    <xf numFmtId="0" fontId="4" fillId="0" borderId="0"/>
    <xf numFmtId="0" fontId="4" fillId="0" borderId="0"/>
    <xf numFmtId="0" fontId="4" fillId="0" borderId="0"/>
    <xf numFmtId="0" fontId="4" fillId="48" borderId="100" applyNumberFormat="0" applyProtection="0">
      <alignment horizontal="left" vertical="top" indent="1"/>
    </xf>
    <xf numFmtId="0" fontId="4" fillId="0" borderId="0"/>
    <xf numFmtId="0" fontId="4" fillId="0" borderId="0"/>
    <xf numFmtId="0" fontId="4" fillId="0" borderId="0"/>
    <xf numFmtId="0" fontId="4" fillId="0" borderId="0"/>
    <xf numFmtId="0" fontId="4" fillId="56" borderId="100" applyNumberFormat="0" applyProtection="0">
      <alignment horizontal="left" vertical="center" indent="1"/>
    </xf>
    <xf numFmtId="0" fontId="4" fillId="0" borderId="0"/>
    <xf numFmtId="0" fontId="4" fillId="0" borderId="0"/>
    <xf numFmtId="0" fontId="4" fillId="0" borderId="0"/>
    <xf numFmtId="0" fontId="4" fillId="0" borderId="0"/>
    <xf numFmtId="0" fontId="4" fillId="56" borderId="100" applyNumberFormat="0" applyProtection="0">
      <alignment horizontal="left" vertical="top" indent="1"/>
    </xf>
    <xf numFmtId="0" fontId="4" fillId="0" borderId="0"/>
    <xf numFmtId="0" fontId="4" fillId="0" borderId="0"/>
    <xf numFmtId="0" fontId="4" fillId="0" borderId="0"/>
    <xf numFmtId="0" fontId="4" fillId="0" borderId="0"/>
    <xf numFmtId="0" fontId="4" fillId="112" borderId="100" applyNumberFormat="0" applyProtection="0">
      <alignment horizontal="left" vertical="center" indent="1"/>
    </xf>
    <xf numFmtId="0" fontId="4" fillId="0" borderId="0"/>
    <xf numFmtId="0" fontId="4" fillId="0" borderId="0"/>
    <xf numFmtId="0" fontId="4" fillId="0" borderId="0"/>
    <xf numFmtId="0" fontId="4" fillId="0" borderId="0"/>
    <xf numFmtId="0" fontId="4" fillId="112" borderId="100" applyNumberFormat="0" applyProtection="0">
      <alignment horizontal="left" vertical="top" indent="1"/>
    </xf>
    <xf numFmtId="0" fontId="4" fillId="0" borderId="0"/>
    <xf numFmtId="0" fontId="4" fillId="0" borderId="0"/>
    <xf numFmtId="0" fontId="4" fillId="0" borderId="0"/>
    <xf numFmtId="0" fontId="4" fillId="0" borderId="0"/>
    <xf numFmtId="0" fontId="4" fillId="54" borderId="4" applyNumberFormat="0">
      <protection locked="0"/>
    </xf>
    <xf numFmtId="0" fontId="49" fillId="58" borderId="102" applyBorder="0"/>
    <xf numFmtId="4" fontId="96" fillId="113" borderId="100" applyNumberFormat="0" applyProtection="0">
      <alignment vertical="center"/>
    </xf>
    <xf numFmtId="4" fontId="96" fillId="113" borderId="100" applyNumberFormat="0" applyProtection="0">
      <alignment vertical="center"/>
    </xf>
    <xf numFmtId="4" fontId="96" fillId="113" borderId="100" applyNumberFormat="0" applyProtection="0">
      <alignment vertical="center"/>
    </xf>
    <xf numFmtId="4" fontId="97" fillId="113" borderId="100" applyNumberFormat="0" applyProtection="0">
      <alignment vertical="center"/>
    </xf>
    <xf numFmtId="4" fontId="97" fillId="113" borderId="100" applyNumberFormat="0" applyProtection="0">
      <alignment vertical="center"/>
    </xf>
    <xf numFmtId="4" fontId="97" fillId="113" borderId="100" applyNumberFormat="0" applyProtection="0">
      <alignment vertical="center"/>
    </xf>
    <xf numFmtId="4" fontId="94" fillId="86" borderId="103" applyNumberFormat="0" applyProtection="0">
      <alignment horizontal="left" vertical="center" indent="1"/>
    </xf>
    <xf numFmtId="4" fontId="94" fillId="86" borderId="103" applyNumberFormat="0" applyProtection="0">
      <alignment horizontal="left" vertical="center" indent="1"/>
    </xf>
    <xf numFmtId="4" fontId="94" fillId="86" borderId="103" applyNumberFormat="0" applyProtection="0">
      <alignment horizontal="left" vertical="center" indent="1"/>
    </xf>
    <xf numFmtId="0" fontId="4" fillId="0" borderId="0"/>
    <xf numFmtId="0" fontId="4" fillId="0" borderId="0"/>
    <xf numFmtId="0" fontId="4" fillId="0" borderId="0"/>
    <xf numFmtId="0" fontId="4" fillId="0" borderId="0"/>
    <xf numFmtId="0" fontId="8" fillId="52" borderId="100" applyNumberFormat="0" applyProtection="0">
      <alignment horizontal="left" vertical="top" indent="1"/>
    </xf>
    <xf numFmtId="4" fontId="96" fillId="113" borderId="100" applyNumberFormat="0" applyProtection="0">
      <alignment horizontal="right" vertical="center"/>
    </xf>
    <xf numFmtId="4" fontId="96" fillId="113" borderId="100" applyNumberFormat="0" applyProtection="0">
      <alignment horizontal="right" vertical="center"/>
    </xf>
    <xf numFmtId="4" fontId="96" fillId="113" borderId="100" applyNumberFormat="0" applyProtection="0">
      <alignment horizontal="right" vertical="center"/>
    </xf>
    <xf numFmtId="4" fontId="97" fillId="113" borderId="100" applyNumberFormat="0" applyProtection="0">
      <alignment horizontal="right" vertical="center"/>
    </xf>
    <xf numFmtId="4" fontId="97" fillId="113" borderId="100" applyNumberFormat="0" applyProtection="0">
      <alignment horizontal="right" vertical="center"/>
    </xf>
    <xf numFmtId="4" fontId="97" fillId="113" borderId="100" applyNumberFormat="0" applyProtection="0">
      <alignment horizontal="right" vertical="center"/>
    </xf>
    <xf numFmtId="4" fontId="94" fillId="86" borderId="100" applyNumberFormat="0" applyProtection="0">
      <alignment horizontal="left" vertical="center" indent="1"/>
    </xf>
    <xf numFmtId="4" fontId="94" fillId="86" borderId="100" applyNumberFormat="0" applyProtection="0">
      <alignment horizontal="left" vertical="center" indent="1"/>
    </xf>
    <xf numFmtId="4" fontId="94" fillId="86" borderId="100" applyNumberFormat="0" applyProtection="0">
      <alignment horizontal="left" vertical="center" indent="1"/>
    </xf>
    <xf numFmtId="0" fontId="4" fillId="0" borderId="0"/>
    <xf numFmtId="0" fontId="4" fillId="0" borderId="0"/>
    <xf numFmtId="0" fontId="4" fillId="0" borderId="0"/>
    <xf numFmtId="0" fontId="4" fillId="0" borderId="0"/>
    <xf numFmtId="0" fontId="8" fillId="48" borderId="100" applyNumberFormat="0" applyProtection="0">
      <alignment horizontal="left" vertical="top" indent="1"/>
    </xf>
    <xf numFmtId="4" fontId="98" fillId="114" borderId="103" applyNumberFormat="0" applyProtection="0">
      <alignment horizontal="left" vertical="center" indent="1"/>
    </xf>
    <xf numFmtId="4" fontId="98" fillId="114" borderId="103" applyNumberFormat="0" applyProtection="0">
      <alignment horizontal="left" vertical="center" indent="1"/>
    </xf>
    <xf numFmtId="4" fontId="98" fillId="114" borderId="103" applyNumberFormat="0" applyProtection="0">
      <alignment horizontal="left" vertical="center" indent="1"/>
    </xf>
    <xf numFmtId="0" fontId="48" fillId="115" borderId="4"/>
    <xf numFmtId="4" fontId="99" fillId="113" borderId="100" applyNumberFormat="0" applyProtection="0">
      <alignment horizontal="right" vertical="center"/>
    </xf>
    <xf numFmtId="4" fontId="99" fillId="113" borderId="100" applyNumberFormat="0" applyProtection="0">
      <alignment horizontal="right" vertical="center"/>
    </xf>
    <xf numFmtId="4" fontId="99" fillId="113" borderId="100" applyNumberFormat="0" applyProtection="0">
      <alignment horizontal="right" vertical="center"/>
    </xf>
    <xf numFmtId="0" fontId="140" fillId="116" borderId="0"/>
    <xf numFmtId="0" fontId="52" fillId="0" borderId="0"/>
    <xf numFmtId="40" fontId="141" fillId="0" borderId="0" applyFont="0" applyFill="0" applyBorder="0" applyAlignment="0" applyProtection="0"/>
    <xf numFmtId="232" fontId="105" fillId="117" borderId="0" applyFont="0"/>
    <xf numFmtId="0" fontId="142" fillId="0" borderId="0"/>
    <xf numFmtId="0" fontId="100" fillId="0" borderId="0" applyNumberFormat="0" applyFill="0" applyBorder="0" applyAlignment="0" applyProtection="0"/>
    <xf numFmtId="1" fontId="4" fillId="0" borderId="0"/>
    <xf numFmtId="1" fontId="4" fillId="0" borderId="0"/>
    <xf numFmtId="1" fontId="4" fillId="0" borderId="0"/>
    <xf numFmtId="0" fontId="93" fillId="0" borderId="0">
      <alignment textRotation="90"/>
    </xf>
    <xf numFmtId="0" fontId="93" fillId="0" borderId="0">
      <alignment textRotation="90"/>
    </xf>
    <xf numFmtId="0" fontId="93" fillId="0" borderId="0">
      <alignment textRotation="90"/>
    </xf>
    <xf numFmtId="240" fontId="119" fillId="0" borderId="0">
      <alignment vertical="center"/>
    </xf>
    <xf numFmtId="0" fontId="4" fillId="118"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43" fillId="86" borderId="0"/>
    <xf numFmtId="0" fontId="114" fillId="0" borderId="0">
      <alignment horizontal="left" vertical="center"/>
    </xf>
    <xf numFmtId="40" fontId="144" fillId="0" borderId="0" applyBorder="0">
      <alignment horizontal="right"/>
    </xf>
    <xf numFmtId="37" fontId="5" fillId="0" borderId="70" applyNumberFormat="0"/>
    <xf numFmtId="37" fontId="5" fillId="0" borderId="70" applyNumberFormat="0"/>
    <xf numFmtId="0" fontId="101" fillId="0" borderId="104" applyNumberFormat="0" applyAlignment="0" applyProtection="0"/>
    <xf numFmtId="0" fontId="145" fillId="0" borderId="0" applyBorder="0" applyProtection="0">
      <alignment vertical="center"/>
    </xf>
    <xf numFmtId="0" fontId="145" fillId="0" borderId="25" applyBorder="0" applyProtection="0">
      <alignment horizontal="right" vertical="center"/>
    </xf>
    <xf numFmtId="0" fontId="146" fillId="119" borderId="0" applyBorder="0" applyProtection="0">
      <alignment horizontal="centerContinuous" vertical="center"/>
    </xf>
    <xf numFmtId="0" fontId="146" fillId="120" borderId="25" applyBorder="0" applyProtection="0">
      <alignment horizontal="centerContinuous" vertical="center"/>
    </xf>
    <xf numFmtId="0" fontId="147" fillId="0" borderId="0"/>
    <xf numFmtId="0" fontId="130" fillId="0" borderId="0"/>
    <xf numFmtId="0" fontId="148" fillId="0" borderId="0" applyFill="0" applyBorder="0" applyProtection="0">
      <alignment horizontal="left"/>
    </xf>
    <xf numFmtId="0" fontId="122" fillId="0" borderId="34" applyFill="0" applyBorder="0" applyProtection="0">
      <alignment horizontal="left" vertical="top"/>
    </xf>
    <xf numFmtId="0" fontId="149" fillId="0" borderId="0">
      <alignment horizontal="centerContinuous"/>
    </xf>
    <xf numFmtId="0" fontId="150" fillId="0" borderId="0"/>
    <xf numFmtId="0" fontId="151" fillId="0" borderId="0"/>
    <xf numFmtId="0" fontId="100" fillId="0" borderId="0" applyNumberFormat="0" applyFill="0" applyBorder="0" applyAlignment="0" applyProtection="0"/>
    <xf numFmtId="0" fontId="63" fillId="0" borderId="0" applyNumberFormat="0" applyFill="0" applyBorder="0" applyAlignment="0" applyProtection="0"/>
    <xf numFmtId="0" fontId="100" fillId="0" borderId="0" applyNumberFormat="0" applyFill="0" applyBorder="0" applyAlignment="0" applyProtection="0"/>
    <xf numFmtId="0" fontId="20" fillId="0" borderId="0" applyNumberFormat="0" applyFill="0" applyBorder="0" applyAlignment="0" applyProtection="0"/>
    <xf numFmtId="0" fontId="63" fillId="0" borderId="0" applyNumberFormat="0" applyFill="0" applyBorder="0" applyAlignment="0" applyProtection="0"/>
    <xf numFmtId="0" fontId="20" fillId="0" borderId="0" applyNumberFormat="0" applyFill="0" applyBorder="0" applyAlignment="0" applyProtection="0"/>
    <xf numFmtId="0" fontId="55" fillId="95" borderId="0">
      <alignment horizontal="right"/>
    </xf>
    <xf numFmtId="0" fontId="55" fillId="95" borderId="0">
      <alignment horizontal="right"/>
    </xf>
    <xf numFmtId="241" fontId="152" fillId="0" borderId="0"/>
    <xf numFmtId="179" fontId="5" fillId="0" borderId="23" applyFill="0"/>
    <xf numFmtId="179" fontId="5" fillId="0" borderId="23" applyFill="0"/>
    <xf numFmtId="0" fontId="77" fillId="0" borderId="106" applyNumberFormat="0" applyFill="0" applyAlignment="0" applyProtection="0"/>
    <xf numFmtId="0" fontId="77" fillId="0" borderId="105" applyNumberFormat="0" applyFill="0" applyAlignment="0" applyProtection="0"/>
    <xf numFmtId="0" fontId="77" fillId="0" borderId="106" applyNumberFormat="0" applyFill="0" applyAlignment="0" applyProtection="0"/>
    <xf numFmtId="0" fontId="1" fillId="0" borderId="48" applyNumberFormat="0" applyFill="0" applyAlignment="0" applyProtection="0"/>
    <xf numFmtId="0" fontId="77" fillId="0" borderId="105" applyNumberFormat="0" applyFill="0" applyAlignment="0" applyProtection="0"/>
    <xf numFmtId="0" fontId="1" fillId="0" borderId="48" applyNumberFormat="0" applyFill="0" applyAlignment="0" applyProtection="0"/>
    <xf numFmtId="37" fontId="5" fillId="0" borderId="107" applyNumberFormat="0" applyFill="0"/>
    <xf numFmtId="37" fontId="5" fillId="0" borderId="107" applyNumberFormat="0" applyFill="0"/>
    <xf numFmtId="0" fontId="153" fillId="0" borderId="0">
      <alignment horizontal="fill"/>
    </xf>
    <xf numFmtId="37" fontId="48" fillId="101" borderId="0" applyNumberFormat="0" applyBorder="0" applyAlignment="0" applyProtection="0"/>
    <xf numFmtId="37" fontId="48" fillId="0" borderId="0"/>
    <xf numFmtId="37" fontId="48" fillId="0" borderId="0"/>
    <xf numFmtId="3" fontId="50" fillId="0" borderId="76" applyProtection="0"/>
    <xf numFmtId="3" fontId="50" fillId="0" borderId="76" applyProtection="0"/>
    <xf numFmtId="4" fontId="154" fillId="0" borderId="0">
      <protection locked="0"/>
    </xf>
    <xf numFmtId="4" fontId="154" fillId="0" borderId="0">
      <protection locked="0"/>
    </xf>
    <xf numFmtId="4" fontId="154" fillId="0" borderId="0">
      <protection locked="0"/>
    </xf>
    <xf numFmtId="42" fontId="4" fillId="0" borderId="0" applyFont="0" applyFill="0" applyBorder="0" applyAlignment="0" applyProtection="0"/>
    <xf numFmtId="44" fontId="4" fillId="0" borderId="0" applyFont="0" applyFill="0" applyBorder="0" applyAlignment="0" applyProtection="0"/>
    <xf numFmtId="0" fontId="4" fillId="0" borderId="0" applyFont="0" applyFill="0" applyBorder="0">
      <alignment horizontal="right" vertical="center" wrapText="1"/>
    </xf>
    <xf numFmtId="0" fontId="4" fillId="0" borderId="0" applyFont="0" applyFill="0" applyBorder="0">
      <alignment horizontal="right" vertical="center" wrapText="1"/>
    </xf>
    <xf numFmtId="0" fontId="4" fillId="0" borderId="0" applyFont="0" applyFill="0" applyBorder="0">
      <alignment horizontal="right" vertical="center" wrapText="1"/>
    </xf>
    <xf numFmtId="0" fontId="75" fillId="0" borderId="0" applyNumberFormat="0" applyFill="0" applyBorder="0" applyAlignment="0" applyProtection="0"/>
    <xf numFmtId="0" fontId="75" fillId="0" borderId="0" applyNumberFormat="0" applyFill="0" applyBorder="0" applyAlignment="0" applyProtection="0"/>
    <xf numFmtId="0" fontId="9" fillId="0" borderId="0" applyNumberFormat="0" applyFill="0" applyBorder="0" applyAlignment="0" applyProtection="0"/>
    <xf numFmtId="0" fontId="75" fillId="0" borderId="0" applyNumberFormat="0" applyFill="0" applyBorder="0" applyAlignment="0" applyProtection="0"/>
    <xf numFmtId="0" fontId="9" fillId="0" borderId="0" applyNumberFormat="0" applyFill="0" applyBorder="0" applyAlignment="0" applyProtection="0"/>
    <xf numFmtId="224" fontId="57" fillId="0" borderId="0"/>
    <xf numFmtId="1" fontId="155" fillId="0" borderId="0">
      <alignment horizontal="center"/>
    </xf>
    <xf numFmtId="1" fontId="156" fillId="0" borderId="0">
      <alignment horizontal="centerContinuous"/>
    </xf>
    <xf numFmtId="1" fontId="156" fillId="0" borderId="0">
      <alignment horizontal="centerContinuous"/>
    </xf>
    <xf numFmtId="1" fontId="156" fillId="0" borderId="0">
      <alignment horizontal="centerContinuous"/>
    </xf>
    <xf numFmtId="0" fontId="4" fillId="52" borderId="0" applyNumberFormat="0" applyFont="0" applyBorder="0" applyAlignment="0" applyProtection="0"/>
    <xf numFmtId="0" fontId="4" fillId="52" borderId="0" applyNumberFormat="0" applyFont="0" applyBorder="0" applyAlignment="0" applyProtection="0"/>
    <xf numFmtId="0" fontId="4" fillId="52" borderId="0" applyNumberFormat="0" applyFont="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0" fontId="79" fillId="0" borderId="0"/>
    <xf numFmtId="0" fontId="3" fillId="0" borderId="0"/>
    <xf numFmtId="0" fontId="79" fillId="52" borderId="80" applyNumberFormat="0" applyFont="0" applyAlignment="0" applyProtection="0"/>
    <xf numFmtId="9" fontId="3" fillId="0" borderId="0" applyFont="0" applyFill="0" applyBorder="0" applyAlignment="0" applyProtection="0"/>
    <xf numFmtId="9" fontId="159" fillId="0" borderId="0" applyFont="0" applyFill="0" applyBorder="0" applyAlignment="0" applyProtection="0"/>
    <xf numFmtId="0" fontId="3" fillId="0" borderId="0"/>
    <xf numFmtId="0" fontId="116" fillId="0" borderId="0"/>
    <xf numFmtId="0" fontId="116" fillId="0" borderId="0"/>
    <xf numFmtId="0" fontId="116" fillId="0" borderId="0"/>
    <xf numFmtId="0" fontId="116" fillId="0" borderId="0"/>
    <xf numFmtId="0" fontId="79" fillId="68" borderId="0" applyNumberFormat="0" applyBorder="0" applyAlignment="0" applyProtection="0"/>
    <xf numFmtId="0" fontId="79" fillId="69" borderId="0" applyNumberFormat="0" applyBorder="0" applyAlignment="0" applyProtection="0"/>
    <xf numFmtId="0" fontId="78" fillId="70" borderId="0" applyNumberFormat="0" applyBorder="0" applyAlignment="0" applyProtection="0"/>
    <xf numFmtId="0" fontId="79" fillId="73" borderId="0" applyNumberFormat="0" applyBorder="0" applyAlignment="0" applyProtection="0"/>
    <xf numFmtId="0" fontId="79" fillId="74" borderId="0" applyNumberFormat="0" applyBorder="0" applyAlignment="0" applyProtection="0"/>
    <xf numFmtId="0" fontId="78" fillId="75" borderId="0" applyNumberFormat="0" applyBorder="0" applyAlignment="0" applyProtection="0"/>
    <xf numFmtId="0" fontId="79" fillId="77" borderId="0" applyNumberFormat="0" applyBorder="0" applyAlignment="0" applyProtection="0"/>
    <xf numFmtId="0" fontId="79" fillId="78" borderId="0" applyNumberFormat="0" applyBorder="0" applyAlignment="0" applyProtection="0"/>
    <xf numFmtId="0" fontId="78" fillId="79" borderId="0" applyNumberFormat="0" applyBorder="0" applyAlignment="0" applyProtection="0"/>
    <xf numFmtId="0" fontId="79" fillId="78" borderId="0" applyNumberFormat="0" applyBorder="0" applyAlignment="0" applyProtection="0"/>
    <xf numFmtId="0" fontId="79" fillId="79" borderId="0" applyNumberFormat="0" applyBorder="0" applyAlignment="0" applyProtection="0"/>
    <xf numFmtId="0" fontId="78" fillId="79"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8" fillId="69" borderId="0" applyNumberFormat="0" applyBorder="0" applyAlignment="0" applyProtection="0"/>
    <xf numFmtId="0" fontId="79" fillId="83" borderId="0" applyNumberFormat="0" applyBorder="0" applyAlignment="0" applyProtection="0"/>
    <xf numFmtId="0" fontId="79" fillId="74" borderId="0" applyNumberFormat="0" applyBorder="0" applyAlignment="0" applyProtection="0"/>
    <xf numFmtId="0" fontId="78" fillId="84" borderId="0" applyNumberFormat="0" applyBorder="0" applyAlignment="0" applyProtection="0"/>
    <xf numFmtId="242" fontId="4" fillId="0" borderId="0" applyFont="0" applyFill="0" applyBorder="0" applyAlignment="0" applyProtection="0"/>
    <xf numFmtId="0" fontId="77" fillId="91" borderId="0" applyNumberFormat="0" applyBorder="0" applyAlignment="0" applyProtection="0"/>
    <xf numFmtId="0" fontId="77" fillId="92" borderId="0" applyNumberFormat="0" applyBorder="0" applyAlignment="0" applyProtection="0"/>
    <xf numFmtId="0" fontId="77" fillId="93" borderId="0" applyNumberFormat="0" applyBorder="0" applyAlignment="0" applyProtection="0"/>
    <xf numFmtId="0" fontId="116" fillId="0" borderId="0"/>
    <xf numFmtId="0" fontId="4" fillId="0" borderId="0"/>
    <xf numFmtId="0" fontId="3" fillId="0" borderId="0"/>
    <xf numFmtId="0" fontId="159" fillId="0" borderId="0"/>
    <xf numFmtId="9" fontId="92"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4" fontId="7" fillId="97" borderId="100" applyNumberFormat="0" applyProtection="0">
      <alignment vertical="center"/>
    </xf>
    <xf numFmtId="4" fontId="161" fillId="97" borderId="100" applyNumberFormat="0" applyProtection="0">
      <alignment vertical="center"/>
    </xf>
    <xf numFmtId="4" fontId="7" fillId="97" borderId="100" applyNumberFormat="0" applyProtection="0">
      <alignment horizontal="left" vertical="center" indent="1"/>
    </xf>
    <xf numFmtId="4" fontId="7" fillId="48" borderId="0" applyNumberFormat="0" applyProtection="0">
      <alignment horizontal="left" vertical="center" indent="1"/>
    </xf>
    <xf numFmtId="4" fontId="8" fillId="49" borderId="100" applyNumberFormat="0" applyProtection="0">
      <alignment horizontal="right" vertical="center"/>
    </xf>
    <xf numFmtId="4" fontId="8" fillId="50" borderId="100" applyNumberFormat="0" applyProtection="0">
      <alignment horizontal="right" vertical="center"/>
    </xf>
    <xf numFmtId="4" fontId="8" fillId="72" borderId="100" applyNumberFormat="0" applyProtection="0">
      <alignment horizontal="right" vertical="center"/>
    </xf>
    <xf numFmtId="4" fontId="8" fillId="62" borderId="100" applyNumberFormat="0" applyProtection="0">
      <alignment horizontal="right" vertical="center"/>
    </xf>
    <xf numFmtId="4" fontId="8" fillId="66" borderId="100" applyNumberFormat="0" applyProtection="0">
      <alignment horizontal="right" vertical="center"/>
    </xf>
    <xf numFmtId="4" fontId="8" fillId="82" borderId="100" applyNumberFormat="0" applyProtection="0">
      <alignment horizontal="right" vertical="center"/>
    </xf>
    <xf numFmtId="4" fontId="8" fillId="60" borderId="100" applyNumberFormat="0" applyProtection="0">
      <alignment horizontal="right" vertical="center"/>
    </xf>
    <xf numFmtId="4" fontId="8" fillId="123" borderId="100" applyNumberFormat="0" applyProtection="0">
      <alignment horizontal="right" vertical="center"/>
    </xf>
    <xf numFmtId="4" fontId="8" fillId="59" borderId="100" applyNumberFormat="0" applyProtection="0">
      <alignment horizontal="right" vertical="center"/>
    </xf>
    <xf numFmtId="4" fontId="7" fillId="124" borderId="101" applyNumberFormat="0" applyProtection="0">
      <alignment horizontal="left" vertical="center" indent="1"/>
    </xf>
    <xf numFmtId="4" fontId="8" fillId="112" borderId="0" applyNumberFormat="0" applyProtection="0">
      <alignment horizontal="left" vertical="center" indent="1"/>
    </xf>
    <xf numFmtId="4" fontId="94" fillId="58" borderId="0" applyNumberFormat="0" applyProtection="0">
      <alignment horizontal="left" vertical="center" indent="1"/>
    </xf>
    <xf numFmtId="4" fontId="8" fillId="48" borderId="100" applyNumberFormat="0" applyProtection="0">
      <alignment horizontal="right" vertical="center"/>
    </xf>
    <xf numFmtId="4" fontId="8" fillId="112" borderId="0" applyNumberFormat="0" applyProtection="0">
      <alignment horizontal="left" vertical="center" indent="1"/>
    </xf>
    <xf numFmtId="4" fontId="8" fillId="48" borderId="0" applyNumberFormat="0" applyProtection="0">
      <alignment horizontal="left" vertical="center" indent="1"/>
    </xf>
    <xf numFmtId="4" fontId="8" fillId="52" borderId="100" applyNumberFormat="0" applyProtection="0">
      <alignment vertical="center"/>
    </xf>
    <xf numFmtId="4" fontId="162" fillId="52" borderId="100" applyNumberFormat="0" applyProtection="0">
      <alignment vertical="center"/>
    </xf>
    <xf numFmtId="4" fontId="8" fillId="52" borderId="100" applyNumberFormat="0" applyProtection="0">
      <alignment horizontal="left" vertical="center" indent="1"/>
    </xf>
    <xf numFmtId="4" fontId="8" fillId="112" borderId="100" applyNumberFormat="0" applyProtection="0">
      <alignment horizontal="right" vertical="center"/>
    </xf>
    <xf numFmtId="4" fontId="162" fillId="112" borderId="100" applyNumberFormat="0" applyProtection="0">
      <alignment horizontal="right" vertical="center"/>
    </xf>
    <xf numFmtId="4" fontId="8" fillId="48" borderId="100" applyNumberFormat="0" applyProtection="0">
      <alignment horizontal="left" vertical="center" indent="1"/>
    </xf>
    <xf numFmtId="4" fontId="98" fillId="125" borderId="0" applyNumberFormat="0" applyProtection="0">
      <alignment horizontal="left" vertical="center" indent="1"/>
    </xf>
    <xf numFmtId="4" fontId="62" fillId="112" borderId="100" applyNumberFormat="0" applyProtection="0">
      <alignment horizontal="right" vertical="center"/>
    </xf>
    <xf numFmtId="0" fontId="79" fillId="0" borderId="0"/>
    <xf numFmtId="0" fontId="3"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78" fillId="71"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9" fontId="48" fillId="0" borderId="0" applyFont="0" applyFill="0" applyBorder="0" applyAlignment="0" applyProtection="0"/>
    <xf numFmtId="0" fontId="74" fillId="75" borderId="68" applyNumberFormat="0" applyAlignment="0" applyProtection="0"/>
    <xf numFmtId="43" fontId="48" fillId="0" borderId="0" applyFont="0" applyFill="0" applyBorder="0" applyAlignment="0" applyProtection="0"/>
    <xf numFmtId="0" fontId="90" fillId="84" borderId="67" applyNumberFormat="0" applyAlignment="0" applyProtection="0"/>
    <xf numFmtId="0" fontId="67" fillId="94" borderId="0" applyNumberFormat="0" applyBorder="0" applyAlignment="0" applyProtection="0"/>
    <xf numFmtId="0" fontId="90" fillId="84" borderId="67" applyNumberFormat="0" applyAlignment="0" applyProtection="0"/>
    <xf numFmtId="0" fontId="69" fillId="84" borderId="0" applyNumberFormat="0" applyBorder="0" applyAlignment="0" applyProtection="0"/>
    <xf numFmtId="0" fontId="71" fillId="88" borderId="81" applyNumberFormat="0" applyAlignment="0" applyProtection="0"/>
    <xf numFmtId="43" fontId="48" fillId="0" borderId="0" applyFont="0" applyFill="0" applyBorder="0" applyAlignment="0" applyProtection="0"/>
    <xf numFmtId="9" fontId="48" fillId="0" borderId="0" applyFont="0" applyFill="0" applyBorder="0" applyAlignment="0" applyProtection="0"/>
    <xf numFmtId="0" fontId="78" fillId="85" borderId="0" applyNumberFormat="0" applyBorder="0" applyAlignment="0" applyProtection="0"/>
    <xf numFmtId="0" fontId="78" fillId="81" borderId="0" applyNumberFormat="0" applyBorder="0" applyAlignment="0" applyProtection="0"/>
    <xf numFmtId="0" fontId="78" fillId="80"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1" borderId="0" applyNumberFormat="0" applyBorder="0" applyAlignment="0" applyProtection="0"/>
    <xf numFmtId="0" fontId="77" fillId="0" borderId="106" applyNumberFormat="0" applyFill="0" applyAlignment="0" applyProtection="0"/>
    <xf numFmtId="0" fontId="48" fillId="0" borderId="0"/>
    <xf numFmtId="0" fontId="4" fillId="0" borderId="0" applyFont="0" applyFill="0" applyBorder="0" applyAlignment="0" applyProtection="0"/>
    <xf numFmtId="183" fontId="4" fillId="0" borderId="0"/>
    <xf numFmtId="18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applyFont="0" applyFill="0" applyBorder="0" applyAlignment="0" applyProtection="0"/>
    <xf numFmtId="185" fontId="4" fillId="0" borderId="0" applyFont="0" applyFill="0" applyBorder="0" applyAlignment="0" applyProtection="0"/>
    <xf numFmtId="0" fontId="4" fillId="0" borderId="0"/>
    <xf numFmtId="186" fontId="4" fillId="0" borderId="0" applyFont="0" applyFill="0" applyBorder="0" applyAlignment="0" applyProtection="0"/>
    <xf numFmtId="187"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9"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5" fillId="0" borderId="0"/>
    <xf numFmtId="179" fontId="4" fillId="0" borderId="0" applyBorder="0"/>
    <xf numFmtId="0" fontId="8" fillId="48" borderId="0" applyNumberFormat="0" applyBorder="0" applyAlignment="0" applyProtection="0"/>
    <xf numFmtId="0" fontId="79" fillId="47" borderId="0" applyNumberFormat="0" applyBorder="0" applyAlignment="0" applyProtection="0"/>
    <xf numFmtId="0" fontId="8" fillId="50" borderId="0" applyNumberFormat="0" applyBorder="0" applyAlignment="0" applyProtection="0"/>
    <xf numFmtId="0" fontId="79" fillId="49" borderId="0" applyNumberFormat="0" applyBorder="0" applyAlignment="0" applyProtection="0"/>
    <xf numFmtId="0" fontId="8" fillId="52" borderId="0" applyNumberFormat="0" applyBorder="0" applyAlignment="0" applyProtection="0"/>
    <xf numFmtId="0" fontId="79" fillId="51" borderId="0" applyNumberFormat="0" applyBorder="0" applyAlignment="0" applyProtection="0"/>
    <xf numFmtId="0" fontId="8" fillId="54" borderId="0" applyNumberFormat="0" applyBorder="0" applyAlignment="0" applyProtection="0"/>
    <xf numFmtId="0" fontId="79" fillId="53" borderId="0" applyNumberFormat="0" applyBorder="0" applyAlignment="0" applyProtection="0"/>
    <xf numFmtId="0" fontId="8" fillId="56" borderId="0" applyNumberFormat="0" applyBorder="0" applyAlignment="0" applyProtection="0"/>
    <xf numFmtId="0" fontId="79" fillId="55" borderId="0" applyNumberFormat="0" applyBorder="0" applyAlignment="0" applyProtection="0"/>
    <xf numFmtId="0" fontId="8" fillId="49" borderId="0" applyNumberFormat="0" applyBorder="0" applyAlignment="0" applyProtection="0"/>
    <xf numFmtId="0" fontId="79" fillId="57"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0" borderId="0" applyNumberFormat="0" applyBorder="0" applyAlignment="0" applyProtection="0"/>
    <xf numFmtId="0" fontId="79" fillId="50" borderId="0" applyNumberFormat="0" applyBorder="0" applyAlignment="0" applyProtection="0"/>
    <xf numFmtId="0" fontId="8" fillId="60" borderId="0" applyNumberFormat="0" applyBorder="0" applyAlignment="0" applyProtection="0"/>
    <xf numFmtId="0" fontId="79" fillId="59" borderId="0" applyNumberFormat="0" applyBorder="0" applyAlignment="0" applyProtection="0"/>
    <xf numFmtId="0" fontId="8" fillId="61" borderId="0" applyNumberFormat="0" applyBorder="0" applyAlignment="0" applyProtection="0"/>
    <xf numFmtId="0" fontId="79" fillId="53"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7" borderId="0" applyNumberFormat="0" applyBorder="0" applyAlignment="0" applyProtection="0"/>
    <xf numFmtId="0" fontId="79" fillId="62" borderId="0" applyNumberFormat="0" applyBorder="0" applyAlignment="0" applyProtection="0"/>
    <xf numFmtId="0" fontId="78" fillId="63" borderId="0" applyNumberFormat="0" applyBorder="0" applyAlignment="0" applyProtection="0"/>
    <xf numFmtId="0" fontId="78" fillId="50" borderId="0" applyNumberFormat="0" applyBorder="0" applyAlignment="0" applyProtection="0"/>
    <xf numFmtId="0" fontId="78" fillId="59"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204" fontId="5" fillId="86" borderId="66">
      <alignment horizontal="center" vertical="center"/>
    </xf>
    <xf numFmtId="0" fontId="68" fillId="49" borderId="0" applyNumberFormat="0" applyBorder="0" applyAlignment="0" applyProtection="0"/>
    <xf numFmtId="0" fontId="4" fillId="0" borderId="0"/>
    <xf numFmtId="0" fontId="3" fillId="0" borderId="0"/>
    <xf numFmtId="0" fontId="4" fillId="0" borderId="0"/>
    <xf numFmtId="0" fontId="4" fillId="0" borderId="0"/>
    <xf numFmtId="208" fontId="4" fillId="87" borderId="0"/>
    <xf numFmtId="0" fontId="4" fillId="0" borderId="0">
      <alignment vertical="center"/>
    </xf>
    <xf numFmtId="0" fontId="72" fillId="61" borderId="67" applyNumberFormat="0" applyAlignment="0" applyProtection="0"/>
    <xf numFmtId="0" fontId="74" fillId="75" borderId="68" applyNumberFormat="0" applyAlignment="0" applyProtection="0"/>
    <xf numFmtId="0" fontId="74" fillId="89" borderId="68" applyNumberFormat="0" applyAlignment="0" applyProtection="0"/>
    <xf numFmtId="37" fontId="5" fillId="0" borderId="25">
      <alignment horizontal="center"/>
    </xf>
    <xf numFmtId="37" fontId="5" fillId="0" borderId="0">
      <alignment horizontal="center" vertical="center" wrapText="1"/>
    </xf>
    <xf numFmtId="3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2"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215" fontId="4" fillId="0" borderId="0" applyFont="0" applyFill="0" applyBorder="0" applyAlignment="0" applyProtection="0"/>
    <xf numFmtId="181" fontId="4" fillId="0" borderId="0" applyFill="0" applyBorder="0">
      <alignment horizontal="left"/>
    </xf>
    <xf numFmtId="216" fontId="4" fillId="0" borderId="0">
      <alignment horizontal="right"/>
    </xf>
    <xf numFmtId="217" fontId="4" fillId="0" borderId="0" applyFont="0" applyFill="0" applyBorder="0" applyAlignment="0" applyProtection="0"/>
    <xf numFmtId="181"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178" fontId="4" fillId="0" borderId="0" applyFill="0" applyBorder="0"/>
    <xf numFmtId="220" fontId="4" fillId="0" borderId="0" applyFont="0" applyFill="0" applyBorder="0" applyAlignment="0" applyProtection="0"/>
    <xf numFmtId="0" fontId="4" fillId="0" borderId="0"/>
    <xf numFmtId="0" fontId="76" fillId="0" borderId="0" applyNumberFormat="0" applyFill="0" applyBorder="0" applyAlignment="0" applyProtection="0"/>
    <xf numFmtId="0" fontId="67" fillId="94" borderId="0" applyNumberFormat="0" applyBorder="0" applyAlignment="0" applyProtection="0"/>
    <xf numFmtId="0" fontId="67" fillId="51" borderId="0" applyNumberFormat="0" applyBorder="0" applyAlignment="0" applyProtection="0"/>
    <xf numFmtId="0" fontId="64" fillId="0" borderId="72" applyNumberFormat="0" applyFill="0" applyAlignment="0" applyProtection="0"/>
    <xf numFmtId="0" fontId="65" fillId="0" borderId="74" applyNumberFormat="0" applyFill="0" applyAlignment="0" applyProtection="0"/>
    <xf numFmtId="0" fontId="66" fillId="0" borderId="75" applyNumberFormat="0" applyFill="0" applyAlignment="0" applyProtection="0"/>
    <xf numFmtId="0" fontId="66" fillId="0" borderId="0" applyNumberFormat="0" applyFill="0" applyBorder="0" applyAlignment="0" applyProtection="0"/>
    <xf numFmtId="0" fontId="61" fillId="0" borderId="76" applyNumberFormat="0" applyFill="0" applyAlignment="0" applyProtection="0"/>
    <xf numFmtId="0" fontId="70" fillId="57" borderId="67" applyNumberFormat="0" applyAlignment="0" applyProtection="0"/>
    <xf numFmtId="0" fontId="70" fillId="57" borderId="67" applyNumberFormat="0" applyAlignment="0" applyProtection="0"/>
    <xf numFmtId="0" fontId="61" fillId="0" borderId="0" applyNumberFormat="0" applyFill="0" applyBorder="0" applyAlignment="0">
      <protection locked="0"/>
    </xf>
    <xf numFmtId="208" fontId="5" fillId="96" borderId="0">
      <protection locked="0"/>
    </xf>
    <xf numFmtId="0" fontId="78" fillId="67" borderId="0" applyNumberFormat="0" applyBorder="0" applyAlignment="0" applyProtection="0"/>
    <xf numFmtId="0" fontId="73" fillId="0" borderId="77" applyNumberFormat="0" applyFill="0" applyAlignment="0" applyProtection="0"/>
    <xf numFmtId="0" fontId="78" fillId="72" borderId="0" applyNumberFormat="0" applyBorder="0" applyAlignment="0" applyProtection="0"/>
    <xf numFmtId="0" fontId="69" fillId="84" borderId="0" applyNumberFormat="0" applyBorder="0" applyAlignment="0" applyProtection="0"/>
    <xf numFmtId="0" fontId="69" fillId="97" borderId="0" applyNumberFormat="0" applyBorder="0" applyAlignment="0" applyProtection="0"/>
    <xf numFmtId="0" fontId="4" fillId="0" borderId="0"/>
    <xf numFmtId="0" fontId="78" fillId="67"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3" fillId="0" borderId="0"/>
    <xf numFmtId="0" fontId="4" fillId="0" borderId="0"/>
    <xf numFmtId="0" fontId="4" fillId="0" borderId="0"/>
    <xf numFmtId="0" fontId="48" fillId="0" borderId="0"/>
    <xf numFmtId="0" fontId="48" fillId="0" borderId="0"/>
    <xf numFmtId="0" fontId="78" fillId="64" borderId="0" applyNumberFormat="0" applyBorder="0" applyAlignment="0" applyProtection="0"/>
    <xf numFmtId="0" fontId="48" fillId="0" borderId="0" applyFont="0" applyFill="0" applyBorder="0" applyAlignment="0" applyProtection="0"/>
    <xf numFmtId="0" fontId="79" fillId="0" borderId="0"/>
    <xf numFmtId="0" fontId="4" fillId="0" borderId="0"/>
    <xf numFmtId="0" fontId="4" fillId="0" borderId="0"/>
    <xf numFmtId="0" fontId="4" fillId="0" borderId="0" applyFont="0" applyFill="0" applyBorder="0" applyAlignment="0" applyProtection="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3" fillId="0" borderId="0"/>
    <xf numFmtId="0" fontId="4" fillId="0" borderId="0"/>
    <xf numFmtId="0" fontId="48" fillId="0" borderId="0"/>
    <xf numFmtId="0" fontId="4" fillId="0" borderId="0"/>
    <xf numFmtId="0" fontId="48" fillId="0" borderId="0"/>
    <xf numFmtId="0" fontId="4" fillId="0" borderId="0"/>
    <xf numFmtId="0" fontId="78" fillId="60" borderId="0" applyNumberFormat="0" applyBorder="0" applyAlignment="0" applyProtection="0"/>
    <xf numFmtId="0" fontId="3" fillId="0" borderId="0"/>
    <xf numFmtId="0" fontId="61" fillId="0" borderId="0" applyFill="0" applyBorder="0">
      <protection locked="0"/>
    </xf>
    <xf numFmtId="0" fontId="4" fillId="83" borderId="80" applyNumberFormat="0" applyFont="0" applyAlignment="0" applyProtection="0"/>
    <xf numFmtId="0" fontId="79" fillId="52" borderId="80" applyNumberFormat="0" applyFont="0" applyAlignment="0" applyProtection="0"/>
    <xf numFmtId="0" fontId="78" fillId="65" borderId="0" applyNumberFormat="0" applyBorder="0" applyAlignment="0" applyProtection="0"/>
    <xf numFmtId="0" fontId="4" fillId="52" borderId="80" applyNumberFormat="0" applyFont="0" applyAlignment="0" applyProtection="0"/>
    <xf numFmtId="0" fontId="4" fillId="52" borderId="80" applyNumberFormat="0" applyFont="0" applyAlignment="0" applyProtection="0"/>
    <xf numFmtId="0" fontId="4" fillId="0" borderId="0"/>
    <xf numFmtId="0" fontId="71" fillId="88" borderId="81" applyNumberFormat="0" applyAlignment="0" applyProtection="0"/>
    <xf numFmtId="0" fontId="71" fillId="61" borderId="81" applyNumberFormat="0" applyAlignment="0" applyProtection="0"/>
    <xf numFmtId="40" fontId="8" fillId="54" borderId="0">
      <alignment horizontal="right"/>
    </xf>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10" fontId="4"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0" fontId="78" fillId="82" borderId="0" applyNumberFormat="0" applyBorder="0" applyAlignment="0" applyProtection="0"/>
    <xf numFmtId="0" fontId="4" fillId="52" borderId="8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34" fontId="5" fillId="90" borderId="0" applyBorder="0" applyAlignment="0">
      <protection locked="0"/>
    </xf>
    <xf numFmtId="235" fontId="4" fillId="0" borderId="0" applyFont="0" applyFill="0" applyBorder="0" applyAlignment="0" applyProtection="0"/>
    <xf numFmtId="40" fontId="4" fillId="0" borderId="0"/>
    <xf numFmtId="0" fontId="4" fillId="0" borderId="0"/>
    <xf numFmtId="0" fontId="3" fillId="0" borderId="0"/>
    <xf numFmtId="0" fontId="4" fillId="0" borderId="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82" borderId="0" applyNumberFormat="0" applyBorder="0" applyAlignment="0" applyProtection="0"/>
    <xf numFmtId="0" fontId="78" fillId="60" borderId="0" applyNumberFormat="0" applyBorder="0" applyAlignment="0" applyProtection="0"/>
    <xf numFmtId="0" fontId="78" fillId="65" borderId="0" applyNumberFormat="0" applyBorder="0" applyAlignment="0" applyProtection="0"/>
    <xf numFmtId="0" fontId="78" fillId="72" borderId="0" applyNumberFormat="0" applyBorder="0" applyAlignment="0" applyProtection="0"/>
    <xf numFmtId="4" fontId="7" fillId="97" borderId="100" applyNumberFormat="0" applyProtection="0">
      <alignment vertical="center"/>
    </xf>
    <xf numFmtId="4" fontId="161" fillId="97" borderId="100" applyNumberFormat="0" applyProtection="0">
      <alignment vertical="center"/>
    </xf>
    <xf numFmtId="0" fontId="78" fillId="64" borderId="0" applyNumberFormat="0" applyBorder="0" applyAlignment="0" applyProtection="0"/>
    <xf numFmtId="4" fontId="7" fillId="97" borderId="100" applyNumberFormat="0" applyProtection="0">
      <alignment horizontal="left" vertical="center" indent="1"/>
    </xf>
    <xf numFmtId="0" fontId="78" fillId="67" borderId="0" applyNumberFormat="0" applyBorder="0" applyAlignment="0" applyProtection="0"/>
    <xf numFmtId="4" fontId="7" fillId="48" borderId="0" applyNumberFormat="0" applyProtection="0">
      <alignment horizontal="left" vertical="center" indent="1"/>
    </xf>
    <xf numFmtId="4" fontId="8" fillId="49" borderId="100" applyNumberFormat="0" applyProtection="0">
      <alignment horizontal="right" vertical="center"/>
    </xf>
    <xf numFmtId="4" fontId="8" fillId="50" borderId="100" applyNumberFormat="0" applyProtection="0">
      <alignment horizontal="right" vertical="center"/>
    </xf>
    <xf numFmtId="0" fontId="78" fillId="60" borderId="0" applyNumberFormat="0" applyBorder="0" applyAlignment="0" applyProtection="0"/>
    <xf numFmtId="4" fontId="8" fillId="72" borderId="100" applyNumberFormat="0" applyProtection="0">
      <alignment horizontal="right" vertical="center"/>
    </xf>
    <xf numFmtId="4" fontId="8" fillId="62" borderId="100" applyNumberFormat="0" applyProtection="0">
      <alignment horizontal="right" vertical="center"/>
    </xf>
    <xf numFmtId="4" fontId="8" fillId="66" borderId="100" applyNumberFormat="0" applyProtection="0">
      <alignment horizontal="right" vertical="center"/>
    </xf>
    <xf numFmtId="4" fontId="8" fillId="82" borderId="100" applyNumberFormat="0" applyProtection="0">
      <alignment horizontal="right" vertical="center"/>
    </xf>
    <xf numFmtId="0" fontId="78" fillId="72" borderId="0" applyNumberFormat="0" applyBorder="0" applyAlignment="0" applyProtection="0"/>
    <xf numFmtId="4" fontId="8" fillId="60" borderId="100" applyNumberFormat="0" applyProtection="0">
      <alignment horizontal="right" vertical="center"/>
    </xf>
    <xf numFmtId="4" fontId="8" fillId="123" borderId="100" applyNumberFormat="0" applyProtection="0">
      <alignment horizontal="right" vertical="center"/>
    </xf>
    <xf numFmtId="4" fontId="8" fillId="59" borderId="100" applyNumberFormat="0" applyProtection="0">
      <alignment horizontal="right" vertical="center"/>
    </xf>
    <xf numFmtId="4" fontId="7" fillId="124" borderId="101" applyNumberFormat="0" applyProtection="0">
      <alignment horizontal="left" vertical="center" indent="1"/>
    </xf>
    <xf numFmtId="0" fontId="78" fillId="67" borderId="0" applyNumberFormat="0" applyBorder="0" applyAlignment="0" applyProtection="0"/>
    <xf numFmtId="4" fontId="8" fillId="112" borderId="0" applyNumberFormat="0" applyProtection="0">
      <alignment horizontal="left" vertical="center" indent="1"/>
    </xf>
    <xf numFmtId="4" fontId="94" fillId="58" borderId="0" applyNumberFormat="0" applyProtection="0">
      <alignment horizontal="left" vertical="center" indent="1"/>
    </xf>
    <xf numFmtId="4" fontId="8" fillId="48" borderId="100" applyNumberFormat="0" applyProtection="0">
      <alignment horizontal="right" vertical="center"/>
    </xf>
    <xf numFmtId="4" fontId="8" fillId="86" borderId="0" applyNumberFormat="0" applyProtection="0">
      <alignment horizontal="left" vertical="center" indent="1"/>
    </xf>
    <xf numFmtId="4" fontId="8" fillId="112" borderId="0" applyNumberFormat="0" applyProtection="0">
      <alignment horizontal="left" vertical="center" indent="1"/>
    </xf>
    <xf numFmtId="4" fontId="8" fillId="102" borderId="0" applyNumberFormat="0" applyProtection="0">
      <alignment horizontal="left" vertical="center" indent="1"/>
    </xf>
    <xf numFmtId="4" fontId="8" fillId="48" borderId="0" applyNumberFormat="0" applyProtection="0">
      <alignment horizontal="left" vertical="center" indent="1"/>
    </xf>
    <xf numFmtId="0" fontId="4" fillId="58" borderId="100" applyNumberFormat="0" applyProtection="0">
      <alignment horizontal="left" vertical="center" indent="1"/>
    </xf>
    <xf numFmtId="0" fontId="4" fillId="58" borderId="100" applyNumberFormat="0" applyProtection="0">
      <alignment horizontal="left" vertical="top" indent="1"/>
    </xf>
    <xf numFmtId="0" fontId="4" fillId="48" borderId="100" applyNumberFormat="0" applyProtection="0">
      <alignment horizontal="left" vertical="center" indent="1"/>
    </xf>
    <xf numFmtId="0" fontId="4" fillId="48" borderId="100" applyNumberFormat="0" applyProtection="0">
      <alignment horizontal="left" vertical="top" indent="1"/>
    </xf>
    <xf numFmtId="0" fontId="4" fillId="56" borderId="100" applyNumberFormat="0" applyProtection="0">
      <alignment horizontal="left" vertical="center" indent="1"/>
    </xf>
    <xf numFmtId="0" fontId="4" fillId="56" borderId="100" applyNumberFormat="0" applyProtection="0">
      <alignment horizontal="left" vertical="top" indent="1"/>
    </xf>
    <xf numFmtId="0" fontId="4" fillId="112" borderId="100" applyNumberFormat="0" applyProtection="0">
      <alignment horizontal="left" vertical="center" indent="1"/>
    </xf>
    <xf numFmtId="0" fontId="4" fillId="112" borderId="100" applyNumberFormat="0" applyProtection="0">
      <alignment horizontal="left" vertical="top" indent="1"/>
    </xf>
    <xf numFmtId="0" fontId="4" fillId="54" borderId="4" applyNumberFormat="0">
      <protection locked="0"/>
    </xf>
    <xf numFmtId="4" fontId="8" fillId="52" borderId="100" applyNumberFormat="0" applyProtection="0">
      <alignment vertical="center"/>
    </xf>
    <xf numFmtId="4" fontId="162" fillId="52" borderId="100" applyNumberFormat="0" applyProtection="0">
      <alignment vertical="center"/>
    </xf>
    <xf numFmtId="4" fontId="8" fillId="52" borderId="100" applyNumberFormat="0" applyProtection="0">
      <alignment horizontal="left" vertical="center" indent="1"/>
    </xf>
    <xf numFmtId="0" fontId="8" fillId="52" borderId="100" applyNumberFormat="0" applyProtection="0">
      <alignment horizontal="left" vertical="top" indent="1"/>
    </xf>
    <xf numFmtId="4" fontId="8" fillId="112" borderId="100" applyNumberFormat="0" applyProtection="0">
      <alignment horizontal="right" vertical="center"/>
    </xf>
    <xf numFmtId="4" fontId="162" fillId="112" borderId="100" applyNumberFormat="0" applyProtection="0">
      <alignment horizontal="right" vertical="center"/>
    </xf>
    <xf numFmtId="4" fontId="8" fillId="48" borderId="100" applyNumberFormat="0" applyProtection="0">
      <alignment horizontal="left" vertical="center" indent="1"/>
    </xf>
    <xf numFmtId="0" fontId="8" fillId="48" borderId="100" applyNumberFormat="0" applyProtection="0">
      <alignment horizontal="left" vertical="top" indent="1"/>
    </xf>
    <xf numFmtId="4" fontId="98" fillId="125" borderId="0" applyNumberFormat="0" applyProtection="0">
      <alignment horizontal="left" vertical="center" indent="1"/>
    </xf>
    <xf numFmtId="4" fontId="62" fillId="112" borderId="100" applyNumberFormat="0" applyProtection="0">
      <alignment horizontal="right" vertical="center"/>
    </xf>
    <xf numFmtId="1"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37" fontId="5" fillId="0" borderId="70" applyNumberFormat="0"/>
    <xf numFmtId="0" fontId="4" fillId="0" borderId="0"/>
    <xf numFmtId="0" fontId="63" fillId="0" borderId="0" applyNumberFormat="0" applyFill="0" applyBorder="0" applyAlignment="0" applyProtection="0"/>
    <xf numFmtId="179" fontId="5" fillId="0" borderId="23" applyFill="0"/>
    <xf numFmtId="0" fontId="77" fillId="0" borderId="106" applyNumberFormat="0" applyFill="0" applyAlignment="0" applyProtection="0"/>
    <xf numFmtId="0" fontId="77" fillId="0" borderId="105" applyNumberFormat="0" applyFill="0" applyAlignment="0" applyProtection="0"/>
    <xf numFmtId="37" fontId="5" fillId="0" borderId="107" applyNumberFormat="0" applyFill="0"/>
    <xf numFmtId="0" fontId="4" fillId="0" borderId="0" applyFont="0" applyFill="0" applyBorder="0" applyAlignment="0" applyProtection="0"/>
    <xf numFmtId="0" fontId="4" fillId="0" borderId="0" applyFont="0" applyFill="0" applyBorder="0">
      <alignment horizontal="right" vertical="center" wrapText="1"/>
    </xf>
    <xf numFmtId="0" fontId="4" fillId="0" borderId="0"/>
    <xf numFmtId="0" fontId="3"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83" fontId="4" fillId="0" borderId="0"/>
    <xf numFmtId="183" fontId="4" fillId="0" borderId="0"/>
    <xf numFmtId="183" fontId="4" fillId="0" borderId="0"/>
    <xf numFmtId="183"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179" fontId="4" fillId="0" borderId="0" applyBorder="0"/>
    <xf numFmtId="179" fontId="4" fillId="0" borderId="0" applyBorder="0"/>
    <xf numFmtId="0" fontId="4" fillId="0" borderId="0" applyBorder="0"/>
    <xf numFmtId="0" fontId="4" fillId="0" borderId="0" applyBorder="0"/>
    <xf numFmtId="0" fontId="4" fillId="0" borderId="0" applyBorder="0"/>
    <xf numFmtId="179" fontId="4" fillId="0" borderId="0" applyBorder="0"/>
    <xf numFmtId="179" fontId="4" fillId="0" borderId="0" applyBorder="0"/>
    <xf numFmtId="179" fontId="4" fillId="0" borderId="0" applyBorder="0"/>
    <xf numFmtId="0" fontId="8" fillId="48" borderId="0" applyNumberFormat="0" applyBorder="0" applyAlignment="0" applyProtection="0"/>
    <xf numFmtId="0" fontId="79" fillId="47"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3" fillId="23" borderId="0" applyNumberFormat="0" applyBorder="0" applyAlignment="0" applyProtection="0"/>
    <xf numFmtId="0" fontId="8" fillId="50" borderId="0" applyNumberFormat="0" applyBorder="0" applyAlignment="0" applyProtection="0"/>
    <xf numFmtId="0" fontId="79"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 fillId="27" borderId="0" applyNumberFormat="0" applyBorder="0" applyAlignment="0" applyProtection="0"/>
    <xf numFmtId="0" fontId="8" fillId="52" borderId="0" applyNumberFormat="0" applyBorder="0" applyAlignment="0" applyProtection="0"/>
    <xf numFmtId="0" fontId="79" fillId="51"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3" fillId="31" borderId="0" applyNumberFormat="0" applyBorder="0" applyAlignment="0" applyProtection="0"/>
    <xf numFmtId="0" fontId="8" fillId="54" borderId="0" applyNumberFormat="0" applyBorder="0" applyAlignment="0" applyProtection="0"/>
    <xf numFmtId="0" fontId="79" fillId="53"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3" fillId="35" borderId="0" applyNumberFormat="0" applyBorder="0" applyAlignment="0" applyProtection="0"/>
    <xf numFmtId="0" fontId="8" fillId="56" borderId="0" applyNumberFormat="0" applyBorder="0" applyAlignment="0" applyProtection="0"/>
    <xf numFmtId="0" fontId="79" fillId="55"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49" borderId="0" applyNumberFormat="0" applyBorder="0" applyAlignment="0" applyProtection="0"/>
    <xf numFmtId="0" fontId="79" fillId="57"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0" borderId="0" applyNumberFormat="0" applyBorder="0" applyAlignment="0" applyProtection="0"/>
    <xf numFmtId="0" fontId="7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60" borderId="0" applyNumberFormat="0" applyBorder="0" applyAlignment="0" applyProtection="0"/>
    <xf numFmtId="0" fontId="79" fillId="59"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3" fillId="32" borderId="0" applyNumberFormat="0" applyBorder="0" applyAlignment="0" applyProtection="0"/>
    <xf numFmtId="0" fontId="8" fillId="61" borderId="0" applyNumberFormat="0" applyBorder="0" applyAlignment="0" applyProtection="0"/>
    <xf numFmtId="0" fontId="79" fillId="53"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7" borderId="0" applyNumberFormat="0" applyBorder="0" applyAlignment="0" applyProtection="0"/>
    <xf numFmtId="0" fontId="79" fillId="62"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35" fillId="58" borderId="0" applyNumberFormat="0" applyBorder="0" applyAlignment="0" applyProtection="0"/>
    <xf numFmtId="0" fontId="35" fillId="50" borderId="0" applyNumberFormat="0" applyBorder="0" applyAlignment="0" applyProtection="0"/>
    <xf numFmtId="0" fontId="35" fillId="60" borderId="0" applyNumberFormat="0" applyBorder="0" applyAlignment="0" applyProtection="0"/>
    <xf numFmtId="0" fontId="13" fillId="33" borderId="0" applyNumberFormat="0" applyBorder="0" applyAlignment="0" applyProtection="0"/>
    <xf numFmtId="0" fontId="35" fillId="61" borderId="0" applyNumberFormat="0" applyBorder="0" applyAlignment="0" applyProtection="0"/>
    <xf numFmtId="0" fontId="13" fillId="37" borderId="0" applyNumberFormat="0" applyBorder="0" applyAlignment="0" applyProtection="0"/>
    <xf numFmtId="0" fontId="35" fillId="58" borderId="0" applyNumberFormat="0" applyBorder="0" applyAlignment="0" applyProtection="0"/>
    <xf numFmtId="0" fontId="35" fillId="57" borderId="0" applyNumberFormat="0" applyBorder="0" applyAlignment="0" applyProtection="0"/>
    <xf numFmtId="0" fontId="13" fillId="45"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204" fontId="5" fillId="86" borderId="66">
      <alignment horizontal="center" vertical="center"/>
    </xf>
    <xf numFmtId="204" fontId="5" fillId="86" borderId="66">
      <alignment horizontal="center" vertical="center"/>
    </xf>
    <xf numFmtId="204" fontId="5" fillId="86" borderId="66">
      <alignment horizontal="center" vertical="center"/>
    </xf>
    <xf numFmtId="0" fontId="83" fillId="74" borderId="0" applyNumberFormat="0" applyBorder="0" applyAlignment="0" applyProtection="0"/>
    <xf numFmtId="0" fontId="5" fillId="86" borderId="0" applyNumberFormat="0" applyFont="0" applyAlignment="0">
      <alignment horizontal="center"/>
    </xf>
    <xf numFmtId="0" fontId="5" fillId="86" borderId="0" applyNumberFormat="0" applyFont="0" applyAlignment="0">
      <alignment horizontal="center"/>
    </xf>
    <xf numFmtId="208" fontId="4" fillId="87" borderId="0"/>
    <xf numFmtId="208" fontId="4" fillId="87" borderId="0"/>
    <xf numFmtId="0" fontId="4" fillId="0" borderId="0">
      <alignment vertical="center"/>
    </xf>
    <xf numFmtId="0" fontId="4" fillId="0" borderId="0">
      <alignment vertical="center"/>
    </xf>
    <xf numFmtId="0" fontId="84" fillId="88" borderId="67" applyNumberFormat="0" applyAlignment="0" applyProtection="0"/>
    <xf numFmtId="0" fontId="74" fillId="75" borderId="68" applyNumberFormat="0" applyAlignment="0" applyProtection="0"/>
    <xf numFmtId="0" fontId="74" fillId="75" borderId="68" applyNumberFormat="0" applyAlignment="0" applyProtection="0"/>
    <xf numFmtId="37" fontId="5" fillId="0" borderId="25">
      <alignment horizontal="center"/>
    </xf>
    <xf numFmtId="37" fontId="5" fillId="0" borderId="0">
      <alignment horizontal="center" vertical="center" wrapText="1"/>
    </xf>
    <xf numFmtId="37" fontId="5" fillId="0" borderId="0">
      <alignment horizontal="center" vertical="center" wrapText="1"/>
    </xf>
    <xf numFmtId="209" fontId="114" fillId="0" borderId="0">
      <alignment horizontal="right" vertical="center"/>
    </xf>
    <xf numFmtId="38" fontId="4" fillId="0" borderId="0" applyFont="0" applyFill="0" applyBorder="0" applyAlignment="0" applyProtection="0"/>
    <xf numFmtId="38" fontId="4" fillId="0" borderId="0" applyFont="0" applyFill="0" applyBorder="0" applyAlignment="0" applyProtection="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11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76" fontId="116" fillId="0" borderId="0" applyFont="0" applyFill="0" applyBorder="0" applyAlignment="0" applyProtection="0"/>
    <xf numFmtId="242" fontId="4" fillId="0" borderId="0" applyFont="0" applyFill="0" applyBorder="0" applyAlignment="0" applyProtection="0"/>
    <xf numFmtId="43" fontId="48"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181" fontId="4" fillId="0" borderId="0" applyFill="0" applyBorder="0">
      <alignment horizontal="left"/>
    </xf>
    <xf numFmtId="181" fontId="4" fillId="0" borderId="0" applyFill="0" applyBorder="0">
      <alignment horizontal="left"/>
    </xf>
    <xf numFmtId="216" fontId="4" fillId="0" borderId="0">
      <alignment horizontal="right"/>
    </xf>
    <xf numFmtId="216" fontId="4" fillId="0" borderId="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8" fontId="4" fillId="0" borderId="0" applyFill="0" applyBorder="0"/>
    <xf numFmtId="178" fontId="4" fillId="0" borderId="0" applyFill="0" applyBorder="0"/>
    <xf numFmtId="220" fontId="4" fillId="0" borderId="0" applyFont="0" applyFill="0" applyBorder="0" applyAlignment="0" applyProtection="0"/>
    <xf numFmtId="22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0" fontId="85" fillId="0" borderId="0" applyNumberFormat="0" applyFill="0" applyBorder="0" applyAlignment="0" applyProtection="0"/>
    <xf numFmtId="0" fontId="67" fillId="94" borderId="0" applyNumberFormat="0" applyBorder="0" applyAlignment="0" applyProtection="0"/>
    <xf numFmtId="0" fontId="67" fillId="94" borderId="0" applyNumberForma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87" fillId="0" borderId="73" applyNumberFormat="0" applyFill="0" applyAlignment="0" applyProtection="0"/>
    <xf numFmtId="0" fontId="88" fillId="0" borderId="0" applyNumberFormat="0" applyFill="0" applyBorder="0"/>
    <xf numFmtId="179" fontId="7" fillId="0" borderId="0" applyFill="0" applyBorder="0"/>
    <xf numFmtId="0" fontId="89" fillId="0" borderId="0" applyNumberFormat="0" applyFill="0" applyBorder="0" applyAlignment="0" applyProtection="0"/>
    <xf numFmtId="0" fontId="61" fillId="0" borderId="76" applyNumberFormat="0" applyFill="0" applyAlignment="0" applyProtection="0"/>
    <xf numFmtId="0" fontId="61" fillId="0" borderId="76" applyNumberFormat="0" applyFill="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27" fillId="18" borderId="43"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61" fillId="0" borderId="0" applyNumberFormat="0" applyFill="0" applyBorder="0" applyAlignment="0">
      <protection locked="0"/>
    </xf>
    <xf numFmtId="0" fontId="61" fillId="0" borderId="0" applyNumberFormat="0" applyFill="0" applyBorder="0" applyAlignment="0">
      <protection locked="0"/>
    </xf>
    <xf numFmtId="208" fontId="5" fillId="96" borderId="0">
      <protection locked="0"/>
    </xf>
    <xf numFmtId="0" fontId="91" fillId="0" borderId="78" applyNumberFormat="0" applyFill="0" applyAlignment="0" applyProtection="0"/>
    <xf numFmtId="0" fontId="69" fillId="84" borderId="0" applyNumberFormat="0" applyBorder="0" applyAlignment="0" applyProtection="0"/>
    <xf numFmtId="0" fontId="69" fillId="84" borderId="0" applyNumberFormat="0" applyBorder="0" applyAlignment="0" applyProtection="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8"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2" fillId="0" borderId="0"/>
    <xf numFmtId="0" fontId="79" fillId="0" borderId="0"/>
    <xf numFmtId="0" fontId="48" fillId="0" borderId="0" applyFont="0" applyFill="0" applyBorder="0" applyAlignment="0" applyProtection="0"/>
    <xf numFmtId="0" fontId="116" fillId="0" borderId="0"/>
    <xf numFmtId="0" fontId="48"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8"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applyFill="0" applyBorder="0" applyAlignment="0" applyProtection="0"/>
    <xf numFmtId="0" fontId="4"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54" fillId="0" borderId="0"/>
    <xf numFmtId="0" fontId="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79" fillId="0" borderId="0"/>
    <xf numFmtId="0" fontId="4" fillId="0" borderId="0" applyFont="0" applyFill="0" applyBorder="0" applyAlignment="0" applyProtection="0"/>
    <xf numFmtId="0" fontId="79" fillId="0" borderId="0" applyFill="0" applyBorder="0" applyAlignment="0" applyProtection="0"/>
    <xf numFmtId="0" fontId="4" fillId="0" borderId="0"/>
    <xf numFmtId="0" fontId="4" fillId="0" borderId="0" applyFont="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xf numFmtId="0" fontId="5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79" fillId="0" borderId="0" applyFill="0" applyBorder="0" applyAlignment="0" applyProtection="0"/>
    <xf numFmtId="0" fontId="79" fillId="0" borderId="0" applyFill="0" applyBorder="0" applyAlignment="0" applyProtection="0"/>
    <xf numFmtId="0" fontId="3" fillId="0" borderId="0"/>
    <xf numFmtId="0" fontId="3" fillId="0" borderId="0"/>
    <xf numFmtId="0" fontId="79" fillId="0" borderId="0"/>
    <xf numFmtId="0" fontId="3"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61" fillId="0" borderId="0" applyFill="0" applyBorder="0">
      <protection locked="0"/>
    </xf>
    <xf numFmtId="0" fontId="61" fillId="0" borderId="0" applyFill="0" applyBorder="0">
      <protection locked="0"/>
    </xf>
    <xf numFmtId="0" fontId="4" fillId="52" borderId="80" applyNumberFormat="0" applyFont="0" applyAlignment="0" applyProtection="0"/>
    <xf numFmtId="0" fontId="4" fillId="52" borderId="80" applyNumberFormat="0" applyFont="0" applyAlignment="0" applyProtection="0"/>
    <xf numFmtId="0" fontId="79" fillId="21" borderId="47" applyNumberFormat="0" applyFont="0" applyAlignment="0" applyProtection="0"/>
    <xf numFmtId="0" fontId="4" fillId="83" borderId="80" applyNumberFormat="0" applyFont="0" applyAlignment="0" applyProtection="0"/>
    <xf numFmtId="0" fontId="79" fillId="21" borderId="47" applyNumberFormat="0" applyFont="0" applyAlignment="0" applyProtection="0"/>
    <xf numFmtId="0" fontId="79" fillId="21" borderId="47" applyNumberFormat="0" applyFont="0" applyAlignment="0" applyProtection="0"/>
    <xf numFmtId="0" fontId="79" fillId="52" borderId="80" applyNumberFormat="0" applyFont="0" applyAlignment="0" applyProtection="0"/>
    <xf numFmtId="0" fontId="79" fillId="52" borderId="80" applyNumberFormat="0" applyFont="0" applyAlignment="0" applyProtection="0"/>
    <xf numFmtId="0" fontId="4" fillId="83" borderId="80" applyNumberFormat="0" applyFont="0" applyAlignment="0" applyProtection="0"/>
    <xf numFmtId="0" fontId="4" fillId="83" borderId="80"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4" fillId="83" borderId="80" applyNumberFormat="0" applyFont="0" applyAlignment="0" applyProtection="0"/>
    <xf numFmtId="0" fontId="4" fillId="52" borderId="80" applyNumberFormat="0" applyFont="0" applyAlignment="0" applyProtection="0"/>
    <xf numFmtId="0" fontId="4" fillId="0" borderId="0"/>
    <xf numFmtId="0" fontId="4" fillId="0" borderId="0"/>
    <xf numFmtId="0" fontId="71" fillId="88" borderId="81" applyNumberFormat="0" applyAlignment="0" applyProtection="0"/>
    <xf numFmtId="0" fontId="71" fillId="88" borderId="81" applyNumberFormat="0" applyAlignment="0" applyProtection="0"/>
    <xf numFmtId="40" fontId="8" fillId="54" borderId="0">
      <alignment horizontal="right"/>
    </xf>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234" fontId="5" fillId="90" borderId="0" applyBorder="0" applyAlignment="0">
      <protection locked="0"/>
    </xf>
    <xf numFmtId="235" fontId="4" fillId="0" borderId="0" applyFont="0" applyFill="0" applyBorder="0" applyAlignment="0" applyProtection="0"/>
    <xf numFmtId="235" fontId="4" fillId="0" borderId="0" applyFont="0" applyFill="0" applyBorder="0" applyAlignment="0" applyProtection="0"/>
    <xf numFmtId="40" fontId="4" fillId="0" borderId="0"/>
    <xf numFmtId="40" fontId="4" fillId="0" borderId="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239"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8" applyNumberFormat="0" applyFont="0" applyFill="0" applyAlignment="0" applyProtection="0"/>
    <xf numFmtId="0" fontId="4" fillId="0" borderId="98" applyNumberFormat="0" applyFont="0" applyFill="0" applyAlignment="0" applyProtection="0"/>
    <xf numFmtId="0" fontId="4" fillId="0" borderId="98" applyNumberFormat="0" applyFont="0" applyFill="0" applyAlignment="0" applyProtection="0"/>
    <xf numFmtId="0" fontId="4" fillId="0" borderId="0"/>
    <xf numFmtId="0" fontId="70" fillId="57" borderId="67" applyNumberFormat="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4" fontId="94" fillId="101" borderId="100" applyNumberFormat="0" applyProtection="0">
      <alignment vertical="center"/>
    </xf>
    <xf numFmtId="4" fontId="95" fillId="101" borderId="100" applyNumberFormat="0" applyProtection="0">
      <alignment vertical="center"/>
    </xf>
    <xf numFmtId="4" fontId="96" fillId="101" borderId="100" applyNumberFormat="0" applyProtection="0">
      <alignment horizontal="left" vertical="center" indent="1"/>
    </xf>
    <xf numFmtId="0" fontId="4" fillId="0" borderId="0"/>
    <xf numFmtId="0" fontId="4" fillId="0" borderId="0"/>
    <xf numFmtId="0" fontId="4" fillId="0" borderId="0"/>
    <xf numFmtId="0" fontId="4" fillId="0" borderId="0"/>
    <xf numFmtId="4" fontId="96" fillId="102" borderId="0" applyNumberFormat="0" applyProtection="0">
      <alignment horizontal="left" vertical="center" indent="1"/>
    </xf>
    <xf numFmtId="4" fontId="96" fillId="103" borderId="100" applyNumberFormat="0" applyProtection="0">
      <alignment horizontal="right" vertical="center"/>
    </xf>
    <xf numFmtId="4" fontId="96" fillId="104" borderId="100" applyNumberFormat="0" applyProtection="0">
      <alignment horizontal="right" vertical="center"/>
    </xf>
    <xf numFmtId="4" fontId="96" fillId="96" borderId="100" applyNumberFormat="0" applyProtection="0">
      <alignment horizontal="right" vertical="center"/>
    </xf>
    <xf numFmtId="4" fontId="96" fillId="105" borderId="100" applyNumberFormat="0" applyProtection="0">
      <alignment horizontal="right" vertical="center"/>
    </xf>
    <xf numFmtId="4" fontId="96" fillId="106" borderId="100" applyNumberFormat="0" applyProtection="0">
      <alignment horizontal="right" vertical="center"/>
    </xf>
    <xf numFmtId="4" fontId="96" fillId="107" borderId="100" applyNumberFormat="0" applyProtection="0">
      <alignment horizontal="right" vertical="center"/>
    </xf>
    <xf numFmtId="4" fontId="96" fillId="108" borderId="100" applyNumberFormat="0" applyProtection="0">
      <alignment horizontal="right" vertical="center"/>
    </xf>
    <xf numFmtId="4" fontId="96" fillId="109" borderId="100" applyNumberFormat="0" applyProtection="0">
      <alignment horizontal="right" vertical="center"/>
    </xf>
    <xf numFmtId="4" fontId="96" fillId="110" borderId="100" applyNumberFormat="0" applyProtection="0">
      <alignment horizontal="right" vertical="center"/>
    </xf>
    <xf numFmtId="4" fontId="94" fillId="111" borderId="101" applyNumberFormat="0" applyProtection="0">
      <alignment horizontal="left" vertical="center" indent="1"/>
    </xf>
    <xf numFmtId="4" fontId="94" fillId="86" borderId="0" applyNumberFormat="0" applyProtection="0">
      <alignment horizontal="left" vertical="center" indent="1"/>
    </xf>
    <xf numFmtId="4" fontId="94" fillId="102" borderId="0" applyNumberFormat="0" applyProtection="0">
      <alignment horizontal="left" vertical="center" indent="1"/>
    </xf>
    <xf numFmtId="4" fontId="96" fillId="86" borderId="100" applyNumberFormat="0" applyProtection="0">
      <alignment horizontal="right" vertical="center"/>
    </xf>
    <xf numFmtId="4" fontId="8" fillId="86" borderId="0" applyNumberFormat="0" applyProtection="0">
      <alignment horizontal="left" vertical="center" indent="1"/>
    </xf>
    <xf numFmtId="4" fontId="8" fillId="86" borderId="0" applyNumberFormat="0" applyProtection="0">
      <alignment horizontal="left" vertical="center" indent="1"/>
    </xf>
    <xf numFmtId="4" fontId="8" fillId="102" borderId="0" applyNumberFormat="0" applyProtection="0">
      <alignment horizontal="left" vertical="center" indent="1"/>
    </xf>
    <xf numFmtId="4" fontId="8" fillId="102" borderId="0" applyNumberFormat="0" applyProtection="0">
      <alignment horizontal="left" vertical="center" indent="1"/>
    </xf>
    <xf numFmtId="0" fontId="4" fillId="0" borderId="0"/>
    <xf numFmtId="0" fontId="4" fillId="0" borderId="0"/>
    <xf numFmtId="0" fontId="4" fillId="0" borderId="0"/>
    <xf numFmtId="0" fontId="4" fillId="58" borderId="100" applyNumberFormat="0" applyProtection="0">
      <alignment horizontal="left" vertical="center" indent="1"/>
    </xf>
    <xf numFmtId="0" fontId="4" fillId="0" borderId="0"/>
    <xf numFmtId="0" fontId="4" fillId="0" borderId="0"/>
    <xf numFmtId="0" fontId="4" fillId="0" borderId="0"/>
    <xf numFmtId="0" fontId="4" fillId="0" borderId="0"/>
    <xf numFmtId="0" fontId="4" fillId="58" borderId="100" applyNumberFormat="0" applyProtection="0">
      <alignment horizontal="left" vertical="top" indent="1"/>
    </xf>
    <xf numFmtId="0" fontId="4" fillId="0" borderId="0"/>
    <xf numFmtId="0" fontId="4" fillId="0" borderId="0"/>
    <xf numFmtId="0" fontId="4" fillId="0" borderId="0"/>
    <xf numFmtId="0" fontId="4" fillId="0" borderId="0"/>
    <xf numFmtId="0" fontId="4" fillId="48" borderId="100" applyNumberFormat="0" applyProtection="0">
      <alignment horizontal="left" vertical="center" indent="1"/>
    </xf>
    <xf numFmtId="0" fontId="4" fillId="0" borderId="0"/>
    <xf numFmtId="0" fontId="4" fillId="0" borderId="0"/>
    <xf numFmtId="0" fontId="4" fillId="0" borderId="0"/>
    <xf numFmtId="0" fontId="4" fillId="0" borderId="0"/>
    <xf numFmtId="0" fontId="4" fillId="48" borderId="100" applyNumberFormat="0" applyProtection="0">
      <alignment horizontal="left" vertical="top" indent="1"/>
    </xf>
    <xf numFmtId="0" fontId="4" fillId="0" borderId="0"/>
    <xf numFmtId="0" fontId="4" fillId="0" borderId="0"/>
    <xf numFmtId="0" fontId="4" fillId="0" borderId="0"/>
    <xf numFmtId="0" fontId="4" fillId="0" borderId="0"/>
    <xf numFmtId="0" fontId="4" fillId="56" borderId="100" applyNumberFormat="0" applyProtection="0">
      <alignment horizontal="left" vertical="center" indent="1"/>
    </xf>
    <xf numFmtId="0" fontId="4" fillId="0" borderId="0"/>
    <xf numFmtId="0" fontId="4" fillId="0" borderId="0"/>
    <xf numFmtId="0" fontId="4" fillId="0" borderId="0"/>
    <xf numFmtId="0" fontId="4" fillId="0" borderId="0"/>
    <xf numFmtId="0" fontId="4" fillId="56" borderId="100" applyNumberFormat="0" applyProtection="0">
      <alignment horizontal="left" vertical="top" indent="1"/>
    </xf>
    <xf numFmtId="0" fontId="4" fillId="0" borderId="0"/>
    <xf numFmtId="0" fontId="4" fillId="0" borderId="0"/>
    <xf numFmtId="0" fontId="4" fillId="0" borderId="0"/>
    <xf numFmtId="0" fontId="4" fillId="0" borderId="0"/>
    <xf numFmtId="0" fontId="4" fillId="112" borderId="100" applyNumberFormat="0" applyProtection="0">
      <alignment horizontal="left" vertical="center" indent="1"/>
    </xf>
    <xf numFmtId="0" fontId="4" fillId="0" borderId="0"/>
    <xf numFmtId="0" fontId="4" fillId="0" borderId="0"/>
    <xf numFmtId="0" fontId="4" fillId="0" borderId="0"/>
    <xf numFmtId="0" fontId="4" fillId="0" borderId="0"/>
    <xf numFmtId="0" fontId="4" fillId="112" borderId="100" applyNumberFormat="0" applyProtection="0">
      <alignment horizontal="left" vertical="top" indent="1"/>
    </xf>
    <xf numFmtId="0" fontId="4" fillId="0" borderId="0"/>
    <xf numFmtId="0" fontId="4" fillId="0" borderId="0"/>
    <xf numFmtId="0" fontId="4" fillId="0" borderId="0"/>
    <xf numFmtId="0" fontId="4" fillId="0" borderId="0"/>
    <xf numFmtId="0" fontId="4" fillId="54" borderId="4" applyNumberFormat="0">
      <protection locked="0"/>
    </xf>
    <xf numFmtId="0" fontId="4" fillId="0" borderId="0"/>
    <xf numFmtId="4" fontId="96" fillId="113" borderId="100" applyNumberFormat="0" applyProtection="0">
      <alignment vertical="center"/>
    </xf>
    <xf numFmtId="4" fontId="97" fillId="113" borderId="100" applyNumberFormat="0" applyProtection="0">
      <alignment vertical="center"/>
    </xf>
    <xf numFmtId="4" fontId="94" fillId="86" borderId="103" applyNumberFormat="0" applyProtection="0">
      <alignment horizontal="left" vertical="center" indent="1"/>
    </xf>
    <xf numFmtId="0" fontId="4" fillId="0" borderId="0"/>
    <xf numFmtId="0" fontId="4" fillId="0" borderId="0"/>
    <xf numFmtId="0" fontId="4" fillId="0" borderId="0"/>
    <xf numFmtId="0" fontId="8" fillId="52" borderId="100" applyNumberFormat="0" applyProtection="0">
      <alignment horizontal="left" vertical="top" indent="1"/>
    </xf>
    <xf numFmtId="0" fontId="4" fillId="0" borderId="0"/>
    <xf numFmtId="4" fontId="96" fillId="113" borderId="100" applyNumberFormat="0" applyProtection="0">
      <alignment horizontal="right" vertical="center"/>
    </xf>
    <xf numFmtId="4" fontId="97" fillId="113" borderId="100" applyNumberFormat="0" applyProtection="0">
      <alignment horizontal="right" vertical="center"/>
    </xf>
    <xf numFmtId="4" fontId="94" fillId="86" borderId="100" applyNumberFormat="0" applyProtection="0">
      <alignment horizontal="left" vertical="center" indent="1"/>
    </xf>
    <xf numFmtId="0" fontId="4" fillId="0" borderId="0"/>
    <xf numFmtId="0" fontId="4" fillId="0" borderId="0"/>
    <xf numFmtId="0" fontId="4" fillId="0" borderId="0"/>
    <xf numFmtId="0" fontId="8" fillId="48" borderId="100" applyNumberFormat="0" applyProtection="0">
      <alignment horizontal="left" vertical="top" indent="1"/>
    </xf>
    <xf numFmtId="0" fontId="4" fillId="0" borderId="0"/>
    <xf numFmtId="4" fontId="98" fillId="114" borderId="103" applyNumberFormat="0" applyProtection="0">
      <alignment horizontal="left" vertical="center" indent="1"/>
    </xf>
    <xf numFmtId="4" fontId="99" fillId="113" borderId="100" applyNumberFormat="0" applyProtection="0">
      <alignment horizontal="right" vertical="center"/>
    </xf>
    <xf numFmtId="1" fontId="4" fillId="0" borderId="0"/>
    <xf numFmtId="1" fontId="4"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37" fontId="5" fillId="0" borderId="70" applyNumberFormat="0"/>
    <xf numFmtId="0" fontId="4" fillId="0" borderId="0"/>
    <xf numFmtId="0" fontId="70" fillId="57" borderId="67" applyNumberFormat="0" applyAlignment="0" applyProtection="0"/>
    <xf numFmtId="0" fontId="78" fillId="72" borderId="0" applyNumberFormat="0" applyBorder="0" applyAlignment="0" applyProtection="0"/>
    <xf numFmtId="0" fontId="78" fillId="64" borderId="0" applyNumberFormat="0" applyBorder="0" applyAlignment="0" applyProtection="0"/>
    <xf numFmtId="0" fontId="100" fillId="0" borderId="0" applyNumberFormat="0" applyFill="0" applyBorder="0" applyAlignment="0" applyProtection="0"/>
    <xf numFmtId="0" fontId="78" fillId="65" borderId="0" applyNumberFormat="0" applyBorder="0" applyAlignment="0" applyProtection="0"/>
    <xf numFmtId="0" fontId="70" fillId="57" borderId="67" applyNumberFormat="0" applyAlignment="0" applyProtection="0"/>
    <xf numFmtId="0" fontId="78" fillId="82" borderId="0" applyNumberFormat="0" applyBorder="0" applyAlignment="0" applyProtection="0"/>
    <xf numFmtId="44" fontId="4" fillId="0" borderId="0" applyFont="0" applyFill="0" applyBorder="0" applyAlignment="0" applyProtection="0"/>
    <xf numFmtId="179" fontId="5" fillId="0" borderId="23" applyFill="0"/>
    <xf numFmtId="43" fontId="3" fillId="0" borderId="0" applyFont="0" applyFill="0" applyBorder="0" applyAlignment="0" applyProtection="0"/>
    <xf numFmtId="0" fontId="78" fillId="72" borderId="0" applyNumberFormat="0" applyBorder="0" applyAlignment="0" applyProtection="0"/>
    <xf numFmtId="0" fontId="77" fillId="0" borderId="106" applyNumberFormat="0" applyFill="0" applyAlignment="0" applyProtection="0"/>
    <xf numFmtId="0" fontId="78" fillId="64" borderId="0" applyNumberFormat="0" applyBorder="0" applyAlignment="0" applyProtection="0"/>
    <xf numFmtId="0" fontId="78" fillId="82" borderId="0" applyNumberFormat="0" applyBorder="0" applyAlignment="0" applyProtection="0"/>
    <xf numFmtId="0" fontId="77" fillId="0" borderId="106" applyNumberFormat="0" applyFill="0" applyAlignment="0" applyProtection="0"/>
    <xf numFmtId="0" fontId="78" fillId="64" borderId="0" applyNumberFormat="0" applyBorder="0" applyAlignment="0" applyProtection="0"/>
    <xf numFmtId="37" fontId="5" fillId="0" borderId="107" applyNumberFormat="0" applyFill="0"/>
    <xf numFmtId="0" fontId="78" fillId="72" borderId="0" applyNumberFormat="0" applyBorder="0" applyAlignment="0" applyProtection="0"/>
    <xf numFmtId="0" fontId="78" fillId="67"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applyFont="0" applyFill="0" applyBorder="0">
      <alignment horizontal="right" vertical="center" wrapText="1"/>
    </xf>
    <xf numFmtId="0" fontId="4" fillId="0" borderId="0" applyFont="0" applyFill="0" applyBorder="0">
      <alignment horizontal="right" vertical="center" wrapText="1"/>
    </xf>
    <xf numFmtId="0" fontId="75" fillId="0" borderId="0" applyNumberFormat="0" applyFill="0" applyBorder="0" applyAlignment="0" applyProtection="0"/>
    <xf numFmtId="0" fontId="78" fillId="82" borderId="0" applyNumberFormat="0" applyBorder="0" applyAlignment="0" applyProtection="0"/>
    <xf numFmtId="0" fontId="70" fillId="57" borderId="67" applyNumberFormat="0" applyAlignment="0" applyProtection="0"/>
    <xf numFmtId="0" fontId="78" fillId="65" borderId="0" applyNumberFormat="0" applyBorder="0" applyAlignment="0" applyProtection="0"/>
    <xf numFmtId="0" fontId="4" fillId="0" borderId="0"/>
    <xf numFmtId="0" fontId="4" fillId="52" borderId="0" applyNumberFormat="0" applyFont="0" applyBorder="0" applyAlignment="0" applyProtection="0"/>
    <xf numFmtId="0" fontId="4" fillId="52" borderId="0" applyNumberFormat="0" applyFont="0" applyBorder="0" applyAlignment="0" applyProtection="0"/>
    <xf numFmtId="0" fontId="4" fillId="52" borderId="0" applyNumberFormat="0" applyFont="0" applyBorder="0" applyAlignment="0" applyProtection="0"/>
    <xf numFmtId="0" fontId="5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79" fillId="52" borderId="8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8" fillId="60" borderId="0" applyNumberFormat="0" applyBorder="0" applyAlignment="0" applyProtection="0"/>
    <xf numFmtId="0" fontId="78" fillId="65" borderId="0" applyNumberFormat="0" applyBorder="0" applyAlignment="0" applyProtection="0"/>
    <xf numFmtId="0" fontId="54" fillId="0" borderId="0" applyFont="0" applyFill="0" applyBorder="0" applyAlignment="0" applyProtection="0"/>
    <xf numFmtId="0" fontId="3" fillId="0" borderId="0"/>
    <xf numFmtId="0" fontId="79" fillId="0" borderId="0"/>
    <xf numFmtId="9" fontId="3" fillId="0" borderId="0" applyFont="0" applyFill="0" applyBorder="0" applyAlignment="0" applyProtection="0"/>
    <xf numFmtId="9" fontId="159" fillId="0" borderId="0" applyFont="0" applyFill="0" applyBorder="0" applyAlignment="0" applyProtection="0"/>
    <xf numFmtId="0" fontId="3" fillId="0" borderId="0"/>
    <xf numFmtId="0" fontId="116" fillId="0" borderId="0"/>
    <xf numFmtId="4" fontId="8" fillId="49" borderId="100" applyNumberFormat="0" applyProtection="0">
      <alignment horizontal="right" vertical="center"/>
    </xf>
    <xf numFmtId="4" fontId="8" fillId="50" borderId="100" applyNumberFormat="0" applyProtection="0">
      <alignment horizontal="right" vertical="center"/>
    </xf>
    <xf numFmtId="4" fontId="8" fillId="72" borderId="100" applyNumberFormat="0" applyProtection="0">
      <alignment horizontal="right" vertical="center"/>
    </xf>
    <xf numFmtId="4" fontId="8" fillId="62" borderId="100" applyNumberFormat="0" applyProtection="0">
      <alignment horizontal="right" vertical="center"/>
    </xf>
    <xf numFmtId="4" fontId="8" fillId="66" borderId="100" applyNumberFormat="0" applyProtection="0">
      <alignment horizontal="right" vertical="center"/>
    </xf>
    <xf numFmtId="4" fontId="8" fillId="82" borderId="100" applyNumberFormat="0" applyProtection="0">
      <alignment horizontal="right" vertical="center"/>
    </xf>
    <xf numFmtId="4" fontId="8" fillId="60" borderId="100" applyNumberFormat="0" applyProtection="0">
      <alignment horizontal="right" vertical="center"/>
    </xf>
    <xf numFmtId="4" fontId="8" fillId="123" borderId="100" applyNumberFormat="0" applyProtection="0">
      <alignment horizontal="right" vertical="center"/>
    </xf>
    <xf numFmtId="4" fontId="8" fillId="59" borderId="100" applyNumberFormat="0" applyProtection="0">
      <alignment horizontal="right" vertical="center"/>
    </xf>
    <xf numFmtId="4" fontId="8" fillId="112" borderId="0" applyNumberFormat="0" applyProtection="0">
      <alignment horizontal="left" vertical="center" indent="1"/>
    </xf>
    <xf numFmtId="4" fontId="8" fillId="48" borderId="100" applyNumberFormat="0" applyProtection="0">
      <alignment horizontal="right" vertical="center"/>
    </xf>
    <xf numFmtId="4" fontId="8" fillId="112" borderId="0" applyNumberFormat="0" applyProtection="0">
      <alignment horizontal="left" vertical="center" indent="1"/>
    </xf>
    <xf numFmtId="4" fontId="8" fillId="48" borderId="0" applyNumberFormat="0" applyProtection="0">
      <alignment horizontal="left" vertical="center" indent="1"/>
    </xf>
    <xf numFmtId="4" fontId="8" fillId="52" borderId="100" applyNumberFormat="0" applyProtection="0">
      <alignment vertical="center"/>
    </xf>
    <xf numFmtId="4" fontId="8" fillId="52" borderId="100" applyNumberFormat="0" applyProtection="0">
      <alignment horizontal="left" vertical="center" indent="1"/>
    </xf>
    <xf numFmtId="4" fontId="8" fillId="112" borderId="100" applyNumberFormat="0" applyProtection="0">
      <alignment horizontal="right" vertical="center"/>
    </xf>
    <xf numFmtId="4" fontId="8" fillId="48" borderId="100" applyNumberFormat="0" applyProtection="0">
      <alignment horizontal="left" vertical="center" indent="1"/>
    </xf>
    <xf numFmtId="4" fontId="62" fillId="112" borderId="100" applyNumberFormat="0" applyProtection="0">
      <alignment horizontal="right" vertical="center"/>
    </xf>
    <xf numFmtId="0" fontId="79"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78" fillId="71"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0" fontId="90" fillId="84" borderId="67" applyNumberFormat="0" applyAlignment="0" applyProtection="0"/>
    <xf numFmtId="0" fontId="90" fillId="84" borderId="67" applyNumberFormat="0" applyAlignment="0" applyProtection="0"/>
    <xf numFmtId="0" fontId="78" fillId="85" borderId="0" applyNumberFormat="0" applyBorder="0" applyAlignment="0" applyProtection="0"/>
    <xf numFmtId="0" fontId="78" fillId="81" borderId="0" applyNumberFormat="0" applyBorder="0" applyAlignment="0" applyProtection="0"/>
    <xf numFmtId="0" fontId="78" fillId="80"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1" borderId="0" applyNumberFormat="0" applyBorder="0" applyAlignment="0" applyProtection="0"/>
    <xf numFmtId="0" fontId="78" fillId="65" borderId="0" applyNumberFormat="0" applyBorder="0" applyAlignment="0" applyProtection="0"/>
    <xf numFmtId="0" fontId="48" fillId="0" borderId="0"/>
    <xf numFmtId="0" fontId="4" fillId="0" borderId="0" applyFont="0" applyFill="0" applyBorder="0" applyAlignment="0" applyProtection="0"/>
    <xf numFmtId="0" fontId="5" fillId="0" borderId="0"/>
    <xf numFmtId="0" fontId="78" fillId="71"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37" fontId="5" fillId="0" borderId="0">
      <alignment horizontal="center" vertical="center" wrapText="1"/>
    </xf>
    <xf numFmtId="43" fontId="4" fillId="0" borderId="0" applyFont="0" applyFill="0" applyBorder="0" applyAlignment="0" applyProtection="0"/>
    <xf numFmtId="242" fontId="4" fillId="0" borderId="0" applyFont="0" applyFill="0" applyBorder="0" applyAlignment="0" applyProtection="0"/>
    <xf numFmtId="0" fontId="48" fillId="0" borderId="0" applyFont="0" applyFill="0" applyBorder="0" applyAlignment="0" applyProtection="0"/>
    <xf numFmtId="0" fontId="79" fillId="0" borderId="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9" fontId="3" fillId="0" borderId="0" applyFont="0" applyFill="0" applyBorder="0" applyAlignment="0" applyProtection="0"/>
    <xf numFmtId="0" fontId="4" fillId="52" borderId="80" applyNumberFormat="0" applyFont="0" applyAlignment="0" applyProtection="0"/>
    <xf numFmtId="0" fontId="4" fillId="0" borderId="0"/>
    <xf numFmtId="0" fontId="4" fillId="58" borderId="100" applyNumberFormat="0" applyProtection="0">
      <alignment horizontal="left" vertical="center" indent="1"/>
    </xf>
    <xf numFmtId="0" fontId="4" fillId="58" borderId="100" applyNumberFormat="0" applyProtection="0">
      <alignment horizontal="left" vertical="top" indent="1"/>
    </xf>
    <xf numFmtId="0" fontId="4" fillId="48" borderId="100" applyNumberFormat="0" applyProtection="0">
      <alignment horizontal="left" vertical="center" indent="1"/>
    </xf>
    <xf numFmtId="0" fontId="4" fillId="48" borderId="100" applyNumberFormat="0" applyProtection="0">
      <alignment horizontal="left" vertical="top" indent="1"/>
    </xf>
    <xf numFmtId="0" fontId="4" fillId="56" borderId="100" applyNumberFormat="0" applyProtection="0">
      <alignment horizontal="left" vertical="center" indent="1"/>
    </xf>
    <xf numFmtId="0" fontId="4" fillId="56" borderId="100" applyNumberFormat="0" applyProtection="0">
      <alignment horizontal="left" vertical="top" indent="1"/>
    </xf>
    <xf numFmtId="0" fontId="4" fillId="112" borderId="100" applyNumberFormat="0" applyProtection="0">
      <alignment horizontal="left" vertical="center" indent="1"/>
    </xf>
    <xf numFmtId="0" fontId="4" fillId="112" borderId="100" applyNumberFormat="0" applyProtection="0">
      <alignment horizontal="left" vertical="top" indent="1"/>
    </xf>
    <xf numFmtId="0" fontId="4" fillId="54" borderId="4" applyNumberFormat="0">
      <protection locked="0"/>
    </xf>
    <xf numFmtId="0" fontId="8" fillId="52" borderId="100" applyNumberFormat="0" applyProtection="0">
      <alignment horizontal="left" vertical="top" indent="1"/>
    </xf>
    <xf numFmtId="0" fontId="8" fillId="48" borderId="100" applyNumberFormat="0" applyProtection="0">
      <alignment horizontal="left" vertical="top" indent="1"/>
    </xf>
    <xf numFmtId="0" fontId="4" fillId="0" borderId="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70" fillId="57" borderId="67" applyNumberFormat="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0" fillId="57" borderId="67" applyNumberFormat="0" applyAlignment="0" applyProtection="0"/>
    <xf numFmtId="0" fontId="70" fillId="57" borderId="67" applyNumberFormat="0" applyAlignment="0" applyProtection="0"/>
    <xf numFmtId="0" fontId="4" fillId="0" borderId="0"/>
    <xf numFmtId="0" fontId="4" fillId="0" borderId="0"/>
    <xf numFmtId="0" fontId="4" fillId="0" borderId="0"/>
    <xf numFmtId="0" fontId="70" fillId="57" borderId="67" applyNumberFormat="0" applyAlignment="0" applyProtection="0"/>
    <xf numFmtId="0" fontId="4" fillId="0" borderId="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0" fillId="57" borderId="67" applyNumberFormat="0" applyAlignment="0" applyProtection="0"/>
    <xf numFmtId="0" fontId="70" fillId="57" borderId="67" applyNumberFormat="0" applyAlignment="0" applyProtection="0"/>
    <xf numFmtId="0" fontId="4" fillId="0" borderId="0"/>
    <xf numFmtId="0" fontId="4" fillId="0" borderId="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0" fillId="57" borderId="67" applyNumberFormat="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0" fillId="57" borderId="67" applyNumberFormat="0" applyAlignment="0" applyProtection="0"/>
    <xf numFmtId="0" fontId="78" fillId="65" borderId="0" applyNumberFormat="0" applyBorder="0" applyAlignment="0" applyProtection="0"/>
    <xf numFmtId="0" fontId="78" fillId="82"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44" fontId="4" fillId="0" borderId="0" applyFont="0" applyFill="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44" fontId="4" fillId="0" borderId="0" applyFont="0" applyFill="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0" fillId="57" borderId="67" applyNumberFormat="0" applyAlignment="0" applyProtection="0"/>
    <xf numFmtId="43" fontId="4" fillId="0" borderId="0" applyFont="0" applyFill="0" applyBorder="0" applyAlignment="0" applyProtection="0"/>
    <xf numFmtId="0" fontId="70" fillId="57" borderId="67" applyNumberFormat="0" applyAlignment="0" applyProtection="0"/>
    <xf numFmtId="0" fontId="78" fillId="82" borderId="0" applyNumberFormat="0" applyBorder="0" applyAlignment="0" applyProtection="0"/>
    <xf numFmtId="0" fontId="70" fillId="57" borderId="67"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0" fillId="57" borderId="67"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4" fillId="0" borderId="0"/>
    <xf numFmtId="43" fontId="4" fillId="0" borderId="0" applyFont="0" applyFill="0" applyBorder="0" applyAlignment="0" applyProtection="0"/>
    <xf numFmtId="0" fontId="78" fillId="82" borderId="0" applyNumberFormat="0" applyBorder="0" applyAlignment="0" applyProtection="0"/>
    <xf numFmtId="0" fontId="70" fillId="57" borderId="67"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0" fillId="57" borderId="67" applyNumberFormat="0" applyAlignment="0" applyProtection="0"/>
    <xf numFmtId="0" fontId="78" fillId="64" borderId="0" applyNumberFormat="0" applyBorder="0" applyAlignment="0" applyProtection="0"/>
    <xf numFmtId="0" fontId="4" fillId="0" borderId="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4" fillId="0" borderId="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0" fillId="57" borderId="67"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4" fillId="0" borderId="0"/>
    <xf numFmtId="0" fontId="70" fillId="57" borderId="67"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78" fillId="67" borderId="0" applyNumberFormat="0" applyBorder="0" applyAlignment="0" applyProtection="0"/>
    <xf numFmtId="175" fontId="116" fillId="0" borderId="0"/>
    <xf numFmtId="175" fontId="4" fillId="0" borderId="0"/>
    <xf numFmtId="175" fontId="116" fillId="0" borderId="0"/>
    <xf numFmtId="175" fontId="116"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16" fillId="0" borderId="0"/>
    <xf numFmtId="175" fontId="116" fillId="0" borderId="0"/>
    <xf numFmtId="175" fontId="116" fillId="0" borderId="0"/>
    <xf numFmtId="175" fontId="4" fillId="0" borderId="0"/>
    <xf numFmtId="175" fontId="116" fillId="0" borderId="0"/>
    <xf numFmtId="175" fontId="4" fillId="0" borderId="0"/>
    <xf numFmtId="175" fontId="116" fillId="0" borderId="0"/>
    <xf numFmtId="175" fontId="116" fillId="0" borderId="0"/>
    <xf numFmtId="175" fontId="116"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82" fillId="0" borderId="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82" fillId="0" borderId="0"/>
    <xf numFmtId="175" fontId="4" fillId="0" borderId="0" applyFont="0" applyFill="0" applyBorder="0" applyAlignment="0" applyProtection="0"/>
    <xf numFmtId="0" fontId="116"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116" fillId="0" borderId="0"/>
    <xf numFmtId="175" fontId="4" fillId="0" borderId="0">
      <alignment vertical="center"/>
    </xf>
    <xf numFmtId="175" fontId="116" fillId="0" borderId="0"/>
    <xf numFmtId="175" fontId="116" fillId="0" borderId="0"/>
    <xf numFmtId="175" fontId="116" fillId="0" borderId="0"/>
    <xf numFmtId="175" fontId="116" fillId="0" borderId="0"/>
    <xf numFmtId="175" fontId="116" fillId="0" borderId="0"/>
    <xf numFmtId="175" fontId="116" fillId="0" borderId="0"/>
    <xf numFmtId="175" fontId="4" fillId="0" borderId="0">
      <alignment vertical="center"/>
    </xf>
    <xf numFmtId="175" fontId="4" fillId="0" borderId="0">
      <alignment vertical="center"/>
    </xf>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16" fillId="0" borderId="0"/>
    <xf numFmtId="175" fontId="116" fillId="0" borderId="0"/>
    <xf numFmtId="175" fontId="116" fillId="0" borderId="0"/>
    <xf numFmtId="175" fontId="4" fillId="0" borderId="0"/>
    <xf numFmtId="175" fontId="4" fillId="0" borderId="0"/>
    <xf numFmtId="175" fontId="4" fillId="0" borderId="0"/>
    <xf numFmtId="175" fontId="4" fillId="0" borderId="0"/>
    <xf numFmtId="175" fontId="4" fillId="0" borderId="0"/>
    <xf numFmtId="175" fontId="116" fillId="0" borderId="0"/>
    <xf numFmtId="175" fontId="116" fillId="0" borderId="0">
      <alignment vertical="justify"/>
    </xf>
    <xf numFmtId="175" fontId="8" fillId="112" borderId="0" applyNumberFormat="0" applyBorder="0" applyAlignment="0" applyProtection="0"/>
    <xf numFmtId="175" fontId="8" fillId="112" borderId="0" applyNumberFormat="0" applyBorder="0" applyAlignment="0" applyProtection="0"/>
    <xf numFmtId="0" fontId="159" fillId="23" borderId="0" applyNumberFormat="0" applyBorder="0" applyAlignment="0" applyProtection="0"/>
    <xf numFmtId="175" fontId="8" fillId="48" borderId="0" applyNumberFormat="0" applyBorder="0" applyAlignment="0" applyProtection="0"/>
    <xf numFmtId="175" fontId="8" fillId="48" borderId="0" applyNumberFormat="0" applyBorder="0" applyAlignment="0" applyProtection="0"/>
    <xf numFmtId="0" fontId="159" fillId="27" borderId="0" applyNumberFormat="0" applyBorder="0" applyAlignment="0" applyProtection="0"/>
    <xf numFmtId="175" fontId="8" fillId="123" borderId="0" applyNumberFormat="0" applyBorder="0" applyAlignment="0" applyProtection="0"/>
    <xf numFmtId="175" fontId="8" fillId="123" borderId="0" applyNumberFormat="0" applyBorder="0" applyAlignment="0" applyProtection="0"/>
    <xf numFmtId="0" fontId="159" fillId="31" borderId="0" applyNumberFormat="0" applyBorder="0" applyAlignment="0" applyProtection="0"/>
    <xf numFmtId="175" fontId="8" fillId="127" borderId="0" applyNumberFormat="0" applyBorder="0" applyAlignment="0" applyProtection="0"/>
    <xf numFmtId="175" fontId="8" fillId="127" borderId="0" applyNumberFormat="0" applyBorder="0" applyAlignment="0" applyProtection="0"/>
    <xf numFmtId="0" fontId="159" fillId="35" borderId="0" applyNumberFormat="0" applyBorder="0" applyAlignment="0" applyProtection="0"/>
    <xf numFmtId="175" fontId="8" fillId="112" borderId="0" applyNumberFormat="0" applyBorder="0" applyAlignment="0" applyProtection="0"/>
    <xf numFmtId="175" fontId="8" fillId="112" borderId="0" applyNumberFormat="0" applyBorder="0" applyAlignment="0" applyProtection="0"/>
    <xf numFmtId="0" fontId="159" fillId="39" borderId="0" applyNumberFormat="0" applyBorder="0" applyAlignment="0" applyProtection="0"/>
    <xf numFmtId="175" fontId="8" fillId="57" borderId="0" applyNumberFormat="0" applyBorder="0" applyAlignment="0" applyProtection="0"/>
    <xf numFmtId="175" fontId="8" fillId="57" borderId="0" applyNumberFormat="0" applyBorder="0" applyAlignment="0" applyProtection="0"/>
    <xf numFmtId="0" fontId="159" fillId="43" borderId="0" applyNumberFormat="0" applyBorder="0" applyAlignment="0" applyProtection="0"/>
    <xf numFmtId="175" fontId="8" fillId="61" borderId="0" applyNumberFormat="0" applyBorder="0" applyAlignment="0" applyProtection="0"/>
    <xf numFmtId="175" fontId="8" fillId="61" borderId="0" applyNumberFormat="0" applyBorder="0" applyAlignment="0" applyProtection="0"/>
    <xf numFmtId="0" fontId="159" fillId="24" borderId="0" applyNumberFormat="0" applyBorder="0" applyAlignment="0" applyProtection="0"/>
    <xf numFmtId="175" fontId="8" fillId="48" borderId="0" applyNumberFormat="0" applyBorder="0" applyAlignment="0" applyProtection="0"/>
    <xf numFmtId="175" fontId="8" fillId="48" borderId="0" applyNumberFormat="0" applyBorder="0" applyAlignment="0" applyProtection="0"/>
    <xf numFmtId="0" fontId="159" fillId="28" borderId="0" applyNumberFormat="0" applyBorder="0" applyAlignment="0" applyProtection="0"/>
    <xf numFmtId="175" fontId="8" fillId="60" borderId="0" applyNumberFormat="0" applyBorder="0" applyAlignment="0" applyProtection="0"/>
    <xf numFmtId="175" fontId="8" fillId="60" borderId="0" applyNumberFormat="0" applyBorder="0" applyAlignment="0" applyProtection="0"/>
    <xf numFmtId="0" fontId="159" fillId="32" borderId="0" applyNumberFormat="0" applyBorder="0" applyAlignment="0" applyProtection="0"/>
    <xf numFmtId="175" fontId="8" fillId="128" borderId="0" applyNumberFormat="0" applyBorder="0" applyAlignment="0" applyProtection="0"/>
    <xf numFmtId="175" fontId="8" fillId="128" borderId="0" applyNumberFormat="0" applyBorder="0" applyAlignment="0" applyProtection="0"/>
    <xf numFmtId="0" fontId="159" fillId="36" borderId="0" applyNumberFormat="0" applyBorder="0" applyAlignment="0" applyProtection="0"/>
    <xf numFmtId="175" fontId="8" fillId="58" borderId="0" applyNumberFormat="0" applyBorder="0" applyAlignment="0" applyProtection="0"/>
    <xf numFmtId="175" fontId="8" fillId="58" borderId="0" applyNumberFormat="0" applyBorder="0" applyAlignment="0" applyProtection="0"/>
    <xf numFmtId="0" fontId="159" fillId="40" borderId="0" applyNumberFormat="0" applyBorder="0" applyAlignment="0" applyProtection="0"/>
    <xf numFmtId="175" fontId="8" fillId="57" borderId="0" applyNumberFormat="0" applyBorder="0" applyAlignment="0" applyProtection="0"/>
    <xf numFmtId="175" fontId="8" fillId="57" borderId="0" applyNumberFormat="0" applyBorder="0" applyAlignment="0" applyProtection="0"/>
    <xf numFmtId="0" fontId="159" fillId="44" borderId="0" applyNumberFormat="0" applyBorder="0" applyAlignment="0" applyProtection="0"/>
    <xf numFmtId="175" fontId="35" fillId="129" borderId="0" applyNumberFormat="0" applyBorder="0" applyAlignment="0" applyProtection="0"/>
    <xf numFmtId="175" fontId="35" fillId="129" borderId="0" applyNumberFormat="0" applyBorder="0" applyAlignment="0" applyProtection="0"/>
    <xf numFmtId="0" fontId="175" fillId="25" borderId="0" applyNumberFormat="0" applyBorder="0" applyAlignment="0" applyProtection="0"/>
    <xf numFmtId="175" fontId="35" fillId="48" borderId="0" applyNumberFormat="0" applyBorder="0" applyAlignment="0" applyProtection="0"/>
    <xf numFmtId="175" fontId="35" fillId="48" borderId="0" applyNumberFormat="0" applyBorder="0" applyAlignment="0" applyProtection="0"/>
    <xf numFmtId="0" fontId="175" fillId="29" borderId="0" applyNumberFormat="0" applyBorder="0" applyAlignment="0" applyProtection="0"/>
    <xf numFmtId="175" fontId="35" fillId="60" borderId="0" applyNumberFormat="0" applyBorder="0" applyAlignment="0" applyProtection="0"/>
    <xf numFmtId="175" fontId="35" fillId="60" borderId="0" applyNumberFormat="0" applyBorder="0" applyAlignment="0" applyProtection="0"/>
    <xf numFmtId="0" fontId="175" fillId="33" borderId="0" applyNumberFormat="0" applyBorder="0" applyAlignment="0" applyProtection="0"/>
    <xf numFmtId="175" fontId="35" fillId="128" borderId="0" applyNumberFormat="0" applyBorder="0" applyAlignment="0" applyProtection="0"/>
    <xf numFmtId="175" fontId="35" fillId="128" borderId="0" applyNumberFormat="0" applyBorder="0" applyAlignment="0" applyProtection="0"/>
    <xf numFmtId="0" fontId="175" fillId="37" borderId="0" applyNumberFormat="0" applyBorder="0" applyAlignment="0" applyProtection="0"/>
    <xf numFmtId="175" fontId="35" fillId="129" borderId="0" applyNumberFormat="0" applyBorder="0" applyAlignment="0" applyProtection="0"/>
    <xf numFmtId="175" fontId="35" fillId="129" borderId="0" applyNumberFormat="0" applyBorder="0" applyAlignment="0" applyProtection="0"/>
    <xf numFmtId="0" fontId="175" fillId="41" borderId="0" applyNumberFormat="0" applyBorder="0" applyAlignment="0" applyProtection="0"/>
    <xf numFmtId="175" fontId="35" fillId="62" borderId="0" applyNumberFormat="0" applyBorder="0" applyAlignment="0" applyProtection="0"/>
    <xf numFmtId="175" fontId="35" fillId="62" borderId="0" applyNumberFormat="0" applyBorder="0" applyAlignment="0" applyProtection="0"/>
    <xf numFmtId="0" fontId="175" fillId="45" borderId="0" applyNumberFormat="0" applyBorder="0" applyAlignment="0" applyProtection="0"/>
    <xf numFmtId="0" fontId="78" fillId="67" borderId="0" applyNumberFormat="0" applyBorder="0" applyAlignment="0" applyProtection="0"/>
    <xf numFmtId="175" fontId="79" fillId="130" borderId="0" applyNumberFormat="0" applyBorder="0" applyAlignment="0" applyProtection="0"/>
    <xf numFmtId="175" fontId="79" fillId="79" borderId="0" applyNumberFormat="0" applyBorder="0" applyAlignment="0" applyProtection="0"/>
    <xf numFmtId="175" fontId="78" fillId="13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0" fontId="175" fillId="22" borderId="0" applyNumberFormat="0" applyBorder="0" applyAlignment="0" applyProtection="0"/>
    <xf numFmtId="0" fontId="78" fillId="72" borderId="0" applyNumberFormat="0" applyBorder="0" applyAlignment="0" applyProtection="0"/>
    <xf numFmtId="175" fontId="79" fillId="132" borderId="0" applyNumberFormat="0" applyBorder="0" applyAlignment="0" applyProtection="0"/>
    <xf numFmtId="175" fontId="79" fillId="78" borderId="0" applyNumberFormat="0" applyBorder="0" applyAlignment="0" applyProtection="0"/>
    <xf numFmtId="175" fontId="78" fillId="74" borderId="0" applyNumberFormat="0" applyBorder="0" applyAlignment="0" applyProtection="0"/>
    <xf numFmtId="175" fontId="78" fillId="76" borderId="0" applyNumberFormat="0" applyBorder="0" applyAlignment="0" applyProtection="0"/>
    <xf numFmtId="175" fontId="78" fillId="76" borderId="0" applyNumberFormat="0" applyBorder="0" applyAlignment="0" applyProtection="0"/>
    <xf numFmtId="0" fontId="175" fillId="26" borderId="0" applyNumberFormat="0" applyBorder="0" applyAlignment="0" applyProtection="0"/>
    <xf numFmtId="0" fontId="78" fillId="60" borderId="0" applyNumberFormat="0" applyBorder="0" applyAlignment="0" applyProtection="0"/>
    <xf numFmtId="175" fontId="79" fillId="133" borderId="0" applyNumberFormat="0" applyBorder="0" applyAlignment="0" applyProtection="0"/>
    <xf numFmtId="175" fontId="79" fillId="134" borderId="0" applyNumberFormat="0" applyBorder="0" applyAlignment="0" applyProtection="0"/>
    <xf numFmtId="175" fontId="78" fillId="135" borderId="0" applyNumberFormat="0" applyBorder="0" applyAlignment="0" applyProtection="0"/>
    <xf numFmtId="175" fontId="78" fillId="136" borderId="0" applyNumberFormat="0" applyBorder="0" applyAlignment="0" applyProtection="0"/>
    <xf numFmtId="175" fontId="78" fillId="136" borderId="0" applyNumberFormat="0" applyBorder="0" applyAlignment="0" applyProtection="0"/>
    <xf numFmtId="0" fontId="175" fillId="30" borderId="0" applyNumberFormat="0" applyBorder="0" applyAlignment="0" applyProtection="0"/>
    <xf numFmtId="0" fontId="78" fillId="64" borderId="0" applyNumberFormat="0" applyBorder="0" applyAlignment="0" applyProtection="0"/>
    <xf numFmtId="175" fontId="79" fillId="132" borderId="0" applyNumberFormat="0" applyBorder="0" applyAlignment="0" applyProtection="0"/>
    <xf numFmtId="175" fontId="79" fillId="75" borderId="0" applyNumberFormat="0" applyBorder="0" applyAlignment="0" applyProtection="0"/>
    <xf numFmtId="175" fontId="78" fillId="78" borderId="0" applyNumberFormat="0" applyBorder="0" applyAlignment="0" applyProtection="0"/>
    <xf numFmtId="175" fontId="78" fillId="137" borderId="0" applyNumberFormat="0" applyBorder="0" applyAlignment="0" applyProtection="0"/>
    <xf numFmtId="175" fontId="78" fillId="137" borderId="0" applyNumberFormat="0" applyBorder="0" applyAlignment="0" applyProtection="0"/>
    <xf numFmtId="0" fontId="175" fillId="34" borderId="0" applyNumberFormat="0" applyBorder="0" applyAlignment="0" applyProtection="0"/>
    <xf numFmtId="0" fontId="78" fillId="65" borderId="0" applyNumberFormat="0" applyBorder="0" applyAlignment="0" applyProtection="0"/>
    <xf numFmtId="175" fontId="79" fillId="77" borderId="0" applyNumberFormat="0" applyBorder="0" applyAlignment="0" applyProtection="0"/>
    <xf numFmtId="175" fontId="79" fillId="69" borderId="0" applyNumberFormat="0" applyBorder="0" applyAlignment="0" applyProtection="0"/>
    <xf numFmtId="175" fontId="78" fillId="131" borderId="0" applyNumberFormat="0" applyBorder="0" applyAlignment="0" applyProtection="0"/>
    <xf numFmtId="175" fontId="78" fillId="131" borderId="0" applyNumberFormat="0" applyBorder="0" applyAlignment="0" applyProtection="0"/>
    <xf numFmtId="175" fontId="78" fillId="131" borderId="0" applyNumberFormat="0" applyBorder="0" applyAlignment="0" applyProtection="0"/>
    <xf numFmtId="0" fontId="175" fillId="38" borderId="0" applyNumberFormat="0" applyBorder="0" applyAlignment="0" applyProtection="0"/>
    <xf numFmtId="0" fontId="78" fillId="82" borderId="0" applyNumberFormat="0" applyBorder="0" applyAlignment="0" applyProtection="0"/>
    <xf numFmtId="175" fontId="79" fillId="83" borderId="0" applyNumberFormat="0" applyBorder="0" applyAlignment="0" applyProtection="0"/>
    <xf numFmtId="175" fontId="79" fillId="84" borderId="0" applyNumberFormat="0" applyBorder="0" applyAlignment="0" applyProtection="0"/>
    <xf numFmtId="175" fontId="78" fillId="138" borderId="0" applyNumberFormat="0" applyBorder="0" applyAlignment="0" applyProtection="0"/>
    <xf numFmtId="175" fontId="78" fillId="139" borderId="0" applyNumberFormat="0" applyBorder="0" applyAlignment="0" applyProtection="0"/>
    <xf numFmtId="175" fontId="78" fillId="139" borderId="0" applyNumberFormat="0" applyBorder="0" applyAlignment="0" applyProtection="0"/>
    <xf numFmtId="0" fontId="175" fillId="42" borderId="0" applyNumberFormat="0" applyBorder="0" applyAlignment="0" applyProtection="0"/>
    <xf numFmtId="175" fontId="165" fillId="83" borderId="0" applyNumberFormat="0" applyBorder="0" applyAlignment="0" applyProtection="0"/>
    <xf numFmtId="175" fontId="165" fillId="83" borderId="0" applyNumberFormat="0" applyBorder="0" applyAlignment="0" applyProtection="0"/>
    <xf numFmtId="0" fontId="176" fillId="16" borderId="0" applyNumberFormat="0" applyBorder="0" applyAlignment="0" applyProtection="0"/>
    <xf numFmtId="175" fontId="166" fillId="140" borderId="108" applyNumberFormat="0" applyAlignment="0" applyProtection="0"/>
    <xf numFmtId="175" fontId="166" fillId="140" borderId="108" applyNumberFormat="0" applyAlignment="0" applyProtection="0"/>
    <xf numFmtId="0" fontId="177" fillId="19" borderId="43" applyNumberFormat="0" applyAlignment="0" applyProtection="0"/>
    <xf numFmtId="175" fontId="74" fillId="137" borderId="68" applyNumberFormat="0" applyAlignment="0" applyProtection="0"/>
    <xf numFmtId="175" fontId="74" fillId="137" borderId="68" applyNumberFormat="0" applyAlignment="0" applyProtection="0"/>
    <xf numFmtId="37" fontId="5" fillId="0" borderId="25">
      <alignment horizontal="center"/>
    </xf>
    <xf numFmtId="37" fontId="5" fillId="0" borderId="0">
      <alignment horizontal="center" vertical="center" wrapText="1"/>
    </xf>
    <xf numFmtId="165" fontId="159" fillId="0" borderId="0" applyFont="0" applyFill="0" applyBorder="0" applyAlignment="0" applyProtection="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67" fontId="4" fillId="0" borderId="0" applyFont="0" applyFill="0" applyBorder="0" applyAlignment="0" applyProtection="0"/>
    <xf numFmtId="167" fontId="15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67" fontId="4" fillId="0" borderId="0" applyFont="0" applyFill="0" applyBorder="0" applyAlignment="0" applyProtection="0"/>
    <xf numFmtId="176" fontId="116"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60" fillId="0" borderId="0" applyFont="0" applyFill="0" applyBorder="0" applyAlignment="0" applyProtection="0"/>
    <xf numFmtId="167" fontId="160" fillId="0" borderId="0" applyFont="0" applyFill="0" applyBorder="0" applyAlignment="0" applyProtection="0"/>
    <xf numFmtId="167" fontId="160" fillId="0" borderId="0" applyFont="0" applyFill="0" applyBorder="0" applyAlignment="0" applyProtection="0"/>
    <xf numFmtId="167" fontId="160"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8" fillId="0" borderId="0" applyFont="0" applyFill="0" applyBorder="0" applyAlignment="0" applyProtection="0"/>
    <xf numFmtId="167" fontId="116" fillId="0" borderId="0" applyFont="0" applyFill="0" applyBorder="0" applyAlignment="0" applyProtection="0"/>
    <xf numFmtId="175" fontId="4" fillId="0" borderId="0">
      <alignment vertical="center"/>
    </xf>
    <xf numFmtId="0" fontId="116" fillId="0" borderId="0"/>
    <xf numFmtId="167" fontId="79"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43" fontId="4" fillId="0" borderId="0" applyFont="0" applyFill="0" applyBorder="0" applyAlignment="0" applyProtection="0"/>
    <xf numFmtId="167" fontId="178" fillId="0" borderId="0" applyFont="0" applyFill="0" applyBorder="0" applyAlignment="0" applyProtection="0"/>
    <xf numFmtId="43" fontId="3"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43" fontId="163" fillId="146" borderId="0" applyBorder="0">
      <alignment vertical="center"/>
    </xf>
    <xf numFmtId="164" fontId="159" fillId="0" borderId="0" applyFont="0" applyFill="0" applyBorder="0" applyAlignment="0" applyProtection="0"/>
    <xf numFmtId="166" fontId="159" fillId="0" borderId="0" applyFont="0" applyFill="0" applyBorder="0" applyAlignment="0" applyProtection="0"/>
    <xf numFmtId="178" fontId="4" fillId="0" borderId="0" applyFill="0" applyBorder="0"/>
    <xf numFmtId="175" fontId="77" fillId="141" borderId="0" applyNumberFormat="0" applyBorder="0" applyAlignment="0" applyProtection="0"/>
    <xf numFmtId="175" fontId="77" fillId="142" borderId="0" applyNumberFormat="0" applyBorder="0" applyAlignment="0" applyProtection="0"/>
    <xf numFmtId="0" fontId="116" fillId="0" borderId="0"/>
    <xf numFmtId="175" fontId="77" fillId="93" borderId="0" applyNumberFormat="0" applyBorder="0" applyAlignment="0" applyProtection="0"/>
    <xf numFmtId="175" fontId="93" fillId="0" borderId="0" applyFont="0" applyFill="0" applyBorder="0" applyAlignment="0" applyProtection="0"/>
    <xf numFmtId="175" fontId="167" fillId="0" borderId="0" applyNumberFormat="0" applyFill="0" applyBorder="0" applyAlignment="0" applyProtection="0"/>
    <xf numFmtId="175" fontId="167" fillId="0" borderId="0" applyNumberFormat="0" applyFill="0" applyBorder="0" applyAlignment="0" applyProtection="0"/>
    <xf numFmtId="0" fontId="179" fillId="0" borderId="0" applyNumberFormat="0" applyFill="0" applyBorder="0" applyAlignment="0" applyProtection="0"/>
    <xf numFmtId="175" fontId="79" fillId="134" borderId="0" applyNumberFormat="0" applyBorder="0" applyAlignment="0" applyProtection="0"/>
    <xf numFmtId="175" fontId="79" fillId="134" borderId="0" applyNumberFormat="0" applyBorder="0" applyAlignment="0" applyProtection="0"/>
    <xf numFmtId="0" fontId="180" fillId="15" borderId="0" applyNumberForma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87" fillId="0" borderId="73" applyNumberFormat="0" applyFill="0" applyAlignment="0" applyProtection="0"/>
    <xf numFmtId="175" fontId="87" fillId="0" borderId="73" applyNumberFormat="0" applyFill="0" applyAlignment="0" applyProtection="0"/>
    <xf numFmtId="175" fontId="168" fillId="0" borderId="109" applyNumberFormat="0" applyFill="0" applyAlignment="0" applyProtection="0"/>
    <xf numFmtId="175" fontId="168" fillId="0" borderId="109" applyNumberFormat="0" applyFill="0" applyAlignment="0" applyProtection="0"/>
    <xf numFmtId="175" fontId="89" fillId="0" borderId="110" applyNumberFormat="0" applyFill="0" applyAlignment="0" applyProtection="0"/>
    <xf numFmtId="175" fontId="89" fillId="0" borderId="110" applyNumberFormat="0" applyFill="0" applyAlignment="0" applyProtection="0"/>
    <xf numFmtId="175" fontId="89" fillId="0" borderId="0" applyNumberFormat="0" applyFill="0" applyBorder="0" applyAlignment="0" applyProtection="0"/>
    <xf numFmtId="175" fontId="89" fillId="0" borderId="0" applyNumberFormat="0" applyFill="0" applyBorder="0" applyAlignment="0" applyProtection="0"/>
    <xf numFmtId="0" fontId="181" fillId="0" borderId="0" applyNumberFormat="0" applyFill="0" applyBorder="0" applyAlignment="0" applyProtection="0"/>
    <xf numFmtId="0" fontId="164"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70" fillId="57" borderId="67" applyNumberFormat="0" applyAlignment="0" applyProtection="0"/>
    <xf numFmtId="175" fontId="90" fillId="84" borderId="108" applyNumberFormat="0" applyAlignment="0" applyProtection="0"/>
    <xf numFmtId="175" fontId="90" fillId="84" borderId="108" applyNumberFormat="0" applyAlignment="0" applyProtection="0"/>
    <xf numFmtId="0" fontId="183" fillId="18" borderId="43" applyNumberFormat="0" applyAlignment="0" applyProtection="0"/>
    <xf numFmtId="175" fontId="169" fillId="52" borderId="0"/>
    <xf numFmtId="243" fontId="184" fillId="147" borderId="0"/>
    <xf numFmtId="243" fontId="185" fillId="122" borderId="0"/>
    <xf numFmtId="243" fontId="163" fillId="148" borderId="0"/>
    <xf numFmtId="243" fontId="186" fillId="0" borderId="0" applyFill="0" applyBorder="0">
      <alignment vertical="center"/>
    </xf>
    <xf numFmtId="175" fontId="67" fillId="0" borderId="111" applyNumberFormat="0" applyFill="0" applyAlignment="0" applyProtection="0"/>
    <xf numFmtId="175" fontId="67" fillId="0" borderId="111" applyNumberFormat="0" applyFill="0" applyAlignment="0" applyProtection="0"/>
    <xf numFmtId="37" fontId="58" fillId="0" borderId="0"/>
    <xf numFmtId="175" fontId="67" fillId="84" borderId="0" applyNumberFormat="0" applyBorder="0" applyAlignment="0" applyProtection="0"/>
    <xf numFmtId="175" fontId="67" fillId="84" borderId="0" applyNumberFormat="0" applyBorder="0" applyAlignment="0" applyProtection="0"/>
    <xf numFmtId="0" fontId="187" fillId="17" borderId="0" applyNumberFormat="0" applyBorder="0" applyAlignment="0" applyProtection="0"/>
    <xf numFmtId="38" fontId="4" fillId="0" borderId="0" applyFont="0" applyFill="0" applyBorder="0" applyAlignment="0" applyProtection="0"/>
    <xf numFmtId="175" fontId="160" fillId="0" borderId="0"/>
    <xf numFmtId="175" fontId="160" fillId="0" borderId="0"/>
    <xf numFmtId="175" fontId="160" fillId="0" borderId="0"/>
    <xf numFmtId="175" fontId="160" fillId="0" borderId="0"/>
    <xf numFmtId="175" fontId="160" fillId="0" borderId="0"/>
    <xf numFmtId="0" fontId="159" fillId="0" borderId="0"/>
    <xf numFmtId="0" fontId="159" fillId="0" borderId="0"/>
    <xf numFmtId="0" fontId="159" fillId="0" borderId="0"/>
    <xf numFmtId="0" fontId="116" fillId="0" borderId="0"/>
    <xf numFmtId="0" fontId="159" fillId="0" borderId="0"/>
    <xf numFmtId="175" fontId="4" fillId="0" borderId="0"/>
    <xf numFmtId="175" fontId="4" fillId="0" borderId="0"/>
    <xf numFmtId="175" fontId="4" fillId="0" borderId="0"/>
    <xf numFmtId="175" fontId="4" fillId="0" borderId="0"/>
    <xf numFmtId="175" fontId="79" fillId="0" borderId="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79" fillId="0" borderId="0"/>
    <xf numFmtId="175" fontId="79" fillId="0" borderId="0" applyFill="0" applyBorder="0" applyAlignment="0" applyProtection="0"/>
    <xf numFmtId="175" fontId="4"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79" fillId="0" borderId="0" applyFill="0" applyBorder="0" applyAlignment="0" applyProtection="0"/>
    <xf numFmtId="175" fontId="79" fillId="0" borderId="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4"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59" fillId="0" borderId="0"/>
    <xf numFmtId="0" fontId="15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4" fillId="0" borderId="0"/>
    <xf numFmtId="175" fontId="4" fillId="0" borderId="0"/>
    <xf numFmtId="175" fontId="4" fillId="0" borderId="0"/>
    <xf numFmtId="175" fontId="3" fillId="0" borderId="0"/>
    <xf numFmtId="175" fontId="4" fillId="0" borderId="0">
      <alignment vertical="center"/>
    </xf>
    <xf numFmtId="175" fontId="4"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4" fillId="0" borderId="0"/>
    <xf numFmtId="175" fontId="4" fillId="0" borderId="0"/>
    <xf numFmtId="175" fontId="4" fillId="0" borderId="0"/>
    <xf numFmtId="175" fontId="4" fillId="0" borderId="0"/>
    <xf numFmtId="0" fontId="116" fillId="0" borderId="0"/>
    <xf numFmtId="175" fontId="79" fillId="0" borderId="0" applyFill="0" applyBorder="0" applyAlignment="0" applyProtection="0"/>
    <xf numFmtId="175" fontId="79" fillId="0" borderId="0" applyFill="0" applyBorder="0" applyAlignment="0" applyProtection="0"/>
    <xf numFmtId="175" fontId="178" fillId="0" borderId="0"/>
    <xf numFmtId="175" fontId="178" fillId="0" borderId="0"/>
    <xf numFmtId="175" fontId="178" fillId="0" borderId="0"/>
    <xf numFmtId="175" fontId="178" fillId="0" borderId="0"/>
    <xf numFmtId="175" fontId="178" fillId="0" borderId="0"/>
    <xf numFmtId="175" fontId="79" fillId="0" borderId="0" applyFill="0" applyBorder="0" applyAlignment="0" applyProtection="0"/>
    <xf numFmtId="175" fontId="178"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178" fillId="0" borderId="0"/>
    <xf numFmtId="175" fontId="178"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4" fillId="0" borderId="0"/>
    <xf numFmtId="175" fontId="178" fillId="0" borderId="0"/>
    <xf numFmtId="175" fontId="79" fillId="0" borderId="0" applyFill="0" applyBorder="0" applyAlignment="0" applyProtection="0"/>
    <xf numFmtId="175" fontId="160" fillId="0" borderId="0"/>
    <xf numFmtId="175" fontId="160"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0" fontId="4"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0" fontId="3" fillId="0" borderId="0"/>
    <xf numFmtId="175" fontId="79" fillId="0" borderId="0" applyFill="0" applyBorder="0" applyAlignment="0" applyProtection="0"/>
    <xf numFmtId="175" fontId="79" fillId="0" borderId="0"/>
    <xf numFmtId="175" fontId="79" fillId="0" borderId="0"/>
    <xf numFmtId="175" fontId="116" fillId="0" borderId="0">
      <alignment vertical="top"/>
    </xf>
    <xf numFmtId="175" fontId="116" fillId="0" borderId="0">
      <alignment vertical="top"/>
    </xf>
    <xf numFmtId="175" fontId="61" fillId="0" borderId="0" applyFill="0" applyBorder="0">
      <protection locked="0"/>
    </xf>
    <xf numFmtId="175" fontId="4" fillId="0" borderId="0">
      <alignment vertical="center"/>
    </xf>
    <xf numFmtId="0" fontId="116" fillId="0" borderId="0"/>
    <xf numFmtId="175" fontId="48" fillId="83" borderId="108" applyNumberFormat="0" applyFont="0" applyAlignment="0" applyProtection="0"/>
    <xf numFmtId="0" fontId="116" fillId="0" borderId="0"/>
    <xf numFmtId="175" fontId="48" fillId="83" borderId="108" applyNumberFormat="0" applyFont="0" applyAlignment="0" applyProtection="0"/>
    <xf numFmtId="175" fontId="48" fillId="83" borderId="108" applyNumberFormat="0" applyFont="0" applyAlignment="0" applyProtection="0"/>
    <xf numFmtId="175" fontId="48" fillId="83" borderId="108" applyNumberFormat="0" applyFont="0" applyAlignment="0" applyProtection="0"/>
    <xf numFmtId="175" fontId="48" fillId="83" borderId="108" applyNumberFormat="0" applyFont="0" applyAlignment="0" applyProtection="0"/>
    <xf numFmtId="175" fontId="48" fillId="83" borderId="108" applyNumberFormat="0" applyFont="0" applyAlignment="0" applyProtection="0"/>
    <xf numFmtId="175" fontId="48" fillId="83" borderId="108" applyNumberFormat="0" applyFont="0" applyAlignment="0" applyProtection="0"/>
    <xf numFmtId="175" fontId="48" fillId="83" borderId="108" applyNumberFormat="0" applyFont="0" applyAlignment="0" applyProtection="0"/>
    <xf numFmtId="175" fontId="48" fillId="83" borderId="108"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4" fillId="52" borderId="80" applyNumberFormat="0" applyFont="0" applyAlignment="0" applyProtection="0"/>
    <xf numFmtId="0" fontId="159" fillId="21" borderId="47" applyNumberFormat="0" applyFont="0" applyAlignment="0" applyProtection="0"/>
    <xf numFmtId="175" fontId="71" fillId="140" borderId="81" applyNumberFormat="0" applyAlignment="0" applyProtection="0"/>
    <xf numFmtId="175" fontId="71" fillId="140" borderId="81" applyNumberFormat="0" applyAlignment="0" applyProtection="0"/>
    <xf numFmtId="0" fontId="116" fillId="0" borderId="0"/>
    <xf numFmtId="10" fontId="185" fillId="0" borderId="0" applyFont="0" applyFill="0" applyBorder="0" applyAlignment="0" applyProtection="0">
      <alignment vertical="center"/>
    </xf>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10" fontId="185" fillId="0" borderId="0" applyFont="0" applyFill="0" applyBorder="0" applyAlignment="0" applyProtection="0">
      <alignment vertical="center"/>
    </xf>
    <xf numFmtId="9" fontId="178"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8"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170" fontId="160" fillId="106" borderId="4">
      <alignment vertical="center"/>
    </xf>
    <xf numFmtId="245" fontId="160" fillId="106" borderId="4">
      <alignment vertical="center"/>
    </xf>
    <xf numFmtId="245" fontId="160" fillId="106" borderId="4">
      <alignment vertical="center"/>
    </xf>
    <xf numFmtId="175" fontId="160" fillId="106" borderId="4">
      <alignment vertical="center"/>
    </xf>
    <xf numFmtId="175" fontId="160" fillId="106" borderId="4">
      <alignment vertical="center"/>
    </xf>
    <xf numFmtId="175" fontId="160" fillId="106" borderId="4">
      <alignment vertical="center"/>
    </xf>
    <xf numFmtId="175" fontId="160" fillId="106" borderId="4">
      <alignment vertical="center"/>
    </xf>
    <xf numFmtId="244" fontId="160" fillId="106" borderId="4">
      <alignment vertical="center"/>
    </xf>
    <xf numFmtId="244" fontId="160" fillId="106" borderId="4">
      <alignment vertical="center"/>
    </xf>
    <xf numFmtId="244" fontId="159" fillId="126" borderId="4">
      <alignment vertical="center"/>
    </xf>
    <xf numFmtId="170" fontId="160" fillId="106" borderId="4">
      <alignment vertical="center"/>
    </xf>
    <xf numFmtId="175" fontId="170" fillId="0" borderId="0"/>
    <xf numFmtId="246" fontId="160" fillId="0" borderId="0">
      <protection locked="0"/>
    </xf>
    <xf numFmtId="246" fontId="160" fillId="0" borderId="0">
      <protection locked="0"/>
    </xf>
    <xf numFmtId="245" fontId="160" fillId="95" borderId="4">
      <alignment vertical="center"/>
      <protection locked="0"/>
    </xf>
    <xf numFmtId="247" fontId="160" fillId="95" borderId="4">
      <alignment vertical="center"/>
      <protection locked="0"/>
    </xf>
    <xf numFmtId="175" fontId="160" fillId="95" borderId="4">
      <alignment vertical="center"/>
      <protection locked="0"/>
    </xf>
    <xf numFmtId="175" fontId="160" fillId="95" borderId="4">
      <alignment vertical="center"/>
      <protection locked="0"/>
    </xf>
    <xf numFmtId="247" fontId="160" fillId="95" borderId="4">
      <alignment vertical="center"/>
      <protection locked="0"/>
    </xf>
    <xf numFmtId="247" fontId="160" fillId="95" borderId="4">
      <alignment vertical="center"/>
      <protection locked="0"/>
    </xf>
    <xf numFmtId="175" fontId="160" fillId="95" borderId="4">
      <alignment vertical="center"/>
      <protection locked="0"/>
    </xf>
    <xf numFmtId="175" fontId="160" fillId="95" borderId="4">
      <alignment vertical="center"/>
      <protection locked="0"/>
    </xf>
    <xf numFmtId="247" fontId="160" fillId="95" borderId="4">
      <alignment vertical="center"/>
      <protection locked="0"/>
    </xf>
    <xf numFmtId="245" fontId="160" fillId="95" borderId="4">
      <alignment vertical="center"/>
      <protection locked="0"/>
    </xf>
    <xf numFmtId="245" fontId="160" fillId="95" borderId="4">
      <alignment vertical="center"/>
      <protection locked="0"/>
    </xf>
    <xf numFmtId="176" fontId="160" fillId="95" borderId="4">
      <alignment vertical="center"/>
      <protection locked="0"/>
    </xf>
    <xf numFmtId="176" fontId="160" fillId="95" borderId="4">
      <alignment vertical="center"/>
      <protection locked="0"/>
    </xf>
    <xf numFmtId="176" fontId="160" fillId="95" borderId="4">
      <alignment vertical="center"/>
      <protection locked="0"/>
    </xf>
    <xf numFmtId="176" fontId="160" fillId="95" borderId="4">
      <alignment vertical="center"/>
      <protection locked="0"/>
    </xf>
    <xf numFmtId="245" fontId="160" fillId="95" borderId="4">
      <alignment vertical="center"/>
      <protection locked="0"/>
    </xf>
    <xf numFmtId="245" fontId="160" fillId="105" borderId="4">
      <alignment vertical="center"/>
    </xf>
    <xf numFmtId="245" fontId="160" fillId="105" borderId="4">
      <alignment vertical="center"/>
    </xf>
    <xf numFmtId="247" fontId="160" fillId="105" borderId="4">
      <alignment vertical="center"/>
    </xf>
    <xf numFmtId="247" fontId="160" fillId="105" borderId="4">
      <alignment vertical="center"/>
    </xf>
    <xf numFmtId="247" fontId="160" fillId="105" borderId="4">
      <alignment vertical="center"/>
    </xf>
    <xf numFmtId="247" fontId="160" fillId="105" borderId="4">
      <alignment vertical="center"/>
    </xf>
    <xf numFmtId="244" fontId="160" fillId="105" borderId="4">
      <alignment vertical="center"/>
    </xf>
    <xf numFmtId="170" fontId="160" fillId="105" borderId="4">
      <alignment vertical="center"/>
    </xf>
    <xf numFmtId="175" fontId="160" fillId="105" borderId="4">
      <alignment vertical="center"/>
    </xf>
    <xf numFmtId="175" fontId="160" fillId="105" borderId="4">
      <alignment vertical="center"/>
    </xf>
    <xf numFmtId="175" fontId="160" fillId="105" borderId="4">
      <alignment vertical="center"/>
    </xf>
    <xf numFmtId="175" fontId="160" fillId="105" borderId="4">
      <alignment vertical="center"/>
    </xf>
    <xf numFmtId="245" fontId="160" fillId="105" borderId="4">
      <alignment vertical="center"/>
    </xf>
    <xf numFmtId="245" fontId="160" fillId="105" borderId="4">
      <alignment vertical="center"/>
    </xf>
    <xf numFmtId="245" fontId="160" fillId="105" borderId="4">
      <alignment vertical="center"/>
    </xf>
    <xf numFmtId="245" fontId="160" fillId="105" borderId="4">
      <alignment vertical="center"/>
    </xf>
    <xf numFmtId="245" fontId="160" fillId="143" borderId="4">
      <alignment horizontal="right" vertical="center"/>
      <protection locked="0"/>
    </xf>
    <xf numFmtId="175" fontId="160" fillId="143" borderId="4">
      <alignment horizontal="right" vertical="center"/>
      <protection locked="0"/>
    </xf>
    <xf numFmtId="175" fontId="160" fillId="143" borderId="4">
      <alignment horizontal="right" vertical="center"/>
      <protection locked="0"/>
    </xf>
    <xf numFmtId="170" fontId="160" fillId="143" borderId="4">
      <alignment horizontal="right" vertical="center"/>
      <protection locked="0"/>
    </xf>
    <xf numFmtId="244" fontId="160" fillId="143" borderId="4">
      <alignment horizontal="right" vertical="center"/>
      <protection locked="0"/>
    </xf>
    <xf numFmtId="170" fontId="160" fillId="143" borderId="4">
      <alignment horizontal="right" vertical="center"/>
      <protection locked="0"/>
    </xf>
    <xf numFmtId="245" fontId="160" fillId="143" borderId="4">
      <alignment horizontal="right" vertical="center"/>
      <protection locked="0"/>
    </xf>
    <xf numFmtId="245" fontId="160" fillId="143" borderId="4">
      <alignment horizontal="right" vertical="center"/>
      <protection locked="0"/>
    </xf>
    <xf numFmtId="245" fontId="160" fillId="143" borderId="4">
      <alignment horizontal="right" vertical="center"/>
      <protection locked="0"/>
    </xf>
    <xf numFmtId="4" fontId="48" fillId="97" borderId="108" applyNumberFormat="0" applyProtection="0">
      <alignment vertical="center"/>
    </xf>
    <xf numFmtId="4" fontId="171" fillId="101" borderId="108" applyNumberFormat="0" applyProtection="0">
      <alignment vertical="center"/>
    </xf>
    <xf numFmtId="4" fontId="48" fillId="101" borderId="108" applyNumberFormat="0" applyProtection="0">
      <alignment horizontal="left" vertical="center" indent="1"/>
    </xf>
    <xf numFmtId="175" fontId="53" fillId="97" borderId="100" applyNumberFormat="0" applyProtection="0">
      <alignment horizontal="left" vertical="top" indent="1"/>
    </xf>
    <xf numFmtId="4" fontId="48" fillId="65" borderId="108" applyNumberFormat="0" applyProtection="0">
      <alignment horizontal="left" vertical="center" indent="1"/>
    </xf>
    <xf numFmtId="4" fontId="48" fillId="49" borderId="108" applyNumberFormat="0" applyProtection="0">
      <alignment horizontal="right" vertical="center"/>
    </xf>
    <xf numFmtId="4" fontId="48" fillId="144" borderId="108" applyNumberFormat="0" applyProtection="0">
      <alignment horizontal="right" vertical="center"/>
    </xf>
    <xf numFmtId="4" fontId="48" fillId="72" borderId="86" applyNumberFormat="0" applyProtection="0">
      <alignment horizontal="right" vertical="center"/>
    </xf>
    <xf numFmtId="4" fontId="48" fillId="62" borderId="108" applyNumberFormat="0" applyProtection="0">
      <alignment horizontal="right" vertical="center"/>
    </xf>
    <xf numFmtId="4" fontId="48" fillId="66" borderId="108" applyNumberFormat="0" applyProtection="0">
      <alignment horizontal="right" vertical="center"/>
    </xf>
    <xf numFmtId="4" fontId="48" fillId="82" borderId="108" applyNumberFormat="0" applyProtection="0">
      <alignment horizontal="right" vertical="center"/>
    </xf>
    <xf numFmtId="4" fontId="48" fillId="60" borderId="108" applyNumberFormat="0" applyProtection="0">
      <alignment horizontal="right" vertical="center"/>
    </xf>
    <xf numFmtId="4" fontId="48" fillId="123" borderId="108" applyNumberFormat="0" applyProtection="0">
      <alignment horizontal="right" vertical="center"/>
    </xf>
    <xf numFmtId="4" fontId="48" fillId="59" borderId="108" applyNumberFormat="0" applyProtection="0">
      <alignment horizontal="right" vertical="center"/>
    </xf>
    <xf numFmtId="4" fontId="48" fillId="124" borderId="86" applyNumberFormat="0" applyProtection="0">
      <alignment horizontal="left" vertical="center" indent="1"/>
    </xf>
    <xf numFmtId="4" fontId="4" fillId="58" borderId="86" applyNumberFormat="0" applyProtection="0">
      <alignment horizontal="left" vertical="center" indent="1"/>
    </xf>
    <xf numFmtId="4" fontId="4" fillId="58" borderId="86" applyNumberFormat="0" applyProtection="0">
      <alignment horizontal="left" vertical="center" indent="1"/>
    </xf>
    <xf numFmtId="4" fontId="48" fillId="48" borderId="108" applyNumberFormat="0" applyProtection="0">
      <alignment horizontal="right" vertical="center"/>
    </xf>
    <xf numFmtId="4" fontId="48" fillId="112" borderId="86" applyNumberFormat="0" applyProtection="0">
      <alignment horizontal="left" vertical="center" indent="1"/>
    </xf>
    <xf numFmtId="4" fontId="48" fillId="112" borderId="86" applyNumberFormat="0" applyProtection="0">
      <alignment horizontal="left" vertical="center" indent="1"/>
    </xf>
    <xf numFmtId="4" fontId="48" fillId="48" borderId="86" applyNumberFormat="0" applyProtection="0">
      <alignment horizontal="left" vertical="center" indent="1"/>
    </xf>
    <xf numFmtId="4" fontId="48" fillId="48" borderId="86" applyNumberFormat="0" applyProtection="0">
      <alignment horizontal="left" vertical="center" indent="1"/>
    </xf>
    <xf numFmtId="175" fontId="4" fillId="58" borderId="100" applyNumberFormat="0" applyProtection="0">
      <alignment horizontal="left" vertical="center" indent="1"/>
    </xf>
    <xf numFmtId="175" fontId="48" fillId="61" borderId="108" applyNumberFormat="0" applyProtection="0">
      <alignment horizontal="left" vertical="center" indent="1"/>
    </xf>
    <xf numFmtId="175" fontId="48" fillId="61" borderId="108" applyNumberFormat="0" applyProtection="0">
      <alignment horizontal="left" vertical="center" indent="1"/>
    </xf>
    <xf numFmtId="175" fontId="4" fillId="58" borderId="100" applyNumberFormat="0" applyProtection="0">
      <alignment horizontal="left" vertical="top" indent="1"/>
    </xf>
    <xf numFmtId="175" fontId="48" fillId="58" borderId="100" applyNumberFormat="0" applyProtection="0">
      <alignment horizontal="left" vertical="top" indent="1"/>
    </xf>
    <xf numFmtId="175" fontId="48" fillId="58" borderId="100" applyNumberFormat="0" applyProtection="0">
      <alignment horizontal="left" vertical="top" indent="1"/>
    </xf>
    <xf numFmtId="175" fontId="48" fillId="58" borderId="100" applyNumberFormat="0" applyProtection="0">
      <alignment horizontal="left" vertical="top" indent="1"/>
    </xf>
    <xf numFmtId="175" fontId="48" fillId="58" borderId="100" applyNumberFormat="0" applyProtection="0">
      <alignment horizontal="left" vertical="top" indent="1"/>
    </xf>
    <xf numFmtId="175" fontId="48" fillId="58" borderId="100" applyNumberFormat="0" applyProtection="0">
      <alignment horizontal="left" vertical="top" indent="1"/>
    </xf>
    <xf numFmtId="175" fontId="48" fillId="58" borderId="100" applyNumberFormat="0" applyProtection="0">
      <alignment horizontal="left" vertical="top" indent="1"/>
    </xf>
    <xf numFmtId="175" fontId="48" fillId="58" borderId="100" applyNumberFormat="0" applyProtection="0">
      <alignment horizontal="left" vertical="top" indent="1"/>
    </xf>
    <xf numFmtId="175" fontId="48" fillId="58" borderId="100" applyNumberFormat="0" applyProtection="0">
      <alignment horizontal="left" vertical="top" indent="1"/>
    </xf>
    <xf numFmtId="175" fontId="48" fillId="58" borderId="100" applyNumberFormat="0" applyProtection="0">
      <alignment horizontal="left" vertical="top" indent="1"/>
    </xf>
    <xf numFmtId="175" fontId="48" fillId="58" borderId="100" applyNumberFormat="0" applyProtection="0">
      <alignment horizontal="left" vertical="top" indent="1"/>
    </xf>
    <xf numFmtId="175" fontId="4" fillId="48" borderId="100" applyNumberFormat="0" applyProtection="0">
      <alignment horizontal="left" vertical="center" indent="1"/>
    </xf>
    <xf numFmtId="175" fontId="48" fillId="145" borderId="108" applyNumberFormat="0" applyProtection="0">
      <alignment horizontal="left" vertical="center" indent="1"/>
    </xf>
    <xf numFmtId="175" fontId="48" fillId="145" borderId="108" applyNumberFormat="0" applyProtection="0">
      <alignment horizontal="left" vertical="center" indent="1"/>
    </xf>
    <xf numFmtId="175" fontId="4" fillId="48" borderId="100" applyNumberFormat="0" applyProtection="0">
      <alignment horizontal="left" vertical="top" indent="1"/>
    </xf>
    <xf numFmtId="175" fontId="48" fillId="48" borderId="100" applyNumberFormat="0" applyProtection="0">
      <alignment horizontal="left" vertical="top" indent="1"/>
    </xf>
    <xf numFmtId="175" fontId="48" fillId="48" borderId="100" applyNumberFormat="0" applyProtection="0">
      <alignment horizontal="left" vertical="top" indent="1"/>
    </xf>
    <xf numFmtId="175" fontId="48" fillId="48" borderId="100" applyNumberFormat="0" applyProtection="0">
      <alignment horizontal="left" vertical="top" indent="1"/>
    </xf>
    <xf numFmtId="175" fontId="48" fillId="48" borderId="100" applyNumberFormat="0" applyProtection="0">
      <alignment horizontal="left" vertical="top" indent="1"/>
    </xf>
    <xf numFmtId="175" fontId="48" fillId="48" borderId="100" applyNumberFormat="0" applyProtection="0">
      <alignment horizontal="left" vertical="top" indent="1"/>
    </xf>
    <xf numFmtId="175" fontId="48" fillId="48" borderId="100" applyNumberFormat="0" applyProtection="0">
      <alignment horizontal="left" vertical="top" indent="1"/>
    </xf>
    <xf numFmtId="175" fontId="48" fillId="48" borderId="100" applyNumberFormat="0" applyProtection="0">
      <alignment horizontal="left" vertical="top" indent="1"/>
    </xf>
    <xf numFmtId="175" fontId="48" fillId="48" borderId="100" applyNumberFormat="0" applyProtection="0">
      <alignment horizontal="left" vertical="top" indent="1"/>
    </xf>
    <xf numFmtId="175" fontId="48" fillId="48" borderId="100" applyNumberFormat="0" applyProtection="0">
      <alignment horizontal="left" vertical="top" indent="1"/>
    </xf>
    <xf numFmtId="175" fontId="48" fillId="48" borderId="100" applyNumberFormat="0" applyProtection="0">
      <alignment horizontal="left" vertical="top" indent="1"/>
    </xf>
    <xf numFmtId="175" fontId="4" fillId="56" borderId="100" applyNumberFormat="0" applyProtection="0">
      <alignment horizontal="left" vertical="center" indent="1"/>
    </xf>
    <xf numFmtId="175" fontId="48" fillId="56" borderId="108" applyNumberFormat="0" applyProtection="0">
      <alignment horizontal="left" vertical="center" indent="1"/>
    </xf>
    <xf numFmtId="175" fontId="48" fillId="56" borderId="108" applyNumberFormat="0" applyProtection="0">
      <alignment horizontal="left" vertical="center" indent="1"/>
    </xf>
    <xf numFmtId="0" fontId="4" fillId="0" borderId="0"/>
    <xf numFmtId="175" fontId="4" fillId="56" borderId="100" applyNumberFormat="0" applyProtection="0">
      <alignment horizontal="left" vertical="top" indent="1"/>
    </xf>
    <xf numFmtId="175" fontId="48" fillId="56" borderId="100" applyNumberFormat="0" applyProtection="0">
      <alignment horizontal="left" vertical="top" indent="1"/>
    </xf>
    <xf numFmtId="175" fontId="48" fillId="56" borderId="100" applyNumberFormat="0" applyProtection="0">
      <alignment horizontal="left" vertical="top" indent="1"/>
    </xf>
    <xf numFmtId="175" fontId="48" fillId="56" borderId="100" applyNumberFormat="0" applyProtection="0">
      <alignment horizontal="left" vertical="top" indent="1"/>
    </xf>
    <xf numFmtId="175" fontId="48" fillId="56" borderId="100" applyNumberFormat="0" applyProtection="0">
      <alignment horizontal="left" vertical="top" indent="1"/>
    </xf>
    <xf numFmtId="175" fontId="48" fillId="56" borderId="100" applyNumberFormat="0" applyProtection="0">
      <alignment horizontal="left" vertical="top" indent="1"/>
    </xf>
    <xf numFmtId="175" fontId="48" fillId="56" borderId="100" applyNumberFormat="0" applyProtection="0">
      <alignment horizontal="left" vertical="top" indent="1"/>
    </xf>
    <xf numFmtId="175" fontId="48" fillId="56" borderId="100" applyNumberFormat="0" applyProtection="0">
      <alignment horizontal="left" vertical="top" indent="1"/>
    </xf>
    <xf numFmtId="175" fontId="48" fillId="56" borderId="100" applyNumberFormat="0" applyProtection="0">
      <alignment horizontal="left" vertical="top" indent="1"/>
    </xf>
    <xf numFmtId="175" fontId="48" fillId="56" borderId="100" applyNumberFormat="0" applyProtection="0">
      <alignment horizontal="left" vertical="top" indent="1"/>
    </xf>
    <xf numFmtId="175" fontId="48" fillId="56" borderId="100" applyNumberFormat="0" applyProtection="0">
      <alignment horizontal="left" vertical="top" indent="1"/>
    </xf>
    <xf numFmtId="175" fontId="4" fillId="112" borderId="100" applyNumberFormat="0" applyProtection="0">
      <alignment horizontal="left" vertical="center" indent="1"/>
    </xf>
    <xf numFmtId="175" fontId="48" fillId="112" borderId="108" applyNumberFormat="0" applyProtection="0">
      <alignment horizontal="left" vertical="center" indent="1"/>
    </xf>
    <xf numFmtId="175" fontId="48" fillId="112" borderId="108" applyNumberFormat="0" applyProtection="0">
      <alignment horizontal="left" vertical="center" indent="1"/>
    </xf>
    <xf numFmtId="175" fontId="4" fillId="112" borderId="100" applyNumberFormat="0" applyProtection="0">
      <alignment horizontal="left" vertical="top" indent="1"/>
    </xf>
    <xf numFmtId="175" fontId="48" fillId="112" borderId="100" applyNumberFormat="0" applyProtection="0">
      <alignment horizontal="left" vertical="top" indent="1"/>
    </xf>
    <xf numFmtId="175" fontId="48" fillId="112" borderId="100" applyNumberFormat="0" applyProtection="0">
      <alignment horizontal="left" vertical="top" indent="1"/>
    </xf>
    <xf numFmtId="175" fontId="48" fillId="112" borderId="100" applyNumberFormat="0" applyProtection="0">
      <alignment horizontal="left" vertical="top" indent="1"/>
    </xf>
    <xf numFmtId="175" fontId="48" fillId="112" borderId="100" applyNumberFormat="0" applyProtection="0">
      <alignment horizontal="left" vertical="top" indent="1"/>
    </xf>
    <xf numFmtId="175" fontId="48" fillId="112" borderId="100" applyNumberFormat="0" applyProtection="0">
      <alignment horizontal="left" vertical="top" indent="1"/>
    </xf>
    <xf numFmtId="175" fontId="48" fillId="112" borderId="100" applyNumberFormat="0" applyProtection="0">
      <alignment horizontal="left" vertical="top" indent="1"/>
    </xf>
    <xf numFmtId="175" fontId="48" fillId="112" borderId="100" applyNumberFormat="0" applyProtection="0">
      <alignment horizontal="left" vertical="top" indent="1"/>
    </xf>
    <xf numFmtId="175" fontId="48" fillId="112" borderId="100" applyNumberFormat="0" applyProtection="0">
      <alignment horizontal="left" vertical="top" indent="1"/>
    </xf>
    <xf numFmtId="175" fontId="48" fillId="112" borderId="100" applyNumberFormat="0" applyProtection="0">
      <alignment horizontal="left" vertical="top" indent="1"/>
    </xf>
    <xf numFmtId="175" fontId="48" fillId="112" borderId="100" applyNumberFormat="0" applyProtection="0">
      <alignment horizontal="left" vertical="top" indent="1"/>
    </xf>
    <xf numFmtId="175" fontId="4" fillId="54" borderId="4" applyNumberFormat="0">
      <protection locked="0"/>
    </xf>
    <xf numFmtId="175" fontId="48" fillId="54" borderId="112" applyNumberFormat="0">
      <protection locked="0"/>
    </xf>
    <xf numFmtId="175" fontId="48" fillId="54" borderId="112" applyNumberFormat="0">
      <protection locked="0"/>
    </xf>
    <xf numFmtId="175" fontId="48" fillId="54" borderId="112" applyNumberFormat="0">
      <protection locked="0"/>
    </xf>
    <xf numFmtId="175" fontId="48" fillId="54" borderId="112" applyNumberFormat="0">
      <protection locked="0"/>
    </xf>
    <xf numFmtId="175" fontId="48" fillId="54" borderId="112" applyNumberFormat="0">
      <protection locked="0"/>
    </xf>
    <xf numFmtId="175" fontId="48" fillId="54" borderId="112" applyNumberFormat="0">
      <protection locked="0"/>
    </xf>
    <xf numFmtId="175" fontId="48" fillId="54" borderId="112" applyNumberFormat="0">
      <protection locked="0"/>
    </xf>
    <xf numFmtId="175" fontId="48" fillId="54" borderId="112" applyNumberFormat="0">
      <protection locked="0"/>
    </xf>
    <xf numFmtId="175" fontId="48" fillId="54" borderId="112" applyNumberFormat="0">
      <protection locked="0"/>
    </xf>
    <xf numFmtId="175" fontId="48" fillId="54" borderId="112" applyNumberFormat="0">
      <protection locked="0"/>
    </xf>
    <xf numFmtId="175" fontId="49" fillId="58" borderId="102" applyBorder="0"/>
    <xf numFmtId="4" fontId="51" fillId="52" borderId="100" applyNumberFormat="0" applyProtection="0">
      <alignment vertical="center"/>
    </xf>
    <xf numFmtId="4" fontId="171" fillId="95" borderId="4" applyNumberFormat="0" applyProtection="0">
      <alignment vertical="center"/>
    </xf>
    <xf numFmtId="4" fontId="51" fillId="61" borderId="100" applyNumberFormat="0" applyProtection="0">
      <alignment horizontal="left" vertical="center" indent="1"/>
    </xf>
    <xf numFmtId="175" fontId="51" fillId="52" borderId="100" applyNumberFormat="0" applyProtection="0">
      <alignment horizontal="left" vertical="top" indent="1"/>
    </xf>
    <xf numFmtId="4" fontId="48" fillId="0" borderId="108" applyNumberFormat="0" applyProtection="0">
      <alignment horizontal="right" vertical="center"/>
    </xf>
    <xf numFmtId="4" fontId="171" fillId="121" borderId="108" applyNumberFormat="0" applyProtection="0">
      <alignment horizontal="right" vertical="center"/>
    </xf>
    <xf numFmtId="4" fontId="48" fillId="65" borderId="108" applyNumberFormat="0" applyProtection="0">
      <alignment horizontal="left" vertical="center" indent="1"/>
    </xf>
    <xf numFmtId="175" fontId="51" fillId="48" borderId="100" applyNumberFormat="0" applyProtection="0">
      <alignment horizontal="left" vertical="top" indent="1"/>
    </xf>
    <xf numFmtId="4" fontId="172" fillId="125" borderId="86" applyNumberFormat="0" applyProtection="0">
      <alignment horizontal="left" vertical="center" indent="1"/>
    </xf>
    <xf numFmtId="175" fontId="48" fillId="115" borderId="4"/>
    <xf numFmtId="4" fontId="173" fillId="54" borderId="108" applyNumberFormat="0" applyProtection="0">
      <alignment horizontal="right" vertical="center"/>
    </xf>
    <xf numFmtId="175" fontId="100"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37" fontId="5" fillId="0" borderId="70" applyNumberFormat="0"/>
    <xf numFmtId="175" fontId="101" fillId="0" borderId="104" applyNumberFormat="0" applyAlignment="0" applyProtection="0"/>
    <xf numFmtId="175" fontId="100" fillId="0" borderId="0" applyNumberFormat="0" applyFill="0" applyBorder="0" applyAlignment="0" applyProtection="0"/>
    <xf numFmtId="175" fontId="100" fillId="0" borderId="0" applyNumberFormat="0" applyFill="0" applyBorder="0" applyAlignment="0" applyProtection="0"/>
    <xf numFmtId="175" fontId="77" fillId="0" borderId="106" applyNumberFormat="0" applyFill="0" applyAlignment="0" applyProtection="0"/>
    <xf numFmtId="175" fontId="77" fillId="0" borderId="106" applyNumberFormat="0" applyFill="0" applyAlignment="0" applyProtection="0"/>
    <xf numFmtId="37" fontId="5" fillId="0" borderId="107" applyNumberFormat="0" applyFill="0"/>
    <xf numFmtId="0" fontId="4" fillId="0" borderId="0"/>
    <xf numFmtId="175" fontId="174" fillId="0" borderId="0" applyNumberFormat="0" applyFill="0" applyBorder="0" applyAlignment="0" applyProtection="0"/>
    <xf numFmtId="175" fontId="174" fillId="0" borderId="0" applyNumberFormat="0" applyFill="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7"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175" fillId="22" borderId="0" applyNumberFormat="0" applyBorder="0" applyAlignment="0" applyProtection="0"/>
    <xf numFmtId="0" fontId="78" fillId="64" borderId="0" applyNumberFormat="0" applyBorder="0" applyAlignment="0" applyProtection="0"/>
    <xf numFmtId="0" fontId="78" fillId="72"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175" fillId="26" borderId="0" applyNumberFormat="0" applyBorder="0" applyAlignment="0" applyProtection="0"/>
    <xf numFmtId="0" fontId="78" fillId="60"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175" fillId="30" borderId="0" applyNumberFormat="0" applyBorder="0" applyAlignment="0" applyProtection="0"/>
    <xf numFmtId="0" fontId="78" fillId="64" borderId="0" applyNumberFormat="0" applyBorder="0" applyAlignment="0" applyProtection="0"/>
    <xf numFmtId="0" fontId="175" fillId="34" borderId="0" applyNumberFormat="0" applyBorder="0" applyAlignment="0" applyProtection="0"/>
    <xf numFmtId="0" fontId="78" fillId="65" borderId="0" applyNumberFormat="0" applyBorder="0" applyAlignment="0" applyProtection="0"/>
    <xf numFmtId="0" fontId="175" fillId="38" borderId="0" applyNumberFormat="0" applyBorder="0" applyAlignment="0" applyProtection="0"/>
    <xf numFmtId="0" fontId="78" fillId="82" borderId="0" applyNumberFormat="0" applyBorder="0" applyAlignment="0" applyProtection="0"/>
    <xf numFmtId="0" fontId="175" fillId="42" borderId="0" applyNumberFormat="0" applyBorder="0" applyAlignment="0" applyProtection="0"/>
    <xf numFmtId="0" fontId="78" fillId="67" borderId="0" applyNumberFormat="0" applyBorder="0" applyAlignment="0" applyProtection="0"/>
    <xf numFmtId="43" fontId="4" fillId="0" borderId="0" applyFont="0" applyFill="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59" fillId="0" borderId="0" applyFont="0" applyFill="0" applyBorder="0" applyAlignment="0" applyProtection="0"/>
    <xf numFmtId="166" fontId="159" fillId="0" borderId="0" applyFont="0" applyFill="0" applyBorder="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70" fillId="57" borderId="67" applyNumberFormat="0" applyAlignment="0" applyProtection="0"/>
    <xf numFmtId="0" fontId="159" fillId="0" borderId="0"/>
    <xf numFmtId="0" fontId="78" fillId="82"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2"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5"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64" borderId="0" applyNumberFormat="0" applyBorder="0" applyAlignment="0" applyProtection="0"/>
    <xf numFmtId="0" fontId="78" fillId="67"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4" fillId="52" borderId="80" applyNumberFormat="0" applyFont="0" applyAlignment="0" applyProtection="0"/>
    <xf numFmtId="9" fontId="4" fillId="0" borderId="0" applyFont="0" applyFill="0" applyBorder="0" applyAlignment="0" applyProtection="0"/>
    <xf numFmtId="175" fontId="4" fillId="0" borderId="0">
      <alignment vertical="center"/>
    </xf>
    <xf numFmtId="0" fontId="116" fillId="0" borderId="0"/>
    <xf numFmtId="175" fontId="4" fillId="0" borderId="0">
      <alignment vertical="center"/>
    </xf>
    <xf numFmtId="0" fontId="116" fillId="0" borderId="0"/>
    <xf numFmtId="0" fontId="116" fillId="0" borderId="0"/>
    <xf numFmtId="0" fontId="116" fillId="0" borderId="0"/>
    <xf numFmtId="175" fontId="4" fillId="0" borderId="0">
      <alignment vertical="center"/>
    </xf>
    <xf numFmtId="0" fontId="116" fillId="0" borderId="0"/>
    <xf numFmtId="0" fontId="116"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70" fillId="57" borderId="67" applyNumberFormat="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7" borderId="0" applyNumberFormat="0" applyBorder="0" applyAlignment="0" applyProtection="0"/>
    <xf numFmtId="0" fontId="78" fillId="65"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44" fontId="4" fillId="0" borderId="0" applyFont="0" applyFill="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0" fillId="57" borderId="67" applyNumberFormat="0" applyAlignment="0" applyProtection="0"/>
    <xf numFmtId="0" fontId="70" fillId="57" borderId="67" applyNumberFormat="0" applyAlignment="0" applyProtection="0"/>
    <xf numFmtId="0" fontId="4" fillId="0" borderId="0"/>
    <xf numFmtId="0" fontId="3" fillId="0" borderId="0"/>
    <xf numFmtId="43" fontId="3" fillId="0" borderId="0" applyFont="0" applyFill="0" applyBorder="0" applyAlignment="0" applyProtection="0"/>
    <xf numFmtId="0" fontId="4" fillId="0" borderId="0"/>
    <xf numFmtId="0" fontId="78" fillId="82" borderId="0" applyNumberFormat="0" applyBorder="0" applyAlignment="0" applyProtection="0"/>
    <xf numFmtId="0" fontId="78" fillId="65" borderId="0" applyNumberFormat="0" applyBorder="0" applyAlignment="0" applyProtection="0"/>
    <xf numFmtId="0" fontId="4" fillId="0" borderId="0"/>
    <xf numFmtId="0" fontId="78" fillId="82" borderId="0" applyNumberFormat="0" applyBorder="0" applyAlignment="0" applyProtection="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 fillId="0" borderId="0"/>
    <xf numFmtId="0" fontId="18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48" fillId="0" borderId="0"/>
    <xf numFmtId="9" fontId="3" fillId="0" borderId="0" applyFont="0" applyFill="0" applyBorder="0" applyAlignment="0" applyProtection="0"/>
    <xf numFmtId="44" fontId="3" fillId="0" borderId="0" applyFont="0" applyFill="0" applyBorder="0" applyAlignment="0" applyProtection="0"/>
    <xf numFmtId="0" fontId="194" fillId="0" borderId="0" applyFont="0" applyFill="0" applyBorder="0" applyAlignment="0" applyProtection="0"/>
    <xf numFmtId="0" fontId="194" fillId="0" borderId="0" applyFont="0" applyFill="0" applyBorder="0" applyAlignment="0" applyProtection="0"/>
    <xf numFmtId="9" fontId="194" fillId="0" borderId="0" applyFont="0" applyFill="0" applyBorder="0" applyAlignment="0" applyProtection="0"/>
    <xf numFmtId="0" fontId="194" fillId="0" borderId="0" applyFont="0" applyFill="0" applyBorder="0" applyAlignment="0" applyProtection="0"/>
    <xf numFmtId="9" fontId="194" fillId="0" borderId="0" applyFont="0" applyFill="0" applyBorder="0" applyAlignment="0" applyProtection="0"/>
    <xf numFmtId="0" fontId="1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37" fontId="5" fillId="0" borderId="25">
      <alignment horizontal="center"/>
    </xf>
    <xf numFmtId="37" fontId="5" fillId="0" borderId="0">
      <alignment horizontal="center" vertical="center" wrapText="1"/>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37" fontId="5" fillId="0" borderId="70" applyNumberFormat="0"/>
    <xf numFmtId="37" fontId="5" fillId="0" borderId="107" applyNumberFormat="0" applyFill="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7" fontId="5" fillId="0" borderId="25">
      <alignment horizontal="center"/>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7" fontId="5" fillId="0" borderId="70" applyNumberFormat="0"/>
    <xf numFmtId="37" fontId="5" fillId="0" borderId="107" applyNumberFormat="0" applyFill="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5" fillId="0" borderId="25">
      <alignment horizontal="center"/>
    </xf>
    <xf numFmtId="37" fontId="5" fillId="0" borderId="0">
      <alignment horizontal="center" vertical="center" wrapText="1"/>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37" fontId="5" fillId="0" borderId="70" applyNumberFormat="0"/>
    <xf numFmtId="44" fontId="4" fillId="0" borderId="0" applyFont="0" applyFill="0" applyBorder="0" applyAlignment="0" applyProtection="0"/>
    <xf numFmtId="43" fontId="3" fillId="0" borderId="0" applyFont="0" applyFill="0" applyBorder="0" applyAlignment="0" applyProtection="0"/>
    <xf numFmtId="37" fontId="5" fillId="0" borderId="107" applyNumberFormat="0" applyFill="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5" fillId="0" borderId="0">
      <alignment horizontal="center" vertical="center" wrapText="1"/>
    </xf>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0" fillId="0" borderId="0" applyNumberFormat="0" applyFill="0" applyBorder="0" applyAlignment="0" applyProtection="0"/>
    <xf numFmtId="0" fontId="26" fillId="17"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21" borderId="47" applyNumberFormat="0" applyFont="0" applyAlignment="0" applyProtection="0"/>
    <xf numFmtId="0" fontId="201" fillId="0" borderId="0" applyNumberFormat="0" applyFill="0" applyBorder="0" applyAlignment="0" applyProtection="0"/>
    <xf numFmtId="0" fontId="202" fillId="17"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cellStyleXfs>
  <cellXfs count="493">
    <xf numFmtId="0" fontId="0" fillId="0" borderId="0" xfId="0"/>
    <xf numFmtId="0" fontId="2" fillId="0" borderId="0" xfId="0" applyFont="1"/>
    <xf numFmtId="0" fontId="0" fillId="0" borderId="4" xfId="0" applyBorder="1"/>
    <xf numFmtId="0" fontId="7" fillId="0" borderId="5" xfId="3" applyFont="1" applyBorder="1" applyAlignment="1">
      <alignment horizontal="center"/>
    </xf>
    <xf numFmtId="3" fontId="5" fillId="0" borderId="2" xfId="3" applyNumberFormat="1" applyFont="1" applyBorder="1" applyAlignment="1">
      <alignment horizontal="center" wrapText="1"/>
    </xf>
    <xf numFmtId="3" fontId="5" fillId="0" borderId="5" xfId="3" applyNumberFormat="1" applyFont="1" applyBorder="1" applyAlignment="1">
      <alignment horizontal="center" wrapText="1"/>
    </xf>
    <xf numFmtId="1" fontId="0" fillId="0" borderId="0" xfId="0" applyNumberFormat="1"/>
    <xf numFmtId="0" fontId="0" fillId="0" borderId="4" xfId="0" applyBorder="1" applyAlignment="1">
      <alignment wrapText="1"/>
    </xf>
    <xf numFmtId="0" fontId="2" fillId="0" borderId="13" xfId="0" applyFont="1" applyBorder="1"/>
    <xf numFmtId="0" fontId="10" fillId="0" borderId="0" xfId="0" applyFont="1" applyAlignment="1">
      <alignment wrapText="1"/>
    </xf>
    <xf numFmtId="0" fontId="1" fillId="0" borderId="4" xfId="0" applyFont="1" applyBorder="1" applyAlignment="1">
      <alignment wrapText="1"/>
    </xf>
    <xf numFmtId="0" fontId="0" fillId="0" borderId="5" xfId="0" applyBorder="1" applyAlignment="1">
      <alignment wrapText="1"/>
    </xf>
    <xf numFmtId="0" fontId="0" fillId="0" borderId="4" xfId="0" applyBorder="1" applyAlignment="1">
      <alignment horizontal="center"/>
    </xf>
    <xf numFmtId="0" fontId="0" fillId="0" borderId="0" xfId="0" applyAlignment="1">
      <alignment horizontal="center"/>
    </xf>
    <xf numFmtId="0" fontId="7" fillId="0" borderId="5" xfId="21" applyFont="1" applyBorder="1" applyAlignment="1">
      <alignment horizontal="center"/>
    </xf>
    <xf numFmtId="3" fontId="5" fillId="0" borderId="2" xfId="21" applyNumberFormat="1" applyFont="1" applyBorder="1" applyAlignment="1">
      <alignment horizontal="center" wrapText="1"/>
    </xf>
    <xf numFmtId="3" fontId="5" fillId="0" borderId="5" xfId="21" applyNumberFormat="1" applyFont="1" applyBorder="1" applyAlignment="1">
      <alignment horizontal="center" wrapText="1"/>
    </xf>
    <xf numFmtId="0" fontId="7" fillId="4" borderId="17" xfId="21" applyFont="1" applyFill="1" applyBorder="1"/>
    <xf numFmtId="0" fontId="7" fillId="4" borderId="4" xfId="21" applyFont="1" applyFill="1" applyBorder="1"/>
    <xf numFmtId="0" fontId="7" fillId="2" borderId="7" xfId="21" applyFont="1" applyFill="1" applyBorder="1"/>
    <xf numFmtId="0" fontId="7" fillId="2" borderId="4" xfId="21" applyFont="1" applyFill="1" applyBorder="1"/>
    <xf numFmtId="0" fontId="0" fillId="6" borderId="0" xfId="0" applyFill="1"/>
    <xf numFmtId="0" fontId="13" fillId="7" borderId="0" xfId="0" applyFont="1" applyFill="1"/>
    <xf numFmtId="0" fontId="14" fillId="7" borderId="0" xfId="0" applyFont="1" applyFill="1"/>
    <xf numFmtId="0" fontId="13" fillId="7" borderId="0" xfId="0" applyFont="1" applyFill="1" applyAlignment="1">
      <alignment wrapText="1"/>
    </xf>
    <xf numFmtId="0" fontId="12" fillId="7" borderId="0" xfId="0" applyFont="1" applyFill="1" applyAlignment="1">
      <alignment horizontal="center" vertical="center"/>
    </xf>
    <xf numFmtId="0" fontId="13" fillId="7" borderId="7" xfId="0" applyFont="1" applyFill="1" applyBorder="1" applyAlignment="1">
      <alignment horizontal="center" vertical="center"/>
    </xf>
    <xf numFmtId="0" fontId="0" fillId="0" borderId="15" xfId="0" applyBorder="1" applyAlignment="1">
      <alignment horizontal="center" vertical="center"/>
    </xf>
    <xf numFmtId="0" fontId="0" fillId="6" borderId="0" xfId="0" applyFill="1" applyAlignment="1">
      <alignment horizontal="center" vertical="center"/>
    </xf>
    <xf numFmtId="0" fontId="0" fillId="0" borderId="19" xfId="0" applyBorder="1" applyAlignment="1">
      <alignment horizontal="center" vertical="center"/>
    </xf>
    <xf numFmtId="43" fontId="0" fillId="5" borderId="4" xfId="28" applyFont="1" applyFill="1" applyBorder="1"/>
    <xf numFmtId="0" fontId="0" fillId="8" borderId="15" xfId="0" applyFill="1" applyBorder="1" applyAlignment="1">
      <alignment horizontal="center" vertical="center"/>
    </xf>
    <xf numFmtId="0" fontId="7" fillId="3" borderId="11" xfId="3" applyFont="1" applyFill="1" applyBorder="1" applyAlignment="1">
      <alignment horizontal="center" vertical="center" wrapText="1"/>
    </xf>
    <xf numFmtId="0" fontId="7" fillId="3" borderId="11" xfId="3" applyFont="1" applyFill="1" applyBorder="1" applyAlignment="1">
      <alignment horizontal="center" vertical="center"/>
    </xf>
    <xf numFmtId="0" fontId="0" fillId="0" borderId="0" xfId="0" applyAlignment="1">
      <alignment vertical="center"/>
    </xf>
    <xf numFmtId="0" fontId="7" fillId="3" borderId="4" xfId="3" applyFont="1" applyFill="1" applyBorder="1" applyAlignment="1">
      <alignment horizontal="center" vertical="center" wrapText="1"/>
    </xf>
    <xf numFmtId="0" fontId="7" fillId="2" borderId="10" xfId="3" applyFont="1" applyFill="1" applyBorder="1" applyAlignment="1">
      <alignment horizontal="center" vertical="center" wrapText="1"/>
    </xf>
    <xf numFmtId="0" fontId="7" fillId="2" borderId="21" xfId="3" applyFont="1" applyFill="1" applyBorder="1" applyAlignment="1">
      <alignment horizontal="center"/>
    </xf>
    <xf numFmtId="0" fontId="7" fillId="2" borderId="14" xfId="3" applyFont="1" applyFill="1" applyBorder="1" applyAlignment="1">
      <alignment horizontal="center"/>
    </xf>
    <xf numFmtId="168" fontId="0" fillId="0" borderId="4" xfId="28" applyNumberFormat="1" applyFont="1" applyBorder="1"/>
    <xf numFmtId="0" fontId="14" fillId="7" borderId="0" xfId="0" applyFont="1" applyFill="1" applyAlignment="1">
      <alignment wrapText="1"/>
    </xf>
    <xf numFmtId="0" fontId="7" fillId="2" borderId="10" xfId="3" applyFont="1" applyFill="1" applyBorder="1" applyAlignment="1">
      <alignment horizontal="center"/>
    </xf>
    <xf numFmtId="0" fontId="7" fillId="10" borderId="0" xfId="21" applyFont="1" applyFill="1" applyAlignment="1">
      <alignment horizontal="center" vertical="center" wrapText="1"/>
    </xf>
    <xf numFmtId="0" fontId="7" fillId="3" borderId="28" xfId="3" applyFont="1" applyFill="1" applyBorder="1" applyAlignment="1">
      <alignment horizontal="center" vertical="center" wrapText="1"/>
    </xf>
    <xf numFmtId="0" fontId="7" fillId="3" borderId="29" xfId="3" applyFont="1" applyFill="1" applyBorder="1" applyAlignment="1">
      <alignment horizontal="center" vertical="center" wrapText="1"/>
    </xf>
    <xf numFmtId="0" fontId="7" fillId="4" borderId="15" xfId="21" applyFont="1" applyFill="1" applyBorder="1" applyAlignment="1">
      <alignment horizontal="center" vertical="center" wrapText="1"/>
    </xf>
    <xf numFmtId="0" fontId="7" fillId="12" borderId="0" xfId="21" applyFont="1" applyFill="1" applyAlignment="1">
      <alignment horizontal="center" vertical="center" wrapText="1"/>
    </xf>
    <xf numFmtId="0" fontId="7" fillId="2" borderId="15" xfId="3" applyFont="1" applyFill="1" applyBorder="1" applyAlignment="1">
      <alignment horizontal="center" vertical="center"/>
    </xf>
    <xf numFmtId="0" fontId="7" fillId="2" borderId="15" xfId="3" applyFont="1" applyFill="1" applyBorder="1" applyAlignment="1">
      <alignment horizontal="center" vertical="center" wrapText="1"/>
    </xf>
    <xf numFmtId="0" fontId="7" fillId="3" borderId="15" xfId="21" applyFont="1" applyFill="1" applyBorder="1" applyAlignment="1">
      <alignment horizontal="center" vertical="center"/>
    </xf>
    <xf numFmtId="0" fontId="7" fillId="3" borderId="27" xfId="21" applyFont="1" applyFill="1" applyBorder="1" applyAlignment="1">
      <alignment horizontal="center" vertical="center" wrapText="1"/>
    </xf>
    <xf numFmtId="0" fontId="7" fillId="3" borderId="33" xfId="21" applyFont="1" applyFill="1" applyBorder="1" applyAlignment="1">
      <alignment horizontal="center" vertical="center" wrapText="1"/>
    </xf>
    <xf numFmtId="3" fontId="4" fillId="10" borderId="26" xfId="21" applyNumberFormat="1" applyFill="1" applyBorder="1" applyAlignment="1">
      <alignment horizontal="center" vertical="center" wrapText="1"/>
    </xf>
    <xf numFmtId="169" fontId="8" fillId="4" borderId="24" xfId="28" applyNumberFormat="1" applyFont="1" applyFill="1" applyBorder="1" applyAlignment="1">
      <alignment horizontal="center" vertical="center"/>
    </xf>
    <xf numFmtId="0" fontId="7" fillId="4" borderId="7" xfId="21" applyFont="1" applyFill="1" applyBorder="1" applyAlignment="1">
      <alignment horizontal="center" vertical="center"/>
    </xf>
    <xf numFmtId="0" fontId="7" fillId="4" borderId="16" xfId="21" applyFont="1" applyFill="1" applyBorder="1" applyAlignment="1">
      <alignment vertical="center"/>
    </xf>
    <xf numFmtId="0" fontId="7" fillId="4" borderId="16" xfId="21" applyFont="1" applyFill="1" applyBorder="1" applyAlignment="1">
      <alignment horizontal="center" vertical="center"/>
    </xf>
    <xf numFmtId="3" fontId="4" fillId="10" borderId="2" xfId="21" applyNumberFormat="1" applyFill="1" applyBorder="1" applyAlignment="1">
      <alignment horizontal="center" wrapText="1"/>
    </xf>
    <xf numFmtId="169" fontId="0" fillId="12" borderId="4" xfId="0" applyNumberFormat="1" applyFill="1" applyBorder="1" applyAlignment="1">
      <alignment horizontal="center" vertical="center"/>
    </xf>
    <xf numFmtId="0" fontId="1" fillId="0" borderId="0" xfId="0" applyFont="1"/>
    <xf numFmtId="0" fontId="19" fillId="7" borderId="0" xfId="0" applyFont="1" applyFill="1"/>
    <xf numFmtId="3" fontId="0" fillId="0" borderId="15" xfId="0" applyNumberFormat="1" applyBorder="1" applyAlignment="1">
      <alignment horizontal="center" vertical="center"/>
    </xf>
    <xf numFmtId="0" fontId="0" fillId="0" borderId="4" xfId="0" applyBorder="1" applyAlignment="1">
      <alignment horizontal="center" vertical="center"/>
    </xf>
    <xf numFmtId="0" fontId="0" fillId="12" borderId="24" xfId="0" applyFill="1" applyBorder="1"/>
    <xf numFmtId="0" fontId="7" fillId="4" borderId="36" xfId="21" applyFont="1" applyFill="1" applyBorder="1" applyAlignment="1">
      <alignment horizontal="center"/>
    </xf>
    <xf numFmtId="43" fontId="0" fillId="0" borderId="0" xfId="0" applyNumberFormat="1"/>
    <xf numFmtId="0" fontId="7" fillId="4" borderId="4" xfId="21" applyFont="1" applyFill="1" applyBorder="1" applyAlignment="1">
      <alignment horizontal="center" vertical="center"/>
    </xf>
    <xf numFmtId="0" fontId="7" fillId="2" borderId="7" xfId="3" applyFont="1" applyFill="1" applyBorder="1" applyAlignment="1">
      <alignment horizontal="center"/>
    </xf>
    <xf numFmtId="0" fontId="7" fillId="2" borderId="7" xfId="3" applyFont="1" applyFill="1" applyBorder="1" applyAlignment="1">
      <alignment horizontal="center" vertical="center"/>
    </xf>
    <xf numFmtId="0" fontId="7" fillId="10" borderId="4" xfId="3" applyFont="1" applyFill="1" applyBorder="1" applyAlignment="1">
      <alignment horizontal="center" vertical="center" wrapText="1"/>
    </xf>
    <xf numFmtId="0" fontId="7" fillId="14" borderId="4" xfId="3" applyFont="1" applyFill="1" applyBorder="1" applyAlignment="1">
      <alignment horizontal="center" vertical="center" wrapText="1"/>
    </xf>
    <xf numFmtId="0" fontId="0" fillId="0" borderId="5" xfId="0" applyBorder="1"/>
    <xf numFmtId="3" fontId="4" fillId="0" borderId="9" xfId="21" applyNumberFormat="1" applyBorder="1" applyAlignment="1">
      <alignment horizontal="center" wrapText="1"/>
    </xf>
    <xf numFmtId="0" fontId="8" fillId="0" borderId="39" xfId="21" applyFont="1" applyBorder="1" applyAlignment="1">
      <alignment horizontal="center"/>
    </xf>
    <xf numFmtId="0" fontId="8" fillId="0" borderId="9" xfId="21" applyFont="1" applyBorder="1" applyAlignment="1">
      <alignment horizontal="center"/>
    </xf>
    <xf numFmtId="0" fontId="0" fillId="0" borderId="36" xfId="0" applyBorder="1"/>
    <xf numFmtId="0" fontId="8" fillId="0" borderId="10" xfId="21" applyFont="1" applyBorder="1" applyAlignment="1">
      <alignment horizontal="center"/>
    </xf>
    <xf numFmtId="0" fontId="7" fillId="3" borderId="4" xfId="3" applyFont="1" applyFill="1" applyBorder="1" applyAlignment="1">
      <alignment horizontal="center" vertical="center"/>
    </xf>
    <xf numFmtId="0" fontId="7" fillId="2" borderId="10" xfId="3" applyFont="1" applyFill="1" applyBorder="1" applyAlignment="1">
      <alignment horizontal="center" vertical="center"/>
    </xf>
    <xf numFmtId="3" fontId="5" fillId="10" borderId="4" xfId="3" applyNumberFormat="1" applyFont="1" applyFill="1" applyBorder="1" applyAlignment="1">
      <alignment horizontal="center" wrapText="1"/>
    </xf>
    <xf numFmtId="0" fontId="0" fillId="10" borderId="4" xfId="0" applyFill="1" applyBorder="1"/>
    <xf numFmtId="0" fontId="7" fillId="10" borderId="4" xfId="3" applyFont="1" applyFill="1" applyBorder="1" applyAlignment="1">
      <alignment horizontal="center"/>
    </xf>
    <xf numFmtId="0" fontId="17" fillId="10" borderId="4" xfId="3" applyFont="1" applyFill="1" applyBorder="1" applyAlignment="1">
      <alignment horizontal="center"/>
    </xf>
    <xf numFmtId="0" fontId="7" fillId="10" borderId="31" xfId="3" applyFont="1" applyFill="1" applyBorder="1" applyAlignment="1">
      <alignment horizontal="center" vertical="center" wrapText="1"/>
    </xf>
    <xf numFmtId="0" fontId="0" fillId="12" borderId="4" xfId="0" applyFill="1" applyBorder="1"/>
    <xf numFmtId="0" fontId="7" fillId="12" borderId="31" xfId="3" applyFont="1" applyFill="1" applyBorder="1" applyAlignment="1">
      <alignment horizontal="center" vertical="center" wrapText="1"/>
    </xf>
    <xf numFmtId="43" fontId="0" fillId="0" borderId="4" xfId="28" applyFont="1" applyBorder="1" applyAlignment="1">
      <alignment horizontal="center" vertical="center"/>
    </xf>
    <xf numFmtId="0" fontId="5" fillId="0" borderId="5" xfId="3" applyFont="1" applyBorder="1" applyAlignment="1">
      <alignment horizontal="center"/>
    </xf>
    <xf numFmtId="0" fontId="4" fillId="0" borderId="9" xfId="21" applyBorder="1" applyAlignment="1">
      <alignment horizontal="center"/>
    </xf>
    <xf numFmtId="3" fontId="0" fillId="0" borderId="4" xfId="0" applyNumberFormat="1" applyBorder="1"/>
    <xf numFmtId="0" fontId="46" fillId="0" borderId="0" xfId="88"/>
    <xf numFmtId="49" fontId="34" fillId="0" borderId="0" xfId="88" applyNumberFormat="1" applyFont="1" applyAlignment="1">
      <alignment horizontal="left"/>
    </xf>
    <xf numFmtId="49" fontId="46" fillId="0" borderId="0" xfId="88" applyNumberFormat="1" applyAlignment="1">
      <alignment horizontal="left"/>
    </xf>
    <xf numFmtId="49" fontId="35" fillId="46" borderId="49" xfId="88" applyNumberFormat="1" applyFont="1" applyFill="1" applyBorder="1"/>
    <xf numFmtId="49" fontId="35" fillId="46" borderId="50" xfId="88" applyNumberFormat="1" applyFont="1" applyFill="1" applyBorder="1"/>
    <xf numFmtId="49" fontId="35" fillId="46" borderId="50" xfId="88" applyNumberFormat="1" applyFont="1" applyFill="1" applyBorder="1" applyAlignment="1">
      <alignment horizontal="left"/>
    </xf>
    <xf numFmtId="49" fontId="46" fillId="46" borderId="50" xfId="88" applyNumberFormat="1" applyFill="1" applyBorder="1"/>
    <xf numFmtId="49" fontId="46" fillId="46" borderId="53" xfId="88" applyNumberFormat="1" applyFill="1" applyBorder="1"/>
    <xf numFmtId="49" fontId="37" fillId="0" borderId="0" xfId="88" applyNumberFormat="1" applyFont="1"/>
    <xf numFmtId="49" fontId="37" fillId="0" borderId="0" xfId="88" applyNumberFormat="1" applyFont="1" applyAlignment="1">
      <alignment horizontal="left"/>
    </xf>
    <xf numFmtId="49" fontId="35" fillId="46" borderId="51" xfId="88" applyNumberFormat="1" applyFont="1" applyFill="1" applyBorder="1" applyAlignment="1">
      <alignment horizontal="left"/>
    </xf>
    <xf numFmtId="49" fontId="35" fillId="46" borderId="0" xfId="88" applyNumberFormat="1" applyFont="1" applyFill="1" applyAlignment="1">
      <alignment horizontal="left"/>
    </xf>
    <xf numFmtId="49" fontId="36" fillId="46" borderId="0" xfId="88" applyNumberFormat="1" applyFont="1" applyFill="1" applyAlignment="1">
      <alignment horizontal="left"/>
    </xf>
    <xf numFmtId="49" fontId="37" fillId="46" borderId="0" xfId="88" applyNumberFormat="1" applyFont="1" applyFill="1" applyAlignment="1">
      <alignment horizontal="center"/>
    </xf>
    <xf numFmtId="49" fontId="46" fillId="46" borderId="0" xfId="88" applyNumberFormat="1" applyFill="1"/>
    <xf numFmtId="49" fontId="46" fillId="46" borderId="6" xfId="88" applyNumberFormat="1" applyFill="1" applyBorder="1"/>
    <xf numFmtId="49" fontId="35" fillId="46" borderId="51" xfId="88" applyNumberFormat="1" applyFont="1" applyFill="1" applyBorder="1"/>
    <xf numFmtId="49" fontId="35" fillId="46" borderId="0" xfId="88" applyNumberFormat="1" applyFont="1" applyFill="1"/>
    <xf numFmtId="49" fontId="35" fillId="46" borderId="52" xfId="88" applyNumberFormat="1" applyFont="1" applyFill="1" applyBorder="1"/>
    <xf numFmtId="49" fontId="41" fillId="46" borderId="1" xfId="88" applyNumberFormat="1" applyFont="1" applyFill="1" applyBorder="1" applyAlignment="1">
      <alignment horizontal="left"/>
    </xf>
    <xf numFmtId="49" fontId="40" fillId="46" borderId="1" xfId="88" applyNumberFormat="1" applyFont="1" applyFill="1" applyBorder="1" applyAlignment="1">
      <alignment horizontal="left" vertical="center"/>
    </xf>
    <xf numFmtId="49" fontId="35" fillId="46" borderId="1" xfId="88" applyNumberFormat="1" applyFont="1" applyFill="1" applyBorder="1"/>
    <xf numFmtId="49" fontId="46" fillId="46" borderId="1" xfId="88" applyNumberFormat="1" applyFill="1" applyBorder="1"/>
    <xf numFmtId="49" fontId="46" fillId="46" borderId="18" xfId="88" applyNumberFormat="1" applyFill="1" applyBorder="1"/>
    <xf numFmtId="49" fontId="46" fillId="0" borderId="0" xfId="88" applyNumberFormat="1"/>
    <xf numFmtId="49" fontId="35" fillId="0" borderId="0" xfId="88" applyNumberFormat="1" applyFont="1"/>
    <xf numFmtId="49" fontId="41" fillId="0" borderId="0" xfId="88" applyNumberFormat="1" applyFont="1" applyAlignment="1">
      <alignment horizontal="left"/>
    </xf>
    <xf numFmtId="49" fontId="40" fillId="0" borderId="0" xfId="88" applyNumberFormat="1" applyFont="1" applyAlignment="1">
      <alignment horizontal="left" vertical="center"/>
    </xf>
    <xf numFmtId="49" fontId="41" fillId="46" borderId="50" xfId="88" applyNumberFormat="1" applyFont="1" applyFill="1" applyBorder="1" applyAlignment="1">
      <alignment horizontal="left"/>
    </xf>
    <xf numFmtId="49" fontId="40" fillId="46" borderId="50" xfId="88" applyNumberFormat="1" applyFont="1" applyFill="1" applyBorder="1" applyAlignment="1">
      <alignment horizontal="left" vertical="center"/>
    </xf>
    <xf numFmtId="49" fontId="16" fillId="0" borderId="0" xfId="88" applyNumberFormat="1" applyFont="1"/>
    <xf numFmtId="49" fontId="44" fillId="0" borderId="0" xfId="88" applyNumberFormat="1" applyFont="1" applyAlignment="1">
      <alignment horizontal="left"/>
    </xf>
    <xf numFmtId="49" fontId="45" fillId="0" borderId="0" xfId="88" applyNumberFormat="1" applyFont="1" applyAlignment="1">
      <alignment horizontal="left" vertical="center"/>
    </xf>
    <xf numFmtId="49" fontId="35" fillId="46" borderId="53" xfId="88" applyNumberFormat="1" applyFont="1" applyFill="1" applyBorder="1"/>
    <xf numFmtId="49" fontId="36" fillId="46" borderId="51" xfId="88" applyNumberFormat="1" applyFont="1" applyFill="1" applyBorder="1" applyAlignment="1">
      <alignment horizontal="center" wrapText="1"/>
    </xf>
    <xf numFmtId="49" fontId="36" fillId="46" borderId="0" xfId="88" applyNumberFormat="1" applyFont="1" applyFill="1" applyAlignment="1">
      <alignment horizontal="center" wrapText="1"/>
    </xf>
    <xf numFmtId="49" fontId="36" fillId="46" borderId="6" xfId="88" applyNumberFormat="1" applyFont="1" applyFill="1" applyBorder="1" applyAlignment="1">
      <alignment horizontal="center" wrapText="1"/>
    </xf>
    <xf numFmtId="49" fontId="40" fillId="46" borderId="54" xfId="88" applyNumberFormat="1" applyFont="1" applyFill="1" applyBorder="1" applyAlignment="1">
      <alignment horizontal="left" vertical="center"/>
    </xf>
    <xf numFmtId="49" fontId="35" fillId="46" borderId="6" xfId="88" applyNumberFormat="1" applyFont="1" applyFill="1" applyBorder="1"/>
    <xf numFmtId="49" fontId="39" fillId="46" borderId="54" xfId="88" applyNumberFormat="1" applyFont="1" applyFill="1" applyBorder="1" applyAlignment="1">
      <alignment vertical="center"/>
    </xf>
    <xf numFmtId="49" fontId="39" fillId="46" borderId="1" xfId="88" applyNumberFormat="1" applyFont="1" applyFill="1" applyBorder="1"/>
    <xf numFmtId="49" fontId="35" fillId="46" borderId="18" xfId="88" applyNumberFormat="1" applyFont="1" applyFill="1" applyBorder="1"/>
    <xf numFmtId="0" fontId="7" fillId="2" borderId="15" xfId="21" applyFont="1" applyFill="1" applyBorder="1" applyAlignment="1">
      <alignment horizontal="center" vertical="center" wrapText="1"/>
    </xf>
    <xf numFmtId="0" fontId="1" fillId="0" borderId="4" xfId="0" applyFont="1" applyBorder="1"/>
    <xf numFmtId="14" fontId="0" fillId="0" borderId="4" xfId="0" applyNumberFormat="1" applyBorder="1"/>
    <xf numFmtId="0" fontId="7" fillId="4" borderId="21" xfId="21" applyFont="1" applyFill="1" applyBorder="1" applyAlignment="1">
      <alignment horizontal="center" vertical="center" wrapText="1"/>
    </xf>
    <xf numFmtId="0" fontId="7" fillId="4" borderId="16" xfId="21" applyFont="1" applyFill="1" applyBorder="1" applyAlignment="1">
      <alignment horizontal="center" vertical="center" wrapText="1"/>
    </xf>
    <xf numFmtId="168" fontId="0" fillId="0" borderId="0" xfId="0" applyNumberFormat="1"/>
    <xf numFmtId="0" fontId="7" fillId="4" borderId="10" xfId="21" applyFont="1" applyFill="1" applyBorder="1" applyAlignment="1">
      <alignment horizontal="center"/>
    </xf>
    <xf numFmtId="0" fontId="7" fillId="4" borderId="115" xfId="21" applyFont="1" applyFill="1" applyBorder="1" applyAlignment="1">
      <alignment horizontal="center"/>
    </xf>
    <xf numFmtId="14" fontId="7" fillId="4" borderId="115" xfId="21" applyNumberFormat="1" applyFont="1" applyFill="1" applyBorder="1" applyAlignment="1">
      <alignment horizontal="center"/>
    </xf>
    <xf numFmtId="0" fontId="14" fillId="7" borderId="0" xfId="0" applyFont="1" applyFill="1" applyAlignment="1">
      <alignment horizontal="right" wrapText="1"/>
    </xf>
    <xf numFmtId="168" fontId="0" fillId="10" borderId="36" xfId="28" applyNumberFormat="1" applyFont="1" applyFill="1" applyBorder="1"/>
    <xf numFmtId="171" fontId="0" fillId="12" borderId="4" xfId="0" applyNumberFormat="1" applyFill="1" applyBorder="1" applyAlignment="1">
      <alignment horizontal="center" vertical="center"/>
    </xf>
    <xf numFmtId="3" fontId="0" fillId="149" borderId="15" xfId="0" applyNumberFormat="1" applyFill="1" applyBorder="1" applyAlignment="1">
      <alignment horizontal="center" vertical="center"/>
    </xf>
    <xf numFmtId="172" fontId="0" fillId="0" borderId="4" xfId="0" applyNumberFormat="1" applyBorder="1"/>
    <xf numFmtId="1" fontId="0" fillId="0" borderId="4" xfId="0" applyNumberFormat="1" applyBorder="1"/>
    <xf numFmtId="172" fontId="18" fillId="0" borderId="4" xfId="0" applyNumberFormat="1" applyFont="1" applyBorder="1"/>
    <xf numFmtId="249" fontId="0" fillId="0" borderId="4" xfId="0" applyNumberFormat="1" applyBorder="1"/>
    <xf numFmtId="172" fontId="0" fillId="0" borderId="0" xfId="0" applyNumberFormat="1"/>
    <xf numFmtId="3" fontId="0" fillId="12" borderId="4" xfId="0" applyNumberFormat="1" applyFill="1" applyBorder="1" applyAlignment="1">
      <alignment horizontal="center" vertical="center"/>
    </xf>
    <xf numFmtId="3" fontId="1" fillId="0" borderId="4" xfId="0" applyNumberFormat="1" applyFont="1" applyBorder="1" applyAlignment="1">
      <alignment horizontal="center" vertical="center"/>
    </xf>
    <xf numFmtId="173" fontId="4" fillId="10" borderId="2" xfId="21" applyNumberFormat="1" applyFill="1" applyBorder="1" applyAlignment="1">
      <alignment horizontal="center" vertical="center" wrapText="1"/>
    </xf>
    <xf numFmtId="3" fontId="4" fillId="10" borderId="8" xfId="21" applyNumberFormat="1" applyFill="1" applyBorder="1" applyAlignment="1">
      <alignment horizontal="center" vertical="center" wrapText="1"/>
    </xf>
    <xf numFmtId="248" fontId="0" fillId="0" borderId="4" xfId="28" applyNumberFormat="1" applyFont="1" applyBorder="1"/>
    <xf numFmtId="3" fontId="0" fillId="0" borderId="15" xfId="0" applyNumberFormat="1" applyBorder="1"/>
    <xf numFmtId="3" fontId="0" fillId="5" borderId="16" xfId="0" applyNumberFormat="1" applyFill="1" applyBorder="1"/>
    <xf numFmtId="3" fontId="0" fillId="5" borderId="4" xfId="0" applyNumberFormat="1" applyFill="1" applyBorder="1"/>
    <xf numFmtId="168" fontId="0" fillId="5" borderId="4" xfId="28" applyNumberFormat="1" applyFont="1" applyFill="1" applyBorder="1"/>
    <xf numFmtId="168" fontId="0" fillId="0" borderId="7" xfId="28" applyNumberFormat="1" applyFont="1" applyBorder="1"/>
    <xf numFmtId="0" fontId="7" fillId="4" borderId="4" xfId="21" applyFont="1" applyFill="1" applyBorder="1" applyAlignment="1">
      <alignment horizontal="center"/>
    </xf>
    <xf numFmtId="0" fontId="0" fillId="0" borderId="25" xfId="0" applyBorder="1" applyAlignment="1">
      <alignment wrapText="1"/>
    </xf>
    <xf numFmtId="168" fontId="0" fillId="0" borderId="25" xfId="28" applyNumberFormat="1" applyFont="1" applyBorder="1"/>
    <xf numFmtId="0" fontId="10" fillId="6" borderId="15" xfId="0" applyFont="1" applyFill="1" applyBorder="1" applyAlignment="1">
      <alignment horizontal="center" vertical="center"/>
    </xf>
    <xf numFmtId="3" fontId="0" fillId="0" borderId="0" xfId="0" applyNumberFormat="1"/>
    <xf numFmtId="169" fontId="0" fillId="0" borderId="0" xfId="0" applyNumberFormat="1"/>
    <xf numFmtId="250" fontId="0" fillId="0" borderId="0" xfId="0" applyNumberFormat="1"/>
    <xf numFmtId="168" fontId="0" fillId="12" borderId="36" xfId="28" applyNumberFormat="1" applyFont="1" applyFill="1" applyBorder="1"/>
    <xf numFmtId="0" fontId="7" fillId="14" borderId="36" xfId="21" applyFont="1" applyFill="1" applyBorder="1" applyAlignment="1">
      <alignment horizontal="center"/>
    </xf>
    <xf numFmtId="49" fontId="39" fillId="46" borderId="0" xfId="88" applyNumberFormat="1" applyFont="1" applyFill="1" applyAlignment="1">
      <alignment horizontal="left" vertical="center"/>
    </xf>
    <xf numFmtId="49" fontId="35" fillId="46" borderId="124" xfId="88" applyNumberFormat="1" applyFont="1" applyFill="1" applyBorder="1"/>
    <xf numFmtId="251" fontId="0" fillId="0" borderId="0" xfId="0" applyNumberFormat="1"/>
    <xf numFmtId="2" fontId="0" fillId="0" borderId="0" xfId="0" applyNumberFormat="1"/>
    <xf numFmtId="43" fontId="0" fillId="0" borderId="0" xfId="28" applyFont="1"/>
    <xf numFmtId="0" fontId="7" fillId="2" borderId="21" xfId="3" applyFont="1" applyFill="1" applyBorder="1" applyAlignment="1">
      <alignment horizontal="center" wrapText="1"/>
    </xf>
    <xf numFmtId="173" fontId="0" fillId="10" borderId="4" xfId="0" applyNumberFormat="1" applyFill="1" applyBorder="1" applyAlignment="1">
      <alignment horizontal="center" vertical="center"/>
    </xf>
    <xf numFmtId="0" fontId="7" fillId="150" borderId="4" xfId="21" applyFont="1" applyFill="1" applyBorder="1" applyAlignment="1">
      <alignment horizontal="center" vertical="center" wrapText="1"/>
    </xf>
    <xf numFmtId="0" fontId="7" fillId="151" borderId="10" xfId="21" applyFont="1" applyFill="1" applyBorder="1" applyAlignment="1">
      <alignment horizontal="center" vertical="center" wrapText="1"/>
    </xf>
    <xf numFmtId="3" fontId="4" fillId="12" borderId="32" xfId="21" applyNumberFormat="1" applyFill="1" applyBorder="1" applyAlignment="1">
      <alignment horizontal="center" wrapText="1"/>
    </xf>
    <xf numFmtId="3" fontId="191" fillId="12" borderId="32" xfId="21" applyNumberFormat="1" applyFont="1" applyFill="1" applyBorder="1" applyAlignment="1">
      <alignment horizontal="center" wrapText="1"/>
    </xf>
    <xf numFmtId="168" fontId="0" fillId="0" borderId="0" xfId="28" applyNumberFormat="1" applyFont="1"/>
    <xf numFmtId="0" fontId="7" fillId="3" borderId="15" xfId="21" applyFont="1" applyFill="1" applyBorder="1" applyAlignment="1">
      <alignment horizontal="center" vertical="center" wrapText="1"/>
    </xf>
    <xf numFmtId="3" fontId="8" fillId="3" borderId="30" xfId="21" applyNumberFormat="1" applyFont="1" applyFill="1" applyBorder="1" applyAlignment="1">
      <alignment horizontal="center" vertical="center" wrapText="1"/>
    </xf>
    <xf numFmtId="0" fontId="8" fillId="3" borderId="24" xfId="21" applyFont="1" applyFill="1" applyBorder="1" applyAlignment="1">
      <alignment horizontal="center" vertical="center" wrapText="1"/>
    </xf>
    <xf numFmtId="3" fontId="4" fillId="10" borderId="24" xfId="21" applyNumberFormat="1" applyFill="1" applyBorder="1" applyAlignment="1">
      <alignment horizontal="center" vertical="center" wrapText="1"/>
    </xf>
    <xf numFmtId="0" fontId="8" fillId="3" borderId="117" xfId="21" applyFont="1" applyFill="1" applyBorder="1" applyAlignment="1">
      <alignment horizontal="center" vertical="center" wrapText="1"/>
    </xf>
    <xf numFmtId="0" fontId="0" fillId="0" borderId="0" xfId="0" applyAlignment="1">
      <alignment horizontal="center" vertical="center"/>
    </xf>
    <xf numFmtId="0" fontId="7" fillId="2" borderId="15" xfId="21" applyFont="1" applyFill="1" applyBorder="1" applyAlignment="1">
      <alignment horizontal="center" vertical="center"/>
    </xf>
    <xf numFmtId="0" fontId="7" fillId="2" borderId="19" xfId="21" applyFont="1" applyFill="1" applyBorder="1" applyAlignment="1">
      <alignment horizontal="center" vertical="center"/>
    </xf>
    <xf numFmtId="0" fontId="8" fillId="2" borderId="30" xfId="21" applyFont="1" applyFill="1" applyBorder="1" applyAlignment="1">
      <alignment horizontal="center" vertical="center"/>
    </xf>
    <xf numFmtId="0" fontId="8" fillId="2" borderId="129" xfId="21" applyFont="1" applyFill="1" applyBorder="1" applyAlignment="1">
      <alignment horizontal="center" vertical="center"/>
    </xf>
    <xf numFmtId="1" fontId="0" fillId="12" borderId="129" xfId="0" applyNumberFormat="1" applyFill="1" applyBorder="1" applyAlignment="1">
      <alignment horizontal="center"/>
    </xf>
    <xf numFmtId="3" fontId="0" fillId="0" borderId="0" xfId="0" applyNumberFormat="1" applyAlignment="1">
      <alignment horizontal="center" vertical="center"/>
    </xf>
    <xf numFmtId="0" fontId="7" fillId="2" borderId="125" xfId="3" applyFont="1" applyFill="1" applyBorder="1" applyAlignment="1">
      <alignment horizontal="center" vertical="center" wrapText="1"/>
    </xf>
    <xf numFmtId="0" fontId="7" fillId="2" borderId="21" xfId="3" applyFont="1" applyFill="1" applyBorder="1" applyAlignment="1">
      <alignment horizontal="center" vertical="center" wrapText="1"/>
    </xf>
    <xf numFmtId="0" fontId="7" fillId="2" borderId="126" xfId="3" applyFont="1" applyFill="1" applyBorder="1" applyAlignment="1">
      <alignment horizontal="center" vertical="center" wrapText="1"/>
    </xf>
    <xf numFmtId="3" fontId="0" fillId="12" borderId="37" xfId="0" applyNumberFormat="1" applyFill="1" applyBorder="1"/>
    <xf numFmtId="3" fontId="0" fillId="12" borderId="20" xfId="0" applyNumberFormat="1" applyFill="1" applyBorder="1"/>
    <xf numFmtId="168" fontId="8" fillId="13" borderId="38" xfId="28" applyNumberFormat="1" applyFont="1" applyFill="1" applyBorder="1" applyAlignment="1">
      <alignment horizontal="center"/>
    </xf>
    <xf numFmtId="168" fontId="8" fillId="13" borderId="129" xfId="28" applyNumberFormat="1" applyFont="1" applyFill="1" applyBorder="1" applyAlignment="1">
      <alignment horizontal="center"/>
    </xf>
    <xf numFmtId="173" fontId="4" fillId="12" borderId="4" xfId="21" applyNumberFormat="1" applyFill="1" applyBorder="1" applyAlignment="1">
      <alignment horizontal="center" wrapText="1"/>
    </xf>
    <xf numFmtId="173" fontId="4" fillId="12" borderId="36" xfId="21" applyNumberFormat="1" applyFill="1" applyBorder="1" applyAlignment="1">
      <alignment horizontal="center" wrapText="1"/>
    </xf>
    <xf numFmtId="3" fontId="4" fillId="12" borderId="9" xfId="21" applyNumberFormat="1" applyFill="1" applyBorder="1" applyAlignment="1">
      <alignment horizontal="center" wrapText="1"/>
    </xf>
    <xf numFmtId="3" fontId="0" fillId="12" borderId="12" xfId="0" applyNumberFormat="1" applyFill="1" applyBorder="1"/>
    <xf numFmtId="3" fontId="0" fillId="12" borderId="22" xfId="0" applyNumberFormat="1" applyFill="1" applyBorder="1"/>
    <xf numFmtId="173" fontId="191" fillId="12" borderId="4" xfId="21" applyNumberFormat="1" applyFont="1" applyFill="1" applyBorder="1" applyAlignment="1">
      <alignment horizontal="center" wrapText="1"/>
    </xf>
    <xf numFmtId="173" fontId="191" fillId="12" borderId="36" xfId="21" applyNumberFormat="1" applyFont="1" applyFill="1" applyBorder="1" applyAlignment="1">
      <alignment horizontal="center" wrapText="1"/>
    </xf>
    <xf numFmtId="3" fontId="191" fillId="12" borderId="9" xfId="21" applyNumberFormat="1" applyFont="1" applyFill="1" applyBorder="1" applyAlignment="1">
      <alignment horizontal="center" wrapText="1"/>
    </xf>
    <xf numFmtId="3" fontId="18" fillId="12" borderId="12" xfId="0" applyNumberFormat="1" applyFont="1" applyFill="1" applyBorder="1"/>
    <xf numFmtId="3" fontId="18" fillId="12" borderId="22" xfId="0" applyNumberFormat="1" applyFont="1" applyFill="1" applyBorder="1"/>
    <xf numFmtId="0" fontId="7" fillId="2" borderId="130" xfId="3" applyFont="1" applyFill="1" applyBorder="1" applyAlignment="1">
      <alignment horizontal="center" vertical="center" wrapText="1"/>
    </xf>
    <xf numFmtId="0" fontId="7" fillId="2" borderId="131" xfId="3" applyFont="1" applyFill="1" applyBorder="1" applyAlignment="1">
      <alignment horizontal="center" vertical="center" wrapText="1"/>
    </xf>
    <xf numFmtId="0" fontId="0" fillId="12" borderId="128" xfId="0" applyFill="1" applyBorder="1"/>
    <xf numFmtId="0" fontId="0" fillId="12" borderId="132" xfId="0" applyFill="1" applyBorder="1"/>
    <xf numFmtId="0" fontId="7" fillId="2" borderId="19" xfId="21" applyFont="1" applyFill="1" applyBorder="1" applyAlignment="1">
      <alignment horizontal="center" vertical="center" wrapText="1"/>
    </xf>
    <xf numFmtId="3" fontId="192" fillId="10" borderId="26" xfId="21" applyNumberFormat="1" applyFont="1" applyFill="1" applyBorder="1" applyAlignment="1">
      <alignment horizontal="center" vertical="center" wrapText="1"/>
    </xf>
    <xf numFmtId="173" fontId="192" fillId="10" borderId="2" xfId="21" applyNumberFormat="1" applyFont="1" applyFill="1" applyBorder="1" applyAlignment="1">
      <alignment horizontal="center" vertical="center" wrapText="1"/>
    </xf>
    <xf numFmtId="3" fontId="192" fillId="10" borderId="8" xfId="21" applyNumberFormat="1" applyFont="1" applyFill="1" applyBorder="1" applyAlignment="1">
      <alignment horizontal="center" vertical="center" wrapText="1"/>
    </xf>
    <xf numFmtId="169" fontId="0" fillId="0" borderId="4" xfId="0" applyNumberFormat="1" applyBorder="1" applyAlignment="1">
      <alignment horizontal="center"/>
    </xf>
    <xf numFmtId="3" fontId="0" fillId="10" borderId="4" xfId="0" applyNumberFormat="1" applyFill="1" applyBorder="1" applyAlignment="1">
      <alignment horizontal="center"/>
    </xf>
    <xf numFmtId="3" fontId="1" fillId="0" borderId="4" xfId="0" applyNumberFormat="1" applyFont="1" applyBorder="1" applyAlignment="1">
      <alignment horizontal="center"/>
    </xf>
    <xf numFmtId="0" fontId="12" fillId="7" borderId="0" xfId="0" applyFont="1" applyFill="1" applyAlignment="1">
      <alignment vertical="center"/>
    </xf>
    <xf numFmtId="0" fontId="13" fillId="7" borderId="19" xfId="0" applyFont="1" applyFill="1" applyBorder="1" applyAlignment="1">
      <alignment horizontal="center" vertical="center"/>
    </xf>
    <xf numFmtId="0" fontId="13" fillId="7" borderId="15" xfId="0" applyFont="1" applyFill="1" applyBorder="1" applyAlignment="1">
      <alignment horizontal="center" vertical="center"/>
    </xf>
    <xf numFmtId="0" fontId="0" fillId="6" borderId="15" xfId="0" applyFill="1" applyBorder="1" applyAlignment="1">
      <alignment horizontal="center" vertical="center"/>
    </xf>
    <xf numFmtId="0" fontId="14" fillId="7" borderId="0" xfId="0" applyFont="1" applyFill="1" applyAlignment="1">
      <alignment horizontal="right" vertical="center" wrapText="1"/>
    </xf>
    <xf numFmtId="169" fontId="0" fillId="6" borderId="116" xfId="0" applyNumberFormat="1" applyFill="1" applyBorder="1"/>
    <xf numFmtId="3" fontId="0" fillId="6" borderId="15" xfId="0" applyNumberFormat="1" applyFill="1" applyBorder="1"/>
    <xf numFmtId="3" fontId="1" fillId="0" borderId="117" xfId="0" applyNumberFormat="1" applyFont="1" applyBorder="1"/>
    <xf numFmtId="3" fontId="1" fillId="0" borderId="117" xfId="0" applyNumberFormat="1" applyFont="1" applyBorder="1" applyAlignment="1">
      <alignment horizontal="right" vertical="center"/>
    </xf>
    <xf numFmtId="3" fontId="1" fillId="0" borderId="15" xfId="0" applyNumberFormat="1" applyFont="1" applyBorder="1"/>
    <xf numFmtId="3" fontId="1" fillId="0" borderId="15" xfId="0" applyNumberFormat="1" applyFont="1" applyBorder="1" applyAlignment="1">
      <alignment horizontal="right" vertical="center"/>
    </xf>
    <xf numFmtId="0" fontId="0" fillId="0" borderId="116" xfId="0" applyBorder="1" applyAlignment="1">
      <alignment horizontal="center" vertical="center"/>
    </xf>
    <xf numFmtId="0" fontId="7" fillId="2" borderId="113" xfId="21" applyFont="1" applyFill="1" applyBorder="1" applyAlignment="1">
      <alignment horizontal="center" vertical="center" wrapText="1"/>
    </xf>
    <xf numFmtId="0" fontId="7" fillId="2" borderId="30" xfId="21" applyFont="1" applyFill="1" applyBorder="1" applyAlignment="1">
      <alignment horizontal="center" vertical="center" wrapText="1"/>
    </xf>
    <xf numFmtId="0" fontId="7" fillId="2" borderId="31" xfId="21" applyFont="1" applyFill="1" applyBorder="1" applyAlignment="1">
      <alignment horizontal="center" vertical="center" wrapText="1"/>
    </xf>
    <xf numFmtId="0" fontId="193" fillId="4" borderId="15" xfId="0" applyFont="1" applyFill="1" applyBorder="1" applyAlignment="1">
      <alignment horizontal="center" vertical="center" wrapText="1"/>
    </xf>
    <xf numFmtId="0" fontId="178" fillId="4" borderId="30" xfId="0" applyFont="1" applyFill="1" applyBorder="1" applyAlignment="1">
      <alignment horizontal="center" wrapText="1"/>
    </xf>
    <xf numFmtId="0" fontId="178" fillId="4" borderId="30" xfId="0" applyFont="1" applyFill="1" applyBorder="1" applyAlignment="1">
      <alignment horizontal="center"/>
    </xf>
    <xf numFmtId="0" fontId="178" fillId="4" borderId="31" xfId="0" applyFont="1" applyFill="1" applyBorder="1" applyAlignment="1">
      <alignment horizontal="center" wrapText="1"/>
    </xf>
    <xf numFmtId="3" fontId="0" fillId="6" borderId="0" xfId="0" applyNumberFormat="1" applyFill="1"/>
    <xf numFmtId="172" fontId="7" fillId="10" borderId="0" xfId="21" applyNumberFormat="1" applyFont="1" applyFill="1" applyAlignment="1">
      <alignment horizontal="center" vertical="center" wrapText="1"/>
    </xf>
    <xf numFmtId="0" fontId="195" fillId="0" borderId="0" xfId="0" applyFont="1"/>
    <xf numFmtId="0" fontId="195" fillId="0" borderId="114" xfId="0" applyFont="1" applyBorder="1"/>
    <xf numFmtId="252" fontId="195" fillId="0" borderId="114" xfId="0" applyNumberFormat="1" applyFont="1" applyBorder="1"/>
    <xf numFmtId="252" fontId="195" fillId="0" borderId="116" xfId="0" applyNumberFormat="1" applyFont="1" applyBorder="1"/>
    <xf numFmtId="0" fontId="195" fillId="0" borderId="116" xfId="0" applyFont="1" applyBorder="1"/>
    <xf numFmtId="0" fontId="195" fillId="0" borderId="117" xfId="0" applyFont="1" applyBorder="1"/>
    <xf numFmtId="252" fontId="195" fillId="0" borderId="117" xfId="0" applyNumberFormat="1" applyFont="1" applyBorder="1"/>
    <xf numFmtId="3" fontId="195" fillId="0" borderId="0" xfId="0" applyNumberFormat="1" applyFont="1"/>
    <xf numFmtId="0" fontId="7" fillId="122" borderId="14" xfId="3" applyFont="1" applyFill="1" applyBorder="1" applyAlignment="1">
      <alignment horizontal="center"/>
    </xf>
    <xf numFmtId="0" fontId="7" fillId="122" borderId="21" xfId="3" applyFont="1" applyFill="1" applyBorder="1" applyAlignment="1">
      <alignment horizontal="center" wrapText="1"/>
    </xf>
    <xf numFmtId="3" fontId="10" fillId="0" borderId="4" xfId="0" applyNumberFormat="1" applyFont="1" applyBorder="1"/>
    <xf numFmtId="44" fontId="7" fillId="10" borderId="0" xfId="7941" applyFont="1" applyFill="1" applyAlignment="1">
      <alignment horizontal="center" vertical="center" wrapText="1"/>
    </xf>
    <xf numFmtId="44" fontId="7" fillId="10" borderId="0" xfId="21" applyNumberFormat="1" applyFont="1" applyFill="1" applyAlignment="1">
      <alignment horizontal="center" vertical="center" wrapText="1"/>
    </xf>
    <xf numFmtId="170" fontId="0" fillId="10" borderId="24" xfId="0" applyNumberFormat="1" applyFill="1" applyBorder="1"/>
    <xf numFmtId="249" fontId="0" fillId="0" borderId="0" xfId="28" applyNumberFormat="1" applyFont="1"/>
    <xf numFmtId="248" fontId="0" fillId="0" borderId="0" xfId="0" applyNumberFormat="1"/>
    <xf numFmtId="0" fontId="199" fillId="2" borderId="114" xfId="21" applyFont="1" applyFill="1" applyBorder="1" applyAlignment="1">
      <alignment horizontal="center" vertical="center" wrapText="1"/>
    </xf>
    <xf numFmtId="175" fontId="196" fillId="4" borderId="35" xfId="0" applyNumberFormat="1" applyFont="1" applyFill="1" applyBorder="1" applyAlignment="1">
      <alignment horizontal="center" vertical="center" wrapText="1"/>
    </xf>
    <xf numFmtId="175" fontId="196" fillId="153" borderId="15" xfId="0" applyNumberFormat="1" applyFont="1" applyFill="1" applyBorder="1" applyAlignment="1">
      <alignment horizontal="center" vertical="center" wrapText="1"/>
    </xf>
    <xf numFmtId="3" fontId="0" fillId="0" borderId="0" xfId="0" applyNumberFormat="1" applyAlignment="1">
      <alignment vertical="center"/>
    </xf>
    <xf numFmtId="172" fontId="7" fillId="10" borderId="0" xfId="21" applyNumberFormat="1" applyFont="1" applyFill="1" applyAlignment="1">
      <alignment horizontal="left" vertical="center"/>
    </xf>
    <xf numFmtId="0" fontId="7" fillId="10" borderId="0" xfId="21" applyFont="1" applyFill="1" applyAlignment="1">
      <alignment horizontal="left" vertical="center"/>
    </xf>
    <xf numFmtId="0" fontId="7" fillId="10" borderId="0" xfId="21" applyFont="1" applyFill="1" applyAlignment="1">
      <alignment horizontal="center" vertical="center"/>
    </xf>
    <xf numFmtId="0" fontId="0" fillId="0" borderId="0" xfId="0" applyAlignment="1">
      <alignment horizontal="right"/>
    </xf>
    <xf numFmtId="0" fontId="197" fillId="0" borderId="0" xfId="0" applyFont="1" applyAlignment="1">
      <alignment horizontal="right"/>
    </xf>
    <xf numFmtId="0" fontId="197" fillId="0" borderId="4" xfId="0" applyFont="1" applyBorder="1" applyAlignment="1">
      <alignment horizontal="center" vertical="center"/>
    </xf>
    <xf numFmtId="3" fontId="4" fillId="0" borderId="4" xfId="21" applyNumberFormat="1" applyBorder="1" applyAlignment="1">
      <alignment horizontal="center" wrapText="1"/>
    </xf>
    <xf numFmtId="0" fontId="8" fillId="12" borderId="0" xfId="21" applyFont="1" applyFill="1" applyAlignment="1">
      <alignment horizontal="left" vertical="center"/>
    </xf>
    <xf numFmtId="177" fontId="0" fillId="5" borderId="4" xfId="28" applyNumberFormat="1" applyFont="1" applyFill="1" applyBorder="1"/>
    <xf numFmtId="1" fontId="0" fillId="0" borderId="36" xfId="0" applyNumberFormat="1" applyBorder="1" applyAlignment="1">
      <alignment horizontal="center"/>
    </xf>
    <xf numFmtId="1" fontId="0" fillId="0" borderId="32" xfId="0" applyNumberFormat="1" applyBorder="1" applyAlignment="1">
      <alignment horizontal="center"/>
    </xf>
    <xf numFmtId="1" fontId="0" fillId="0" borderId="4" xfId="0" applyNumberFormat="1" applyBorder="1" applyAlignment="1">
      <alignment horizontal="center"/>
    </xf>
    <xf numFmtId="1" fontId="0" fillId="0" borderId="9" xfId="0" applyNumberFormat="1" applyBorder="1" applyAlignment="1">
      <alignment horizontal="center"/>
    </xf>
    <xf numFmtId="1" fontId="0" fillId="0" borderId="115" xfId="0" applyNumberFormat="1" applyBorder="1" applyAlignment="1">
      <alignment horizontal="center"/>
    </xf>
    <xf numFmtId="168" fontId="0" fillId="0" borderId="7" xfId="8422" applyNumberFormat="1" applyFont="1" applyBorder="1"/>
    <xf numFmtId="168" fontId="0" fillId="0" borderId="7" xfId="9110" applyNumberFormat="1" applyFont="1" applyBorder="1"/>
    <xf numFmtId="175" fontId="196" fillId="4" borderId="49" xfId="0" applyNumberFormat="1" applyFont="1" applyFill="1" applyBorder="1" applyAlignment="1">
      <alignment horizontal="center" vertical="center" wrapText="1"/>
    </xf>
    <xf numFmtId="3" fontId="195" fillId="0" borderId="113" xfId="0" applyNumberFormat="1" applyFont="1" applyBorder="1"/>
    <xf numFmtId="3" fontId="195" fillId="0" borderId="30" xfId="0" applyNumberFormat="1" applyFont="1" applyBorder="1"/>
    <xf numFmtId="3" fontId="195" fillId="0" borderId="31" xfId="0" applyNumberFormat="1" applyFont="1" applyBorder="1"/>
    <xf numFmtId="172" fontId="195" fillId="0" borderId="113" xfId="0" applyNumberFormat="1" applyFont="1" applyBorder="1" applyAlignment="1">
      <alignment horizontal="center"/>
    </xf>
    <xf numFmtId="172" fontId="195" fillId="0" borderId="30" xfId="0" applyNumberFormat="1" applyFont="1" applyBorder="1" applyAlignment="1">
      <alignment horizontal="center"/>
    </xf>
    <xf numFmtId="172" fontId="195" fillId="0" borderId="31" xfId="0" applyNumberFormat="1" applyFont="1" applyBorder="1" applyAlignment="1">
      <alignment horizontal="center"/>
    </xf>
    <xf numFmtId="168" fontId="0" fillId="0" borderId="127" xfId="8422" applyNumberFormat="1" applyFont="1" applyBorder="1"/>
    <xf numFmtId="168" fontId="0" fillId="0" borderId="115" xfId="8422" applyNumberFormat="1" applyFont="1" applyBorder="1"/>
    <xf numFmtId="168" fontId="0" fillId="0" borderId="39" xfId="8422" applyNumberFormat="1" applyFont="1" applyBorder="1"/>
    <xf numFmtId="168" fontId="7" fillId="10" borderId="0" xfId="28" applyNumberFormat="1" applyFont="1" applyFill="1" applyAlignment="1">
      <alignment horizontal="center" vertical="center" wrapText="1"/>
    </xf>
    <xf numFmtId="175" fontId="196" fillId="13" borderId="35" xfId="0" applyNumberFormat="1" applyFont="1" applyFill="1" applyBorder="1" applyAlignment="1">
      <alignment horizontal="center" vertical="center" wrapText="1"/>
    </xf>
    <xf numFmtId="168" fontId="0" fillId="0" borderId="113" xfId="8422" applyNumberFormat="1" applyFont="1" applyBorder="1"/>
    <xf numFmtId="168" fontId="0" fillId="0" borderId="30" xfId="8422" applyNumberFormat="1" applyFont="1" applyBorder="1"/>
    <xf numFmtId="175" fontId="196" fillId="13" borderId="15" xfId="0" applyNumberFormat="1" applyFont="1" applyFill="1" applyBorder="1" applyAlignment="1">
      <alignment horizontal="center" vertical="center" wrapText="1"/>
    </xf>
    <xf numFmtId="172" fontId="0" fillId="0" borderId="3" xfId="0" applyNumberFormat="1" applyBorder="1" applyAlignment="1">
      <alignment horizontal="center"/>
    </xf>
    <xf numFmtId="253" fontId="195" fillId="0" borderId="0" xfId="0" applyNumberFormat="1" applyFont="1"/>
    <xf numFmtId="254" fontId="0" fillId="0" borderId="0" xfId="0" applyNumberFormat="1"/>
    <xf numFmtId="172" fontId="195" fillId="0" borderId="128" xfId="0" applyNumberFormat="1" applyFont="1" applyBorder="1" applyAlignment="1">
      <alignment horizontal="center"/>
    </xf>
    <xf numFmtId="172" fontId="195" fillId="0" borderId="132" xfId="0" applyNumberFormat="1" applyFont="1" applyBorder="1" applyAlignment="1">
      <alignment horizontal="center"/>
    </xf>
    <xf numFmtId="172" fontId="195" fillId="0" borderId="118" xfId="0" applyNumberFormat="1" applyFont="1" applyBorder="1" applyAlignment="1">
      <alignment horizontal="center"/>
    </xf>
    <xf numFmtId="43" fontId="195" fillId="0" borderId="38" xfId="0" applyNumberFormat="1" applyFont="1" applyBorder="1"/>
    <xf numFmtId="43" fontId="195" fillId="0" borderId="133" xfId="0" applyNumberFormat="1" applyFont="1" applyBorder="1"/>
    <xf numFmtId="43" fontId="195" fillId="0" borderId="134" xfId="0" applyNumberFormat="1" applyFont="1" applyBorder="1"/>
    <xf numFmtId="43" fontId="195" fillId="0" borderId="113" xfId="0" applyNumberFormat="1" applyFont="1" applyBorder="1"/>
    <xf numFmtId="43" fontId="195" fillId="0" borderId="30" xfId="0" applyNumberFormat="1" applyFont="1" applyBorder="1"/>
    <xf numFmtId="43" fontId="195" fillId="0" borderId="31" xfId="0" applyNumberFormat="1" applyFont="1" applyBorder="1"/>
    <xf numFmtId="43" fontId="195" fillId="0" borderId="38" xfId="28" applyFont="1" applyBorder="1"/>
    <xf numFmtId="43" fontId="195" fillId="0" borderId="133" xfId="28" applyFont="1" applyBorder="1"/>
    <xf numFmtId="43" fontId="195" fillId="0" borderId="30" xfId="28" applyFont="1" applyBorder="1"/>
    <xf numFmtId="3" fontId="195" fillId="0" borderId="128" xfId="0" applyNumberFormat="1" applyFont="1" applyBorder="1"/>
    <xf numFmtId="3" fontId="195" fillId="0" borderId="132" xfId="0" applyNumberFormat="1" applyFont="1" applyBorder="1"/>
    <xf numFmtId="175" fontId="196" fillId="13" borderId="49" xfId="0" applyNumberFormat="1" applyFont="1" applyFill="1" applyBorder="1" applyAlignment="1">
      <alignment horizontal="center" vertical="center" wrapText="1"/>
    </xf>
    <xf numFmtId="0" fontId="0" fillId="0" borderId="70" xfId="0" applyBorder="1"/>
    <xf numFmtId="0" fontId="1" fillId="154" borderId="4" xfId="0" applyFont="1" applyFill="1" applyBorder="1"/>
    <xf numFmtId="0" fontId="0" fillId="154" borderId="4" xfId="0" applyFill="1" applyBorder="1"/>
    <xf numFmtId="0" fontId="0" fillId="155" borderId="4" xfId="0" applyFill="1" applyBorder="1"/>
    <xf numFmtId="0" fontId="1" fillId="155" borderId="4" xfId="0" applyFont="1" applyFill="1" applyBorder="1"/>
    <xf numFmtId="14" fontId="0" fillId="155" borderId="4" xfId="0" applyNumberFormat="1" applyFill="1" applyBorder="1"/>
    <xf numFmtId="174" fontId="0" fillId="155" borderId="4" xfId="0" applyNumberFormat="1" applyFill="1" applyBorder="1"/>
    <xf numFmtId="3" fontId="7" fillId="6" borderId="15" xfId="28" applyNumberFormat="1" applyFont="1" applyFill="1" applyBorder="1" applyAlignment="1">
      <alignment horizontal="center" vertical="center" wrapText="1"/>
    </xf>
    <xf numFmtId="173" fontId="0" fillId="0" borderId="4" xfId="0" applyNumberFormat="1" applyBorder="1"/>
    <xf numFmtId="173" fontId="0" fillId="10" borderId="0" xfId="0" applyNumberFormat="1" applyFill="1" applyAlignment="1">
      <alignment horizontal="center" vertical="center"/>
    </xf>
    <xf numFmtId="171" fontId="0" fillId="12" borderId="0" xfId="0" applyNumberFormat="1" applyFill="1" applyAlignment="1">
      <alignment horizontal="center" vertical="center"/>
    </xf>
    <xf numFmtId="0" fontId="7" fillId="12" borderId="70" xfId="21" applyFont="1" applyFill="1" applyBorder="1" applyAlignment="1">
      <alignment horizontal="right" vertical="center"/>
    </xf>
    <xf numFmtId="0" fontId="7" fillId="12" borderId="0" xfId="21" applyFont="1" applyFill="1" applyAlignment="1">
      <alignment horizontal="right" vertical="center"/>
    </xf>
    <xf numFmtId="168" fontId="200" fillId="0" borderId="4" xfId="28" applyNumberFormat="1" applyFont="1" applyBorder="1"/>
    <xf numFmtId="173" fontId="4" fillId="10" borderId="8" xfId="21" applyNumberFormat="1" applyFill="1" applyBorder="1" applyAlignment="1">
      <alignment horizontal="center" vertical="center" wrapText="1"/>
    </xf>
    <xf numFmtId="10" fontId="0" fillId="0" borderId="0" xfId="7940" applyNumberFormat="1" applyFont="1"/>
    <xf numFmtId="0" fontId="190" fillId="0" borderId="0" xfId="0" applyFont="1" applyAlignment="1">
      <alignment wrapText="1"/>
    </xf>
    <xf numFmtId="0" fontId="7" fillId="2" borderId="4" xfId="3" applyFont="1" applyFill="1" applyBorder="1" applyAlignment="1">
      <alignment horizontal="center" vertical="center"/>
    </xf>
    <xf numFmtId="0" fontId="7" fillId="2" borderId="4" xfId="3" applyFont="1" applyFill="1" applyBorder="1" applyAlignment="1">
      <alignment horizontal="center" vertical="center" wrapText="1"/>
    </xf>
    <xf numFmtId="1" fontId="7" fillId="2" borderId="4" xfId="3" applyNumberFormat="1" applyFont="1" applyFill="1" applyBorder="1" applyAlignment="1">
      <alignment horizontal="center" vertical="center" wrapText="1"/>
    </xf>
    <xf numFmtId="172" fontId="7" fillId="2" borderId="4" xfId="3" applyNumberFormat="1" applyFont="1" applyFill="1" applyBorder="1" applyAlignment="1">
      <alignment horizontal="center" vertical="center" wrapText="1"/>
    </xf>
    <xf numFmtId="0" fontId="7" fillId="3" borderId="0" xfId="21" applyFont="1" applyFill="1" applyAlignment="1">
      <alignment horizontal="right" vertical="center" wrapText="1"/>
    </xf>
    <xf numFmtId="0" fontId="7" fillId="3" borderId="70" xfId="21" applyFont="1" applyFill="1" applyBorder="1" applyAlignment="1">
      <alignment horizontal="right" vertical="center" wrapText="1"/>
    </xf>
    <xf numFmtId="0" fontId="178" fillId="4" borderId="113" xfId="0" applyFont="1" applyFill="1" applyBorder="1" applyAlignment="1">
      <alignment horizontal="center"/>
    </xf>
    <xf numFmtId="0" fontId="193" fillId="10" borderId="4" xfId="3" applyFont="1" applyFill="1" applyBorder="1" applyAlignment="1">
      <alignment horizontal="center"/>
    </xf>
    <xf numFmtId="0" fontId="205" fillId="0" borderId="4" xfId="0" applyFont="1" applyBorder="1"/>
    <xf numFmtId="0" fontId="205" fillId="0" borderId="10" xfId="0" applyFont="1" applyBorder="1"/>
    <xf numFmtId="0" fontId="205" fillId="0" borderId="5" xfId="0" applyFont="1" applyBorder="1"/>
    <xf numFmtId="3" fontId="10" fillId="0" borderId="0" xfId="0" applyNumberFormat="1" applyFont="1"/>
    <xf numFmtId="0" fontId="205" fillId="0" borderId="2" xfId="0" applyFont="1" applyBorder="1"/>
    <xf numFmtId="0" fontId="203" fillId="0" borderId="9" xfId="21" applyFont="1" applyBorder="1" applyAlignment="1">
      <alignment horizontal="center"/>
    </xf>
    <xf numFmtId="0" fontId="0" fillId="0" borderId="136" xfId="0" applyBorder="1"/>
    <xf numFmtId="0" fontId="8" fillId="0" borderId="38" xfId="21" applyFont="1" applyBorder="1" applyAlignment="1">
      <alignment horizontal="center"/>
    </xf>
    <xf numFmtId="0" fontId="204" fillId="0" borderId="4" xfId="0" applyFont="1" applyBorder="1"/>
    <xf numFmtId="0" fontId="0" fillId="10" borderId="0" xfId="0" applyFill="1"/>
    <xf numFmtId="0" fontId="7" fillId="3" borderId="113" xfId="21" applyFont="1" applyFill="1" applyBorder="1" applyAlignment="1">
      <alignment horizontal="center" vertical="center"/>
    </xf>
    <xf numFmtId="0" fontId="7" fillId="3" borderId="30" xfId="21" applyFont="1" applyFill="1" applyBorder="1" applyAlignment="1">
      <alignment horizontal="center" vertical="center"/>
    </xf>
    <xf numFmtId="0" fontId="7" fillId="3" borderId="31" xfId="21" applyFont="1" applyFill="1" applyBorder="1" applyAlignment="1">
      <alignment horizontal="center" vertical="center"/>
    </xf>
    <xf numFmtId="0" fontId="8" fillId="3" borderId="113" xfId="21" applyFont="1" applyFill="1" applyBorder="1" applyAlignment="1">
      <alignment horizontal="center" vertical="center"/>
    </xf>
    <xf numFmtId="0" fontId="8" fillId="3" borderId="30" xfId="21" applyFont="1" applyFill="1" applyBorder="1" applyAlignment="1">
      <alignment horizontal="center" vertical="center"/>
    </xf>
    <xf numFmtId="0" fontId="8" fillId="3" borderId="31" xfId="21" applyFont="1" applyFill="1" applyBorder="1" applyAlignment="1">
      <alignment horizontal="center" vertical="center"/>
    </xf>
    <xf numFmtId="0" fontId="7" fillId="0" borderId="0" xfId="21" applyFont="1" applyAlignment="1">
      <alignment horizontal="center" vertical="center" wrapText="1"/>
    </xf>
    <xf numFmtId="172" fontId="7" fillId="0" borderId="0" xfId="21" applyNumberFormat="1" applyFont="1" applyAlignment="1">
      <alignment horizontal="center" vertical="center" wrapText="1"/>
    </xf>
    <xf numFmtId="0" fontId="8" fillId="0" borderId="0" xfId="21" applyFont="1" applyAlignment="1">
      <alignment horizontal="left" vertical="center"/>
    </xf>
    <xf numFmtId="44" fontId="7" fillId="0" borderId="0" xfId="7941" applyFont="1" applyAlignment="1">
      <alignment horizontal="center" vertical="center" wrapText="1"/>
    </xf>
    <xf numFmtId="0" fontId="195" fillId="0" borderId="128" xfId="0" applyFont="1" applyBorder="1"/>
    <xf numFmtId="0" fontId="195" fillId="0" borderId="132" xfId="0" applyFont="1" applyBorder="1"/>
    <xf numFmtId="0" fontId="198" fillId="0" borderId="118" xfId="0" applyFont="1" applyBorder="1"/>
    <xf numFmtId="252" fontId="195" fillId="0" borderId="38" xfId="0" applyNumberFormat="1" applyFont="1" applyBorder="1"/>
    <xf numFmtId="252" fontId="195" fillId="0" borderId="133" xfId="0" applyNumberFormat="1" applyFont="1" applyBorder="1"/>
    <xf numFmtId="252" fontId="195" fillId="0" borderId="134" xfId="0" applyNumberFormat="1" applyFont="1" applyBorder="1"/>
    <xf numFmtId="252" fontId="195" fillId="0" borderId="113" xfId="0" applyNumberFormat="1" applyFont="1" applyBorder="1"/>
    <xf numFmtId="252" fontId="195" fillId="0" borderId="30" xfId="0" applyNumberFormat="1" applyFont="1" applyBorder="1"/>
    <xf numFmtId="252" fontId="195" fillId="0" borderId="31" xfId="0" applyNumberFormat="1" applyFont="1" applyBorder="1"/>
    <xf numFmtId="0" fontId="205" fillId="0" borderId="0" xfId="0" applyFont="1" applyBorder="1"/>
    <xf numFmtId="0" fontId="11" fillId="0" borderId="4" xfId="0" applyFont="1" applyBorder="1"/>
    <xf numFmtId="3" fontId="4" fillId="0" borderId="135" xfId="21" applyNumberFormat="1" applyBorder="1" applyAlignment="1">
      <alignment horizontal="center" wrapText="1"/>
    </xf>
    <xf numFmtId="3" fontId="0" fillId="0" borderId="0" xfId="0" applyNumberFormat="1" applyFill="1" applyBorder="1"/>
    <xf numFmtId="9" fontId="0" fillId="0" borderId="0" xfId="7940" applyFont="1"/>
    <xf numFmtId="176" fontId="0" fillId="0" borderId="0" xfId="7940" applyNumberFormat="1" applyFont="1"/>
    <xf numFmtId="254" fontId="0" fillId="0" borderId="4" xfId="0" applyNumberFormat="1" applyBorder="1"/>
    <xf numFmtId="254" fontId="0" fillId="5" borderId="4" xfId="28" applyNumberFormat="1" applyFont="1" applyFill="1" applyBorder="1"/>
    <xf numFmtId="0" fontId="11" fillId="0" borderId="0" xfId="0" applyFont="1"/>
    <xf numFmtId="0" fontId="207" fillId="0" borderId="13" xfId="0" applyFont="1" applyBorder="1"/>
    <xf numFmtId="3" fontId="4" fillId="0" borderId="0" xfId="21" applyNumberFormat="1" applyFont="1" applyAlignment="1">
      <alignment horizontal="center" wrapText="1"/>
    </xf>
    <xf numFmtId="0" fontId="4" fillId="0" borderId="10" xfId="21" applyFont="1" applyBorder="1" applyAlignment="1">
      <alignment horizontal="center"/>
    </xf>
    <xf numFmtId="3" fontId="4" fillId="0" borderId="34" xfId="21" applyNumberFormat="1" applyFont="1" applyBorder="1" applyAlignment="1">
      <alignment horizontal="center" wrapText="1"/>
    </xf>
    <xf numFmtId="0" fontId="4" fillId="0" borderId="34" xfId="21" applyFont="1" applyBorder="1" applyAlignment="1">
      <alignment horizontal="center"/>
    </xf>
    <xf numFmtId="3" fontId="4" fillId="0" borderId="137" xfId="21" applyNumberFormat="1" applyFont="1" applyBorder="1" applyAlignment="1">
      <alignment horizontal="center" wrapText="1"/>
    </xf>
    <xf numFmtId="0" fontId="4" fillId="0" borderId="5" xfId="21" applyFont="1" applyBorder="1" applyAlignment="1">
      <alignment horizontal="center"/>
    </xf>
    <xf numFmtId="3" fontId="4" fillId="0" borderId="5" xfId="21" applyNumberFormat="1" applyFont="1" applyBorder="1" applyAlignment="1">
      <alignment horizontal="center" wrapText="1"/>
    </xf>
    <xf numFmtId="0" fontId="4" fillId="0" borderId="11" xfId="21" applyFont="1" applyBorder="1" applyAlignment="1">
      <alignment horizontal="center"/>
    </xf>
    <xf numFmtId="0" fontId="4" fillId="0" borderId="0" xfId="21" applyFont="1" applyAlignment="1">
      <alignment horizontal="center"/>
    </xf>
    <xf numFmtId="0" fontId="207" fillId="0" borderId="4" xfId="0" applyFont="1" applyBorder="1"/>
    <xf numFmtId="0" fontId="208" fillId="152" borderId="27" xfId="0" applyFont="1" applyFill="1" applyBorder="1"/>
    <xf numFmtId="0" fontId="208" fillId="152" borderId="28" xfId="0" applyFont="1" applyFill="1" applyBorder="1"/>
    <xf numFmtId="0" fontId="208" fillId="152" borderId="29" xfId="0" applyFont="1" applyFill="1" applyBorder="1"/>
    <xf numFmtId="3" fontId="4" fillId="0" borderId="0" xfId="21" applyNumberFormat="1" applyFont="1" applyBorder="1" applyAlignment="1">
      <alignment horizontal="center" wrapText="1"/>
    </xf>
    <xf numFmtId="0" fontId="209" fillId="152" borderId="113" xfId="0" applyFont="1" applyFill="1" applyBorder="1" applyAlignment="1">
      <alignment horizontal="center"/>
    </xf>
    <xf numFmtId="0" fontId="11" fillId="0" borderId="1" xfId="0" applyFont="1" applyBorder="1"/>
    <xf numFmtId="1" fontId="209" fillId="152" borderId="133" xfId="0" applyNumberFormat="1" applyFont="1" applyFill="1" applyBorder="1" applyAlignment="1">
      <alignment horizontal="center"/>
    </xf>
    <xf numFmtId="1" fontId="209" fillId="152" borderId="134" xfId="0" applyNumberFormat="1" applyFont="1" applyFill="1" applyBorder="1" applyAlignment="1">
      <alignment horizontal="center"/>
    </xf>
    <xf numFmtId="0" fontId="209" fillId="152" borderId="27" xfId="0" applyFont="1" applyFill="1" applyBorder="1"/>
    <xf numFmtId="1" fontId="209" fillId="152" borderId="28" xfId="0" applyNumberFormat="1" applyFont="1" applyFill="1" applyBorder="1"/>
    <xf numFmtId="0" fontId="11" fillId="0" borderId="6" xfId="0" applyFont="1" applyBorder="1"/>
    <xf numFmtId="1" fontId="11" fillId="0" borderId="0" xfId="0" applyNumberFormat="1" applyFont="1"/>
    <xf numFmtId="0" fontId="208" fillId="152" borderId="128" xfId="0" applyFont="1" applyFill="1" applyBorder="1"/>
    <xf numFmtId="0" fontId="208" fillId="152" borderId="132" xfId="0" applyFont="1" applyFill="1" applyBorder="1"/>
    <xf numFmtId="0" fontId="208" fillId="152" borderId="118" xfId="0" applyFont="1" applyFill="1" applyBorder="1"/>
    <xf numFmtId="0" fontId="207" fillId="0" borderId="135" xfId="0" applyFont="1" applyBorder="1"/>
    <xf numFmtId="0" fontId="13" fillId="0" borderId="0" xfId="0" applyFont="1" applyFill="1" applyBorder="1" applyAlignment="1">
      <alignment vertical="center" wrapText="1"/>
    </xf>
    <xf numFmtId="49" fontId="39" fillId="46" borderId="122" xfId="4895" applyNumberFormat="1" applyFont="1" applyFill="1" applyBorder="1" applyAlignment="1">
      <alignment wrapText="1"/>
    </xf>
    <xf numFmtId="49" fontId="46" fillId="0" borderId="122" xfId="88" applyNumberFormat="1" applyBorder="1" applyAlignment="1">
      <alignment wrapText="1"/>
    </xf>
    <xf numFmtId="49" fontId="46" fillId="0" borderId="123" xfId="88" applyNumberFormat="1" applyBorder="1" applyAlignment="1">
      <alignment wrapText="1"/>
    </xf>
    <xf numFmtId="49" fontId="46" fillId="0" borderId="0" xfId="88" applyNumberFormat="1" applyAlignment="1">
      <alignment wrapText="1"/>
    </xf>
    <xf numFmtId="49" fontId="46" fillId="0" borderId="119" xfId="88" applyNumberFormat="1" applyBorder="1" applyAlignment="1">
      <alignment wrapText="1"/>
    </xf>
    <xf numFmtId="49" fontId="46" fillId="0" borderId="120" xfId="88" applyNumberFormat="1" applyBorder="1" applyAlignment="1">
      <alignment wrapText="1"/>
    </xf>
    <xf numFmtId="49" fontId="46" fillId="0" borderId="121" xfId="88" applyNumberFormat="1" applyBorder="1" applyAlignment="1">
      <alignment wrapText="1"/>
    </xf>
    <xf numFmtId="175" fontId="39" fillId="46" borderId="54" xfId="88" applyNumberFormat="1" applyFont="1" applyFill="1" applyBorder="1" applyAlignment="1">
      <alignment horizontal="left" vertical="center"/>
    </xf>
    <xf numFmtId="0" fontId="35" fillId="46" borderId="54" xfId="88" applyFont="1" applyFill="1" applyBorder="1"/>
    <xf numFmtId="49" fontId="39" fillId="46" borderId="54" xfId="88" applyNumberFormat="1" applyFont="1" applyFill="1" applyBorder="1" applyAlignment="1">
      <alignment horizontal="left" vertical="center"/>
    </xf>
    <xf numFmtId="49" fontId="39" fillId="46" borderId="63" xfId="88" applyNumberFormat="1" applyFont="1" applyFill="1" applyBorder="1" applyAlignment="1">
      <alignment horizontal="center" vertical="center" wrapText="1"/>
    </xf>
    <xf numFmtId="49" fontId="39" fillId="46" borderId="64" xfId="88" applyNumberFormat="1" applyFont="1" applyFill="1" applyBorder="1" applyAlignment="1">
      <alignment horizontal="center" vertical="center" wrapText="1"/>
    </xf>
    <xf numFmtId="49" fontId="39" fillId="46" borderId="65" xfId="88" applyNumberFormat="1" applyFont="1" applyFill="1" applyBorder="1" applyAlignment="1">
      <alignment horizontal="center" vertical="center" wrapText="1"/>
    </xf>
    <xf numFmtId="49" fontId="40" fillId="46" borderId="63" xfId="88" applyNumberFormat="1" applyFont="1" applyFill="1" applyBorder="1" applyAlignment="1">
      <alignment horizontal="center" vertical="center"/>
    </xf>
    <xf numFmtId="49" fontId="40" fillId="46" borderId="64" xfId="88" applyNumberFormat="1" applyFont="1" applyFill="1" applyBorder="1" applyAlignment="1">
      <alignment horizontal="center" vertical="center"/>
    </xf>
    <xf numFmtId="49" fontId="40" fillId="46" borderId="65" xfId="88" applyNumberFormat="1" applyFont="1" applyFill="1" applyBorder="1" applyAlignment="1">
      <alignment horizontal="center" vertical="center"/>
    </xf>
    <xf numFmtId="49" fontId="36" fillId="46" borderId="51" xfId="88" applyNumberFormat="1" applyFont="1" applyFill="1" applyBorder="1" applyAlignment="1">
      <alignment horizontal="center" wrapText="1"/>
    </xf>
    <xf numFmtId="49" fontId="36" fillId="46" borderId="0" xfId="88" applyNumberFormat="1" applyFont="1" applyFill="1" applyAlignment="1">
      <alignment horizontal="center" wrapText="1"/>
    </xf>
    <xf numFmtId="49" fontId="36" fillId="46" borderId="6" xfId="88" applyNumberFormat="1" applyFont="1" applyFill="1" applyBorder="1" applyAlignment="1">
      <alignment horizontal="center" wrapText="1"/>
    </xf>
    <xf numFmtId="49" fontId="40" fillId="46" borderId="54" xfId="88" applyNumberFormat="1" applyFont="1" applyFill="1" applyBorder="1" applyAlignment="1">
      <alignment horizontal="left" vertical="center"/>
    </xf>
    <xf numFmtId="49" fontId="38" fillId="46" borderId="51" xfId="88" applyNumberFormat="1" applyFont="1" applyFill="1" applyBorder="1" applyAlignment="1">
      <alignment horizontal="center"/>
    </xf>
    <xf numFmtId="49" fontId="38" fillId="46" borderId="0" xfId="88" applyNumberFormat="1" applyFont="1" applyFill="1" applyAlignment="1">
      <alignment horizontal="center"/>
    </xf>
    <xf numFmtId="49" fontId="38" fillId="46" borderId="6" xfId="88" applyNumberFormat="1" applyFont="1" applyFill="1" applyBorder="1" applyAlignment="1">
      <alignment horizontal="center"/>
    </xf>
    <xf numFmtId="49" fontId="42" fillId="46" borderId="51" xfId="88" applyNumberFormat="1" applyFont="1" applyFill="1" applyBorder="1" applyAlignment="1">
      <alignment horizontal="center"/>
    </xf>
    <xf numFmtId="49" fontId="42" fillId="46" borderId="0" xfId="88" applyNumberFormat="1" applyFont="1" applyFill="1" applyAlignment="1">
      <alignment horizontal="center"/>
    </xf>
    <xf numFmtId="49" fontId="42" fillId="46" borderId="6" xfId="88" applyNumberFormat="1" applyFont="1" applyFill="1" applyBorder="1" applyAlignment="1">
      <alignment horizontal="center"/>
    </xf>
    <xf numFmtId="49" fontId="39" fillId="46" borderId="51" xfId="88" applyNumberFormat="1" applyFont="1" applyFill="1" applyBorder="1" applyAlignment="1">
      <alignment horizontal="center"/>
    </xf>
    <xf numFmtId="49" fontId="39" fillId="46" borderId="0" xfId="88" applyNumberFormat="1" applyFont="1" applyFill="1" applyAlignment="1">
      <alignment horizontal="center"/>
    </xf>
    <xf numFmtId="49" fontId="39" fillId="46" borderId="6" xfId="88" applyNumberFormat="1" applyFont="1" applyFill="1" applyBorder="1" applyAlignment="1">
      <alignment horizontal="center"/>
    </xf>
    <xf numFmtId="49" fontId="40" fillId="46" borderId="55" xfId="88" applyNumberFormat="1" applyFont="1" applyFill="1" applyBorder="1" applyAlignment="1">
      <alignment vertical="center" wrapText="1"/>
    </xf>
    <xf numFmtId="49" fontId="40" fillId="46" borderId="56" xfId="88" applyNumberFormat="1" applyFont="1" applyFill="1" applyBorder="1" applyAlignment="1">
      <alignment vertical="center" wrapText="1"/>
    </xf>
    <xf numFmtId="49" fontId="40" fillId="46" borderId="57" xfId="88" applyNumberFormat="1" applyFont="1" applyFill="1" applyBorder="1" applyAlignment="1">
      <alignment vertical="center" wrapText="1"/>
    </xf>
    <xf numFmtId="49" fontId="40" fillId="46" borderId="58" xfId="88" applyNumberFormat="1" applyFont="1" applyFill="1" applyBorder="1" applyAlignment="1">
      <alignment vertical="center" wrapText="1"/>
    </xf>
    <xf numFmtId="49" fontId="40" fillId="46" borderId="0" xfId="88" applyNumberFormat="1" applyFont="1" applyFill="1" applyAlignment="1">
      <alignment vertical="center" wrapText="1"/>
    </xf>
    <xf numFmtId="49" fontId="40" fillId="46" borderId="59" xfId="88" applyNumberFormat="1" applyFont="1" applyFill="1" applyBorder="1" applyAlignment="1">
      <alignment vertical="center" wrapText="1"/>
    </xf>
    <xf numFmtId="49" fontId="40" fillId="46" borderId="60" xfId="88" applyNumberFormat="1" applyFont="1" applyFill="1" applyBorder="1" applyAlignment="1">
      <alignment vertical="center" wrapText="1"/>
    </xf>
    <xf numFmtId="49" fontId="40" fillId="46" borderId="61" xfId="88" applyNumberFormat="1" applyFont="1" applyFill="1" applyBorder="1" applyAlignment="1">
      <alignment vertical="center" wrapText="1"/>
    </xf>
    <xf numFmtId="49" fontId="40" fillId="46" borderId="62" xfId="88" applyNumberFormat="1" applyFont="1" applyFill="1" applyBorder="1" applyAlignment="1">
      <alignment vertical="center" wrapText="1"/>
    </xf>
    <xf numFmtId="49" fontId="39" fillId="46" borderId="55" xfId="88" applyNumberFormat="1" applyFont="1" applyFill="1" applyBorder="1" applyAlignment="1">
      <alignment horizontal="left" vertical="center" wrapText="1"/>
    </xf>
    <xf numFmtId="49" fontId="39" fillId="46" borderId="56" xfId="88" applyNumberFormat="1" applyFont="1" applyFill="1" applyBorder="1" applyAlignment="1">
      <alignment horizontal="left" vertical="center" wrapText="1"/>
    </xf>
    <xf numFmtId="49" fontId="39" fillId="46" borderId="57" xfId="88" applyNumberFormat="1" applyFont="1" applyFill="1" applyBorder="1" applyAlignment="1">
      <alignment horizontal="left" vertical="center" wrapText="1"/>
    </xf>
    <xf numFmtId="49" fontId="39" fillId="46" borderId="58" xfId="88" applyNumberFormat="1" applyFont="1" applyFill="1" applyBorder="1" applyAlignment="1">
      <alignment horizontal="left" vertical="center" wrapText="1"/>
    </xf>
    <xf numFmtId="49" fontId="39" fillId="46" borderId="0" xfId="88" applyNumberFormat="1" applyFont="1" applyFill="1" applyAlignment="1">
      <alignment horizontal="left" vertical="center" wrapText="1"/>
    </xf>
    <xf numFmtId="49" fontId="39" fillId="46" borderId="59" xfId="88" applyNumberFormat="1" applyFont="1" applyFill="1" applyBorder="1" applyAlignment="1">
      <alignment horizontal="left" vertical="center" wrapText="1"/>
    </xf>
    <xf numFmtId="49" fontId="39" fillId="46" borderId="60" xfId="88" applyNumberFormat="1" applyFont="1" applyFill="1" applyBorder="1" applyAlignment="1">
      <alignment horizontal="left" vertical="center" wrapText="1"/>
    </xf>
    <xf numFmtId="49" fontId="39" fillId="46" borderId="61" xfId="88" applyNumberFormat="1" applyFont="1" applyFill="1" applyBorder="1" applyAlignment="1">
      <alignment horizontal="left" vertical="center" wrapText="1"/>
    </xf>
    <xf numFmtId="49" fontId="39" fillId="46" borderId="62" xfId="88" applyNumberFormat="1" applyFont="1" applyFill="1" applyBorder="1" applyAlignment="1">
      <alignment horizontal="left" vertical="center" wrapText="1"/>
    </xf>
    <xf numFmtId="0" fontId="12" fillId="7" borderId="0" xfId="0" applyFont="1" applyFill="1" applyAlignment="1">
      <alignment horizontal="center" vertical="center"/>
    </xf>
    <xf numFmtId="0" fontId="0" fillId="0" borderId="35" xfId="0" applyBorder="1" applyAlignment="1">
      <alignment horizontal="center" vertical="center"/>
    </xf>
    <xf numFmtId="0" fontId="0" fillId="0" borderId="19" xfId="0" applyBorder="1" applyAlignment="1">
      <alignment horizontal="center" vertical="center"/>
    </xf>
    <xf numFmtId="0" fontId="14" fillId="7" borderId="0" xfId="0" applyFont="1" applyFill="1" applyAlignment="1">
      <alignment horizontal="left" vertical="center" wrapText="1"/>
    </xf>
    <xf numFmtId="0" fontId="14" fillId="7" borderId="6" xfId="0" applyFont="1" applyFill="1" applyBorder="1" applyAlignment="1">
      <alignment horizontal="left" vertical="center" wrapText="1"/>
    </xf>
    <xf numFmtId="0" fontId="12" fillId="7" borderId="0" xfId="0" applyFont="1" applyFill="1" applyAlignment="1">
      <alignment horizontal="center" vertical="center" wrapText="1"/>
    </xf>
    <xf numFmtId="0" fontId="0" fillId="6" borderId="0" xfId="0" applyFill="1" applyAlignment="1">
      <alignment horizontal="right" vertical="center" wrapText="1"/>
    </xf>
    <xf numFmtId="0" fontId="7" fillId="4" borderId="4" xfId="21" applyFont="1" applyFill="1" applyBorder="1" applyAlignment="1">
      <alignment horizontal="center" vertical="center"/>
    </xf>
    <xf numFmtId="0" fontId="7" fillId="2" borderId="7" xfId="3" applyFont="1" applyFill="1" applyBorder="1" applyAlignment="1">
      <alignment horizontal="center" vertical="center"/>
    </xf>
    <xf numFmtId="0" fontId="7" fillId="2" borderId="16" xfId="3" applyFont="1" applyFill="1" applyBorder="1" applyAlignment="1">
      <alignment horizontal="center" vertical="center"/>
    </xf>
    <xf numFmtId="0" fontId="193" fillId="4" borderId="49" xfId="0" applyFont="1" applyFill="1" applyBorder="1" applyAlignment="1">
      <alignment horizontal="center"/>
    </xf>
    <xf numFmtId="0" fontId="193" fillId="4" borderId="50" xfId="0" applyFont="1" applyFill="1" applyBorder="1" applyAlignment="1">
      <alignment horizontal="center"/>
    </xf>
    <xf numFmtId="0" fontId="193" fillId="4" borderId="53" xfId="0" applyFont="1" applyFill="1" applyBorder="1" applyAlignment="1">
      <alignment horizontal="center"/>
    </xf>
    <xf numFmtId="0" fontId="7" fillId="2" borderId="35" xfId="21" applyFont="1" applyFill="1" applyBorder="1" applyAlignment="1">
      <alignment horizontal="center" vertical="center" wrapText="1"/>
    </xf>
    <xf numFmtId="0" fontId="7" fillId="2" borderId="71" xfId="21" applyFont="1" applyFill="1" applyBorder="1" applyAlignment="1">
      <alignment horizontal="center" vertical="center" wrapText="1"/>
    </xf>
    <xf numFmtId="0" fontId="7" fillId="2" borderId="19" xfId="21" applyFont="1" applyFill="1" applyBorder="1" applyAlignment="1">
      <alignment horizontal="center" vertical="center" wrapText="1"/>
    </xf>
    <xf numFmtId="0" fontId="15" fillId="9" borderId="5" xfId="21" applyFont="1" applyFill="1" applyBorder="1" applyAlignment="1">
      <alignment horizontal="center" vertical="center" wrapText="1"/>
    </xf>
    <xf numFmtId="0" fontId="15" fillId="9" borderId="23" xfId="21" applyFont="1" applyFill="1" applyBorder="1" applyAlignment="1">
      <alignment horizontal="center" vertical="center" wrapText="1"/>
    </xf>
    <xf numFmtId="0" fontId="15" fillId="9" borderId="22" xfId="21" applyFont="1" applyFill="1" applyBorder="1" applyAlignment="1">
      <alignment horizontal="center" vertical="center" wrapText="1"/>
    </xf>
    <xf numFmtId="0" fontId="7" fillId="3" borderId="5" xfId="21" applyFont="1" applyFill="1" applyBorder="1" applyAlignment="1">
      <alignment horizontal="right" vertical="center" wrapText="1"/>
    </xf>
    <xf numFmtId="0" fontId="7" fillId="3" borderId="22" xfId="21" applyFont="1" applyFill="1" applyBorder="1" applyAlignment="1">
      <alignment horizontal="right" vertical="center" wrapText="1"/>
    </xf>
    <xf numFmtId="0" fontId="15" fillId="9" borderId="4" xfId="21" applyFont="1" applyFill="1" applyBorder="1" applyAlignment="1">
      <alignment horizontal="center" vertical="center" wrapText="1"/>
    </xf>
    <xf numFmtId="0" fontId="7" fillId="3" borderId="4" xfId="21" applyFont="1" applyFill="1" applyBorder="1" applyAlignment="1">
      <alignment horizontal="right" vertical="center" wrapText="1"/>
    </xf>
    <xf numFmtId="0" fontId="7" fillId="3" borderId="70" xfId="21" applyFont="1" applyFill="1" applyBorder="1" applyAlignment="1">
      <alignment horizontal="right" vertical="center" wrapText="1"/>
    </xf>
    <xf numFmtId="0" fontId="7" fillId="3" borderId="0" xfId="21" applyFont="1" applyFill="1" applyAlignment="1">
      <alignment horizontal="right" vertical="center" wrapText="1"/>
    </xf>
    <xf numFmtId="0" fontId="0" fillId="150" borderId="35" xfId="0" applyFill="1" applyBorder="1" applyAlignment="1">
      <alignment horizontal="center"/>
    </xf>
    <xf numFmtId="0" fontId="0" fillId="150" borderId="71" xfId="0" applyFill="1" applyBorder="1" applyAlignment="1">
      <alignment horizontal="center"/>
    </xf>
    <xf numFmtId="0" fontId="0" fillId="150" borderId="19" xfId="0" applyFill="1" applyBorder="1" applyAlignment="1">
      <alignment horizontal="center"/>
    </xf>
    <xf numFmtId="0" fontId="7" fillId="3" borderId="5" xfId="21" quotePrefix="1" applyFont="1" applyFill="1" applyBorder="1" applyAlignment="1">
      <alignment horizontal="right" vertical="center" wrapText="1"/>
    </xf>
    <xf numFmtId="0" fontId="7" fillId="3" borderId="22" xfId="21" quotePrefix="1" applyFont="1" applyFill="1" applyBorder="1" applyAlignment="1">
      <alignment horizontal="right" vertical="center" wrapText="1"/>
    </xf>
    <xf numFmtId="0" fontId="15" fillId="9" borderId="0" xfId="21" applyFont="1" applyFill="1" applyAlignment="1">
      <alignment horizontal="center" vertical="center" wrapText="1"/>
    </xf>
    <xf numFmtId="0" fontId="15" fillId="11" borderId="5" xfId="21" applyFont="1" applyFill="1" applyBorder="1" applyAlignment="1">
      <alignment horizontal="center" vertical="center" wrapText="1"/>
    </xf>
    <xf numFmtId="0" fontId="15" fillId="11" borderId="23" xfId="21" applyFont="1" applyFill="1" applyBorder="1" applyAlignment="1">
      <alignment horizontal="center" vertical="center" wrapText="1"/>
    </xf>
    <xf numFmtId="0" fontId="15" fillId="11" borderId="22" xfId="21" applyFont="1" applyFill="1" applyBorder="1" applyAlignment="1">
      <alignment horizontal="center" vertical="center" wrapText="1"/>
    </xf>
    <xf numFmtId="0" fontId="7" fillId="2" borderId="5" xfId="3" applyFont="1" applyFill="1" applyBorder="1" applyAlignment="1">
      <alignment horizontal="right" vertical="center"/>
    </xf>
    <xf numFmtId="0" fontId="7" fillId="2" borderId="22" xfId="3" applyFont="1" applyFill="1" applyBorder="1" applyAlignment="1">
      <alignment horizontal="right" vertical="center"/>
    </xf>
    <xf numFmtId="0" fontId="7" fillId="12" borderId="70" xfId="21" applyFont="1" applyFill="1" applyBorder="1" applyAlignment="1">
      <alignment horizontal="right" vertical="center"/>
    </xf>
    <xf numFmtId="0" fontId="7" fillId="12" borderId="0" xfId="21" applyFont="1" applyFill="1" applyAlignment="1">
      <alignment horizontal="right" vertical="center"/>
    </xf>
    <xf numFmtId="0" fontId="15" fillId="11" borderId="0" xfId="21" applyFont="1" applyFill="1" applyAlignment="1">
      <alignment horizontal="center" vertical="center" wrapText="1"/>
    </xf>
    <xf numFmtId="0" fontId="7" fillId="2" borderId="5" xfId="3" applyFont="1" applyFill="1" applyBorder="1" applyAlignment="1">
      <alignment horizontal="right" vertical="center" wrapText="1"/>
    </xf>
    <xf numFmtId="0" fontId="7" fillId="2" borderId="22" xfId="3" applyFont="1" applyFill="1" applyBorder="1" applyAlignment="1">
      <alignment horizontal="right" vertical="center" wrapText="1"/>
    </xf>
    <xf numFmtId="0" fontId="0" fillId="151" borderId="35" xfId="0" applyFill="1" applyBorder="1" applyAlignment="1">
      <alignment horizontal="center"/>
    </xf>
    <xf numFmtId="0" fontId="0" fillId="151" borderId="71" xfId="0" applyFill="1" applyBorder="1" applyAlignment="1">
      <alignment horizontal="center"/>
    </xf>
    <xf numFmtId="0" fontId="0" fillId="151" borderId="19" xfId="0" applyFill="1" applyBorder="1" applyAlignment="1">
      <alignment horizontal="center"/>
    </xf>
  </cellXfs>
  <cellStyles count="9285">
    <cellStyle name="$" xfId="89"/>
    <cellStyle name="$_DCF Shell 2" xfId="90"/>
    <cellStyle name="$_DCF Shell 2 2" xfId="91"/>
    <cellStyle name="$_DCF Shell 2 2 2" xfId="3544"/>
    <cellStyle name="$_DCF Shell 2 3" xfId="92"/>
    <cellStyle name="$_DCF Shell 2 3 2" xfId="3545"/>
    <cellStyle name="$_DCF Shell 2 4" xfId="3212"/>
    <cellStyle name="$_Model_Sep_2_02" xfId="93"/>
    <cellStyle name="$_Pipeline Model v1 (09_09_02) v3" xfId="94"/>
    <cellStyle name="$_Pipeline Model v1 (09_09_02) v3 2" xfId="95"/>
    <cellStyle name="$_Pipeline Model v1 (09_09_02) v3 2 2" xfId="3546"/>
    <cellStyle name="$_Pipeline Model v1 (09_09_02) v3 3" xfId="96"/>
    <cellStyle name="$_Pipeline Model v1 (09_09_02) v3 3 2" xfId="3547"/>
    <cellStyle name="$_Pipeline Model v1 (09_09_02) v3 4" xfId="3213"/>
    <cellStyle name="%" xfId="97"/>
    <cellStyle name="% 10" xfId="6332"/>
    <cellStyle name="% 2" xfId="98"/>
    <cellStyle name="% 2 2" xfId="99"/>
    <cellStyle name="% 2 2 2" xfId="3215"/>
    <cellStyle name="% 2 2 2 2" xfId="6334"/>
    <cellStyle name="% 2 2 3" xfId="6335"/>
    <cellStyle name="% 2 3" xfId="3123"/>
    <cellStyle name="% 2 3 2" xfId="6336"/>
    <cellStyle name="% 3" xfId="3122"/>
    <cellStyle name="% 3 2" xfId="6337"/>
    <cellStyle name="% 4" xfId="3214"/>
    <cellStyle name="% 4 2" xfId="6339"/>
    <cellStyle name="% 4 3" xfId="6340"/>
    <cellStyle name="% 4 4" xfId="6341"/>
    <cellStyle name="% 4 5" xfId="6342"/>
    <cellStyle name="% 4 6" xfId="6343"/>
    <cellStyle name="% 4 7" xfId="6344"/>
    <cellStyle name="% 4 8" xfId="6345"/>
    <cellStyle name="% 4 9" xfId="6338"/>
    <cellStyle name="% 5" xfId="6346"/>
    <cellStyle name="%_3.3 Tax" xfId="6347"/>
    <cellStyle name="%_3.3 Tax 2" xfId="6348"/>
    <cellStyle name="%_BP10+ GTO Capex Split CN" xfId="6349"/>
    <cellStyle name="%_GTO Non Operational Capex Roll-over submission (FINAL with property)" xfId="6350"/>
    <cellStyle name="%_NGG TPCR4 MG Workings" xfId="6351"/>
    <cellStyle name="%_Opex Input" xfId="6352"/>
    <cellStyle name="%_RRP Rec" xfId="3124"/>
    <cellStyle name="%_Section 5" xfId="3125"/>
    <cellStyle name="%_Transmission PCRRP tables_SPTL_200809 V1" xfId="6353"/>
    <cellStyle name="%_VR NGET Opex tables" xfId="6354"/>
    <cellStyle name="%_VR Pensions Opex tables" xfId="6355"/>
    <cellStyle name="?? [0]_VERA" xfId="100"/>
    <cellStyle name="?????_VERA" xfId="101"/>
    <cellStyle name="??_VERA" xfId="102"/>
    <cellStyle name="_070323 - 5yr opex BPQ (Final)" xfId="6356"/>
    <cellStyle name="_0708 GSO Capex RRP (detail)" xfId="6357"/>
    <cellStyle name="_0708 GSO Capex RRP (detail) 2" xfId="6358"/>
    <cellStyle name="_0708 GSO Capex RRP (detail) 2 2" xfId="6359"/>
    <cellStyle name="_0708 GSO Capex RRP (detail) 2 3" xfId="6360"/>
    <cellStyle name="_0708 GSO Capex RRP (detail) 2 4" xfId="6361"/>
    <cellStyle name="_0708 GSO Capex RRP (detail) 2 5" xfId="6362"/>
    <cellStyle name="_0708 GSO Capex RRP (detail) 2 6" xfId="6363"/>
    <cellStyle name="_0708 GSO Capex RRP (detail) 2 7" xfId="6364"/>
    <cellStyle name="_0708 GSO Capex RRP (detail) 2 8" xfId="6365"/>
    <cellStyle name="_0708 GSO Capex RRP (detail)_Opex Input" xfId="6366"/>
    <cellStyle name="_0708 TO Non-Op Capex (detail)" xfId="6367"/>
    <cellStyle name="_0decimals" xfId="103"/>
    <cellStyle name="_2006_07 control forecast" xfId="104"/>
    <cellStyle name="_2006_07 control forecast 2" xfId="105"/>
    <cellStyle name="_2006_07 control forecast 2 2" xfId="106"/>
    <cellStyle name="_2006_07 control forecast 2 2 2" xfId="3549"/>
    <cellStyle name="_2006_07 control forecast 2 3" xfId="3548"/>
    <cellStyle name="_2006_07 control forecast 3" xfId="3216"/>
    <cellStyle name="_ADJUSTMENTS" xfId="107"/>
    <cellStyle name="_ADJUSTMENTS 2" xfId="108"/>
    <cellStyle name="_ADJUSTMENTS 2 2" xfId="109"/>
    <cellStyle name="_ADJUSTMENTS 2 2 2" xfId="3552"/>
    <cellStyle name="_ADJUSTMENTS 2 3" xfId="3551"/>
    <cellStyle name="_ADJUSTMENTS 3" xfId="3550"/>
    <cellStyle name="_AM Summary Pension Assumption" xfId="110"/>
    <cellStyle name="_AM Summary Pension Assumption 2" xfId="111"/>
    <cellStyle name="_AM Summary Pension Assumption 2 2" xfId="112"/>
    <cellStyle name="_AM Summary Pension Assumption 2 2 2" xfId="3554"/>
    <cellStyle name="_AM Summary Pension Assumption 2 3" xfId="3553"/>
    <cellStyle name="_AM Summary Pension Assumption 3" xfId="3217"/>
    <cellStyle name="_April 11 Incentive Report version 3" xfId="113"/>
    <cellStyle name="_April 11 Incentive Report version 3 2" xfId="114"/>
    <cellStyle name="_April 11 Incentive Report version 3 2 2" xfId="115"/>
    <cellStyle name="_April 11 Incentive Report version 3 2 2 2" xfId="3557"/>
    <cellStyle name="_April 11 Incentive Report version 3 2 3" xfId="3556"/>
    <cellStyle name="_April 11 Incentive Report version 3 3" xfId="3555"/>
    <cellStyle name="_August 11 Incentive Report version 1 (Values) (2)" xfId="116"/>
    <cellStyle name="_August 11 Incentive Report version 1 (Values) (2) 2" xfId="117"/>
    <cellStyle name="_August 11 Incentive Report version 1 (Values) (2) 2 2" xfId="118"/>
    <cellStyle name="_August 11 Incentive Report version 1 (Values) (2) 2 2 2" xfId="3560"/>
    <cellStyle name="_August 11 Incentive Report version 1 (Values) (2) 2 3" xfId="3559"/>
    <cellStyle name="_August 11 Incentive Report version 1 (Values) (2) 3" xfId="3558"/>
    <cellStyle name="_Book1" xfId="119"/>
    <cellStyle name="_Book1 2" xfId="120"/>
    <cellStyle name="_Book1 2 2" xfId="121"/>
    <cellStyle name="_Book1 2 2 2" xfId="3562"/>
    <cellStyle name="_Book1 2 3" xfId="3561"/>
    <cellStyle name="_Book1 3" xfId="3218"/>
    <cellStyle name="_Book2" xfId="122"/>
    <cellStyle name="_Book2 2" xfId="123"/>
    <cellStyle name="_Book2 2 2" xfId="124"/>
    <cellStyle name="_Book2 2 2 2" xfId="3564"/>
    <cellStyle name="_Book2 2 3" xfId="3563"/>
    <cellStyle name="_Book2 3" xfId="3219"/>
    <cellStyle name="_Book3" xfId="125"/>
    <cellStyle name="_Book3 2" xfId="126"/>
    <cellStyle name="_Book3 2 2" xfId="127"/>
    <cellStyle name="_Book3 2 2 2" xfId="3566"/>
    <cellStyle name="_Book3 2 3" xfId="3565"/>
    <cellStyle name="_Book3 3" xfId="3220"/>
    <cellStyle name="_Book4" xfId="6368"/>
    <cellStyle name="_Book4 2" xfId="6369"/>
    <cellStyle name="_Book4 2 2" xfId="6370"/>
    <cellStyle name="_Book4 2 3" xfId="6371"/>
    <cellStyle name="_Book4 2 4" xfId="6372"/>
    <cellStyle name="_Book4 2 5" xfId="6373"/>
    <cellStyle name="_Book4 2 6" xfId="6374"/>
    <cellStyle name="_Book4 2 7" xfId="6375"/>
    <cellStyle name="_Book4 2 8" xfId="6376"/>
    <cellStyle name="_BP10+ GTO Capex Split CN" xfId="6377"/>
    <cellStyle name="_BP10+post TIC 1 Jun" xfId="6378"/>
    <cellStyle name="_BP10+post TIC 1 Jun 2" xfId="6379"/>
    <cellStyle name="_BP10+post TIC 1 Jun 2 2" xfId="6380"/>
    <cellStyle name="_BP10+post TIC 1 Jun 2 3" xfId="6381"/>
    <cellStyle name="_BP10+post TIC 1 Jun 2 4" xfId="6382"/>
    <cellStyle name="_BP10+post TIC 1 Jun 2 5" xfId="6383"/>
    <cellStyle name="_BP10+post TIC 1 Jun 2 6" xfId="6384"/>
    <cellStyle name="_BP10+post TIC 1 Jun 2 7" xfId="6385"/>
    <cellStyle name="_BP10+post TIC 1 Jun 2 8" xfId="6386"/>
    <cellStyle name="_BSIS" xfId="128"/>
    <cellStyle name="_C5-2_UKES_d1" xfId="129"/>
    <cellStyle name="_C5-2_UKES_d1 2" xfId="130"/>
    <cellStyle name="_C5-2_UKES_d1 2 2" xfId="131"/>
    <cellStyle name="_C5-2_UKES_d1 2 2 2" xfId="3568"/>
    <cellStyle name="_C5-2_UKES_d1 2 3" xfId="3567"/>
    <cellStyle name="_C5-2_UKES_d1 3" xfId="3221"/>
    <cellStyle name="_Capital Plan - IS UK" xfId="132"/>
    <cellStyle name="_Capital Plan - IS UK 2" xfId="133"/>
    <cellStyle name="_Capital Plan - IS UK 2 2" xfId="134"/>
    <cellStyle name="_Capital Plan - IS UK 2 2 2" xfId="3571"/>
    <cellStyle name="_Capital Plan - IS UK 2 3" xfId="3570"/>
    <cellStyle name="_Capital Plan - IS UK 3" xfId="3569"/>
    <cellStyle name="_Capital Plan - IS UK 4" xfId="6387"/>
    <cellStyle name="_Capital Plan - IS UK_0910 GSO Capex RRP - Final (Detail) v2 220710" xfId="6388"/>
    <cellStyle name="_Capital Plan - IS UK_0910 GSO Capex RRP - Final (Detail) v2 220710 2" xfId="6389"/>
    <cellStyle name="_Capital Plan - IS UK_0910 GSO Capex RRP - Final (Detail) v2 220710 2 2" xfId="6390"/>
    <cellStyle name="_Capital Plan - IS UK_0910 GSO Capex RRP - Final (Detail) v2 220710 2 3" xfId="6391"/>
    <cellStyle name="_Capital Plan - IS UK_0910 GSO Capex RRP - Final (Detail) v2 220710 2 4" xfId="6392"/>
    <cellStyle name="_Capital Plan - IS UK_0910 GSO Capex RRP - Final (Detail) v2 220710 2 5" xfId="6393"/>
    <cellStyle name="_Capital Plan - IS UK_0910 GSO Capex RRP - Final (Detail) v2 220710 2 6" xfId="6394"/>
    <cellStyle name="_Capital Plan - IS UK_0910 GSO Capex RRP - Final (Detail) v2 220710 2 7" xfId="6395"/>
    <cellStyle name="_Capital Plan - IS UK_0910 GSO Capex RRP - Final (Detail) v2 220710 2 8" xfId="6396"/>
    <cellStyle name="_Capital Plan - IS UK_0910 GSO Capex RRP - Final (Detail) v2 220710_Opex Input" xfId="6397"/>
    <cellStyle name="_Comma" xfId="135"/>
    <cellStyle name="_Comma 2" xfId="136"/>
    <cellStyle name="_Comma 2 2" xfId="137"/>
    <cellStyle name="_Comma 2 2 2" xfId="3573"/>
    <cellStyle name="_Comma 2 3" xfId="3572"/>
    <cellStyle name="_Comma 3" xfId="3222"/>
    <cellStyle name="_Comma_CSC" xfId="138"/>
    <cellStyle name="_Comma_merger_plans_modified_9_3_1999" xfId="139"/>
    <cellStyle name="_Comma_merger_plans_modified_9_3_1999 2" xfId="140"/>
    <cellStyle name="_Comma_merger_plans_modified_9_3_1999 2 2" xfId="141"/>
    <cellStyle name="_Comma_merger_plans_modified_9_3_1999 2 2 2" xfId="3575"/>
    <cellStyle name="_Comma_merger_plans_modified_9_3_1999 2 3" xfId="3574"/>
    <cellStyle name="_Comma_merger_plans_modified_9_3_1999 3" xfId="3223"/>
    <cellStyle name="_Consolidation; Theme Output template Sept 09 revised 250909" xfId="142"/>
    <cellStyle name="_Consolidation; Theme Output template Sept 09 revised 250909 2" xfId="143"/>
    <cellStyle name="_Consolidation; Theme Output template Sept 09 revised 250909 2 2" xfId="144"/>
    <cellStyle name="_Consolidation; Theme Output template Sept 09 revised 250909 2 2 2" xfId="3577"/>
    <cellStyle name="_Consolidation; Theme Output template Sept 09 revised 250909 2 3" xfId="3576"/>
    <cellStyle name="_Consolidation; Theme Output template Sept 09 revised 250909 3" xfId="3224"/>
    <cellStyle name="_Copy of July 11 Incentive Report (values) (2)" xfId="145"/>
    <cellStyle name="_Copy of July 11 Incentive Report (values) (2) 2" xfId="146"/>
    <cellStyle name="_Copy of July 11 Incentive Report (values) (2) 2 2" xfId="147"/>
    <cellStyle name="_Copy of July 11 Incentive Report (values) (2) 2 2 2" xfId="3580"/>
    <cellStyle name="_Copy of July 11 Incentive Report (values) (2) 2 3" xfId="3579"/>
    <cellStyle name="_Copy of July 11 Incentive Report (values) (2) 3" xfId="3578"/>
    <cellStyle name="_Currency" xfId="148"/>
    <cellStyle name="_Currency 2" xfId="149"/>
    <cellStyle name="_Currency 2 2" xfId="150"/>
    <cellStyle name="_Currency 2 2 2" xfId="3582"/>
    <cellStyle name="_Currency 2 3" xfId="3581"/>
    <cellStyle name="_Currency 3" xfId="3225"/>
    <cellStyle name="_Currency_CSC" xfId="151"/>
    <cellStyle name="_Currency_merger_plans_modified_9_3_1999" xfId="152"/>
    <cellStyle name="_Currency_merger_plans_modified_9_3_1999 2" xfId="153"/>
    <cellStyle name="_Currency_merger_plans_modified_9_3_1999 2 2" xfId="3583"/>
    <cellStyle name="_Currency_merger_plans_modified_9_3_1999 3" xfId="154"/>
    <cellStyle name="_Currency_merger_plans_modified_9_3_1999 3 2" xfId="3584"/>
    <cellStyle name="_Currency_merger_plans_modified_9_3_1999 4" xfId="3226"/>
    <cellStyle name="_Currency_Model_Sep_2_02" xfId="155"/>
    <cellStyle name="_Currency_Model_Sep_2_02 2" xfId="156"/>
    <cellStyle name="_Currency_Model_Sep_2_02 2 2" xfId="157"/>
    <cellStyle name="_Currency_Model_Sep_2_02 2 2 2" xfId="3586"/>
    <cellStyle name="_Currency_Model_Sep_2_02 2 3" xfId="3585"/>
    <cellStyle name="_Currency_Model_Sep_2_02 3" xfId="3227"/>
    <cellStyle name="_Currency_Pipeline Model v1 (09_09_02) v3" xfId="158"/>
    <cellStyle name="_Currency_Pipeline Model v1 (09_09_02) v3 2" xfId="159"/>
    <cellStyle name="_Currency_Pipeline Model v1 (09_09_02) v3 2 2" xfId="3587"/>
    <cellStyle name="_Currency_Pipeline Model v1 (09_09_02) v3 3" xfId="160"/>
    <cellStyle name="_Currency_Pipeline Model v1 (09_09_02) v3 3 2" xfId="3588"/>
    <cellStyle name="_Currency_Pipeline Model v1 (09_09_02) v3 4" xfId="3228"/>
    <cellStyle name="_CurrencySpace" xfId="161"/>
    <cellStyle name="_CurrencySpace 2" xfId="162"/>
    <cellStyle name="_CurrencySpace 2 2" xfId="163"/>
    <cellStyle name="_CurrencySpace 2 2 2" xfId="3590"/>
    <cellStyle name="_CurrencySpace 2 3" xfId="3589"/>
    <cellStyle name="_CurrencySpace 3" xfId="3229"/>
    <cellStyle name="_CurrencySpace_CSC" xfId="164"/>
    <cellStyle name="_CurrencySpace_merger_plans_modified_9_3_1999" xfId="165"/>
    <cellStyle name="_CurrencySpace_merger_plans_modified_9_3_1999 2" xfId="166"/>
    <cellStyle name="_CurrencySpace_merger_plans_modified_9_3_1999 2 2" xfId="167"/>
    <cellStyle name="_CurrencySpace_merger_plans_modified_9_3_1999 2 2 2" xfId="3592"/>
    <cellStyle name="_CurrencySpace_merger_plans_modified_9_3_1999 2 3" xfId="3591"/>
    <cellStyle name="_CurrencySpace_merger_plans_modified_9_3_1999 3" xfId="3230"/>
    <cellStyle name="_Data Sheet for Alan_Dec-09" xfId="168"/>
    <cellStyle name="_Decom costs; Pickard December 11 12 09" xfId="169"/>
    <cellStyle name="_Decom costs; Pickard December 11 12 09 2" xfId="170"/>
    <cellStyle name="_Decom costs; Pickard December 11 12 09 2 2" xfId="171"/>
    <cellStyle name="_Decom costs; Pickard December 11 12 09 2 2 2" xfId="3594"/>
    <cellStyle name="_Decom costs; Pickard December 11 12 09 2 3" xfId="3593"/>
    <cellStyle name="_Decom costs; Pickard December 11 12 09 3" xfId="3231"/>
    <cellStyle name="_Environmental_Incentive" xfId="172"/>
    <cellStyle name="_ESO_PC" xfId="173"/>
    <cellStyle name="_Gas TO major Projects Forecast Jun-10" xfId="6398"/>
    <cellStyle name="_Gas TO major Projects Forecast Jun-10 2" xfId="6399"/>
    <cellStyle name="_Gas TO major Projects Forecast Jun-10 2 2" xfId="6400"/>
    <cellStyle name="_Gas TO major Projects Forecast Jun-10 2 3" xfId="6401"/>
    <cellStyle name="_Gas TO major Projects Forecast Jun-10 2 4" xfId="6402"/>
    <cellStyle name="_Gas TO major Projects Forecast Jun-10 2 5" xfId="6403"/>
    <cellStyle name="_Gas TO major Projects Forecast Jun-10 2 6" xfId="6404"/>
    <cellStyle name="_Gas TO major Projects Forecast Jun-10 2 7" xfId="6405"/>
    <cellStyle name="_Gas TO major Projects Forecast Jun-10 2 8" xfId="6406"/>
    <cellStyle name="_Gas TO major Projects Forecast May-10 BP10+ v5" xfId="6407"/>
    <cellStyle name="_Gas TO major Projects Forecast May-10 BP10+ v5 2" xfId="6408"/>
    <cellStyle name="_Gas TO major Projects Forecast May-10 BP10+ v5 2 2" xfId="6409"/>
    <cellStyle name="_Gas TO major Projects Forecast May-10 BP10+ v5 2 3" xfId="6410"/>
    <cellStyle name="_Gas TO major Projects Forecast May-10 BP10+ v5 2 4" xfId="6411"/>
    <cellStyle name="_Gas TO major Projects Forecast May-10 BP10+ v5 2 5" xfId="6412"/>
    <cellStyle name="_Gas TO major Projects Forecast May-10 BP10+ v5 2 6" xfId="6413"/>
    <cellStyle name="_Gas TO major Projects Forecast May-10 BP10+ v5 2 7" xfId="6414"/>
    <cellStyle name="_Gas TO major Projects Forecast May-10 BP10+ v5 2 8" xfId="6415"/>
    <cellStyle name="_Global Controllable Costs" xfId="174"/>
    <cellStyle name="_Global Controllable Costs 2" xfId="175"/>
    <cellStyle name="_Global Controllable Costs 2 2" xfId="176"/>
    <cellStyle name="_Global Controllable Costs 2 2 2" xfId="3597"/>
    <cellStyle name="_Global Controllable Costs 2 3" xfId="3596"/>
    <cellStyle name="_Global Controllable Costs 3" xfId="3595"/>
    <cellStyle name="_GP" xfId="177"/>
    <cellStyle name="_GPINS" xfId="178"/>
    <cellStyle name="_GPINS 2" xfId="179"/>
    <cellStyle name="_GPINS 2 2" xfId="180"/>
    <cellStyle name="_GPINS 2 2 2" xfId="3600"/>
    <cellStyle name="_GPINS 2 3" xfId="3599"/>
    <cellStyle name="_GPINS 3" xfId="3598"/>
    <cellStyle name="_GSO MAR_1213_Oct charge setting" xfId="181"/>
    <cellStyle name="_GTO Non Operational Capex Roll-over submission (FINAL with property)" xfId="6416"/>
    <cellStyle name="_Incentive Graphs Value file" xfId="182"/>
    <cellStyle name="_Incentive Section" xfId="183"/>
    <cellStyle name="_Incentivised_Costs" xfId="184"/>
    <cellStyle name="_Incentivised_Costs 2" xfId="185"/>
    <cellStyle name="_Incentivised_Costs 2 2" xfId="186"/>
    <cellStyle name="_Incentivised_Costs 2 2 2" xfId="3603"/>
    <cellStyle name="_Incentivised_Costs 2 3" xfId="3602"/>
    <cellStyle name="_Incentivised_Costs 3" xfId="3601"/>
    <cellStyle name="_Interconnectors 5 year forecast" xfId="187"/>
    <cellStyle name="_Interconnectors 5 year forecast 2" xfId="188"/>
    <cellStyle name="_Interconnectors 5 year forecast 2 2" xfId="189"/>
    <cellStyle name="_Interconnectors 5 year forecast 2 2 2" xfId="3605"/>
    <cellStyle name="_Interconnectors 5 year forecast 2 3" xfId="3604"/>
    <cellStyle name="_Interconnectors 5 year forecast 3" xfId="3232"/>
    <cellStyle name="_July 10 Incentive Report v0 1" xfId="190"/>
    <cellStyle name="_July 10 Incentive Report v0 1 2" xfId="191"/>
    <cellStyle name="_July 10 Incentive Report v0 1 2 2" xfId="192"/>
    <cellStyle name="_July 10 Incentive Report v0 1 2 2 2" xfId="3608"/>
    <cellStyle name="_July 10 Incentive Report v0 1 2 3" xfId="3607"/>
    <cellStyle name="_July 10 Incentive Report v0 1 3" xfId="3606"/>
    <cellStyle name="_June 11 Incentive Report version 1(Values)" xfId="193"/>
    <cellStyle name="_June 11 Incentive Report version 1(Values) 2" xfId="194"/>
    <cellStyle name="_June 11 Incentive Report version 1(Values) 2 2" xfId="195"/>
    <cellStyle name="_June 11 Incentive Report version 1(Values) 2 2 2" xfId="3611"/>
    <cellStyle name="_June 11 Incentive Report version 1(Values) 2 3" xfId="3610"/>
    <cellStyle name="_June 11 Incentive Report version 1(Values) 3" xfId="3609"/>
    <cellStyle name="_June 12 Incentive Report V1" xfId="196"/>
    <cellStyle name="_June 12 Incentive Report V1 2" xfId="197"/>
    <cellStyle name="_June 12 Incentive Report V1 2 2" xfId="198"/>
    <cellStyle name="_June 12 Incentive Report V1 2 2 2" xfId="3614"/>
    <cellStyle name="_June 12 Incentive Report V1 2 3" xfId="3613"/>
    <cellStyle name="_June 12 Incentive Report V1 3" xfId="3612"/>
    <cellStyle name="_June_YTD and Forecast" xfId="199"/>
    <cellStyle name="_June_YTD and Forecast 2" xfId="200"/>
    <cellStyle name="_June_YTD and Forecast 2 2" xfId="201"/>
    <cellStyle name="_June_YTD and Forecast 2 2 2" xfId="3616"/>
    <cellStyle name="_June_YTD and Forecast 2 3" xfId="3615"/>
    <cellStyle name="_June_YTD and Forecast 3" xfId="3233"/>
    <cellStyle name="_Latest_YTD and Forecast" xfId="202"/>
    <cellStyle name="_Latest_YTD and Forecast 2" xfId="203"/>
    <cellStyle name="_Latest_YTD and Forecast 2 2" xfId="204"/>
    <cellStyle name="_Latest_YTD and Forecast 2 2 2" xfId="3618"/>
    <cellStyle name="_Latest_YTD and Forecast 2 3" xfId="3617"/>
    <cellStyle name="_Latest_YTD and Forecast 3" xfId="3234"/>
    <cellStyle name="_Latest_YTD and Forecast_2009_10" xfId="205"/>
    <cellStyle name="_Latest_YTD and Forecast_2009_10 2" xfId="206"/>
    <cellStyle name="_Latest_YTD and Forecast_2009_10 2 2" xfId="207"/>
    <cellStyle name="_Latest_YTD and Forecast_2009_10 2 2 2" xfId="3620"/>
    <cellStyle name="_Latest_YTD and Forecast_2009_10 2 3" xfId="3619"/>
    <cellStyle name="_Latest_YTD and Forecast_2009_10 3" xfId="3235"/>
    <cellStyle name="_Manpower Model" xfId="208"/>
    <cellStyle name="_March 11 Incentive Report version 6 180411 (values summary table) (2)" xfId="209"/>
    <cellStyle name="_March 11 Incentive Report version 6 180411 (values summary table) (2) 2" xfId="210"/>
    <cellStyle name="_March 11 Incentive Report version 6 180411 (values summary table) (2) 2 2" xfId="211"/>
    <cellStyle name="_March 11 Incentive Report version 6 180411 (values summary table) (2) 2 2 2" xfId="3623"/>
    <cellStyle name="_March 11 Incentive Report version 6 180411 (values summary table) (2) 2 3" xfId="3622"/>
    <cellStyle name="_March 11 Incentive Report version 6 180411 (values summary table) (2) 3" xfId="3621"/>
    <cellStyle name="_May 12 Incentive Report V1 060612" xfId="212"/>
    <cellStyle name="_May 12 Incentive Report V1 060612 2" xfId="213"/>
    <cellStyle name="_May 12 Incentive Report V1 060612 2 2" xfId="214"/>
    <cellStyle name="_May 12 Incentive Report V1 060612 2 2 2" xfId="3626"/>
    <cellStyle name="_May 12 Incentive Report V1 060612 2 3" xfId="3625"/>
    <cellStyle name="_May 12 Incentive Report V1 060612 3" xfId="3624"/>
    <cellStyle name="_May11 Incentive Report version 3 070611 (values)" xfId="215"/>
    <cellStyle name="_May11 Incentive Report version 3 070611 (values) 2" xfId="216"/>
    <cellStyle name="_May11 Incentive Report version 3 070611 (values) 2 2" xfId="217"/>
    <cellStyle name="_May11 Incentive Report version 3 070611 (values) 2 2 2" xfId="3629"/>
    <cellStyle name="_May11 Incentive Report version 3 070611 (values) 2 3" xfId="3628"/>
    <cellStyle name="_May11 Incentive Report version 3 070611 (values) 3" xfId="3627"/>
    <cellStyle name="_Metering" xfId="218"/>
    <cellStyle name="_Metering 2" xfId="219"/>
    <cellStyle name="_Metering 2 2" xfId="220"/>
    <cellStyle name="_Metering 2 2 2" xfId="3631"/>
    <cellStyle name="_Metering 2 3" xfId="3630"/>
    <cellStyle name="_Metering 3" xfId="3236"/>
    <cellStyle name="_MoD  Armed Guards summary" xfId="221"/>
    <cellStyle name="_MoD  Armed Guards summary 2" xfId="222"/>
    <cellStyle name="_MoD  Armed Guards summary 2 2" xfId="223"/>
    <cellStyle name="_MoD  Armed Guards summary 2 2 2" xfId="3633"/>
    <cellStyle name="_MoD  Armed Guards summary 2 3" xfId="3632"/>
    <cellStyle name="_MoD  Armed Guards summary 3" xfId="3237"/>
    <cellStyle name="_Multiple" xfId="224"/>
    <cellStyle name="_Multiple 2" xfId="225"/>
    <cellStyle name="_Multiple 2 2" xfId="226"/>
    <cellStyle name="_Multiple 2 2 2" xfId="3635"/>
    <cellStyle name="_Multiple 2 3" xfId="3634"/>
    <cellStyle name="_Multiple 3" xfId="3238"/>
    <cellStyle name="_Multiple_CSC" xfId="227"/>
    <cellStyle name="_Multiple_merger_plans_modified_9_3_1999" xfId="228"/>
    <cellStyle name="_Multiple_merger_plans_modified_9_3_1999 2" xfId="229"/>
    <cellStyle name="_Multiple_merger_plans_modified_9_3_1999 2 2" xfId="3636"/>
    <cellStyle name="_Multiple_merger_plans_modified_9_3_1999 3" xfId="230"/>
    <cellStyle name="_Multiple_merger_plans_modified_9_3_1999 3 2" xfId="3637"/>
    <cellStyle name="_Multiple_merger_plans_modified_9_3_1999 4" xfId="3239"/>
    <cellStyle name="_Multiple_Model_Sep_2_02" xfId="231"/>
    <cellStyle name="_Multiple_Model_Sep_2_02 2" xfId="232"/>
    <cellStyle name="_Multiple_Model_Sep_2_02 2 2" xfId="233"/>
    <cellStyle name="_Multiple_Model_Sep_2_02 2 2 2" xfId="3639"/>
    <cellStyle name="_Multiple_Model_Sep_2_02 2 3" xfId="3638"/>
    <cellStyle name="_Multiple_Model_Sep_2_02 3" xfId="3240"/>
    <cellStyle name="_Multiple_Pipeline Model v1 (09_09_02) v3" xfId="234"/>
    <cellStyle name="_Multiple_Pipeline Model v1 (09_09_02) v3 2" xfId="235"/>
    <cellStyle name="_Multiple_Pipeline Model v1 (09_09_02) v3 2 2" xfId="3640"/>
    <cellStyle name="_Multiple_Pipeline Model v1 (09_09_02) v3 3" xfId="236"/>
    <cellStyle name="_Multiple_Pipeline Model v1 (09_09_02) v3 3 2" xfId="3641"/>
    <cellStyle name="_Multiple_Pipeline Model v1 (09_09_02) v3 4" xfId="3241"/>
    <cellStyle name="_MultipleSpace" xfId="237"/>
    <cellStyle name="_MultipleSpace 2" xfId="238"/>
    <cellStyle name="_MultipleSpace 2 2" xfId="239"/>
    <cellStyle name="_MultipleSpace 2 2 2" xfId="3643"/>
    <cellStyle name="_MultipleSpace 2 3" xfId="3642"/>
    <cellStyle name="_MultipleSpace 3" xfId="3242"/>
    <cellStyle name="_MultipleSpace_CSC" xfId="240"/>
    <cellStyle name="_MultipleSpace_merger_plans_modified_9_3_1999" xfId="241"/>
    <cellStyle name="_MultipleSpace_merger_plans_modified_9_3_1999 2" xfId="242"/>
    <cellStyle name="_MultipleSpace_merger_plans_modified_9_3_1999 2 2" xfId="3644"/>
    <cellStyle name="_MultipleSpace_merger_plans_modified_9_3_1999 3" xfId="243"/>
    <cellStyle name="_MultipleSpace_merger_plans_modified_9_3_1999 3 2" xfId="3645"/>
    <cellStyle name="_MultipleSpace_merger_plans_modified_9_3_1999 4" xfId="3243"/>
    <cellStyle name="_MultipleSpace_Model_Sep_2_02" xfId="244"/>
    <cellStyle name="_MultipleSpace_Model_Sep_2_02 2" xfId="245"/>
    <cellStyle name="_MultipleSpace_Model_Sep_2_02 2 2" xfId="246"/>
    <cellStyle name="_MultipleSpace_Model_Sep_2_02 2 2 2" xfId="3647"/>
    <cellStyle name="_MultipleSpace_Model_Sep_2_02 2 3" xfId="3646"/>
    <cellStyle name="_MultipleSpace_Model_Sep_2_02 3" xfId="3244"/>
    <cellStyle name="_MultipleSpace_Pipeline Model v1 (09_09_02) v3" xfId="247"/>
    <cellStyle name="_MultipleSpace_Pipeline Model v1 (09_09_02) v3 2" xfId="248"/>
    <cellStyle name="_MultipleSpace_Pipeline Model v1 (09_09_02) v3 2 2" xfId="3648"/>
    <cellStyle name="_MultipleSpace_Pipeline Model v1 (09_09_02) v3 3" xfId="249"/>
    <cellStyle name="_MultipleSpace_Pipeline Model v1 (09_09_02) v3 3 2" xfId="3649"/>
    <cellStyle name="_MultipleSpace_Pipeline Model v1 (09_09_02) v3 4" xfId="3245"/>
    <cellStyle name="_National Grid Manpower Model v1 MDE SUBS" xfId="250"/>
    <cellStyle name="_New Master" xfId="251"/>
    <cellStyle name="_NTS Shrinkage 1112_110110" xfId="252"/>
    <cellStyle name="_NTS Shrinkage 1112_110110 2" xfId="253"/>
    <cellStyle name="_NTS Shrinkage 1112_110110 2 2" xfId="254"/>
    <cellStyle name="_NTS Shrinkage 1112_110110 2 2 2" xfId="3652"/>
    <cellStyle name="_NTS Shrinkage 1112_110110 2 3" xfId="3651"/>
    <cellStyle name="_NTS Shrinkage 1112_110110 3" xfId="3650"/>
    <cellStyle name="_NTS Shrinkage 1213_120404" xfId="255"/>
    <cellStyle name="_NTS Shrinkage 1213_120404 2" xfId="256"/>
    <cellStyle name="_NTS Shrinkage 1213_120404 2 2" xfId="257"/>
    <cellStyle name="_NTS Shrinkage 1213_120404 2 2 2" xfId="3655"/>
    <cellStyle name="_NTS Shrinkage 1213_120404 2 3" xfId="3654"/>
    <cellStyle name="_NTS Shrinkage 1213_120404 3" xfId="3653"/>
    <cellStyle name="_Oct Adj" xfId="258"/>
    <cellStyle name="_Operating Margins" xfId="259"/>
    <cellStyle name="_Percent" xfId="260"/>
    <cellStyle name="_Percent 2" xfId="261"/>
    <cellStyle name="_Percent 2 2" xfId="262"/>
    <cellStyle name="_Percent 2 2 2" xfId="3657"/>
    <cellStyle name="_Percent 2 3" xfId="3656"/>
    <cellStyle name="_Percent 3" xfId="3246"/>
    <cellStyle name="_Percent_CSC" xfId="263"/>
    <cellStyle name="_Percent_merger_plans_modified_9_3_1999" xfId="264"/>
    <cellStyle name="_Percent_merger_plans_modified_9_3_1999 2" xfId="265"/>
    <cellStyle name="_Percent_merger_plans_modified_9_3_1999 2 2" xfId="3658"/>
    <cellStyle name="_Percent_merger_plans_modified_9_3_1999 3" xfId="266"/>
    <cellStyle name="_Percent_merger_plans_modified_9_3_1999 3 2" xfId="3659"/>
    <cellStyle name="_Percent_merger_plans_modified_9_3_1999 4" xfId="3247"/>
    <cellStyle name="_Percent_Model_Sep_2_02" xfId="267"/>
    <cellStyle name="_Percent_Model_Sep_2_02 2" xfId="268"/>
    <cellStyle name="_Percent_Model_Sep_2_02 2 2" xfId="269"/>
    <cellStyle name="_Percent_Model_Sep_2_02 2 2 2" xfId="3661"/>
    <cellStyle name="_Percent_Model_Sep_2_02 2 3" xfId="3660"/>
    <cellStyle name="_Percent_Model_Sep_2_02 3" xfId="3248"/>
    <cellStyle name="_Percent_Pipeline Model v1 (09_09_02) v3" xfId="270"/>
    <cellStyle name="_Percent_Pipeline Model v1 (09_09_02) v3 2" xfId="271"/>
    <cellStyle name="_Percent_Pipeline Model v1 (09_09_02) v3 2 2" xfId="3662"/>
    <cellStyle name="_Percent_Pipeline Model v1 (09_09_02) v3 3" xfId="272"/>
    <cellStyle name="_Percent_Pipeline Model v1 (09_09_02) v3 3 2" xfId="3663"/>
    <cellStyle name="_Percent_Pipeline Model v1 (09_09_02) v3 4" xfId="3249"/>
    <cellStyle name="_PercentSpace" xfId="273"/>
    <cellStyle name="_PercentSpace 2" xfId="274"/>
    <cellStyle name="_PercentSpace 2 2" xfId="275"/>
    <cellStyle name="_PercentSpace 2 2 2" xfId="3665"/>
    <cellStyle name="_PercentSpace 2 3" xfId="3664"/>
    <cellStyle name="_PercentSpace 3" xfId="3250"/>
    <cellStyle name="_PercentSpace_CSC" xfId="276"/>
    <cellStyle name="_PercentSpace_merger_plans_modified_9_3_1999" xfId="277"/>
    <cellStyle name="_PercentSpace_merger_plans_modified_9_3_1999 2" xfId="278"/>
    <cellStyle name="_PercentSpace_merger_plans_modified_9_3_1999 2 2" xfId="3666"/>
    <cellStyle name="_PercentSpace_merger_plans_modified_9_3_1999 3" xfId="279"/>
    <cellStyle name="_PercentSpace_merger_plans_modified_9_3_1999 3 2" xfId="3667"/>
    <cellStyle name="_PercentSpace_merger_plans_modified_9_3_1999 4" xfId="3251"/>
    <cellStyle name="_PercentSpace_Model_Sep_2_02" xfId="280"/>
    <cellStyle name="_PercentSpace_Model_Sep_2_02 2" xfId="281"/>
    <cellStyle name="_PercentSpace_Model_Sep_2_02 2 2" xfId="282"/>
    <cellStyle name="_PercentSpace_Model_Sep_2_02 2 2 2" xfId="3669"/>
    <cellStyle name="_PercentSpace_Model_Sep_2_02 2 3" xfId="3668"/>
    <cellStyle name="_PercentSpace_Model_Sep_2_02 3" xfId="3252"/>
    <cellStyle name="_PercentSpace_Pipeline Model v1 (09_09_02) v3" xfId="283"/>
    <cellStyle name="_PercentSpace_Pipeline Model v1 (09_09_02) v3 2" xfId="284"/>
    <cellStyle name="_PercentSpace_Pipeline Model v1 (09_09_02) v3 2 2" xfId="3670"/>
    <cellStyle name="_PercentSpace_Pipeline Model v1 (09_09_02) v3 3" xfId="285"/>
    <cellStyle name="_PercentSpace_Pipeline Model v1 (09_09_02) v3 3 2" xfId="3671"/>
    <cellStyle name="_PercentSpace_Pipeline Model v1 (09_09_02) v3 4" xfId="3253"/>
    <cellStyle name="_Pipeline length" xfId="286"/>
    <cellStyle name="_Pipeline length 2" xfId="287"/>
    <cellStyle name="_Pipeline length 2 2" xfId="288"/>
    <cellStyle name="_Pipeline length 2 2 2" xfId="3673"/>
    <cellStyle name="_Pipeline length 2 3" xfId="3672"/>
    <cellStyle name="_Pipeline length 3" xfId="3254"/>
    <cellStyle name="_Sheet3" xfId="289"/>
    <cellStyle name="_SO Commodity Charge" xfId="290"/>
    <cellStyle name="_SO_IncentiveGraph1" xfId="291"/>
    <cellStyle name="_SO_IncentiveGraph2" xfId="292"/>
    <cellStyle name="_SO_IncentiveGraph3" xfId="293"/>
    <cellStyle name="_SO_IncentiveGraph4" xfId="294"/>
    <cellStyle name="_SO_IncentiveGraph5" xfId="295"/>
    <cellStyle name="_stores fees current " xfId="296"/>
    <cellStyle name="_stores fees current  2" xfId="297"/>
    <cellStyle name="_stores fees current  2 2" xfId="298"/>
    <cellStyle name="_stores fees current  2 2 2" xfId="3675"/>
    <cellStyle name="_stores fees current  2 3" xfId="3674"/>
    <cellStyle name="_stores fees current  3" xfId="3255"/>
    <cellStyle name="_Test scoring_UKGDx_20070924_Pilot (DV)" xfId="299"/>
    <cellStyle name="_Test scoring_UKGDx_20070924_Pilot (DV) 2" xfId="300"/>
    <cellStyle name="_Test scoring_UKGDx_20070924_Pilot (DV) 2 2" xfId="301"/>
    <cellStyle name="_Test scoring_UKGDx_20070924_Pilot (DV) 2 2 2" xfId="3678"/>
    <cellStyle name="_Test scoring_UKGDx_20070924_Pilot (DV) 2 3" xfId="3677"/>
    <cellStyle name="_Test scoring_UKGDx_20070924_Pilot (DV) 3" xfId="3676"/>
    <cellStyle name="_Test scoring_UKGDx_20070924_Pilot (DV) 4" xfId="6417"/>
    <cellStyle name="_TO_IncentivesGraph" xfId="302"/>
    <cellStyle name="_Transmission agency" xfId="303"/>
    <cellStyle name="_Transmission agency 2" xfId="304"/>
    <cellStyle name="_Transmission agency 2 2" xfId="305"/>
    <cellStyle name="_Transmission agency 2 2 2" xfId="3681"/>
    <cellStyle name="_Transmission agency 2 3" xfId="3680"/>
    <cellStyle name="_Transmission agency 3" xfId="3679"/>
    <cellStyle name="_TX BLUE BOOK MASTER V7.3" xfId="306"/>
    <cellStyle name="_UAG_GasIncentive" xfId="307"/>
    <cellStyle name="_ukes" xfId="308"/>
    <cellStyle name="_ukes 2" xfId="309"/>
    <cellStyle name="_ukes 2 2" xfId="310"/>
    <cellStyle name="_ukes 2 2 2" xfId="3683"/>
    <cellStyle name="_ukes 2 3" xfId="3682"/>
    <cellStyle name="_ukes 3" xfId="3256"/>
    <cellStyle name="_UKES Support Costs v2" xfId="311"/>
    <cellStyle name="_UKES Support Costs v2 2" xfId="312"/>
    <cellStyle name="_UKES Support Costs v2 2 2" xfId="313"/>
    <cellStyle name="_UKES Support Costs v2 2 2 2" xfId="3685"/>
    <cellStyle name="_UKES Support Costs v2 2 3" xfId="3684"/>
    <cellStyle name="_UKES Support Costs v2 3" xfId="3257"/>
    <cellStyle name="_Upload model 250909; GNI &amp; MDG" xfId="314"/>
    <cellStyle name="_Upload model 250909; GNI &amp; MDG 2" xfId="315"/>
    <cellStyle name="_Upload model 250909; GNI &amp; MDG 2 2" xfId="316"/>
    <cellStyle name="_Upload model 250909; GNI &amp; MDG 2 2 2" xfId="3687"/>
    <cellStyle name="_Upload model 250909; GNI &amp; MDG 2 3" xfId="3686"/>
    <cellStyle name="_Upload model 250909; GNI &amp; MDG 3" xfId="3258"/>
    <cellStyle name="£ BP" xfId="317"/>
    <cellStyle name="£ BP 2" xfId="318"/>
    <cellStyle name="£ BP 2 2" xfId="319"/>
    <cellStyle name="£[2]" xfId="320"/>
    <cellStyle name="¥ JY" xfId="321"/>
    <cellStyle name="¥ JY 2" xfId="322"/>
    <cellStyle name="¥ JY 2 2" xfId="323"/>
    <cellStyle name="=C:\WINNT\SYSTEM32\COMMAND.COM" xfId="324"/>
    <cellStyle name="=C:\WINNT\SYSTEM32\COMMAND.COM 10" xfId="6419"/>
    <cellStyle name="=C:\WINNT\SYSTEM32\COMMAND.COM 11" xfId="6420"/>
    <cellStyle name="=C:\WINNT\SYSTEM32\COMMAND.COM 12" xfId="6421"/>
    <cellStyle name="=C:\WINNT\SYSTEM32\COMMAND.COM 13" xfId="6422"/>
    <cellStyle name="=C:\WINNT\SYSTEM32\COMMAND.COM 14" xfId="6423"/>
    <cellStyle name="=C:\WINNT\SYSTEM32\COMMAND.COM 15" xfId="6424"/>
    <cellStyle name="=C:\WINNT\SYSTEM32\COMMAND.COM 16" xfId="6425"/>
    <cellStyle name="=C:\WINNT\SYSTEM32\COMMAND.COM 17" xfId="6426"/>
    <cellStyle name="=C:\WINNT\SYSTEM32\COMMAND.COM 18" xfId="6427"/>
    <cellStyle name="=C:\WINNT\SYSTEM32\COMMAND.COM 19" xfId="6428"/>
    <cellStyle name="=C:\WINNT\SYSTEM32\COMMAND.COM 2" xfId="325"/>
    <cellStyle name="=C:\WINNT\SYSTEM32\COMMAND.COM 2 10" xfId="7698"/>
    <cellStyle name="=C:\WINNT\SYSTEM32\COMMAND.COM 2 2" xfId="326"/>
    <cellStyle name="=C:\WINNT\SYSTEM32\COMMAND.COM 2 2 10" xfId="7697"/>
    <cellStyle name="=C:\WINNT\SYSTEM32\COMMAND.COM 2 2 2" xfId="3689"/>
    <cellStyle name="=C:\WINNT\SYSTEM32\COMMAND.COM 2 2 2 2" xfId="6432"/>
    <cellStyle name="=C:\WINNT\SYSTEM32\COMMAND.COM 2 2 2 3" xfId="6433"/>
    <cellStyle name="=C:\WINNT\SYSTEM32\COMMAND.COM 2 2 2 4" xfId="6431"/>
    <cellStyle name="=C:\WINNT\SYSTEM32\COMMAND.COM 2 2 2_Opex Input" xfId="6434"/>
    <cellStyle name="=C:\WINNT\SYSTEM32\COMMAND.COM 2 2 3" xfId="6435"/>
    <cellStyle name="=C:\WINNT\SYSTEM32\COMMAND.COM 2 2 4" xfId="6430"/>
    <cellStyle name="=C:\WINNT\SYSTEM32\COMMAND.COM 2 2 5" xfId="7296"/>
    <cellStyle name="=C:\WINNT\SYSTEM32\COMMAND.COM 2 2 6" xfId="7691"/>
    <cellStyle name="=C:\WINNT\SYSTEM32\COMMAND.COM 2 2 7" xfId="7406"/>
    <cellStyle name="=C:\WINNT\SYSTEM32\COMMAND.COM 2 2 8" xfId="7693"/>
    <cellStyle name="=C:\WINNT\SYSTEM32\COMMAND.COM 2 2 9" xfId="6686"/>
    <cellStyle name="=C:\WINNT\SYSTEM32\COMMAND.COM 2 2_Opex Input" xfId="6436"/>
    <cellStyle name="=C:\WINNT\SYSTEM32\COMMAND.COM 2 3" xfId="3688"/>
    <cellStyle name="=C:\WINNT\SYSTEM32\COMMAND.COM 2 3 2" xfId="6437"/>
    <cellStyle name="=C:\WINNT\SYSTEM32\COMMAND.COM 2 4" xfId="6429"/>
    <cellStyle name="=C:\WINNT\SYSTEM32\COMMAND.COM 2 5" xfId="7313"/>
    <cellStyle name="=C:\WINNT\SYSTEM32\COMMAND.COM 2 6" xfId="7692"/>
    <cellStyle name="=C:\WINNT\SYSTEM32\COMMAND.COM 2 7" xfId="7407"/>
    <cellStyle name="=C:\WINNT\SYSTEM32\COMMAND.COM 2 8" xfId="7694"/>
    <cellStyle name="=C:\WINNT\SYSTEM32\COMMAND.COM 2 9" xfId="6687"/>
    <cellStyle name="=C:\WINNT\SYSTEM32\COMMAND.COM 2_Opex Input" xfId="6438"/>
    <cellStyle name="=C:\WINNT\SYSTEM32\COMMAND.COM 20" xfId="6439"/>
    <cellStyle name="=C:\WINNT\SYSTEM32\COMMAND.COM 21" xfId="6440"/>
    <cellStyle name="=C:\WINNT\SYSTEM32\COMMAND.COM 22" xfId="6441"/>
    <cellStyle name="=C:\WINNT\SYSTEM32\COMMAND.COM 23" xfId="6442"/>
    <cellStyle name="=C:\WINNT\SYSTEM32\COMMAND.COM 23 2" xfId="6443"/>
    <cellStyle name="=C:\WINNT\SYSTEM32\COMMAND.COM 24" xfId="6444"/>
    <cellStyle name="=C:\WINNT\SYSTEM32\COMMAND.COM 25" xfId="6445"/>
    <cellStyle name="=C:\WINNT\SYSTEM32\COMMAND.COM 25 2" xfId="6446"/>
    <cellStyle name="=C:\WINNT\SYSTEM32\COMMAND.COM 25 3" xfId="6447"/>
    <cellStyle name="=C:\WINNT\SYSTEM32\COMMAND.COM 26" xfId="6448"/>
    <cellStyle name="=C:\WINNT\SYSTEM32\COMMAND.COM 27" xfId="6449"/>
    <cellStyle name="=C:\WINNT\SYSTEM32\COMMAND.COM 28" xfId="6450"/>
    <cellStyle name="=C:\WINNT\SYSTEM32\COMMAND.COM 29" xfId="6451"/>
    <cellStyle name="=C:\WINNT\SYSTEM32\COMMAND.COM 3" xfId="327"/>
    <cellStyle name="=C:\WINNT\SYSTEM32\COMMAND.COM 3 2" xfId="3690"/>
    <cellStyle name="=C:\WINNT\SYSTEM32\COMMAND.COM 30" xfId="6452"/>
    <cellStyle name="=C:\WINNT\SYSTEM32\COMMAND.COM 31" xfId="6453"/>
    <cellStyle name="=C:\WINNT\SYSTEM32\COMMAND.COM 32" xfId="6454"/>
    <cellStyle name="=C:\WINNT\SYSTEM32\COMMAND.COM 33" xfId="6455"/>
    <cellStyle name="=C:\WINNT\SYSTEM32\COMMAND.COM 34" xfId="6418"/>
    <cellStyle name="=C:\WINNT\SYSTEM32\COMMAND.COM 35" xfId="7409"/>
    <cellStyle name="=C:\WINNT\SYSTEM32\COMMAND.COM 36" xfId="7695"/>
    <cellStyle name="=C:\WINNT\SYSTEM32\COMMAND.COM 37" xfId="7424"/>
    <cellStyle name="=C:\WINNT\SYSTEM32\COMMAND.COM 38" xfId="7696"/>
    <cellStyle name="=C:\WINNT\SYSTEM32\COMMAND.COM 39" xfId="6707"/>
    <cellStyle name="=C:\WINNT\SYSTEM32\COMMAND.COM 4" xfId="328"/>
    <cellStyle name="=C:\WINNT\SYSTEM32\COMMAND.COM 4 2" xfId="329"/>
    <cellStyle name="=C:\WINNT\SYSTEM32\COMMAND.COM 4 2 2" xfId="3692"/>
    <cellStyle name="=C:\WINNT\SYSTEM32\COMMAND.COM 4 2 3" xfId="6457"/>
    <cellStyle name="=C:\WINNT\SYSTEM32\COMMAND.COM 4 3" xfId="3691"/>
    <cellStyle name="=C:\WINNT\SYSTEM32\COMMAND.COM 4 3 2" xfId="6458"/>
    <cellStyle name="=C:\WINNT\SYSTEM32\COMMAND.COM 4 4" xfId="6456"/>
    <cellStyle name="=C:\WINNT\SYSTEM32\COMMAND.COM 4_Opex Input" xfId="6459"/>
    <cellStyle name="=C:\WINNT\SYSTEM32\COMMAND.COM 40" xfId="7699"/>
    <cellStyle name="=C:\WINNT\SYSTEM32\COMMAND.COM 5" xfId="3259"/>
    <cellStyle name="=C:\WINNT\SYSTEM32\COMMAND.COM 5 2" xfId="6135"/>
    <cellStyle name="=C:\WINNT\SYSTEM32\COMMAND.COM 5 3" xfId="3693"/>
    <cellStyle name="=C:\WINNT\SYSTEM32\COMMAND.COM 5 4" xfId="6460"/>
    <cellStyle name="=C:\WINNT\SYSTEM32\COMMAND.COM 6" xfId="6461"/>
    <cellStyle name="=C:\WINNT\SYSTEM32\COMMAND.COM 7" xfId="6462"/>
    <cellStyle name="=C:\WINNT\SYSTEM32\COMMAND.COM 8" xfId="6463"/>
    <cellStyle name="=C:\WINNT\SYSTEM32\COMMAND.COM 9" xfId="6464"/>
    <cellStyle name="=C:\WINNT\SYSTEM32\COMMAND.COM_Model_run_060901" xfId="6465"/>
    <cellStyle name="=C:\WINNT35\SYSTEM32\COMMAND.COM" xfId="330"/>
    <cellStyle name="=C:\WINNT35\SYSTEM32\COMMAND.COM 2" xfId="3694"/>
    <cellStyle name="=C:\WINNT35\SYSTEM32\COMMAND.COM 3" xfId="6466"/>
    <cellStyle name="0" xfId="331"/>
    <cellStyle name="0 2" xfId="332"/>
    <cellStyle name="0 2 2" xfId="333"/>
    <cellStyle name="0 2 2 2" xfId="3696"/>
    <cellStyle name="0 2 3" xfId="3695"/>
    <cellStyle name="0 3" xfId="3260"/>
    <cellStyle name="0_Credit Rating Ratios" xfId="334"/>
    <cellStyle name="0_Credit Rating Ratios 2" xfId="335"/>
    <cellStyle name="0_Credit Rating Ratios 2 2" xfId="336"/>
    <cellStyle name="0_Credit Rating Ratios 2 2 2" xfId="3699"/>
    <cellStyle name="0_Credit Rating Ratios 2 3" xfId="3698"/>
    <cellStyle name="0_Credit Rating Ratios 3" xfId="3697"/>
    <cellStyle name="0_Pension numbers in 09 Plan  Budget (3)" xfId="337"/>
    <cellStyle name="0_Pension numbers in 09 Plan  Budget (3) 2" xfId="338"/>
    <cellStyle name="0_Pension numbers in 09 Plan  Budget (3) 2 2" xfId="339"/>
    <cellStyle name="0_Pension numbers in 09 Plan  Budget (3) 2 2 2" xfId="3702"/>
    <cellStyle name="0_Pension numbers in 09 Plan  Budget (3) 2 3" xfId="3701"/>
    <cellStyle name="0_Pension numbers in 09 Plan  Budget (3) 3" xfId="3700"/>
    <cellStyle name="0DP" xfId="340"/>
    <cellStyle name="0DP bold" xfId="341"/>
    <cellStyle name="0DP_calcSens" xfId="342"/>
    <cellStyle name="1DP" xfId="343"/>
    <cellStyle name="1DP bold" xfId="344"/>
    <cellStyle name="20% - Accent1" xfId="63" builtinId="30" customBuiltin="1"/>
    <cellStyle name="20% - Accent1 2" xfId="345"/>
    <cellStyle name="20% - Accent1 2 2" xfId="346"/>
    <cellStyle name="20% - Accent1 2 2 2" xfId="347"/>
    <cellStyle name="20% - Accent1 2 2 2 2" xfId="3703"/>
    <cellStyle name="20% - Accent1 2 2 3" xfId="3262"/>
    <cellStyle name="20% - Accent1 2 2 4" xfId="6467"/>
    <cellStyle name="20% - Accent1 2 3" xfId="348"/>
    <cellStyle name="20% - Accent1 2 3 2" xfId="349"/>
    <cellStyle name="20% - Accent1 2 4" xfId="350"/>
    <cellStyle name="20% - Accent1 2 5" xfId="3261"/>
    <cellStyle name="20% - Accent1 3" xfId="351"/>
    <cellStyle name="20% - Accent1 3 2" xfId="352"/>
    <cellStyle name="20% - Accent1 3 2 2" xfId="3704"/>
    <cellStyle name="20% - Accent1 3 3" xfId="353"/>
    <cellStyle name="20% - Accent1 3 4" xfId="3705"/>
    <cellStyle name="20% - Accent1 3 5" xfId="6468"/>
    <cellStyle name="20% - Accent1 4" xfId="354"/>
    <cellStyle name="20% - Accent1 4 2" xfId="355"/>
    <cellStyle name="20% - Accent1 4 3" xfId="6469"/>
    <cellStyle name="20% - Accent1 5" xfId="356"/>
    <cellStyle name="20% - Accent1 5 2" xfId="3706"/>
    <cellStyle name="20% - Accent1 6" xfId="357"/>
    <cellStyle name="20% - Accent1 7" xfId="3707"/>
    <cellStyle name="20% - Accent2" xfId="67" builtinId="34" customBuiltin="1"/>
    <cellStyle name="20% - Accent2 2" xfId="358"/>
    <cellStyle name="20% - Accent2 2 2" xfId="359"/>
    <cellStyle name="20% - Accent2 2 2 2" xfId="360"/>
    <cellStyle name="20% - Accent2 2 2 2 2" xfId="3708"/>
    <cellStyle name="20% - Accent2 2 2 3" xfId="3264"/>
    <cellStyle name="20% - Accent2 2 2 4" xfId="6470"/>
    <cellStyle name="20% - Accent2 2 3" xfId="361"/>
    <cellStyle name="20% - Accent2 2 3 2" xfId="362"/>
    <cellStyle name="20% - Accent2 2 4" xfId="363"/>
    <cellStyle name="20% - Accent2 2 5" xfId="3263"/>
    <cellStyle name="20% - Accent2 3" xfId="364"/>
    <cellStyle name="20% - Accent2 3 2" xfId="365"/>
    <cellStyle name="20% - Accent2 3 2 2" xfId="3709"/>
    <cellStyle name="20% - Accent2 3 3" xfId="366"/>
    <cellStyle name="20% - Accent2 3 4" xfId="3710"/>
    <cellStyle name="20% - Accent2 3 5" xfId="6471"/>
    <cellStyle name="20% - Accent2 4" xfId="367"/>
    <cellStyle name="20% - Accent2 4 2" xfId="368"/>
    <cellStyle name="20% - Accent2 4 3" xfId="6472"/>
    <cellStyle name="20% - Accent2 5" xfId="369"/>
    <cellStyle name="20% - Accent2 5 2" xfId="3711"/>
    <cellStyle name="20% - Accent2 6" xfId="370"/>
    <cellStyle name="20% - Accent2 7" xfId="3712"/>
    <cellStyle name="20% - Accent3" xfId="71" builtinId="38" customBuiltin="1"/>
    <cellStyle name="20% - Accent3 2" xfId="371"/>
    <cellStyle name="20% - Accent3 2 2" xfId="372"/>
    <cellStyle name="20% - Accent3 2 2 2" xfId="373"/>
    <cellStyle name="20% - Accent3 2 2 2 2" xfId="3713"/>
    <cellStyle name="20% - Accent3 2 2 3" xfId="3266"/>
    <cellStyle name="20% - Accent3 2 2 4" xfId="6473"/>
    <cellStyle name="20% - Accent3 2 3" xfId="374"/>
    <cellStyle name="20% - Accent3 2 3 2" xfId="375"/>
    <cellStyle name="20% - Accent3 2 4" xfId="376"/>
    <cellStyle name="20% - Accent3 2 5" xfId="3265"/>
    <cellStyle name="20% - Accent3 3" xfId="377"/>
    <cellStyle name="20% - Accent3 3 2" xfId="378"/>
    <cellStyle name="20% - Accent3 3 2 2" xfId="3714"/>
    <cellStyle name="20% - Accent3 3 3" xfId="379"/>
    <cellStyle name="20% - Accent3 3 4" xfId="3715"/>
    <cellStyle name="20% - Accent3 3 5" xfId="6474"/>
    <cellStyle name="20% - Accent3 4" xfId="380"/>
    <cellStyle name="20% - Accent3 4 2" xfId="381"/>
    <cellStyle name="20% - Accent3 4 3" xfId="6475"/>
    <cellStyle name="20% - Accent3 5" xfId="382"/>
    <cellStyle name="20% - Accent3 5 2" xfId="3716"/>
    <cellStyle name="20% - Accent3 6" xfId="383"/>
    <cellStyle name="20% - Accent3 7" xfId="3717"/>
    <cellStyle name="20% - Accent4" xfId="75" builtinId="42" customBuiltin="1"/>
    <cellStyle name="20% - Accent4 2" xfId="384"/>
    <cellStyle name="20% - Accent4 2 2" xfId="385"/>
    <cellStyle name="20% - Accent4 2 2 2" xfId="386"/>
    <cellStyle name="20% - Accent4 2 2 2 2" xfId="3718"/>
    <cellStyle name="20% - Accent4 2 2 3" xfId="3268"/>
    <cellStyle name="20% - Accent4 2 2 4" xfId="6476"/>
    <cellStyle name="20% - Accent4 2 3" xfId="387"/>
    <cellStyle name="20% - Accent4 2 3 2" xfId="388"/>
    <cellStyle name="20% - Accent4 2 4" xfId="389"/>
    <cellStyle name="20% - Accent4 2 5" xfId="3267"/>
    <cellStyle name="20% - Accent4 3" xfId="390"/>
    <cellStyle name="20% - Accent4 3 2" xfId="391"/>
    <cellStyle name="20% - Accent4 3 2 2" xfId="3719"/>
    <cellStyle name="20% - Accent4 3 3" xfId="392"/>
    <cellStyle name="20% - Accent4 3 4" xfId="3720"/>
    <cellStyle name="20% - Accent4 3 5" xfId="6477"/>
    <cellStyle name="20% - Accent4 4" xfId="393"/>
    <cellStyle name="20% - Accent4 4 2" xfId="394"/>
    <cellStyle name="20% - Accent4 4 3" xfId="6478"/>
    <cellStyle name="20% - Accent4 5" xfId="395"/>
    <cellStyle name="20% - Accent4 5 2" xfId="3721"/>
    <cellStyle name="20% - Accent4 6" xfId="396"/>
    <cellStyle name="20% - Accent4 7" xfId="3722"/>
    <cellStyle name="20% - Accent5" xfId="79" builtinId="46" customBuiltin="1"/>
    <cellStyle name="20% - Accent5 2" xfId="397"/>
    <cellStyle name="20% - Accent5 2 2" xfId="398"/>
    <cellStyle name="20% - Accent5 2 2 2" xfId="399"/>
    <cellStyle name="20% - Accent5 2 2 2 2" xfId="3723"/>
    <cellStyle name="20% - Accent5 2 2 3" xfId="3270"/>
    <cellStyle name="20% - Accent5 2 2 4" xfId="6479"/>
    <cellStyle name="20% - Accent5 2 3" xfId="400"/>
    <cellStyle name="20% - Accent5 2 3 2" xfId="401"/>
    <cellStyle name="20% - Accent5 2 4" xfId="402"/>
    <cellStyle name="20% - Accent5 2 5" xfId="3269"/>
    <cellStyle name="20% - Accent5 3" xfId="403"/>
    <cellStyle name="20% - Accent5 3 2" xfId="404"/>
    <cellStyle name="20% - Accent5 3 2 2" xfId="3724"/>
    <cellStyle name="20% - Accent5 3 3" xfId="405"/>
    <cellStyle name="20% - Accent5 3 4" xfId="3725"/>
    <cellStyle name="20% - Accent5 3 5" xfId="6480"/>
    <cellStyle name="20% - Accent5 4" xfId="406"/>
    <cellStyle name="20% - Accent5 4 2" xfId="3726"/>
    <cellStyle name="20% - Accent5 4 3" xfId="6481"/>
    <cellStyle name="20% - Accent5 5" xfId="407"/>
    <cellStyle name="20% - Accent6" xfId="83" builtinId="50" customBuiltin="1"/>
    <cellStyle name="20% - Accent6 2" xfId="408"/>
    <cellStyle name="20% - Accent6 2 2" xfId="409"/>
    <cellStyle name="20% - Accent6 2 2 2" xfId="410"/>
    <cellStyle name="20% - Accent6 2 2 2 2" xfId="3727"/>
    <cellStyle name="20% - Accent6 2 2 3" xfId="3272"/>
    <cellStyle name="20% - Accent6 2 2 4" xfId="6482"/>
    <cellStyle name="20% - Accent6 2 3" xfId="411"/>
    <cellStyle name="20% - Accent6 2 3 2" xfId="412"/>
    <cellStyle name="20% - Accent6 2 4" xfId="413"/>
    <cellStyle name="20% - Accent6 2 5" xfId="3271"/>
    <cellStyle name="20% - Accent6 3" xfId="414"/>
    <cellStyle name="20% - Accent6 3 2" xfId="415"/>
    <cellStyle name="20% - Accent6 3 2 2" xfId="3728"/>
    <cellStyle name="20% - Accent6 3 3" xfId="416"/>
    <cellStyle name="20% - Accent6 3 4" xfId="3729"/>
    <cellStyle name="20% - Accent6 3 5" xfId="6483"/>
    <cellStyle name="20% - Accent6 4" xfId="417"/>
    <cellStyle name="20% - Accent6 4 2" xfId="3730"/>
    <cellStyle name="20% - Accent6 4 3" xfId="6484"/>
    <cellStyle name="20% - Accent6 5" xfId="418"/>
    <cellStyle name="2DP" xfId="419"/>
    <cellStyle name="2DP bold" xfId="420"/>
    <cellStyle name="3DP" xfId="421"/>
    <cellStyle name="40% - Accent1" xfId="64" builtinId="31" customBuiltin="1"/>
    <cellStyle name="40% - Accent1 2" xfId="422"/>
    <cellStyle name="40% - Accent1 2 2" xfId="423"/>
    <cellStyle name="40% - Accent1 2 2 2" xfId="424"/>
    <cellStyle name="40% - Accent1 2 2 2 2" xfId="3731"/>
    <cellStyle name="40% - Accent1 2 2 3" xfId="3274"/>
    <cellStyle name="40% - Accent1 2 2 4" xfId="6485"/>
    <cellStyle name="40% - Accent1 2 3" xfId="425"/>
    <cellStyle name="40% - Accent1 2 3 2" xfId="426"/>
    <cellStyle name="40% - Accent1 2 4" xfId="427"/>
    <cellStyle name="40% - Accent1 2 5" xfId="3273"/>
    <cellStyle name="40% - Accent1 3" xfId="428"/>
    <cellStyle name="40% - Accent1 3 2" xfId="429"/>
    <cellStyle name="40% - Accent1 3 2 2" xfId="3732"/>
    <cellStyle name="40% - Accent1 3 3" xfId="430"/>
    <cellStyle name="40% - Accent1 3 4" xfId="3733"/>
    <cellStyle name="40% - Accent1 3 5" xfId="6486"/>
    <cellStyle name="40% - Accent1 4" xfId="431"/>
    <cellStyle name="40% - Accent1 4 2" xfId="3734"/>
    <cellStyle name="40% - Accent1 4 3" xfId="6487"/>
    <cellStyle name="40% - Accent1 5" xfId="432"/>
    <cellStyle name="40% - Accent2" xfId="68" builtinId="35" customBuiltin="1"/>
    <cellStyle name="40% - Accent2 2" xfId="433"/>
    <cellStyle name="40% - Accent2 2 2" xfId="434"/>
    <cellStyle name="40% - Accent2 2 2 2" xfId="435"/>
    <cellStyle name="40% - Accent2 2 2 2 2" xfId="3735"/>
    <cellStyle name="40% - Accent2 2 2 3" xfId="3276"/>
    <cellStyle name="40% - Accent2 2 2 4" xfId="6488"/>
    <cellStyle name="40% - Accent2 2 3" xfId="436"/>
    <cellStyle name="40% - Accent2 2 3 2" xfId="437"/>
    <cellStyle name="40% - Accent2 2 4" xfId="438"/>
    <cellStyle name="40% - Accent2 2 5" xfId="3275"/>
    <cellStyle name="40% - Accent2 3" xfId="439"/>
    <cellStyle name="40% - Accent2 3 2" xfId="440"/>
    <cellStyle name="40% - Accent2 3 2 2" xfId="3736"/>
    <cellStyle name="40% - Accent2 3 3" xfId="441"/>
    <cellStyle name="40% - Accent2 3 4" xfId="3737"/>
    <cellStyle name="40% - Accent2 3 5" xfId="6489"/>
    <cellStyle name="40% - Accent2 4" xfId="442"/>
    <cellStyle name="40% - Accent2 4 2" xfId="3738"/>
    <cellStyle name="40% - Accent2 4 3" xfId="6490"/>
    <cellStyle name="40% - Accent2 5" xfId="443"/>
    <cellStyle name="40% - Accent3" xfId="72" builtinId="39" customBuiltin="1"/>
    <cellStyle name="40% - Accent3 2" xfId="444"/>
    <cellStyle name="40% - Accent3 2 2" xfId="445"/>
    <cellStyle name="40% - Accent3 2 2 2" xfId="446"/>
    <cellStyle name="40% - Accent3 2 2 2 2" xfId="3739"/>
    <cellStyle name="40% - Accent3 2 2 3" xfId="3278"/>
    <cellStyle name="40% - Accent3 2 2 4" xfId="6491"/>
    <cellStyle name="40% - Accent3 2 3" xfId="447"/>
    <cellStyle name="40% - Accent3 2 3 2" xfId="448"/>
    <cellStyle name="40% - Accent3 2 4" xfId="449"/>
    <cellStyle name="40% - Accent3 2 5" xfId="3277"/>
    <cellStyle name="40% - Accent3 3" xfId="450"/>
    <cellStyle name="40% - Accent3 3 2" xfId="451"/>
    <cellStyle name="40% - Accent3 3 2 2" xfId="3740"/>
    <cellStyle name="40% - Accent3 3 3" xfId="452"/>
    <cellStyle name="40% - Accent3 3 4" xfId="3741"/>
    <cellStyle name="40% - Accent3 3 5" xfId="6492"/>
    <cellStyle name="40% - Accent3 4" xfId="453"/>
    <cellStyle name="40% - Accent3 4 2" xfId="454"/>
    <cellStyle name="40% - Accent3 4 3" xfId="6493"/>
    <cellStyle name="40% - Accent3 5" xfId="455"/>
    <cellStyle name="40% - Accent3 5 2" xfId="3742"/>
    <cellStyle name="40% - Accent3 6" xfId="456"/>
    <cellStyle name="40% - Accent3 7" xfId="3743"/>
    <cellStyle name="40% - Accent4" xfId="76" builtinId="43" customBuiltin="1"/>
    <cellStyle name="40% - Accent4 2" xfId="457"/>
    <cellStyle name="40% - Accent4 2 2" xfId="458"/>
    <cellStyle name="40% - Accent4 2 2 2" xfId="459"/>
    <cellStyle name="40% - Accent4 2 2 2 2" xfId="3744"/>
    <cellStyle name="40% - Accent4 2 2 3" xfId="3280"/>
    <cellStyle name="40% - Accent4 2 2 4" xfId="6494"/>
    <cellStyle name="40% - Accent4 2 3" xfId="460"/>
    <cellStyle name="40% - Accent4 2 3 2" xfId="461"/>
    <cellStyle name="40% - Accent4 2 4" xfId="462"/>
    <cellStyle name="40% - Accent4 2 5" xfId="3279"/>
    <cellStyle name="40% - Accent4 3" xfId="463"/>
    <cellStyle name="40% - Accent4 3 2" xfId="464"/>
    <cellStyle name="40% - Accent4 3 2 2" xfId="3745"/>
    <cellStyle name="40% - Accent4 3 3" xfId="465"/>
    <cellStyle name="40% - Accent4 3 4" xfId="3746"/>
    <cellStyle name="40% - Accent4 3 5" xfId="6495"/>
    <cellStyle name="40% - Accent4 4" xfId="466"/>
    <cellStyle name="40% - Accent4 4 2" xfId="3747"/>
    <cellStyle name="40% - Accent4 4 3" xfId="6496"/>
    <cellStyle name="40% - Accent4 5" xfId="467"/>
    <cellStyle name="40% - Accent5" xfId="80" builtinId="47" customBuiltin="1"/>
    <cellStyle name="40% - Accent5 2" xfId="468"/>
    <cellStyle name="40% - Accent5 2 2" xfId="469"/>
    <cellStyle name="40% - Accent5 2 2 2" xfId="470"/>
    <cellStyle name="40% - Accent5 2 2 2 2" xfId="3748"/>
    <cellStyle name="40% - Accent5 2 2 3" xfId="3282"/>
    <cellStyle name="40% - Accent5 2 2 4" xfId="6497"/>
    <cellStyle name="40% - Accent5 2 3" xfId="471"/>
    <cellStyle name="40% - Accent5 2 3 2" xfId="472"/>
    <cellStyle name="40% - Accent5 2 4" xfId="473"/>
    <cellStyle name="40% - Accent5 2 5" xfId="3281"/>
    <cellStyle name="40% - Accent5 3" xfId="474"/>
    <cellStyle name="40% - Accent5 3 2" xfId="475"/>
    <cellStyle name="40% - Accent5 3 2 2" xfId="3749"/>
    <cellStyle name="40% - Accent5 3 3" xfId="476"/>
    <cellStyle name="40% - Accent5 3 4" xfId="3750"/>
    <cellStyle name="40% - Accent5 3 5" xfId="6498"/>
    <cellStyle name="40% - Accent5 4" xfId="477"/>
    <cellStyle name="40% - Accent5 4 2" xfId="3751"/>
    <cellStyle name="40% - Accent5 4 3" xfId="6499"/>
    <cellStyle name="40% - Accent5 5" xfId="478"/>
    <cellStyle name="40% - Accent6" xfId="84" builtinId="51" customBuiltin="1"/>
    <cellStyle name="40% - Accent6 2" xfId="479"/>
    <cellStyle name="40% - Accent6 2 2" xfId="480"/>
    <cellStyle name="40% - Accent6 2 2 2" xfId="481"/>
    <cellStyle name="40% - Accent6 2 2 2 2" xfId="3752"/>
    <cellStyle name="40% - Accent6 2 2 3" xfId="3284"/>
    <cellStyle name="40% - Accent6 2 2 4" xfId="6500"/>
    <cellStyle name="40% - Accent6 2 3" xfId="482"/>
    <cellStyle name="40% - Accent6 2 3 2" xfId="483"/>
    <cellStyle name="40% - Accent6 2 4" xfId="484"/>
    <cellStyle name="40% - Accent6 2 5" xfId="3283"/>
    <cellStyle name="40% - Accent6 3" xfId="485"/>
    <cellStyle name="40% - Accent6 3 2" xfId="486"/>
    <cellStyle name="40% - Accent6 3 2 2" xfId="3753"/>
    <cellStyle name="40% - Accent6 3 3" xfId="487"/>
    <cellStyle name="40% - Accent6 3 4" xfId="3754"/>
    <cellStyle name="40% - Accent6 3 5" xfId="6501"/>
    <cellStyle name="40% - Accent6 4" xfId="488"/>
    <cellStyle name="40% - Accent6 4 2" xfId="3755"/>
    <cellStyle name="40% - Accent6 4 3" xfId="6502"/>
    <cellStyle name="40% - Accent6 5" xfId="489"/>
    <cellStyle name="60% - Accent1" xfId="65" builtinId="32" customBuiltin="1"/>
    <cellStyle name="60% - Accent1 2" xfId="490"/>
    <cellStyle name="60% - Accent1 2 2" xfId="491"/>
    <cellStyle name="60% - Accent1 2 2 2" xfId="492"/>
    <cellStyle name="60% - Accent1 2 2 3" xfId="3285"/>
    <cellStyle name="60% - Accent1 2 2 4" xfId="6503"/>
    <cellStyle name="60% - Accent1 2 3" xfId="493"/>
    <cellStyle name="60% - Accent1 2 4" xfId="494"/>
    <cellStyle name="60% - Accent1 3" xfId="495"/>
    <cellStyle name="60% - Accent1 3 2" xfId="3756"/>
    <cellStyle name="60% - Accent1 3 3" xfId="6504"/>
    <cellStyle name="60% - Accent1 4" xfId="6505"/>
    <cellStyle name="60% - Accent1 5" xfId="8434"/>
    <cellStyle name="60% - Accent1 6" xfId="9279"/>
    <cellStyle name="60% - Accent2" xfId="69" builtinId="36" customBuiltin="1"/>
    <cellStyle name="60% - Accent2 2" xfId="496"/>
    <cellStyle name="60% - Accent2 2 2" xfId="497"/>
    <cellStyle name="60% - Accent2 2 2 2" xfId="498"/>
    <cellStyle name="60% - Accent2 2 2 3" xfId="3286"/>
    <cellStyle name="60% - Accent2 2 2 4" xfId="6506"/>
    <cellStyle name="60% - Accent2 2 3" xfId="499"/>
    <cellStyle name="60% - Accent2 2 4" xfId="500"/>
    <cellStyle name="60% - Accent2 3" xfId="501"/>
    <cellStyle name="60% - Accent2 3 2" xfId="3757"/>
    <cellStyle name="60% - Accent2 3 3" xfId="6507"/>
    <cellStyle name="60% - Accent2 4" xfId="6508"/>
    <cellStyle name="60% - Accent2 5" xfId="8435"/>
    <cellStyle name="60% - Accent2 6" xfId="9280"/>
    <cellStyle name="60% - Accent3" xfId="73" builtinId="40" customBuiltin="1"/>
    <cellStyle name="60% - Accent3 2" xfId="502"/>
    <cellStyle name="60% - Accent3 2 2" xfId="503"/>
    <cellStyle name="60% - Accent3 2 2 2" xfId="504"/>
    <cellStyle name="60% - Accent3 2 2 3" xfId="3287"/>
    <cellStyle name="60% - Accent3 2 2 4" xfId="6509"/>
    <cellStyle name="60% - Accent3 2 3" xfId="505"/>
    <cellStyle name="60% - Accent3 2 4" xfId="506"/>
    <cellStyle name="60% - Accent3 3" xfId="507"/>
    <cellStyle name="60% - Accent3 3 2" xfId="3758"/>
    <cellStyle name="60% - Accent3 3 3" xfId="6510"/>
    <cellStyle name="60% - Accent3 4" xfId="508"/>
    <cellStyle name="60% - Accent3 4 2" xfId="6511"/>
    <cellStyle name="60% - Accent3 5" xfId="509"/>
    <cellStyle name="60% - Accent3 6" xfId="3759"/>
    <cellStyle name="60% - Accent3 7" xfId="8436"/>
    <cellStyle name="60% - Accent3 8" xfId="9281"/>
    <cellStyle name="60% - Accent4" xfId="77" builtinId="44" customBuiltin="1"/>
    <cellStyle name="60% - Accent4 2" xfId="510"/>
    <cellStyle name="60% - Accent4 2 2" xfId="511"/>
    <cellStyle name="60% - Accent4 2 2 2" xfId="512"/>
    <cellStyle name="60% - Accent4 2 2 3" xfId="3288"/>
    <cellStyle name="60% - Accent4 2 2 4" xfId="6512"/>
    <cellStyle name="60% - Accent4 2 3" xfId="513"/>
    <cellStyle name="60% - Accent4 2 4" xfId="514"/>
    <cellStyle name="60% - Accent4 3" xfId="515"/>
    <cellStyle name="60% - Accent4 3 2" xfId="3760"/>
    <cellStyle name="60% - Accent4 3 3" xfId="6513"/>
    <cellStyle name="60% - Accent4 4" xfId="516"/>
    <cellStyle name="60% - Accent4 4 2" xfId="6514"/>
    <cellStyle name="60% - Accent4 5" xfId="517"/>
    <cellStyle name="60% - Accent4 6" xfId="3761"/>
    <cellStyle name="60% - Accent4 7" xfId="8437"/>
    <cellStyle name="60% - Accent4 8" xfId="9282"/>
    <cellStyle name="60% - Accent5" xfId="81" builtinId="48" customBuiltin="1"/>
    <cellStyle name="60% - Accent5 2" xfId="518"/>
    <cellStyle name="60% - Accent5 2 2" xfId="519"/>
    <cellStyle name="60% - Accent5 2 2 2" xfId="520"/>
    <cellStyle name="60% - Accent5 2 2 3" xfId="3289"/>
    <cellStyle name="60% - Accent5 2 2 4" xfId="6515"/>
    <cellStyle name="60% - Accent5 2 3" xfId="521"/>
    <cellStyle name="60% - Accent5 2 4" xfId="522"/>
    <cellStyle name="60% - Accent5 3" xfId="523"/>
    <cellStyle name="60% - Accent5 3 2" xfId="3762"/>
    <cellStyle name="60% - Accent5 3 3" xfId="6516"/>
    <cellStyle name="60% - Accent5 4" xfId="6517"/>
    <cellStyle name="60% - Accent5 5" xfId="8438"/>
    <cellStyle name="60% - Accent5 6" xfId="9283"/>
    <cellStyle name="60% - Accent6" xfId="85" builtinId="52" customBuiltin="1"/>
    <cellStyle name="60% - Accent6 2" xfId="524"/>
    <cellStyle name="60% - Accent6 2 2" xfId="525"/>
    <cellStyle name="60% - Accent6 2 2 2" xfId="526"/>
    <cellStyle name="60% - Accent6 2 2 3" xfId="3290"/>
    <cellStyle name="60% - Accent6 2 2 4" xfId="6518"/>
    <cellStyle name="60% - Accent6 2 3" xfId="527"/>
    <cellStyle name="60% - Accent6 2 4" xfId="528"/>
    <cellStyle name="60% - Accent6 3" xfId="529"/>
    <cellStyle name="60% - Accent6 3 2" xfId="3763"/>
    <cellStyle name="60% - Accent6 3 3" xfId="6519"/>
    <cellStyle name="60% - Accent6 4" xfId="530"/>
    <cellStyle name="60% - Accent6 4 2" xfId="6520"/>
    <cellStyle name="60% - Accent6 5" xfId="531"/>
    <cellStyle name="60% - Accent6 6" xfId="3764"/>
    <cellStyle name="60% - Accent6 7" xfId="8439"/>
    <cellStyle name="60% - Accent6 8" xfId="9284"/>
    <cellStyle name="Accent1" xfId="62" builtinId="29" customBuiltin="1"/>
    <cellStyle name="Accent1 - 20%" xfId="532"/>
    <cellStyle name="Accent1 - 20% 2" xfId="3126"/>
    <cellStyle name="Accent1 - 20% 2 2" xfId="6522"/>
    <cellStyle name="Accent1 - 40%" xfId="533"/>
    <cellStyle name="Accent1 - 40% 2" xfId="3127"/>
    <cellStyle name="Accent1 - 40% 2 2" xfId="6523"/>
    <cellStyle name="Accent1 - 60%" xfId="534"/>
    <cellStyle name="Accent1 - 60% 2" xfId="3128"/>
    <cellStyle name="Accent1 - 60% 2 2" xfId="6524"/>
    <cellStyle name="Accent1 10" xfId="535"/>
    <cellStyle name="Accent1 10 2" xfId="3765"/>
    <cellStyle name="Accent1 100" xfId="3766"/>
    <cellStyle name="Accent1 101" xfId="3767"/>
    <cellStyle name="Accent1 102" xfId="3768"/>
    <cellStyle name="Accent1 103" xfId="3769"/>
    <cellStyle name="Accent1 104" xfId="3770"/>
    <cellStyle name="Accent1 105" xfId="3771"/>
    <cellStyle name="Accent1 106" xfId="3772"/>
    <cellStyle name="Accent1 107" xfId="3773"/>
    <cellStyle name="Accent1 108" xfId="3774"/>
    <cellStyle name="Accent1 109" xfId="3775"/>
    <cellStyle name="Accent1 11" xfId="536"/>
    <cellStyle name="Accent1 11 2" xfId="3776"/>
    <cellStyle name="Accent1 110" xfId="3777"/>
    <cellStyle name="Accent1 111" xfId="3778"/>
    <cellStyle name="Accent1 112" xfId="3779"/>
    <cellStyle name="Accent1 113" xfId="3780"/>
    <cellStyle name="Accent1 114" xfId="3781"/>
    <cellStyle name="Accent1 115" xfId="3782"/>
    <cellStyle name="Accent1 116" xfId="3783"/>
    <cellStyle name="Accent1 117" xfId="3784"/>
    <cellStyle name="Accent1 118" xfId="3785"/>
    <cellStyle name="Accent1 119" xfId="3786"/>
    <cellStyle name="Accent1 12" xfId="537"/>
    <cellStyle name="Accent1 12 2" xfId="3787"/>
    <cellStyle name="Accent1 120" xfId="3788"/>
    <cellStyle name="Accent1 121" xfId="3789"/>
    <cellStyle name="Accent1 122" xfId="3790"/>
    <cellStyle name="Accent1 123" xfId="3791"/>
    <cellStyle name="Accent1 124" xfId="3792"/>
    <cellStyle name="Accent1 125" xfId="3793"/>
    <cellStyle name="Accent1 126" xfId="3794"/>
    <cellStyle name="Accent1 127" xfId="3795"/>
    <cellStyle name="Accent1 128" xfId="3796"/>
    <cellStyle name="Accent1 129" xfId="3797"/>
    <cellStyle name="Accent1 13" xfId="538"/>
    <cellStyle name="Accent1 13 2" xfId="3798"/>
    <cellStyle name="Accent1 130" xfId="3799"/>
    <cellStyle name="Accent1 131" xfId="3800"/>
    <cellStyle name="Accent1 132" xfId="3801"/>
    <cellStyle name="Accent1 133" xfId="3802"/>
    <cellStyle name="Accent1 134" xfId="3803"/>
    <cellStyle name="Accent1 135" xfId="3804"/>
    <cellStyle name="Accent1 136" xfId="3805"/>
    <cellStyle name="Accent1 137" xfId="3806"/>
    <cellStyle name="Accent1 138" xfId="3807"/>
    <cellStyle name="Accent1 139" xfId="3808"/>
    <cellStyle name="Accent1 14" xfId="539"/>
    <cellStyle name="Accent1 14 2" xfId="3809"/>
    <cellStyle name="Accent1 140" xfId="3810"/>
    <cellStyle name="Accent1 141" xfId="3811"/>
    <cellStyle name="Accent1 142" xfId="3812"/>
    <cellStyle name="Accent1 143" xfId="3813"/>
    <cellStyle name="Accent1 144" xfId="3814"/>
    <cellStyle name="Accent1 145" xfId="3815"/>
    <cellStyle name="Accent1 146" xfId="3816"/>
    <cellStyle name="Accent1 147" xfId="3817"/>
    <cellStyle name="Accent1 148" xfId="3818"/>
    <cellStyle name="Accent1 149" xfId="3819"/>
    <cellStyle name="Accent1 15" xfId="540"/>
    <cellStyle name="Accent1 15 2" xfId="3820"/>
    <cellStyle name="Accent1 150" xfId="3821"/>
    <cellStyle name="Accent1 151" xfId="3822"/>
    <cellStyle name="Accent1 152" xfId="3823"/>
    <cellStyle name="Accent1 153" xfId="3824"/>
    <cellStyle name="Accent1 154" xfId="3825"/>
    <cellStyle name="Accent1 155" xfId="3826"/>
    <cellStyle name="Accent1 156" xfId="3827"/>
    <cellStyle name="Accent1 157" xfId="3828"/>
    <cellStyle name="Accent1 158" xfId="3829"/>
    <cellStyle name="Accent1 159" xfId="3830"/>
    <cellStyle name="Accent1 16" xfId="541"/>
    <cellStyle name="Accent1 16 2" xfId="3831"/>
    <cellStyle name="Accent1 160" xfId="3832"/>
    <cellStyle name="Accent1 161" xfId="3833"/>
    <cellStyle name="Accent1 162" xfId="3834"/>
    <cellStyle name="Accent1 163" xfId="3835"/>
    <cellStyle name="Accent1 164" xfId="3836"/>
    <cellStyle name="Accent1 165" xfId="3837"/>
    <cellStyle name="Accent1 166" xfId="3838"/>
    <cellStyle name="Accent1 167" xfId="3839"/>
    <cellStyle name="Accent1 168" xfId="3840"/>
    <cellStyle name="Accent1 169" xfId="3841"/>
    <cellStyle name="Accent1 17" xfId="542"/>
    <cellStyle name="Accent1 17 2" xfId="3842"/>
    <cellStyle name="Accent1 170" xfId="3843"/>
    <cellStyle name="Accent1 171" xfId="3844"/>
    <cellStyle name="Accent1 172" xfId="3845"/>
    <cellStyle name="Accent1 173" xfId="3846"/>
    <cellStyle name="Accent1 174" xfId="3847"/>
    <cellStyle name="Accent1 175" xfId="3848"/>
    <cellStyle name="Accent1 176" xfId="3849"/>
    <cellStyle name="Accent1 177" xfId="3850"/>
    <cellStyle name="Accent1 178" xfId="3851"/>
    <cellStyle name="Accent1 179" xfId="3852"/>
    <cellStyle name="Accent1 18" xfId="543"/>
    <cellStyle name="Accent1 18 2" xfId="3853"/>
    <cellStyle name="Accent1 180" xfId="6003"/>
    <cellStyle name="Accent1 181" xfId="6167"/>
    <cellStyle name="Accent1 182" xfId="5882"/>
    <cellStyle name="Accent1 183" xfId="6166"/>
    <cellStyle name="Accent1 184" xfId="6188"/>
    <cellStyle name="Accent1 185" xfId="6187"/>
    <cellStyle name="Accent1 186" xfId="6176"/>
    <cellStyle name="Accent1 187" xfId="6207"/>
    <cellStyle name="Accent1 188" xfId="6218"/>
    <cellStyle name="Accent1 189" xfId="6201"/>
    <cellStyle name="Accent1 19" xfId="544"/>
    <cellStyle name="Accent1 19 2" xfId="3854"/>
    <cellStyle name="Accent1 190" xfId="6223"/>
    <cellStyle name="Accent1 191" xfId="6257"/>
    <cellStyle name="Accent1 192" xfId="6274"/>
    <cellStyle name="Accent1 193" xfId="6243"/>
    <cellStyle name="Accent1 194" xfId="6276"/>
    <cellStyle name="Accent1 195" xfId="6299"/>
    <cellStyle name="Accent1 196" xfId="6286"/>
    <cellStyle name="Accent1 197" xfId="6311"/>
    <cellStyle name="Accent1 198" xfId="6307"/>
    <cellStyle name="Accent1 199" xfId="6318"/>
    <cellStyle name="Accent1 2" xfId="545"/>
    <cellStyle name="Accent1 2 2" xfId="546"/>
    <cellStyle name="Accent1 2 2 2" xfId="547"/>
    <cellStyle name="Accent1 2 2 2 2" xfId="3855"/>
    <cellStyle name="Accent1 2 2 3" xfId="3292"/>
    <cellStyle name="Accent1 2 2 4" xfId="6525"/>
    <cellStyle name="Accent1 2 3" xfId="548"/>
    <cellStyle name="Accent1 2 4" xfId="549"/>
    <cellStyle name="Accent1 2 5" xfId="3291"/>
    <cellStyle name="Accent1 20" xfId="550"/>
    <cellStyle name="Accent1 20 2" xfId="3856"/>
    <cellStyle name="Accent1 200" xfId="6521"/>
    <cellStyle name="Accent1 201" xfId="7629"/>
    <cellStyle name="Accent1 202" xfId="7683"/>
    <cellStyle name="Accent1 203" xfId="6333"/>
    <cellStyle name="Accent1 204" xfId="7685"/>
    <cellStyle name="Accent1 205" xfId="7633"/>
    <cellStyle name="Accent1 206" xfId="7688"/>
    <cellStyle name="Accent1 207" xfId="7652"/>
    <cellStyle name="Accent1 208" xfId="7711"/>
    <cellStyle name="Accent1 209" xfId="7727"/>
    <cellStyle name="Accent1 21" xfId="551"/>
    <cellStyle name="Accent1 21 2" xfId="3857"/>
    <cellStyle name="Accent1 210" xfId="7707"/>
    <cellStyle name="Accent1 22" xfId="552"/>
    <cellStyle name="Accent1 22 2" xfId="3858"/>
    <cellStyle name="Accent1 23" xfId="553"/>
    <cellStyle name="Accent1 23 2" xfId="3859"/>
    <cellStyle name="Accent1 24" xfId="554"/>
    <cellStyle name="Accent1 24 2" xfId="3860"/>
    <cellStyle name="Accent1 25" xfId="555"/>
    <cellStyle name="Accent1 25 2" xfId="3861"/>
    <cellStyle name="Accent1 26" xfId="556"/>
    <cellStyle name="Accent1 27" xfId="557"/>
    <cellStyle name="Accent1 27 2" xfId="3862"/>
    <cellStyle name="Accent1 28" xfId="558"/>
    <cellStyle name="Accent1 28 2" xfId="3863"/>
    <cellStyle name="Accent1 29" xfId="559"/>
    <cellStyle name="Accent1 29 2" xfId="3864"/>
    <cellStyle name="Accent1 3" xfId="560"/>
    <cellStyle name="Accent1 3 2" xfId="561"/>
    <cellStyle name="Accent1 3 2 2" xfId="562"/>
    <cellStyle name="Accent1 3 2 2 2" xfId="3865"/>
    <cellStyle name="Accent1 3 2 3" xfId="3294"/>
    <cellStyle name="Accent1 3 2 4" xfId="3866"/>
    <cellStyle name="Accent1 3 2 5" xfId="6526"/>
    <cellStyle name="Accent1 3 3" xfId="3293"/>
    <cellStyle name="Accent1 3 3 2" xfId="6136"/>
    <cellStyle name="Accent1 3 3 3" xfId="3867"/>
    <cellStyle name="Accent1 30" xfId="563"/>
    <cellStyle name="Accent1 30 2" xfId="3868"/>
    <cellStyle name="Accent1 31" xfId="564"/>
    <cellStyle name="Accent1 31 2" xfId="3869"/>
    <cellStyle name="Accent1 32" xfId="565"/>
    <cellStyle name="Accent1 32 2" xfId="3870"/>
    <cellStyle name="Accent1 33" xfId="566"/>
    <cellStyle name="Accent1 33 2" xfId="3871"/>
    <cellStyle name="Accent1 34" xfId="567"/>
    <cellStyle name="Accent1 34 2" xfId="3872"/>
    <cellStyle name="Accent1 35" xfId="568"/>
    <cellStyle name="Accent1 35 2" xfId="3873"/>
    <cellStyle name="Accent1 36" xfId="569"/>
    <cellStyle name="Accent1 36 2" xfId="3874"/>
    <cellStyle name="Accent1 37" xfId="570"/>
    <cellStyle name="Accent1 37 2" xfId="3875"/>
    <cellStyle name="Accent1 38" xfId="571"/>
    <cellStyle name="Accent1 38 2" xfId="3876"/>
    <cellStyle name="Accent1 39" xfId="572"/>
    <cellStyle name="Accent1 39 2" xfId="3877"/>
    <cellStyle name="Accent1 4" xfId="573"/>
    <cellStyle name="Accent1 4 2" xfId="574"/>
    <cellStyle name="Accent1 4 2 2" xfId="3878"/>
    <cellStyle name="Accent1 4 3" xfId="575"/>
    <cellStyle name="Accent1 4 4" xfId="3295"/>
    <cellStyle name="Accent1 4 5" xfId="6527"/>
    <cellStyle name="Accent1 40" xfId="576"/>
    <cellStyle name="Accent1 40 2" xfId="3879"/>
    <cellStyle name="Accent1 41" xfId="577"/>
    <cellStyle name="Accent1 41 2" xfId="3880"/>
    <cellStyle name="Accent1 42" xfId="578"/>
    <cellStyle name="Accent1 42 2" xfId="3881"/>
    <cellStyle name="Accent1 43" xfId="579"/>
    <cellStyle name="Accent1 43 2" xfId="3882"/>
    <cellStyle name="Accent1 44" xfId="580"/>
    <cellStyle name="Accent1 44 2" xfId="3883"/>
    <cellStyle name="Accent1 45" xfId="581"/>
    <cellStyle name="Accent1 45 2" xfId="3884"/>
    <cellStyle name="Accent1 46" xfId="582"/>
    <cellStyle name="Accent1 46 2" xfId="3885"/>
    <cellStyle name="Accent1 47" xfId="583"/>
    <cellStyle name="Accent1 47 2" xfId="3886"/>
    <cellStyle name="Accent1 48" xfId="584"/>
    <cellStyle name="Accent1 48 2" xfId="3887"/>
    <cellStyle name="Accent1 49" xfId="585"/>
    <cellStyle name="Accent1 49 2" xfId="3888"/>
    <cellStyle name="Accent1 5" xfId="586"/>
    <cellStyle name="Accent1 5 2" xfId="3296"/>
    <cellStyle name="Accent1 5 3" xfId="7636"/>
    <cellStyle name="Accent1 50" xfId="587"/>
    <cellStyle name="Accent1 50 2" xfId="3889"/>
    <cellStyle name="Accent1 51" xfId="588"/>
    <cellStyle name="Accent1 51 2" xfId="3890"/>
    <cellStyle name="Accent1 52" xfId="589"/>
    <cellStyle name="Accent1 52 2" xfId="3891"/>
    <cellStyle name="Accent1 53" xfId="590"/>
    <cellStyle name="Accent1 53 2" xfId="3892"/>
    <cellStyle name="Accent1 54" xfId="591"/>
    <cellStyle name="Accent1 54 2" xfId="3893"/>
    <cellStyle name="Accent1 55" xfId="592"/>
    <cellStyle name="Accent1 55 2" xfId="3894"/>
    <cellStyle name="Accent1 56" xfId="593"/>
    <cellStyle name="Accent1 56 2" xfId="3895"/>
    <cellStyle name="Accent1 57" xfId="594"/>
    <cellStyle name="Accent1 57 2" xfId="3896"/>
    <cellStyle name="Accent1 58" xfId="595"/>
    <cellStyle name="Accent1 58 2" xfId="3897"/>
    <cellStyle name="Accent1 59" xfId="596"/>
    <cellStyle name="Accent1 59 2" xfId="3898"/>
    <cellStyle name="Accent1 6" xfId="597"/>
    <cellStyle name="Accent1 6 2" xfId="3899"/>
    <cellStyle name="Accent1 60" xfId="598"/>
    <cellStyle name="Accent1 60 2" xfId="3900"/>
    <cellStyle name="Accent1 61" xfId="599"/>
    <cellStyle name="Accent1 61 2" xfId="3901"/>
    <cellStyle name="Accent1 62" xfId="600"/>
    <cellStyle name="Accent1 62 2" xfId="3902"/>
    <cellStyle name="Accent1 63" xfId="601"/>
    <cellStyle name="Accent1 63 2" xfId="3903"/>
    <cellStyle name="Accent1 64" xfId="602"/>
    <cellStyle name="Accent1 64 2" xfId="3904"/>
    <cellStyle name="Accent1 65" xfId="603"/>
    <cellStyle name="Accent1 65 2" xfId="3905"/>
    <cellStyle name="Accent1 66" xfId="604"/>
    <cellStyle name="Accent1 66 2" xfId="3906"/>
    <cellStyle name="Accent1 67" xfId="605"/>
    <cellStyle name="Accent1 67 2" xfId="3907"/>
    <cellStyle name="Accent1 68" xfId="606"/>
    <cellStyle name="Accent1 68 2" xfId="3908"/>
    <cellStyle name="Accent1 69" xfId="607"/>
    <cellStyle name="Accent1 69 2" xfId="3909"/>
    <cellStyle name="Accent1 7" xfId="608"/>
    <cellStyle name="Accent1 7 2" xfId="3910"/>
    <cellStyle name="Accent1 70" xfId="609"/>
    <cellStyle name="Accent1 70 2" xfId="3911"/>
    <cellStyle name="Accent1 71" xfId="610"/>
    <cellStyle name="Accent1 71 2" xfId="3912"/>
    <cellStyle name="Accent1 72" xfId="611"/>
    <cellStyle name="Accent1 72 2" xfId="3913"/>
    <cellStyle name="Accent1 73" xfId="612"/>
    <cellStyle name="Accent1 73 2" xfId="3914"/>
    <cellStyle name="Accent1 74" xfId="613"/>
    <cellStyle name="Accent1 74 2" xfId="3915"/>
    <cellStyle name="Accent1 75" xfId="614"/>
    <cellStyle name="Accent1 75 2" xfId="3916"/>
    <cellStyle name="Accent1 76" xfId="615"/>
    <cellStyle name="Accent1 76 2" xfId="3917"/>
    <cellStyle name="Accent1 77" xfId="616"/>
    <cellStyle name="Accent1 77 2" xfId="3918"/>
    <cellStyle name="Accent1 78" xfId="617"/>
    <cellStyle name="Accent1 78 2" xfId="3919"/>
    <cellStyle name="Accent1 79" xfId="618"/>
    <cellStyle name="Accent1 79 2" xfId="3920"/>
    <cellStyle name="Accent1 8" xfId="619"/>
    <cellStyle name="Accent1 8 2" xfId="3921"/>
    <cellStyle name="Accent1 80" xfId="620"/>
    <cellStyle name="Accent1 80 2" xfId="3922"/>
    <cellStyle name="Accent1 81" xfId="621"/>
    <cellStyle name="Accent1 81 2" xfId="3923"/>
    <cellStyle name="Accent1 82" xfId="622"/>
    <cellStyle name="Accent1 82 2" xfId="3924"/>
    <cellStyle name="Accent1 83" xfId="623"/>
    <cellStyle name="Accent1 83 2" xfId="3925"/>
    <cellStyle name="Accent1 84" xfId="624"/>
    <cellStyle name="Accent1 84 2" xfId="3926"/>
    <cellStyle name="Accent1 85" xfId="625"/>
    <cellStyle name="Accent1 85 2" xfId="3927"/>
    <cellStyle name="Accent1 86" xfId="626"/>
    <cellStyle name="Accent1 86 2" xfId="3928"/>
    <cellStyle name="Accent1 87" xfId="627"/>
    <cellStyle name="Accent1 87 2" xfId="3929"/>
    <cellStyle name="Accent1 88" xfId="628"/>
    <cellStyle name="Accent1 88 2" xfId="3930"/>
    <cellStyle name="Accent1 89" xfId="629"/>
    <cellStyle name="Accent1 89 2" xfId="3931"/>
    <cellStyle name="Accent1 9" xfId="630"/>
    <cellStyle name="Accent1 9 2" xfId="3932"/>
    <cellStyle name="Accent1 90" xfId="631"/>
    <cellStyle name="Accent1 90 2" xfId="3933"/>
    <cellStyle name="Accent1 91" xfId="3187"/>
    <cellStyle name="Accent1 91 2" xfId="6118"/>
    <cellStyle name="Accent1 91 3" xfId="3934"/>
    <cellStyle name="Accent1 92" xfId="3208"/>
    <cellStyle name="Accent1 92 2" xfId="6131"/>
    <cellStyle name="Accent1 92 3" xfId="3935"/>
    <cellStyle name="Accent1 93" xfId="3453"/>
    <cellStyle name="Accent1 94" xfId="3381"/>
    <cellStyle name="Accent1 95" xfId="3467"/>
    <cellStyle name="Accent1 96" xfId="3375"/>
    <cellStyle name="Accent1 97" xfId="3936"/>
    <cellStyle name="Accent1 98" xfId="3937"/>
    <cellStyle name="Accent1 99" xfId="3938"/>
    <cellStyle name="Accent2" xfId="66" builtinId="33" customBuiltin="1"/>
    <cellStyle name="Accent2 - 20%" xfId="632"/>
    <cellStyle name="Accent2 - 20% 2" xfId="3129"/>
    <cellStyle name="Accent2 - 20% 2 2" xfId="6529"/>
    <cellStyle name="Accent2 - 40%" xfId="633"/>
    <cellStyle name="Accent2 - 40% 2" xfId="3130"/>
    <cellStyle name="Accent2 - 40% 2 2" xfId="6530"/>
    <cellStyle name="Accent2 - 60%" xfId="634"/>
    <cellStyle name="Accent2 - 60% 2" xfId="3131"/>
    <cellStyle name="Accent2 - 60% 2 2" xfId="6531"/>
    <cellStyle name="Accent2 10" xfId="635"/>
    <cellStyle name="Accent2 10 2" xfId="3939"/>
    <cellStyle name="Accent2 100" xfId="3940"/>
    <cellStyle name="Accent2 101" xfId="3941"/>
    <cellStyle name="Accent2 102" xfId="3942"/>
    <cellStyle name="Accent2 103" xfId="3943"/>
    <cellStyle name="Accent2 104" xfId="3944"/>
    <cellStyle name="Accent2 105" xfId="3945"/>
    <cellStyle name="Accent2 106" xfId="3946"/>
    <cellStyle name="Accent2 107" xfId="3947"/>
    <cellStyle name="Accent2 108" xfId="3948"/>
    <cellStyle name="Accent2 109" xfId="3949"/>
    <cellStyle name="Accent2 11" xfId="636"/>
    <cellStyle name="Accent2 11 2" xfId="3950"/>
    <cellStyle name="Accent2 110" xfId="3951"/>
    <cellStyle name="Accent2 111" xfId="3952"/>
    <cellStyle name="Accent2 112" xfId="3953"/>
    <cellStyle name="Accent2 113" xfId="3954"/>
    <cellStyle name="Accent2 114" xfId="3955"/>
    <cellStyle name="Accent2 115" xfId="3956"/>
    <cellStyle name="Accent2 116" xfId="3957"/>
    <cellStyle name="Accent2 117" xfId="3958"/>
    <cellStyle name="Accent2 118" xfId="3959"/>
    <cellStyle name="Accent2 119" xfId="3960"/>
    <cellStyle name="Accent2 12" xfId="637"/>
    <cellStyle name="Accent2 12 2" xfId="3961"/>
    <cellStyle name="Accent2 120" xfId="3962"/>
    <cellStyle name="Accent2 121" xfId="3963"/>
    <cellStyle name="Accent2 122" xfId="3964"/>
    <cellStyle name="Accent2 123" xfId="3965"/>
    <cellStyle name="Accent2 124" xfId="3966"/>
    <cellStyle name="Accent2 125" xfId="3967"/>
    <cellStyle name="Accent2 126" xfId="3968"/>
    <cellStyle name="Accent2 127" xfId="3969"/>
    <cellStyle name="Accent2 128" xfId="3970"/>
    <cellStyle name="Accent2 129" xfId="3971"/>
    <cellStyle name="Accent2 13" xfId="638"/>
    <cellStyle name="Accent2 13 2" xfId="3972"/>
    <cellStyle name="Accent2 130" xfId="3973"/>
    <cellStyle name="Accent2 131" xfId="3974"/>
    <cellStyle name="Accent2 132" xfId="3975"/>
    <cellStyle name="Accent2 133" xfId="3976"/>
    <cellStyle name="Accent2 134" xfId="3977"/>
    <cellStyle name="Accent2 135" xfId="3978"/>
    <cellStyle name="Accent2 136" xfId="3979"/>
    <cellStyle name="Accent2 137" xfId="3980"/>
    <cellStyle name="Accent2 138" xfId="3981"/>
    <cellStyle name="Accent2 139" xfId="3982"/>
    <cellStyle name="Accent2 14" xfId="639"/>
    <cellStyle name="Accent2 14 2" xfId="3983"/>
    <cellStyle name="Accent2 140" xfId="3984"/>
    <cellStyle name="Accent2 141" xfId="3985"/>
    <cellStyle name="Accent2 142" xfId="3986"/>
    <cellStyle name="Accent2 143" xfId="3987"/>
    <cellStyle name="Accent2 144" xfId="3988"/>
    <cellStyle name="Accent2 145" xfId="3989"/>
    <cellStyle name="Accent2 146" xfId="3990"/>
    <cellStyle name="Accent2 147" xfId="3991"/>
    <cellStyle name="Accent2 148" xfId="3992"/>
    <cellStyle name="Accent2 149" xfId="3993"/>
    <cellStyle name="Accent2 15" xfId="640"/>
    <cellStyle name="Accent2 15 2" xfId="3994"/>
    <cellStyle name="Accent2 150" xfId="3995"/>
    <cellStyle name="Accent2 151" xfId="3996"/>
    <cellStyle name="Accent2 152" xfId="3997"/>
    <cellStyle name="Accent2 153" xfId="3998"/>
    <cellStyle name="Accent2 154" xfId="3999"/>
    <cellStyle name="Accent2 155" xfId="4000"/>
    <cellStyle name="Accent2 156" xfId="4001"/>
    <cellStyle name="Accent2 157" xfId="4002"/>
    <cellStyle name="Accent2 158" xfId="4003"/>
    <cellStyle name="Accent2 159" xfId="4004"/>
    <cellStyle name="Accent2 16" xfId="641"/>
    <cellStyle name="Accent2 16 2" xfId="4005"/>
    <cellStyle name="Accent2 160" xfId="4006"/>
    <cellStyle name="Accent2 161" xfId="4007"/>
    <cellStyle name="Accent2 162" xfId="4008"/>
    <cellStyle name="Accent2 163" xfId="4009"/>
    <cellStyle name="Accent2 164" xfId="4010"/>
    <cellStyle name="Accent2 165" xfId="4011"/>
    <cellStyle name="Accent2 166" xfId="4012"/>
    <cellStyle name="Accent2 167" xfId="4013"/>
    <cellStyle name="Accent2 168" xfId="4014"/>
    <cellStyle name="Accent2 169" xfId="4015"/>
    <cellStyle name="Accent2 17" xfId="642"/>
    <cellStyle name="Accent2 17 2" xfId="4016"/>
    <cellStyle name="Accent2 170" xfId="4017"/>
    <cellStyle name="Accent2 171" xfId="4018"/>
    <cellStyle name="Accent2 172" xfId="4019"/>
    <cellStyle name="Accent2 173" xfId="4020"/>
    <cellStyle name="Accent2 174" xfId="4021"/>
    <cellStyle name="Accent2 175" xfId="4022"/>
    <cellStyle name="Accent2 176" xfId="4023"/>
    <cellStyle name="Accent2 177" xfId="4024"/>
    <cellStyle name="Accent2 178" xfId="4025"/>
    <cellStyle name="Accent2 179" xfId="4026"/>
    <cellStyle name="Accent2 18" xfId="643"/>
    <cellStyle name="Accent2 18 2" xfId="4027"/>
    <cellStyle name="Accent2 180" xfId="6002"/>
    <cellStyle name="Accent2 181" xfId="5995"/>
    <cellStyle name="Accent2 182" xfId="5883"/>
    <cellStyle name="Accent2 183" xfId="5986"/>
    <cellStyle name="Accent2 184" xfId="6189"/>
    <cellStyle name="Accent2 185" xfId="6186"/>
    <cellStyle name="Accent2 186" xfId="6177"/>
    <cellStyle name="Accent2 187" xfId="6208"/>
    <cellStyle name="Accent2 188" xfId="6217"/>
    <cellStyle name="Accent2 189" xfId="6202"/>
    <cellStyle name="Accent2 19" xfId="644"/>
    <cellStyle name="Accent2 19 2" xfId="4028"/>
    <cellStyle name="Accent2 190" xfId="6224"/>
    <cellStyle name="Accent2 191" xfId="6258"/>
    <cellStyle name="Accent2 192" xfId="6273"/>
    <cellStyle name="Accent2 193" xfId="6244"/>
    <cellStyle name="Accent2 194" xfId="6275"/>
    <cellStyle name="Accent2 195" xfId="6298"/>
    <cellStyle name="Accent2 196" xfId="6285"/>
    <cellStyle name="Accent2 197" xfId="6310"/>
    <cellStyle name="Accent2 198" xfId="6306"/>
    <cellStyle name="Accent2 199" xfId="6317"/>
    <cellStyle name="Accent2 2" xfId="645"/>
    <cellStyle name="Accent2 2 2" xfId="646"/>
    <cellStyle name="Accent2 2 2 2" xfId="647"/>
    <cellStyle name="Accent2 2 2 2 2" xfId="4029"/>
    <cellStyle name="Accent2 2 2 3" xfId="3298"/>
    <cellStyle name="Accent2 2 2 4" xfId="6532"/>
    <cellStyle name="Accent2 2 3" xfId="648"/>
    <cellStyle name="Accent2 2 4" xfId="649"/>
    <cellStyle name="Accent2 2 5" xfId="3297"/>
    <cellStyle name="Accent2 20" xfId="650"/>
    <cellStyle name="Accent2 20 2" xfId="4030"/>
    <cellStyle name="Accent2 200" xfId="6528"/>
    <cellStyle name="Accent2 201" xfId="7631"/>
    <cellStyle name="Accent2 202" xfId="7681"/>
    <cellStyle name="Accent2 203" xfId="7630"/>
    <cellStyle name="Accent2 204" xfId="7682"/>
    <cellStyle name="Accent2 205" xfId="7638"/>
    <cellStyle name="Accent2 206" xfId="7687"/>
    <cellStyle name="Accent2 207" xfId="7654"/>
    <cellStyle name="Accent2 208" xfId="7713"/>
    <cellStyle name="Accent2 209" xfId="7726"/>
    <cellStyle name="Accent2 21" xfId="651"/>
    <cellStyle name="Accent2 21 2" xfId="4031"/>
    <cellStyle name="Accent2 210" xfId="7708"/>
    <cellStyle name="Accent2 22" xfId="652"/>
    <cellStyle name="Accent2 22 2" xfId="4032"/>
    <cellStyle name="Accent2 23" xfId="653"/>
    <cellStyle name="Accent2 23 2" xfId="4033"/>
    <cellStyle name="Accent2 24" xfId="654"/>
    <cellStyle name="Accent2 24 2" xfId="4034"/>
    <cellStyle name="Accent2 25" xfId="655"/>
    <cellStyle name="Accent2 25 2" xfId="4035"/>
    <cellStyle name="Accent2 26" xfId="656"/>
    <cellStyle name="Accent2 27" xfId="657"/>
    <cellStyle name="Accent2 27 2" xfId="4036"/>
    <cellStyle name="Accent2 28" xfId="658"/>
    <cellStyle name="Accent2 28 2" xfId="4037"/>
    <cellStyle name="Accent2 29" xfId="659"/>
    <cellStyle name="Accent2 29 2" xfId="4038"/>
    <cellStyle name="Accent2 3" xfId="660"/>
    <cellStyle name="Accent2 3 2" xfId="661"/>
    <cellStyle name="Accent2 3 2 2" xfId="662"/>
    <cellStyle name="Accent2 3 2 2 2" xfId="4039"/>
    <cellStyle name="Accent2 3 2 3" xfId="3300"/>
    <cellStyle name="Accent2 3 2 4" xfId="4040"/>
    <cellStyle name="Accent2 3 2 5" xfId="6533"/>
    <cellStyle name="Accent2 3 3" xfId="3299"/>
    <cellStyle name="Accent2 3 3 2" xfId="6137"/>
    <cellStyle name="Accent2 3 3 3" xfId="4041"/>
    <cellStyle name="Accent2 30" xfId="663"/>
    <cellStyle name="Accent2 30 2" xfId="4042"/>
    <cellStyle name="Accent2 31" xfId="664"/>
    <cellStyle name="Accent2 31 2" xfId="4043"/>
    <cellStyle name="Accent2 32" xfId="665"/>
    <cellStyle name="Accent2 32 2" xfId="4044"/>
    <cellStyle name="Accent2 33" xfId="666"/>
    <cellStyle name="Accent2 33 2" xfId="4045"/>
    <cellStyle name="Accent2 34" xfId="667"/>
    <cellStyle name="Accent2 34 2" xfId="4046"/>
    <cellStyle name="Accent2 35" xfId="668"/>
    <cellStyle name="Accent2 35 2" xfId="4047"/>
    <cellStyle name="Accent2 36" xfId="669"/>
    <cellStyle name="Accent2 36 2" xfId="4048"/>
    <cellStyle name="Accent2 37" xfId="670"/>
    <cellStyle name="Accent2 37 2" xfId="4049"/>
    <cellStyle name="Accent2 38" xfId="671"/>
    <cellStyle name="Accent2 38 2" xfId="4050"/>
    <cellStyle name="Accent2 39" xfId="672"/>
    <cellStyle name="Accent2 39 2" xfId="4051"/>
    <cellStyle name="Accent2 4" xfId="673"/>
    <cellStyle name="Accent2 4 2" xfId="674"/>
    <cellStyle name="Accent2 4 2 2" xfId="4052"/>
    <cellStyle name="Accent2 4 3" xfId="675"/>
    <cellStyle name="Accent2 4 4" xfId="3301"/>
    <cellStyle name="Accent2 4 5" xfId="6534"/>
    <cellStyle name="Accent2 40" xfId="676"/>
    <cellStyle name="Accent2 40 2" xfId="4053"/>
    <cellStyle name="Accent2 41" xfId="677"/>
    <cellStyle name="Accent2 41 2" xfId="4054"/>
    <cellStyle name="Accent2 42" xfId="678"/>
    <cellStyle name="Accent2 42 2" xfId="4055"/>
    <cellStyle name="Accent2 43" xfId="679"/>
    <cellStyle name="Accent2 43 2" xfId="4056"/>
    <cellStyle name="Accent2 44" xfId="680"/>
    <cellStyle name="Accent2 44 2" xfId="4057"/>
    <cellStyle name="Accent2 45" xfId="681"/>
    <cellStyle name="Accent2 45 2" xfId="4058"/>
    <cellStyle name="Accent2 46" xfId="682"/>
    <cellStyle name="Accent2 46 2" xfId="4059"/>
    <cellStyle name="Accent2 47" xfId="683"/>
    <cellStyle name="Accent2 47 2" xfId="4060"/>
    <cellStyle name="Accent2 48" xfId="684"/>
    <cellStyle name="Accent2 48 2" xfId="4061"/>
    <cellStyle name="Accent2 49" xfId="685"/>
    <cellStyle name="Accent2 49 2" xfId="4062"/>
    <cellStyle name="Accent2 5" xfId="686"/>
    <cellStyle name="Accent2 5 2" xfId="3302"/>
    <cellStyle name="Accent2 5 3" xfId="7641"/>
    <cellStyle name="Accent2 50" xfId="687"/>
    <cellStyle name="Accent2 50 2" xfId="4063"/>
    <cellStyle name="Accent2 51" xfId="688"/>
    <cellStyle name="Accent2 51 2" xfId="4064"/>
    <cellStyle name="Accent2 52" xfId="689"/>
    <cellStyle name="Accent2 52 2" xfId="4065"/>
    <cellStyle name="Accent2 53" xfId="690"/>
    <cellStyle name="Accent2 53 2" xfId="4066"/>
    <cellStyle name="Accent2 54" xfId="691"/>
    <cellStyle name="Accent2 54 2" xfId="4067"/>
    <cellStyle name="Accent2 55" xfId="692"/>
    <cellStyle name="Accent2 55 2" xfId="4068"/>
    <cellStyle name="Accent2 56" xfId="693"/>
    <cellStyle name="Accent2 56 2" xfId="4069"/>
    <cellStyle name="Accent2 57" xfId="694"/>
    <cellStyle name="Accent2 57 2" xfId="4070"/>
    <cellStyle name="Accent2 58" xfId="695"/>
    <cellStyle name="Accent2 58 2" xfId="4071"/>
    <cellStyle name="Accent2 59" xfId="696"/>
    <cellStyle name="Accent2 59 2" xfId="4072"/>
    <cellStyle name="Accent2 6" xfId="697"/>
    <cellStyle name="Accent2 6 2" xfId="4073"/>
    <cellStyle name="Accent2 60" xfId="698"/>
    <cellStyle name="Accent2 60 2" xfId="4074"/>
    <cellStyle name="Accent2 61" xfId="699"/>
    <cellStyle name="Accent2 61 2" xfId="4075"/>
    <cellStyle name="Accent2 62" xfId="700"/>
    <cellStyle name="Accent2 62 2" xfId="4076"/>
    <cellStyle name="Accent2 63" xfId="701"/>
    <cellStyle name="Accent2 63 2" xfId="4077"/>
    <cellStyle name="Accent2 64" xfId="702"/>
    <cellStyle name="Accent2 64 2" xfId="4078"/>
    <cellStyle name="Accent2 65" xfId="703"/>
    <cellStyle name="Accent2 65 2" xfId="4079"/>
    <cellStyle name="Accent2 66" xfId="704"/>
    <cellStyle name="Accent2 66 2" xfId="4080"/>
    <cellStyle name="Accent2 67" xfId="705"/>
    <cellStyle name="Accent2 67 2" xfId="4081"/>
    <cellStyle name="Accent2 68" xfId="706"/>
    <cellStyle name="Accent2 68 2" xfId="4082"/>
    <cellStyle name="Accent2 69" xfId="707"/>
    <cellStyle name="Accent2 69 2" xfId="4083"/>
    <cellStyle name="Accent2 7" xfId="708"/>
    <cellStyle name="Accent2 7 2" xfId="4084"/>
    <cellStyle name="Accent2 70" xfId="709"/>
    <cellStyle name="Accent2 70 2" xfId="4085"/>
    <cellStyle name="Accent2 71" xfId="710"/>
    <cellStyle name="Accent2 71 2" xfId="4086"/>
    <cellStyle name="Accent2 72" xfId="711"/>
    <cellStyle name="Accent2 72 2" xfId="4087"/>
    <cellStyle name="Accent2 73" xfId="712"/>
    <cellStyle name="Accent2 73 2" xfId="4088"/>
    <cellStyle name="Accent2 74" xfId="713"/>
    <cellStyle name="Accent2 74 2" xfId="4089"/>
    <cellStyle name="Accent2 75" xfId="714"/>
    <cellStyle name="Accent2 75 2" xfId="4090"/>
    <cellStyle name="Accent2 76" xfId="715"/>
    <cellStyle name="Accent2 76 2" xfId="4091"/>
    <cellStyle name="Accent2 77" xfId="716"/>
    <cellStyle name="Accent2 77 2" xfId="4092"/>
    <cellStyle name="Accent2 78" xfId="717"/>
    <cellStyle name="Accent2 78 2" xfId="4093"/>
    <cellStyle name="Accent2 79" xfId="718"/>
    <cellStyle name="Accent2 79 2" xfId="4094"/>
    <cellStyle name="Accent2 8" xfId="719"/>
    <cellStyle name="Accent2 8 2" xfId="4095"/>
    <cellStyle name="Accent2 80" xfId="720"/>
    <cellStyle name="Accent2 80 2" xfId="4096"/>
    <cellStyle name="Accent2 81" xfId="721"/>
    <cellStyle name="Accent2 81 2" xfId="4097"/>
    <cellStyle name="Accent2 82" xfId="722"/>
    <cellStyle name="Accent2 82 2" xfId="4098"/>
    <cellStyle name="Accent2 83" xfId="723"/>
    <cellStyle name="Accent2 83 2" xfId="4099"/>
    <cellStyle name="Accent2 84" xfId="724"/>
    <cellStyle name="Accent2 84 2" xfId="4100"/>
    <cellStyle name="Accent2 85" xfId="725"/>
    <cellStyle name="Accent2 85 2" xfId="4101"/>
    <cellStyle name="Accent2 86" xfId="726"/>
    <cellStyle name="Accent2 86 2" xfId="4102"/>
    <cellStyle name="Accent2 87" xfId="727"/>
    <cellStyle name="Accent2 87 2" xfId="4103"/>
    <cellStyle name="Accent2 88" xfId="728"/>
    <cellStyle name="Accent2 88 2" xfId="4104"/>
    <cellStyle name="Accent2 89" xfId="729"/>
    <cellStyle name="Accent2 89 2" xfId="4105"/>
    <cellStyle name="Accent2 9" xfId="730"/>
    <cellStyle name="Accent2 9 2" xfId="4106"/>
    <cellStyle name="Accent2 90" xfId="731"/>
    <cellStyle name="Accent2 90 2" xfId="4107"/>
    <cellStyle name="Accent2 91" xfId="3188"/>
    <cellStyle name="Accent2 91 2" xfId="6119"/>
    <cellStyle name="Accent2 91 3" xfId="4108"/>
    <cellStyle name="Accent2 92" xfId="3207"/>
    <cellStyle name="Accent2 92 2" xfId="6130"/>
    <cellStyle name="Accent2 92 3" xfId="4109"/>
    <cellStyle name="Accent2 93" xfId="3448"/>
    <cellStyle name="Accent2 94" xfId="3383"/>
    <cellStyle name="Accent2 95" xfId="3462"/>
    <cellStyle name="Accent2 96" xfId="3377"/>
    <cellStyle name="Accent2 97" xfId="4110"/>
    <cellStyle name="Accent2 98" xfId="4111"/>
    <cellStyle name="Accent2 99" xfId="4112"/>
    <cellStyle name="Accent3" xfId="70" builtinId="37" customBuiltin="1"/>
    <cellStyle name="Accent3 - 20%" xfId="732"/>
    <cellStyle name="Accent3 - 20% 2" xfId="3132"/>
    <cellStyle name="Accent3 - 20% 2 2" xfId="6536"/>
    <cellStyle name="Accent3 - 40%" xfId="733"/>
    <cellStyle name="Accent3 - 40% 2" xfId="3133"/>
    <cellStyle name="Accent3 - 40% 2 2" xfId="6537"/>
    <cellStyle name="Accent3 - 60%" xfId="734"/>
    <cellStyle name="Accent3 - 60% 2" xfId="3134"/>
    <cellStyle name="Accent3 - 60% 2 2" xfId="6538"/>
    <cellStyle name="Accent3 10" xfId="735"/>
    <cellStyle name="Accent3 10 2" xfId="4113"/>
    <cellStyle name="Accent3 100" xfId="4114"/>
    <cellStyle name="Accent3 101" xfId="4115"/>
    <cellStyle name="Accent3 102" xfId="4116"/>
    <cellStyle name="Accent3 103" xfId="4117"/>
    <cellStyle name="Accent3 104" xfId="4118"/>
    <cellStyle name="Accent3 105" xfId="4119"/>
    <cellStyle name="Accent3 106" xfId="4120"/>
    <cellStyle name="Accent3 107" xfId="4121"/>
    <cellStyle name="Accent3 108" xfId="4122"/>
    <cellStyle name="Accent3 109" xfId="4123"/>
    <cellStyle name="Accent3 11" xfId="736"/>
    <cellStyle name="Accent3 11 2" xfId="4124"/>
    <cellStyle name="Accent3 110" xfId="4125"/>
    <cellStyle name="Accent3 111" xfId="4126"/>
    <cellStyle name="Accent3 112" xfId="4127"/>
    <cellStyle name="Accent3 113" xfId="4128"/>
    <cellStyle name="Accent3 114" xfId="4129"/>
    <cellStyle name="Accent3 115" xfId="4130"/>
    <cellStyle name="Accent3 116" xfId="4131"/>
    <cellStyle name="Accent3 117" xfId="4132"/>
    <cellStyle name="Accent3 118" xfId="4133"/>
    <cellStyle name="Accent3 119" xfId="4134"/>
    <cellStyle name="Accent3 12" xfId="737"/>
    <cellStyle name="Accent3 12 2" xfId="4135"/>
    <cellStyle name="Accent3 120" xfId="4136"/>
    <cellStyle name="Accent3 121" xfId="4137"/>
    <cellStyle name="Accent3 122" xfId="4138"/>
    <cellStyle name="Accent3 123" xfId="4139"/>
    <cellStyle name="Accent3 124" xfId="4140"/>
    <cellStyle name="Accent3 125" xfId="4141"/>
    <cellStyle name="Accent3 126" xfId="4142"/>
    <cellStyle name="Accent3 127" xfId="4143"/>
    <cellStyle name="Accent3 128" xfId="4144"/>
    <cellStyle name="Accent3 129" xfId="4145"/>
    <cellStyle name="Accent3 13" xfId="738"/>
    <cellStyle name="Accent3 13 2" xfId="4146"/>
    <cellStyle name="Accent3 130" xfId="4147"/>
    <cellStyle name="Accent3 131" xfId="4148"/>
    <cellStyle name="Accent3 132" xfId="4149"/>
    <cellStyle name="Accent3 133" xfId="4150"/>
    <cellStyle name="Accent3 134" xfId="4151"/>
    <cellStyle name="Accent3 135" xfId="4152"/>
    <cellStyle name="Accent3 136" xfId="4153"/>
    <cellStyle name="Accent3 137" xfId="4154"/>
    <cellStyle name="Accent3 138" xfId="4155"/>
    <cellStyle name="Accent3 139" xfId="4156"/>
    <cellStyle name="Accent3 14" xfId="739"/>
    <cellStyle name="Accent3 14 2" xfId="4157"/>
    <cellStyle name="Accent3 140" xfId="4158"/>
    <cellStyle name="Accent3 141" xfId="4159"/>
    <cellStyle name="Accent3 142" xfId="4160"/>
    <cellStyle name="Accent3 143" xfId="4161"/>
    <cellStyle name="Accent3 144" xfId="4162"/>
    <cellStyle name="Accent3 145" xfId="4163"/>
    <cellStyle name="Accent3 146" xfId="4164"/>
    <cellStyle name="Accent3 147" xfId="4165"/>
    <cellStyle name="Accent3 148" xfId="4166"/>
    <cellStyle name="Accent3 149" xfId="4167"/>
    <cellStyle name="Accent3 15" xfId="740"/>
    <cellStyle name="Accent3 15 2" xfId="4168"/>
    <cellStyle name="Accent3 150" xfId="4169"/>
    <cellStyle name="Accent3 151" xfId="4170"/>
    <cellStyle name="Accent3 152" xfId="4171"/>
    <cellStyle name="Accent3 153" xfId="4172"/>
    <cellStyle name="Accent3 154" xfId="4173"/>
    <cellStyle name="Accent3 155" xfId="4174"/>
    <cellStyle name="Accent3 156" xfId="4175"/>
    <cellStyle name="Accent3 157" xfId="4176"/>
    <cellStyle name="Accent3 158" xfId="4177"/>
    <cellStyle name="Accent3 159" xfId="4178"/>
    <cellStyle name="Accent3 16" xfId="741"/>
    <cellStyle name="Accent3 16 2" xfId="4179"/>
    <cellStyle name="Accent3 160" xfId="4180"/>
    <cellStyle name="Accent3 161" xfId="4181"/>
    <cellStyle name="Accent3 162" xfId="4182"/>
    <cellStyle name="Accent3 163" xfId="4183"/>
    <cellStyle name="Accent3 164" xfId="4184"/>
    <cellStyle name="Accent3 165" xfId="4185"/>
    <cellStyle name="Accent3 166" xfId="4186"/>
    <cellStyle name="Accent3 167" xfId="4187"/>
    <cellStyle name="Accent3 168" xfId="4188"/>
    <cellStyle name="Accent3 169" xfId="4189"/>
    <cellStyle name="Accent3 17" xfId="742"/>
    <cellStyle name="Accent3 17 2" xfId="4190"/>
    <cellStyle name="Accent3 170" xfId="4191"/>
    <cellStyle name="Accent3 171" xfId="4192"/>
    <cellStyle name="Accent3 172" xfId="4193"/>
    <cellStyle name="Accent3 173" xfId="4194"/>
    <cellStyle name="Accent3 174" xfId="4195"/>
    <cellStyle name="Accent3 175" xfId="4196"/>
    <cellStyle name="Accent3 176" xfId="4197"/>
    <cellStyle name="Accent3 177" xfId="4198"/>
    <cellStyle name="Accent3 178" xfId="4199"/>
    <cellStyle name="Accent3 179" xfId="4200"/>
    <cellStyle name="Accent3 18" xfId="743"/>
    <cellStyle name="Accent3 18 2" xfId="4201"/>
    <cellStyle name="Accent3 180" xfId="6170"/>
    <cellStyle name="Accent3 181" xfId="6169"/>
    <cellStyle name="Accent3 182" xfId="5884"/>
    <cellStyle name="Accent3 183" xfId="6087"/>
    <cellStyle name="Accent3 184" xfId="6190"/>
    <cellStyle name="Accent3 185" xfId="6185"/>
    <cellStyle name="Accent3 186" xfId="6178"/>
    <cellStyle name="Accent3 187" xfId="6209"/>
    <cellStyle name="Accent3 188" xfId="6216"/>
    <cellStyle name="Accent3 189" xfId="6203"/>
    <cellStyle name="Accent3 19" xfId="744"/>
    <cellStyle name="Accent3 19 2" xfId="4202"/>
    <cellStyle name="Accent3 190" xfId="6225"/>
    <cellStyle name="Accent3 191" xfId="6259"/>
    <cellStyle name="Accent3 192" xfId="6272"/>
    <cellStyle name="Accent3 193" xfId="6245"/>
    <cellStyle name="Accent3 194" xfId="6267"/>
    <cellStyle name="Accent3 195" xfId="6297"/>
    <cellStyle name="Accent3 196" xfId="6284"/>
    <cellStyle name="Accent3 197" xfId="6309"/>
    <cellStyle name="Accent3 198" xfId="6305"/>
    <cellStyle name="Accent3 199" xfId="6316"/>
    <cellStyle name="Accent3 2" xfId="745"/>
    <cellStyle name="Accent3 2 2" xfId="746"/>
    <cellStyle name="Accent3 2 2 2" xfId="747"/>
    <cellStyle name="Accent3 2 2 2 2" xfId="4203"/>
    <cellStyle name="Accent3 2 2 3" xfId="3304"/>
    <cellStyle name="Accent3 2 2 4" xfId="6539"/>
    <cellStyle name="Accent3 2 3" xfId="748"/>
    <cellStyle name="Accent3 2 4" xfId="749"/>
    <cellStyle name="Accent3 2 5" xfId="3303"/>
    <cellStyle name="Accent3 20" xfId="750"/>
    <cellStyle name="Accent3 20 2" xfId="4204"/>
    <cellStyle name="Accent3 200" xfId="6535"/>
    <cellStyle name="Accent3 201" xfId="7634"/>
    <cellStyle name="Accent3 202" xfId="7678"/>
    <cellStyle name="Accent3 203" xfId="7632"/>
    <cellStyle name="Accent3 204" xfId="7679"/>
    <cellStyle name="Accent3 205" xfId="7642"/>
    <cellStyle name="Accent3 206" xfId="7686"/>
    <cellStyle name="Accent3 207" xfId="7655"/>
    <cellStyle name="Accent3 208" xfId="7714"/>
    <cellStyle name="Accent3 209" xfId="7725"/>
    <cellStyle name="Accent3 21" xfId="751"/>
    <cellStyle name="Accent3 21 2" xfId="4205"/>
    <cellStyle name="Accent3 210" xfId="7709"/>
    <cellStyle name="Accent3 22" xfId="752"/>
    <cellStyle name="Accent3 22 2" xfId="4206"/>
    <cellStyle name="Accent3 23" xfId="753"/>
    <cellStyle name="Accent3 23 2" xfId="4207"/>
    <cellStyle name="Accent3 24" xfId="754"/>
    <cellStyle name="Accent3 24 2" xfId="4208"/>
    <cellStyle name="Accent3 25" xfId="755"/>
    <cellStyle name="Accent3 25 2" xfId="4209"/>
    <cellStyle name="Accent3 26" xfId="756"/>
    <cellStyle name="Accent3 27" xfId="757"/>
    <cellStyle name="Accent3 27 2" xfId="4210"/>
    <cellStyle name="Accent3 28" xfId="758"/>
    <cellStyle name="Accent3 28 2" xfId="4211"/>
    <cellStyle name="Accent3 29" xfId="759"/>
    <cellStyle name="Accent3 29 2" xfId="4212"/>
    <cellStyle name="Accent3 3" xfId="760"/>
    <cellStyle name="Accent3 3 2" xfId="761"/>
    <cellStyle name="Accent3 3 2 2" xfId="762"/>
    <cellStyle name="Accent3 3 2 2 2" xfId="4213"/>
    <cellStyle name="Accent3 3 2 3" xfId="3306"/>
    <cellStyle name="Accent3 3 2 4" xfId="4214"/>
    <cellStyle name="Accent3 3 2 5" xfId="6540"/>
    <cellStyle name="Accent3 3 3" xfId="3305"/>
    <cellStyle name="Accent3 3 3 2" xfId="6138"/>
    <cellStyle name="Accent3 3 3 3" xfId="4215"/>
    <cellStyle name="Accent3 30" xfId="763"/>
    <cellStyle name="Accent3 30 2" xfId="4216"/>
    <cellStyle name="Accent3 31" xfId="764"/>
    <cellStyle name="Accent3 31 2" xfId="4217"/>
    <cellStyle name="Accent3 32" xfId="765"/>
    <cellStyle name="Accent3 32 2" xfId="4218"/>
    <cellStyle name="Accent3 33" xfId="766"/>
    <cellStyle name="Accent3 33 2" xfId="4219"/>
    <cellStyle name="Accent3 34" xfId="767"/>
    <cellStyle name="Accent3 34 2" xfId="4220"/>
    <cellStyle name="Accent3 35" xfId="768"/>
    <cellStyle name="Accent3 35 2" xfId="4221"/>
    <cellStyle name="Accent3 36" xfId="769"/>
    <cellStyle name="Accent3 36 2" xfId="4222"/>
    <cellStyle name="Accent3 37" xfId="770"/>
    <cellStyle name="Accent3 37 2" xfId="4223"/>
    <cellStyle name="Accent3 38" xfId="771"/>
    <cellStyle name="Accent3 38 2" xfId="4224"/>
    <cellStyle name="Accent3 39" xfId="772"/>
    <cellStyle name="Accent3 39 2" xfId="4225"/>
    <cellStyle name="Accent3 4" xfId="773"/>
    <cellStyle name="Accent3 4 2" xfId="774"/>
    <cellStyle name="Accent3 4 2 2" xfId="4226"/>
    <cellStyle name="Accent3 4 3" xfId="775"/>
    <cellStyle name="Accent3 4 4" xfId="3307"/>
    <cellStyle name="Accent3 4 5" xfId="6541"/>
    <cellStyle name="Accent3 40" xfId="776"/>
    <cellStyle name="Accent3 40 2" xfId="4227"/>
    <cellStyle name="Accent3 41" xfId="777"/>
    <cellStyle name="Accent3 41 2" xfId="4228"/>
    <cellStyle name="Accent3 42" xfId="778"/>
    <cellStyle name="Accent3 42 2" xfId="4229"/>
    <cellStyle name="Accent3 43" xfId="779"/>
    <cellStyle name="Accent3 43 2" xfId="4230"/>
    <cellStyle name="Accent3 44" xfId="780"/>
    <cellStyle name="Accent3 44 2" xfId="4231"/>
    <cellStyle name="Accent3 45" xfId="781"/>
    <cellStyle name="Accent3 45 2" xfId="4232"/>
    <cellStyle name="Accent3 46" xfId="782"/>
    <cellStyle name="Accent3 46 2" xfId="4233"/>
    <cellStyle name="Accent3 47" xfId="783"/>
    <cellStyle name="Accent3 47 2" xfId="4234"/>
    <cellStyle name="Accent3 48" xfId="784"/>
    <cellStyle name="Accent3 48 2" xfId="4235"/>
    <cellStyle name="Accent3 49" xfId="785"/>
    <cellStyle name="Accent3 49 2" xfId="4236"/>
    <cellStyle name="Accent3 5" xfId="786"/>
    <cellStyle name="Accent3 5 2" xfId="3308"/>
    <cellStyle name="Accent3 5 3" xfId="7645"/>
    <cellStyle name="Accent3 50" xfId="787"/>
    <cellStyle name="Accent3 50 2" xfId="4237"/>
    <cellStyle name="Accent3 51" xfId="788"/>
    <cellStyle name="Accent3 51 2" xfId="4238"/>
    <cellStyle name="Accent3 52" xfId="789"/>
    <cellStyle name="Accent3 52 2" xfId="4239"/>
    <cellStyle name="Accent3 53" xfId="790"/>
    <cellStyle name="Accent3 53 2" xfId="4240"/>
    <cellStyle name="Accent3 54" xfId="791"/>
    <cellStyle name="Accent3 54 2" xfId="4241"/>
    <cellStyle name="Accent3 55" xfId="792"/>
    <cellStyle name="Accent3 55 2" xfId="4242"/>
    <cellStyle name="Accent3 56" xfId="793"/>
    <cellStyle name="Accent3 56 2" xfId="4243"/>
    <cellStyle name="Accent3 57" xfId="794"/>
    <cellStyle name="Accent3 57 2" xfId="4244"/>
    <cellStyle name="Accent3 58" xfId="795"/>
    <cellStyle name="Accent3 58 2" xfId="4245"/>
    <cellStyle name="Accent3 59" xfId="796"/>
    <cellStyle name="Accent3 59 2" xfId="4246"/>
    <cellStyle name="Accent3 6" xfId="797"/>
    <cellStyle name="Accent3 6 2" xfId="4247"/>
    <cellStyle name="Accent3 60" xfId="798"/>
    <cellStyle name="Accent3 60 2" xfId="4248"/>
    <cellStyle name="Accent3 61" xfId="799"/>
    <cellStyle name="Accent3 61 2" xfId="4249"/>
    <cellStyle name="Accent3 62" xfId="800"/>
    <cellStyle name="Accent3 62 2" xfId="4250"/>
    <cellStyle name="Accent3 63" xfId="801"/>
    <cellStyle name="Accent3 63 2" xfId="4251"/>
    <cellStyle name="Accent3 64" xfId="802"/>
    <cellStyle name="Accent3 64 2" xfId="4252"/>
    <cellStyle name="Accent3 65" xfId="803"/>
    <cellStyle name="Accent3 65 2" xfId="4253"/>
    <cellStyle name="Accent3 66" xfId="804"/>
    <cellStyle name="Accent3 66 2" xfId="4254"/>
    <cellStyle name="Accent3 67" xfId="805"/>
    <cellStyle name="Accent3 67 2" xfId="4255"/>
    <cellStyle name="Accent3 68" xfId="806"/>
    <cellStyle name="Accent3 68 2" xfId="4256"/>
    <cellStyle name="Accent3 69" xfId="807"/>
    <cellStyle name="Accent3 69 2" xfId="4257"/>
    <cellStyle name="Accent3 7" xfId="808"/>
    <cellStyle name="Accent3 7 2" xfId="4258"/>
    <cellStyle name="Accent3 70" xfId="809"/>
    <cellStyle name="Accent3 70 2" xfId="4259"/>
    <cellStyle name="Accent3 71" xfId="810"/>
    <cellStyle name="Accent3 71 2" xfId="4260"/>
    <cellStyle name="Accent3 72" xfId="811"/>
    <cellStyle name="Accent3 72 2" xfId="4261"/>
    <cellStyle name="Accent3 73" xfId="812"/>
    <cellStyle name="Accent3 73 2" xfId="4262"/>
    <cellStyle name="Accent3 74" xfId="813"/>
    <cellStyle name="Accent3 74 2" xfId="4263"/>
    <cellStyle name="Accent3 75" xfId="814"/>
    <cellStyle name="Accent3 75 2" xfId="4264"/>
    <cellStyle name="Accent3 76" xfId="815"/>
    <cellStyle name="Accent3 76 2" xfId="4265"/>
    <cellStyle name="Accent3 77" xfId="816"/>
    <cellStyle name="Accent3 77 2" xfId="4266"/>
    <cellStyle name="Accent3 78" xfId="817"/>
    <cellStyle name="Accent3 78 2" xfId="4267"/>
    <cellStyle name="Accent3 79" xfId="818"/>
    <cellStyle name="Accent3 79 2" xfId="4268"/>
    <cellStyle name="Accent3 8" xfId="819"/>
    <cellStyle name="Accent3 8 2" xfId="4269"/>
    <cellStyle name="Accent3 80" xfId="820"/>
    <cellStyle name="Accent3 80 2" xfId="4270"/>
    <cellStyle name="Accent3 81" xfId="821"/>
    <cellStyle name="Accent3 81 2" xfId="4271"/>
    <cellStyle name="Accent3 82" xfId="822"/>
    <cellStyle name="Accent3 82 2" xfId="4272"/>
    <cellStyle name="Accent3 83" xfId="823"/>
    <cellStyle name="Accent3 83 2" xfId="4273"/>
    <cellStyle name="Accent3 84" xfId="824"/>
    <cellStyle name="Accent3 84 2" xfId="4274"/>
    <cellStyle name="Accent3 85" xfId="825"/>
    <cellStyle name="Accent3 85 2" xfId="4275"/>
    <cellStyle name="Accent3 86" xfId="826"/>
    <cellStyle name="Accent3 86 2" xfId="4276"/>
    <cellStyle name="Accent3 87" xfId="827"/>
    <cellStyle name="Accent3 87 2" xfId="4277"/>
    <cellStyle name="Accent3 88" xfId="828"/>
    <cellStyle name="Accent3 88 2" xfId="4278"/>
    <cellStyle name="Accent3 89" xfId="829"/>
    <cellStyle name="Accent3 89 2" xfId="4279"/>
    <cellStyle name="Accent3 9" xfId="830"/>
    <cellStyle name="Accent3 9 2" xfId="4280"/>
    <cellStyle name="Accent3 90" xfId="831"/>
    <cellStyle name="Accent3 90 2" xfId="4281"/>
    <cellStyle name="Accent3 91" xfId="3189"/>
    <cellStyle name="Accent3 91 2" xfId="6120"/>
    <cellStyle name="Accent3 91 3" xfId="4282"/>
    <cellStyle name="Accent3 92" xfId="3206"/>
    <cellStyle name="Accent3 92 2" xfId="6129"/>
    <cellStyle name="Accent3 92 3" xfId="4283"/>
    <cellStyle name="Accent3 93" xfId="3446"/>
    <cellStyle name="Accent3 94" xfId="3405"/>
    <cellStyle name="Accent3 95" xfId="3457"/>
    <cellStyle name="Accent3 96" xfId="3382"/>
    <cellStyle name="Accent3 97" xfId="4284"/>
    <cellStyle name="Accent3 98" xfId="4285"/>
    <cellStyle name="Accent3 99" xfId="4286"/>
    <cellStyle name="Accent4" xfId="74" builtinId="41" customBuiltin="1"/>
    <cellStyle name="Accent4 - 20%" xfId="832"/>
    <cellStyle name="Accent4 - 20% 2" xfId="3135"/>
    <cellStyle name="Accent4 - 20% 2 2" xfId="6543"/>
    <cellStyle name="Accent4 - 40%" xfId="833"/>
    <cellStyle name="Accent4 - 40% 2" xfId="3136"/>
    <cellStyle name="Accent4 - 40% 2 2" xfId="6544"/>
    <cellStyle name="Accent4 - 60%" xfId="834"/>
    <cellStyle name="Accent4 - 60% 2" xfId="3137"/>
    <cellStyle name="Accent4 - 60% 2 2" xfId="6545"/>
    <cellStyle name="Accent4 10" xfId="835"/>
    <cellStyle name="Accent4 10 2" xfId="4287"/>
    <cellStyle name="Accent4 100" xfId="4288"/>
    <cellStyle name="Accent4 101" xfId="4289"/>
    <cellStyle name="Accent4 102" xfId="4290"/>
    <cellStyle name="Accent4 103" xfId="4291"/>
    <cellStyle name="Accent4 104" xfId="4292"/>
    <cellStyle name="Accent4 105" xfId="4293"/>
    <cellStyle name="Accent4 106" xfId="4294"/>
    <cellStyle name="Accent4 107" xfId="4295"/>
    <cellStyle name="Accent4 108" xfId="4296"/>
    <cellStyle name="Accent4 109" xfId="4297"/>
    <cellStyle name="Accent4 11" xfId="836"/>
    <cellStyle name="Accent4 11 2" xfId="4298"/>
    <cellStyle name="Accent4 110" xfId="4299"/>
    <cellStyle name="Accent4 111" xfId="4300"/>
    <cellStyle name="Accent4 112" xfId="4301"/>
    <cellStyle name="Accent4 113" xfId="4302"/>
    <cellStyle name="Accent4 114" xfId="4303"/>
    <cellStyle name="Accent4 115" xfId="4304"/>
    <cellStyle name="Accent4 116" xfId="4305"/>
    <cellStyle name="Accent4 117" xfId="4306"/>
    <cellStyle name="Accent4 118" xfId="4307"/>
    <cellStyle name="Accent4 119" xfId="4308"/>
    <cellStyle name="Accent4 12" xfId="837"/>
    <cellStyle name="Accent4 12 2" xfId="4309"/>
    <cellStyle name="Accent4 120" xfId="4310"/>
    <cellStyle name="Accent4 121" xfId="4311"/>
    <cellStyle name="Accent4 122" xfId="4312"/>
    <cellStyle name="Accent4 123" xfId="4313"/>
    <cellStyle name="Accent4 124" xfId="4314"/>
    <cellStyle name="Accent4 125" xfId="4315"/>
    <cellStyle name="Accent4 126" xfId="4316"/>
    <cellStyle name="Accent4 127" xfId="4317"/>
    <cellStyle name="Accent4 128" xfId="4318"/>
    <cellStyle name="Accent4 129" xfId="4319"/>
    <cellStyle name="Accent4 13" xfId="838"/>
    <cellStyle name="Accent4 13 2" xfId="4320"/>
    <cellStyle name="Accent4 130" xfId="4321"/>
    <cellStyle name="Accent4 131" xfId="4322"/>
    <cellStyle name="Accent4 132" xfId="4323"/>
    <cellStyle name="Accent4 133" xfId="4324"/>
    <cellStyle name="Accent4 134" xfId="4325"/>
    <cellStyle name="Accent4 135" xfId="4326"/>
    <cellStyle name="Accent4 136" xfId="4327"/>
    <cellStyle name="Accent4 137" xfId="4328"/>
    <cellStyle name="Accent4 138" xfId="4329"/>
    <cellStyle name="Accent4 139" xfId="4330"/>
    <cellStyle name="Accent4 14" xfId="839"/>
    <cellStyle name="Accent4 14 2" xfId="4331"/>
    <cellStyle name="Accent4 140" xfId="4332"/>
    <cellStyle name="Accent4 141" xfId="4333"/>
    <cellStyle name="Accent4 142" xfId="4334"/>
    <cellStyle name="Accent4 143" xfId="4335"/>
    <cellStyle name="Accent4 144" xfId="4336"/>
    <cellStyle name="Accent4 145" xfId="4337"/>
    <cellStyle name="Accent4 146" xfId="4338"/>
    <cellStyle name="Accent4 147" xfId="4339"/>
    <cellStyle name="Accent4 148" xfId="4340"/>
    <cellStyle name="Accent4 149" xfId="4341"/>
    <cellStyle name="Accent4 15" xfId="840"/>
    <cellStyle name="Accent4 15 2" xfId="4342"/>
    <cellStyle name="Accent4 150" xfId="4343"/>
    <cellStyle name="Accent4 151" xfId="4344"/>
    <cellStyle name="Accent4 152" xfId="4345"/>
    <cellStyle name="Accent4 153" xfId="4346"/>
    <cellStyle name="Accent4 154" xfId="4347"/>
    <cellStyle name="Accent4 155" xfId="4348"/>
    <cellStyle name="Accent4 156" xfId="4349"/>
    <cellStyle name="Accent4 157" xfId="4350"/>
    <cellStyle name="Accent4 158" xfId="4351"/>
    <cellStyle name="Accent4 159" xfId="4352"/>
    <cellStyle name="Accent4 16" xfId="841"/>
    <cellStyle name="Accent4 16 2" xfId="4353"/>
    <cellStyle name="Accent4 160" xfId="4354"/>
    <cellStyle name="Accent4 161" xfId="4355"/>
    <cellStyle name="Accent4 162" xfId="4356"/>
    <cellStyle name="Accent4 163" xfId="4357"/>
    <cellStyle name="Accent4 164" xfId="4358"/>
    <cellStyle name="Accent4 165" xfId="4359"/>
    <cellStyle name="Accent4 166" xfId="4360"/>
    <cellStyle name="Accent4 167" xfId="4361"/>
    <cellStyle name="Accent4 168" xfId="4362"/>
    <cellStyle name="Accent4 169" xfId="4363"/>
    <cellStyle name="Accent4 17" xfId="842"/>
    <cellStyle name="Accent4 17 2" xfId="4364"/>
    <cellStyle name="Accent4 170" xfId="4365"/>
    <cellStyle name="Accent4 171" xfId="4366"/>
    <cellStyle name="Accent4 172" xfId="4367"/>
    <cellStyle name="Accent4 173" xfId="4368"/>
    <cellStyle name="Accent4 174" xfId="4369"/>
    <cellStyle name="Accent4 175" xfId="4370"/>
    <cellStyle name="Accent4 176" xfId="4371"/>
    <cellStyle name="Accent4 177" xfId="4372"/>
    <cellStyle name="Accent4 178" xfId="4373"/>
    <cellStyle name="Accent4 179" xfId="4374"/>
    <cellStyle name="Accent4 18" xfId="843"/>
    <cellStyle name="Accent4 18 2" xfId="4375"/>
    <cellStyle name="Accent4 180" xfId="6000"/>
    <cellStyle name="Accent4 181" xfId="5997"/>
    <cellStyle name="Accent4 182" xfId="5885"/>
    <cellStyle name="Accent4 183" xfId="5987"/>
    <cellStyle name="Accent4 184" xfId="6191"/>
    <cellStyle name="Accent4 185" xfId="6184"/>
    <cellStyle name="Accent4 186" xfId="6179"/>
    <cellStyle name="Accent4 187" xfId="6210"/>
    <cellStyle name="Accent4 188" xfId="6215"/>
    <cellStyle name="Accent4 189" xfId="6204"/>
    <cellStyle name="Accent4 19" xfId="844"/>
    <cellStyle name="Accent4 19 2" xfId="4376"/>
    <cellStyle name="Accent4 190" xfId="6226"/>
    <cellStyle name="Accent4 191" xfId="6260"/>
    <cellStyle name="Accent4 192" xfId="6271"/>
    <cellStyle name="Accent4 193" xfId="6246"/>
    <cellStyle name="Accent4 194" xfId="6266"/>
    <cellStyle name="Accent4 195" xfId="6296"/>
    <cellStyle name="Accent4 196" xfId="6283"/>
    <cellStyle name="Accent4 197" xfId="6303"/>
    <cellStyle name="Accent4 198" xfId="6290"/>
    <cellStyle name="Accent4 199" xfId="6315"/>
    <cellStyle name="Accent4 2" xfId="845"/>
    <cellStyle name="Accent4 2 2" xfId="846"/>
    <cellStyle name="Accent4 2 2 2" xfId="847"/>
    <cellStyle name="Accent4 2 2 2 2" xfId="4377"/>
    <cellStyle name="Accent4 2 2 3" xfId="3310"/>
    <cellStyle name="Accent4 2 2 4" xfId="6546"/>
    <cellStyle name="Accent4 2 3" xfId="848"/>
    <cellStyle name="Accent4 2 4" xfId="849"/>
    <cellStyle name="Accent4 2 5" xfId="3309"/>
    <cellStyle name="Accent4 20" xfId="850"/>
    <cellStyle name="Accent4 20 2" xfId="4378"/>
    <cellStyle name="Accent4 200" xfId="6542"/>
    <cellStyle name="Accent4 201" xfId="7637"/>
    <cellStyle name="Accent4 202" xfId="7675"/>
    <cellStyle name="Accent4 203" xfId="7635"/>
    <cellStyle name="Accent4 204" xfId="7676"/>
    <cellStyle name="Accent4 205" xfId="7646"/>
    <cellStyle name="Accent4 206" xfId="7684"/>
    <cellStyle name="Accent4 207" xfId="7656"/>
    <cellStyle name="Accent4 208" xfId="7716"/>
    <cellStyle name="Accent4 209" xfId="7724"/>
    <cellStyle name="Accent4 21" xfId="851"/>
    <cellStyle name="Accent4 21 2" xfId="4379"/>
    <cellStyle name="Accent4 210" xfId="7710"/>
    <cellStyle name="Accent4 22" xfId="852"/>
    <cellStyle name="Accent4 22 2" xfId="4380"/>
    <cellStyle name="Accent4 23" xfId="853"/>
    <cellStyle name="Accent4 23 2" xfId="4381"/>
    <cellStyle name="Accent4 24" xfId="854"/>
    <cellStyle name="Accent4 24 2" xfId="4382"/>
    <cellStyle name="Accent4 25" xfId="855"/>
    <cellStyle name="Accent4 25 2" xfId="4383"/>
    <cellStyle name="Accent4 26" xfId="856"/>
    <cellStyle name="Accent4 27" xfId="857"/>
    <cellStyle name="Accent4 27 2" xfId="4384"/>
    <cellStyle name="Accent4 28" xfId="858"/>
    <cellStyle name="Accent4 28 2" xfId="4385"/>
    <cellStyle name="Accent4 29" xfId="859"/>
    <cellStyle name="Accent4 29 2" xfId="4386"/>
    <cellStyle name="Accent4 3" xfId="860"/>
    <cellStyle name="Accent4 3 2" xfId="861"/>
    <cellStyle name="Accent4 3 2 2" xfId="862"/>
    <cellStyle name="Accent4 3 2 2 2" xfId="4387"/>
    <cellStyle name="Accent4 3 2 3" xfId="3312"/>
    <cellStyle name="Accent4 3 2 4" xfId="4388"/>
    <cellStyle name="Accent4 3 2 5" xfId="6547"/>
    <cellStyle name="Accent4 3 3" xfId="3311"/>
    <cellStyle name="Accent4 3 3 2" xfId="6139"/>
    <cellStyle name="Accent4 3 3 3" xfId="4389"/>
    <cellStyle name="Accent4 30" xfId="863"/>
    <cellStyle name="Accent4 30 2" xfId="4390"/>
    <cellStyle name="Accent4 31" xfId="864"/>
    <cellStyle name="Accent4 31 2" xfId="4391"/>
    <cellStyle name="Accent4 32" xfId="865"/>
    <cellStyle name="Accent4 32 2" xfId="4392"/>
    <cellStyle name="Accent4 33" xfId="866"/>
    <cellStyle name="Accent4 33 2" xfId="4393"/>
    <cellStyle name="Accent4 34" xfId="867"/>
    <cellStyle name="Accent4 34 2" xfId="4394"/>
    <cellStyle name="Accent4 35" xfId="868"/>
    <cellStyle name="Accent4 35 2" xfId="4395"/>
    <cellStyle name="Accent4 36" xfId="869"/>
    <cellStyle name="Accent4 36 2" xfId="4396"/>
    <cellStyle name="Accent4 37" xfId="870"/>
    <cellStyle name="Accent4 37 2" xfId="4397"/>
    <cellStyle name="Accent4 38" xfId="871"/>
    <cellStyle name="Accent4 38 2" xfId="4398"/>
    <cellStyle name="Accent4 39" xfId="872"/>
    <cellStyle name="Accent4 39 2" xfId="4399"/>
    <cellStyle name="Accent4 4" xfId="873"/>
    <cellStyle name="Accent4 4 2" xfId="874"/>
    <cellStyle name="Accent4 4 2 2" xfId="4400"/>
    <cellStyle name="Accent4 4 3" xfId="875"/>
    <cellStyle name="Accent4 4 4" xfId="3313"/>
    <cellStyle name="Accent4 4 5" xfId="6548"/>
    <cellStyle name="Accent4 40" xfId="876"/>
    <cellStyle name="Accent4 40 2" xfId="4401"/>
    <cellStyle name="Accent4 41" xfId="877"/>
    <cellStyle name="Accent4 41 2" xfId="4402"/>
    <cellStyle name="Accent4 42" xfId="878"/>
    <cellStyle name="Accent4 42 2" xfId="4403"/>
    <cellStyle name="Accent4 43" xfId="879"/>
    <cellStyle name="Accent4 43 2" xfId="4404"/>
    <cellStyle name="Accent4 44" xfId="880"/>
    <cellStyle name="Accent4 44 2" xfId="4405"/>
    <cellStyle name="Accent4 45" xfId="881"/>
    <cellStyle name="Accent4 45 2" xfId="4406"/>
    <cellStyle name="Accent4 46" xfId="882"/>
    <cellStyle name="Accent4 46 2" xfId="4407"/>
    <cellStyle name="Accent4 47" xfId="883"/>
    <cellStyle name="Accent4 47 2" xfId="4408"/>
    <cellStyle name="Accent4 48" xfId="884"/>
    <cellStyle name="Accent4 48 2" xfId="4409"/>
    <cellStyle name="Accent4 49" xfId="885"/>
    <cellStyle name="Accent4 49 2" xfId="4410"/>
    <cellStyle name="Accent4 5" xfId="886"/>
    <cellStyle name="Accent4 5 2" xfId="3314"/>
    <cellStyle name="Accent4 5 3" xfId="7647"/>
    <cellStyle name="Accent4 50" xfId="887"/>
    <cellStyle name="Accent4 50 2" xfId="4411"/>
    <cellStyle name="Accent4 51" xfId="888"/>
    <cellStyle name="Accent4 51 2" xfId="4412"/>
    <cellStyle name="Accent4 52" xfId="889"/>
    <cellStyle name="Accent4 52 2" xfId="4413"/>
    <cellStyle name="Accent4 53" xfId="890"/>
    <cellStyle name="Accent4 53 2" xfId="4414"/>
    <cellStyle name="Accent4 54" xfId="891"/>
    <cellStyle name="Accent4 54 2" xfId="4415"/>
    <cellStyle name="Accent4 55" xfId="892"/>
    <cellStyle name="Accent4 55 2" xfId="4416"/>
    <cellStyle name="Accent4 56" xfId="893"/>
    <cellStyle name="Accent4 56 2" xfId="4417"/>
    <cellStyle name="Accent4 57" xfId="894"/>
    <cellStyle name="Accent4 57 2" xfId="4418"/>
    <cellStyle name="Accent4 58" xfId="895"/>
    <cellStyle name="Accent4 58 2" xfId="4419"/>
    <cellStyle name="Accent4 59" xfId="896"/>
    <cellStyle name="Accent4 59 2" xfId="4420"/>
    <cellStyle name="Accent4 6" xfId="897"/>
    <cellStyle name="Accent4 6 2" xfId="4421"/>
    <cellStyle name="Accent4 60" xfId="898"/>
    <cellStyle name="Accent4 60 2" xfId="4422"/>
    <cellStyle name="Accent4 61" xfId="899"/>
    <cellStyle name="Accent4 61 2" xfId="4423"/>
    <cellStyle name="Accent4 62" xfId="900"/>
    <cellStyle name="Accent4 62 2" xfId="4424"/>
    <cellStyle name="Accent4 63" xfId="901"/>
    <cellStyle name="Accent4 63 2" xfId="4425"/>
    <cellStyle name="Accent4 64" xfId="902"/>
    <cellStyle name="Accent4 64 2" xfId="4426"/>
    <cellStyle name="Accent4 65" xfId="903"/>
    <cellStyle name="Accent4 65 2" xfId="4427"/>
    <cellStyle name="Accent4 66" xfId="904"/>
    <cellStyle name="Accent4 66 2" xfId="4428"/>
    <cellStyle name="Accent4 67" xfId="905"/>
    <cellStyle name="Accent4 67 2" xfId="4429"/>
    <cellStyle name="Accent4 68" xfId="906"/>
    <cellStyle name="Accent4 68 2" xfId="4430"/>
    <cellStyle name="Accent4 69" xfId="907"/>
    <cellStyle name="Accent4 69 2" xfId="4431"/>
    <cellStyle name="Accent4 7" xfId="908"/>
    <cellStyle name="Accent4 7 2" xfId="4432"/>
    <cellStyle name="Accent4 70" xfId="909"/>
    <cellStyle name="Accent4 70 2" xfId="4433"/>
    <cellStyle name="Accent4 71" xfId="910"/>
    <cellStyle name="Accent4 71 2" xfId="4434"/>
    <cellStyle name="Accent4 72" xfId="911"/>
    <cellStyle name="Accent4 72 2" xfId="4435"/>
    <cellStyle name="Accent4 73" xfId="912"/>
    <cellStyle name="Accent4 73 2" xfId="4436"/>
    <cellStyle name="Accent4 74" xfId="913"/>
    <cellStyle name="Accent4 74 2" xfId="4437"/>
    <cellStyle name="Accent4 75" xfId="914"/>
    <cellStyle name="Accent4 75 2" xfId="4438"/>
    <cellStyle name="Accent4 76" xfId="915"/>
    <cellStyle name="Accent4 76 2" xfId="4439"/>
    <cellStyle name="Accent4 77" xfId="916"/>
    <cellStyle name="Accent4 77 2" xfId="4440"/>
    <cellStyle name="Accent4 78" xfId="917"/>
    <cellStyle name="Accent4 78 2" xfId="4441"/>
    <cellStyle name="Accent4 79" xfId="918"/>
    <cellStyle name="Accent4 79 2" xfId="4442"/>
    <cellStyle name="Accent4 8" xfId="919"/>
    <cellStyle name="Accent4 8 2" xfId="4443"/>
    <cellStyle name="Accent4 80" xfId="920"/>
    <cellStyle name="Accent4 80 2" xfId="4444"/>
    <cellStyle name="Accent4 81" xfId="921"/>
    <cellStyle name="Accent4 81 2" xfId="4445"/>
    <cellStyle name="Accent4 82" xfId="922"/>
    <cellStyle name="Accent4 82 2" xfId="4446"/>
    <cellStyle name="Accent4 83" xfId="923"/>
    <cellStyle name="Accent4 83 2" xfId="4447"/>
    <cellStyle name="Accent4 84" xfId="924"/>
    <cellStyle name="Accent4 84 2" xfId="4448"/>
    <cellStyle name="Accent4 85" xfId="925"/>
    <cellStyle name="Accent4 85 2" xfId="4449"/>
    <cellStyle name="Accent4 86" xfId="926"/>
    <cellStyle name="Accent4 86 2" xfId="4450"/>
    <cellStyle name="Accent4 87" xfId="927"/>
    <cellStyle name="Accent4 87 2" xfId="4451"/>
    <cellStyle name="Accent4 88" xfId="928"/>
    <cellStyle name="Accent4 88 2" xfId="4452"/>
    <cellStyle name="Accent4 89" xfId="929"/>
    <cellStyle name="Accent4 89 2" xfId="4453"/>
    <cellStyle name="Accent4 9" xfId="930"/>
    <cellStyle name="Accent4 9 2" xfId="4454"/>
    <cellStyle name="Accent4 90" xfId="931"/>
    <cellStyle name="Accent4 90 2" xfId="4455"/>
    <cellStyle name="Accent4 91" xfId="3190"/>
    <cellStyle name="Accent4 91 2" xfId="6121"/>
    <cellStyle name="Accent4 91 3" xfId="4456"/>
    <cellStyle name="Accent4 92" xfId="3205"/>
    <cellStyle name="Accent4 92 2" xfId="6128"/>
    <cellStyle name="Accent4 92 3" xfId="4457"/>
    <cellStyle name="Accent4 93" xfId="3444"/>
    <cellStyle name="Accent4 94" xfId="3417"/>
    <cellStyle name="Accent4 95" xfId="3451"/>
    <cellStyle name="Accent4 96" xfId="3389"/>
    <cellStyle name="Accent4 97" xfId="4458"/>
    <cellStyle name="Accent4 98" xfId="4459"/>
    <cellStyle name="Accent4 99" xfId="4460"/>
    <cellStyle name="Accent5" xfId="78" builtinId="45" customBuiltin="1"/>
    <cellStyle name="Accent5 - 20%" xfId="932"/>
    <cellStyle name="Accent5 - 20% 2" xfId="3138"/>
    <cellStyle name="Accent5 - 20% 2 2" xfId="6550"/>
    <cellStyle name="Accent5 - 40%" xfId="933"/>
    <cellStyle name="Accent5 - 40% 2" xfId="3139"/>
    <cellStyle name="Accent5 - 40% 2 2" xfId="6551"/>
    <cellStyle name="Accent5 - 60%" xfId="934"/>
    <cellStyle name="Accent5 - 60% 2" xfId="3140"/>
    <cellStyle name="Accent5 - 60% 2 2" xfId="6552"/>
    <cellStyle name="Accent5 10" xfId="935"/>
    <cellStyle name="Accent5 10 2" xfId="4461"/>
    <cellStyle name="Accent5 100" xfId="4462"/>
    <cellStyle name="Accent5 101" xfId="4463"/>
    <cellStyle name="Accent5 102" xfId="4464"/>
    <cellStyle name="Accent5 103" xfId="4465"/>
    <cellStyle name="Accent5 104" xfId="4466"/>
    <cellStyle name="Accent5 105" xfId="4467"/>
    <cellStyle name="Accent5 106" xfId="4468"/>
    <cellStyle name="Accent5 107" xfId="4469"/>
    <cellStyle name="Accent5 108" xfId="4470"/>
    <cellStyle name="Accent5 109" xfId="4471"/>
    <cellStyle name="Accent5 11" xfId="936"/>
    <cellStyle name="Accent5 11 2" xfId="4472"/>
    <cellStyle name="Accent5 110" xfId="4473"/>
    <cellStyle name="Accent5 111" xfId="4474"/>
    <cellStyle name="Accent5 112" xfId="4475"/>
    <cellStyle name="Accent5 113" xfId="4476"/>
    <cellStyle name="Accent5 114" xfId="4477"/>
    <cellStyle name="Accent5 115" xfId="4478"/>
    <cellStyle name="Accent5 116" xfId="4479"/>
    <cellStyle name="Accent5 117" xfId="4480"/>
    <cellStyle name="Accent5 118" xfId="4481"/>
    <cellStyle name="Accent5 119" xfId="4482"/>
    <cellStyle name="Accent5 12" xfId="937"/>
    <cellStyle name="Accent5 12 2" xfId="4483"/>
    <cellStyle name="Accent5 120" xfId="4484"/>
    <cellStyle name="Accent5 121" xfId="4485"/>
    <cellStyle name="Accent5 122" xfId="4486"/>
    <cellStyle name="Accent5 123" xfId="4487"/>
    <cellStyle name="Accent5 124" xfId="4488"/>
    <cellStyle name="Accent5 125" xfId="4489"/>
    <cellStyle name="Accent5 126" xfId="4490"/>
    <cellStyle name="Accent5 127" xfId="4491"/>
    <cellStyle name="Accent5 128" xfId="4492"/>
    <cellStyle name="Accent5 129" xfId="4493"/>
    <cellStyle name="Accent5 13" xfId="938"/>
    <cellStyle name="Accent5 13 2" xfId="4494"/>
    <cellStyle name="Accent5 130" xfId="4495"/>
    <cellStyle name="Accent5 131" xfId="4496"/>
    <cellStyle name="Accent5 132" xfId="4497"/>
    <cellStyle name="Accent5 133" xfId="4498"/>
    <cellStyle name="Accent5 134" xfId="4499"/>
    <cellStyle name="Accent5 135" xfId="4500"/>
    <cellStyle name="Accent5 136" xfId="4501"/>
    <cellStyle name="Accent5 137" xfId="4502"/>
    <cellStyle name="Accent5 138" xfId="4503"/>
    <cellStyle name="Accent5 139" xfId="4504"/>
    <cellStyle name="Accent5 14" xfId="939"/>
    <cellStyle name="Accent5 14 2" xfId="4505"/>
    <cellStyle name="Accent5 140" xfId="4506"/>
    <cellStyle name="Accent5 141" xfId="4507"/>
    <cellStyle name="Accent5 142" xfId="4508"/>
    <cellStyle name="Accent5 143" xfId="4509"/>
    <cellStyle name="Accent5 144" xfId="4510"/>
    <cellStyle name="Accent5 145" xfId="4511"/>
    <cellStyle name="Accent5 146" xfId="4512"/>
    <cellStyle name="Accent5 147" xfId="4513"/>
    <cellStyle name="Accent5 148" xfId="4514"/>
    <cellStyle name="Accent5 149" xfId="4515"/>
    <cellStyle name="Accent5 15" xfId="940"/>
    <cellStyle name="Accent5 15 2" xfId="4516"/>
    <cellStyle name="Accent5 150" xfId="4517"/>
    <cellStyle name="Accent5 151" xfId="4518"/>
    <cellStyle name="Accent5 152" xfId="4519"/>
    <cellStyle name="Accent5 153" xfId="4520"/>
    <cellStyle name="Accent5 154" xfId="4521"/>
    <cellStyle name="Accent5 155" xfId="4522"/>
    <cellStyle name="Accent5 156" xfId="4523"/>
    <cellStyle name="Accent5 157" xfId="4524"/>
    <cellStyle name="Accent5 158" xfId="4525"/>
    <cellStyle name="Accent5 159" xfId="4526"/>
    <cellStyle name="Accent5 16" xfId="941"/>
    <cellStyle name="Accent5 16 2" xfId="4527"/>
    <cellStyle name="Accent5 160" xfId="4528"/>
    <cellStyle name="Accent5 161" xfId="4529"/>
    <cellStyle name="Accent5 162" xfId="4530"/>
    <cellStyle name="Accent5 163" xfId="4531"/>
    <cellStyle name="Accent5 164" xfId="4532"/>
    <cellStyle name="Accent5 165" xfId="4533"/>
    <cellStyle name="Accent5 166" xfId="4534"/>
    <cellStyle name="Accent5 167" xfId="4535"/>
    <cellStyle name="Accent5 168" xfId="4536"/>
    <cellStyle name="Accent5 169" xfId="4537"/>
    <cellStyle name="Accent5 17" xfId="942"/>
    <cellStyle name="Accent5 17 2" xfId="4538"/>
    <cellStyle name="Accent5 170" xfId="4539"/>
    <cellStyle name="Accent5 171" xfId="4540"/>
    <cellStyle name="Accent5 172" xfId="4541"/>
    <cellStyle name="Accent5 173" xfId="4542"/>
    <cellStyle name="Accent5 174" xfId="4543"/>
    <cellStyle name="Accent5 175" xfId="4544"/>
    <cellStyle name="Accent5 176" xfId="4545"/>
    <cellStyle name="Accent5 177" xfId="4546"/>
    <cellStyle name="Accent5 178" xfId="4547"/>
    <cellStyle name="Accent5 179" xfId="4548"/>
    <cellStyle name="Accent5 18" xfId="943"/>
    <cellStyle name="Accent5 18 2" xfId="4549"/>
    <cellStyle name="Accent5 180" xfId="6132"/>
    <cellStyle name="Accent5 181" xfId="6088"/>
    <cellStyle name="Accent5 182" xfId="6012"/>
    <cellStyle name="Accent5 183" xfId="5989"/>
    <cellStyle name="Accent5 184" xfId="6192"/>
    <cellStyle name="Accent5 185" xfId="6183"/>
    <cellStyle name="Accent5 186" xfId="6180"/>
    <cellStyle name="Accent5 187" xfId="6211"/>
    <cellStyle name="Accent5 188" xfId="6214"/>
    <cellStyle name="Accent5 189" xfId="6205"/>
    <cellStyle name="Accent5 19" xfId="944"/>
    <cellStyle name="Accent5 19 2" xfId="4550"/>
    <cellStyle name="Accent5 190" xfId="6227"/>
    <cellStyle name="Accent5 191" xfId="6261"/>
    <cellStyle name="Accent5 192" xfId="6270"/>
    <cellStyle name="Accent5 193" xfId="6248"/>
    <cellStyle name="Accent5 194" xfId="6265"/>
    <cellStyle name="Accent5 195" xfId="6295"/>
    <cellStyle name="Accent5 196" xfId="6282"/>
    <cellStyle name="Accent5 197" xfId="6301"/>
    <cellStyle name="Accent5 198" xfId="6289"/>
    <cellStyle name="Accent5 199" xfId="6314"/>
    <cellStyle name="Accent5 2" xfId="945"/>
    <cellStyle name="Accent5 2 2" xfId="946"/>
    <cellStyle name="Accent5 2 2 2" xfId="947"/>
    <cellStyle name="Accent5 2 2 2 2" xfId="4551"/>
    <cellStyle name="Accent5 2 2 3" xfId="3316"/>
    <cellStyle name="Accent5 2 2 4" xfId="6553"/>
    <cellStyle name="Accent5 2 3" xfId="948"/>
    <cellStyle name="Accent5 2 4" xfId="949"/>
    <cellStyle name="Accent5 2 5" xfId="3315"/>
    <cellStyle name="Accent5 20" xfId="950"/>
    <cellStyle name="Accent5 20 2" xfId="4552"/>
    <cellStyle name="Accent5 200" xfId="6549"/>
    <cellStyle name="Accent5 201" xfId="7640"/>
    <cellStyle name="Accent5 202" xfId="7673"/>
    <cellStyle name="Accent5 203" xfId="7639"/>
    <cellStyle name="Accent5 204" xfId="7674"/>
    <cellStyle name="Accent5 205" xfId="7648"/>
    <cellStyle name="Accent5 206" xfId="7680"/>
    <cellStyle name="Accent5 207" xfId="7657"/>
    <cellStyle name="Accent5 208" xfId="7717"/>
    <cellStyle name="Accent5 209" xfId="7735"/>
    <cellStyle name="Accent5 21" xfId="951"/>
    <cellStyle name="Accent5 21 2" xfId="4553"/>
    <cellStyle name="Accent5 210" xfId="7712"/>
    <cellStyle name="Accent5 22" xfId="952"/>
    <cellStyle name="Accent5 22 2" xfId="4554"/>
    <cellStyle name="Accent5 23" xfId="953"/>
    <cellStyle name="Accent5 23 2" xfId="4555"/>
    <cellStyle name="Accent5 24" xfId="954"/>
    <cellStyle name="Accent5 24 2" xfId="4556"/>
    <cellStyle name="Accent5 25" xfId="955"/>
    <cellStyle name="Accent5 25 2" xfId="4557"/>
    <cellStyle name="Accent5 26" xfId="956"/>
    <cellStyle name="Accent5 27" xfId="957"/>
    <cellStyle name="Accent5 27 2" xfId="4558"/>
    <cellStyle name="Accent5 28" xfId="958"/>
    <cellStyle name="Accent5 28 2" xfId="4559"/>
    <cellStyle name="Accent5 29" xfId="959"/>
    <cellStyle name="Accent5 29 2" xfId="4560"/>
    <cellStyle name="Accent5 3" xfId="960"/>
    <cellStyle name="Accent5 3 2" xfId="961"/>
    <cellStyle name="Accent5 3 2 2" xfId="962"/>
    <cellStyle name="Accent5 3 2 2 2" xfId="4561"/>
    <cellStyle name="Accent5 3 2 3" xfId="3318"/>
    <cellStyle name="Accent5 3 2 4" xfId="4562"/>
    <cellStyle name="Accent5 3 2 5" xfId="6554"/>
    <cellStyle name="Accent5 3 3" xfId="3317"/>
    <cellStyle name="Accent5 3 3 2" xfId="6140"/>
    <cellStyle name="Accent5 3 3 3" xfId="4563"/>
    <cellStyle name="Accent5 30" xfId="963"/>
    <cellStyle name="Accent5 30 2" xfId="4564"/>
    <cellStyle name="Accent5 31" xfId="964"/>
    <cellStyle name="Accent5 31 2" xfId="4565"/>
    <cellStyle name="Accent5 32" xfId="965"/>
    <cellStyle name="Accent5 32 2" xfId="4566"/>
    <cellStyle name="Accent5 33" xfId="966"/>
    <cellStyle name="Accent5 33 2" xfId="4567"/>
    <cellStyle name="Accent5 34" xfId="967"/>
    <cellStyle name="Accent5 34 2" xfId="4568"/>
    <cellStyle name="Accent5 35" xfId="968"/>
    <cellStyle name="Accent5 35 2" xfId="4569"/>
    <cellStyle name="Accent5 36" xfId="969"/>
    <cellStyle name="Accent5 36 2" xfId="4570"/>
    <cellStyle name="Accent5 37" xfId="970"/>
    <cellStyle name="Accent5 37 2" xfId="4571"/>
    <cellStyle name="Accent5 38" xfId="971"/>
    <cellStyle name="Accent5 38 2" xfId="4572"/>
    <cellStyle name="Accent5 39" xfId="972"/>
    <cellStyle name="Accent5 39 2" xfId="4573"/>
    <cellStyle name="Accent5 4" xfId="973"/>
    <cellStyle name="Accent5 4 2" xfId="974"/>
    <cellStyle name="Accent5 4 2 2" xfId="4574"/>
    <cellStyle name="Accent5 4 3" xfId="975"/>
    <cellStyle name="Accent5 4 4" xfId="3319"/>
    <cellStyle name="Accent5 4 5" xfId="6555"/>
    <cellStyle name="Accent5 40" xfId="976"/>
    <cellStyle name="Accent5 40 2" xfId="4575"/>
    <cellStyle name="Accent5 41" xfId="977"/>
    <cellStyle name="Accent5 41 2" xfId="4576"/>
    <cellStyle name="Accent5 42" xfId="978"/>
    <cellStyle name="Accent5 42 2" xfId="4577"/>
    <cellStyle name="Accent5 43" xfId="979"/>
    <cellStyle name="Accent5 43 2" xfId="4578"/>
    <cellStyle name="Accent5 44" xfId="980"/>
    <cellStyle name="Accent5 44 2" xfId="4579"/>
    <cellStyle name="Accent5 45" xfId="981"/>
    <cellStyle name="Accent5 45 2" xfId="4580"/>
    <cellStyle name="Accent5 46" xfId="982"/>
    <cellStyle name="Accent5 46 2" xfId="4581"/>
    <cellStyle name="Accent5 47" xfId="983"/>
    <cellStyle name="Accent5 47 2" xfId="4582"/>
    <cellStyle name="Accent5 48" xfId="984"/>
    <cellStyle name="Accent5 48 2" xfId="4583"/>
    <cellStyle name="Accent5 49" xfId="985"/>
    <cellStyle name="Accent5 49 2" xfId="4584"/>
    <cellStyle name="Accent5 5" xfId="986"/>
    <cellStyle name="Accent5 5 2" xfId="3320"/>
    <cellStyle name="Accent5 5 3" xfId="7649"/>
    <cellStyle name="Accent5 50" xfId="987"/>
    <cellStyle name="Accent5 50 2" xfId="4585"/>
    <cellStyle name="Accent5 51" xfId="988"/>
    <cellStyle name="Accent5 51 2" xfId="4586"/>
    <cellStyle name="Accent5 52" xfId="989"/>
    <cellStyle name="Accent5 52 2" xfId="4587"/>
    <cellStyle name="Accent5 53" xfId="990"/>
    <cellStyle name="Accent5 53 2" xfId="4588"/>
    <cellStyle name="Accent5 54" xfId="991"/>
    <cellStyle name="Accent5 54 2" xfId="4589"/>
    <cellStyle name="Accent5 55" xfId="992"/>
    <cellStyle name="Accent5 55 2" xfId="4590"/>
    <cellStyle name="Accent5 56" xfId="993"/>
    <cellStyle name="Accent5 56 2" xfId="4591"/>
    <cellStyle name="Accent5 57" xfId="994"/>
    <cellStyle name="Accent5 57 2" xfId="4592"/>
    <cellStyle name="Accent5 58" xfId="995"/>
    <cellStyle name="Accent5 58 2" xfId="4593"/>
    <cellStyle name="Accent5 59" xfId="996"/>
    <cellStyle name="Accent5 59 2" xfId="4594"/>
    <cellStyle name="Accent5 6" xfId="997"/>
    <cellStyle name="Accent5 6 2" xfId="4595"/>
    <cellStyle name="Accent5 60" xfId="998"/>
    <cellStyle name="Accent5 60 2" xfId="4596"/>
    <cellStyle name="Accent5 61" xfId="999"/>
    <cellStyle name="Accent5 61 2" xfId="4597"/>
    <cellStyle name="Accent5 62" xfId="1000"/>
    <cellStyle name="Accent5 62 2" xfId="4598"/>
    <cellStyle name="Accent5 63" xfId="1001"/>
    <cellStyle name="Accent5 63 2" xfId="4599"/>
    <cellStyle name="Accent5 64" xfId="1002"/>
    <cellStyle name="Accent5 64 2" xfId="4600"/>
    <cellStyle name="Accent5 65" xfId="1003"/>
    <cellStyle name="Accent5 65 2" xfId="4601"/>
    <cellStyle name="Accent5 66" xfId="1004"/>
    <cellStyle name="Accent5 66 2" xfId="4602"/>
    <cellStyle name="Accent5 67" xfId="1005"/>
    <cellStyle name="Accent5 67 2" xfId="4603"/>
    <cellStyle name="Accent5 68" xfId="1006"/>
    <cellStyle name="Accent5 68 2" xfId="4604"/>
    <cellStyle name="Accent5 69" xfId="1007"/>
    <cellStyle name="Accent5 69 2" xfId="4605"/>
    <cellStyle name="Accent5 7" xfId="1008"/>
    <cellStyle name="Accent5 7 2" xfId="4606"/>
    <cellStyle name="Accent5 70" xfId="1009"/>
    <cellStyle name="Accent5 70 2" xfId="4607"/>
    <cellStyle name="Accent5 71" xfId="1010"/>
    <cellStyle name="Accent5 71 2" xfId="4608"/>
    <cellStyle name="Accent5 72" xfId="1011"/>
    <cellStyle name="Accent5 72 2" xfId="4609"/>
    <cellStyle name="Accent5 73" xfId="1012"/>
    <cellStyle name="Accent5 73 2" xfId="4610"/>
    <cellStyle name="Accent5 74" xfId="1013"/>
    <cellStyle name="Accent5 74 2" xfId="4611"/>
    <cellStyle name="Accent5 75" xfId="1014"/>
    <cellStyle name="Accent5 75 2" xfId="4612"/>
    <cellStyle name="Accent5 76" xfId="1015"/>
    <cellStyle name="Accent5 76 2" xfId="4613"/>
    <cellStyle name="Accent5 77" xfId="1016"/>
    <cellStyle name="Accent5 77 2" xfId="4614"/>
    <cellStyle name="Accent5 78" xfId="1017"/>
    <cellStyle name="Accent5 78 2" xfId="4615"/>
    <cellStyle name="Accent5 79" xfId="1018"/>
    <cellStyle name="Accent5 79 2" xfId="4616"/>
    <cellStyle name="Accent5 8" xfId="1019"/>
    <cellStyle name="Accent5 8 2" xfId="4617"/>
    <cellStyle name="Accent5 80" xfId="1020"/>
    <cellStyle name="Accent5 80 2" xfId="4618"/>
    <cellStyle name="Accent5 81" xfId="1021"/>
    <cellStyle name="Accent5 81 2" xfId="4619"/>
    <cellStyle name="Accent5 82" xfId="1022"/>
    <cellStyle name="Accent5 82 2" xfId="4620"/>
    <cellStyle name="Accent5 83" xfId="1023"/>
    <cellStyle name="Accent5 83 2" xfId="4621"/>
    <cellStyle name="Accent5 84" xfId="1024"/>
    <cellStyle name="Accent5 84 2" xfId="4622"/>
    <cellStyle name="Accent5 85" xfId="1025"/>
    <cellStyle name="Accent5 85 2" xfId="4623"/>
    <cellStyle name="Accent5 86" xfId="1026"/>
    <cellStyle name="Accent5 86 2" xfId="4624"/>
    <cellStyle name="Accent5 87" xfId="1027"/>
    <cellStyle name="Accent5 87 2" xfId="4625"/>
    <cellStyle name="Accent5 88" xfId="1028"/>
    <cellStyle name="Accent5 88 2" xfId="4626"/>
    <cellStyle name="Accent5 89" xfId="1029"/>
    <cellStyle name="Accent5 89 2" xfId="4627"/>
    <cellStyle name="Accent5 9" xfId="1030"/>
    <cellStyle name="Accent5 9 2" xfId="4628"/>
    <cellStyle name="Accent5 90" xfId="1031"/>
    <cellStyle name="Accent5 90 2" xfId="4629"/>
    <cellStyle name="Accent5 91" xfId="3191"/>
    <cellStyle name="Accent5 91 2" xfId="6122"/>
    <cellStyle name="Accent5 91 3" xfId="4630"/>
    <cellStyle name="Accent5 92" xfId="3204"/>
    <cellStyle name="Accent5 92 2" xfId="6127"/>
    <cellStyle name="Accent5 92 3" xfId="4631"/>
    <cellStyle name="Accent5 93" xfId="3443"/>
    <cellStyle name="Accent5 94" xfId="3418"/>
    <cellStyle name="Accent5 95" xfId="3447"/>
    <cellStyle name="Accent5 96" xfId="3410"/>
    <cellStyle name="Accent5 97" xfId="4632"/>
    <cellStyle name="Accent5 98" xfId="4633"/>
    <cellStyle name="Accent5 99" xfId="4634"/>
    <cellStyle name="Accent6" xfId="82" builtinId="49" customBuiltin="1"/>
    <cellStyle name="Accent6 - 20%" xfId="1032"/>
    <cellStyle name="Accent6 - 20% 2" xfId="3141"/>
    <cellStyle name="Accent6 - 20% 2 2" xfId="6557"/>
    <cellStyle name="Accent6 - 40%" xfId="1033"/>
    <cellStyle name="Accent6 - 40% 2" xfId="3142"/>
    <cellStyle name="Accent6 - 40% 2 2" xfId="6558"/>
    <cellStyle name="Accent6 - 60%" xfId="1034"/>
    <cellStyle name="Accent6 - 60% 2" xfId="3143"/>
    <cellStyle name="Accent6 - 60% 2 2" xfId="6559"/>
    <cellStyle name="Accent6 10" xfId="1035"/>
    <cellStyle name="Accent6 10 2" xfId="4635"/>
    <cellStyle name="Accent6 100" xfId="4636"/>
    <cellStyle name="Accent6 101" xfId="4637"/>
    <cellStyle name="Accent6 102" xfId="4638"/>
    <cellStyle name="Accent6 103" xfId="4639"/>
    <cellStyle name="Accent6 104" xfId="4640"/>
    <cellStyle name="Accent6 105" xfId="4641"/>
    <cellStyle name="Accent6 106" xfId="4642"/>
    <cellStyle name="Accent6 107" xfId="4643"/>
    <cellStyle name="Accent6 108" xfId="4644"/>
    <cellStyle name="Accent6 109" xfId="4645"/>
    <cellStyle name="Accent6 11" xfId="1036"/>
    <cellStyle name="Accent6 11 2" xfId="4646"/>
    <cellStyle name="Accent6 110" xfId="4647"/>
    <cellStyle name="Accent6 111" xfId="4648"/>
    <cellStyle name="Accent6 112" xfId="4649"/>
    <cellStyle name="Accent6 113" xfId="4650"/>
    <cellStyle name="Accent6 114" xfId="4651"/>
    <cellStyle name="Accent6 115" xfId="4652"/>
    <cellStyle name="Accent6 116" xfId="4653"/>
    <cellStyle name="Accent6 117" xfId="4654"/>
    <cellStyle name="Accent6 118" xfId="4655"/>
    <cellStyle name="Accent6 119" xfId="4656"/>
    <cellStyle name="Accent6 12" xfId="1037"/>
    <cellStyle name="Accent6 12 2" xfId="4657"/>
    <cellStyle name="Accent6 120" xfId="4658"/>
    <cellStyle name="Accent6 121" xfId="4659"/>
    <cellStyle name="Accent6 122" xfId="4660"/>
    <cellStyle name="Accent6 123" xfId="4661"/>
    <cellStyle name="Accent6 124" xfId="4662"/>
    <cellStyle name="Accent6 125" xfId="4663"/>
    <cellStyle name="Accent6 126" xfId="4664"/>
    <cellStyle name="Accent6 127" xfId="4665"/>
    <cellStyle name="Accent6 128" xfId="4666"/>
    <cellStyle name="Accent6 129" xfId="4667"/>
    <cellStyle name="Accent6 13" xfId="1038"/>
    <cellStyle name="Accent6 13 2" xfId="4668"/>
    <cellStyle name="Accent6 130" xfId="4669"/>
    <cellStyle name="Accent6 131" xfId="4670"/>
    <cellStyle name="Accent6 132" xfId="4671"/>
    <cellStyle name="Accent6 133" xfId="4672"/>
    <cellStyle name="Accent6 134" xfId="4673"/>
    <cellStyle name="Accent6 135" xfId="4674"/>
    <cellStyle name="Accent6 136" xfId="4675"/>
    <cellStyle name="Accent6 137" xfId="4676"/>
    <cellStyle name="Accent6 138" xfId="4677"/>
    <cellStyle name="Accent6 139" xfId="4678"/>
    <cellStyle name="Accent6 14" xfId="1039"/>
    <cellStyle name="Accent6 14 2" xfId="4679"/>
    <cellStyle name="Accent6 140" xfId="4680"/>
    <cellStyle name="Accent6 141" xfId="4681"/>
    <cellStyle name="Accent6 142" xfId="4682"/>
    <cellStyle name="Accent6 143" xfId="4683"/>
    <cellStyle name="Accent6 144" xfId="4684"/>
    <cellStyle name="Accent6 145" xfId="4685"/>
    <cellStyle name="Accent6 146" xfId="4686"/>
    <cellStyle name="Accent6 147" xfId="4687"/>
    <cellStyle name="Accent6 148" xfId="4688"/>
    <cellStyle name="Accent6 149" xfId="4689"/>
    <cellStyle name="Accent6 15" xfId="1040"/>
    <cellStyle name="Accent6 15 2" xfId="4690"/>
    <cellStyle name="Accent6 150" xfId="4691"/>
    <cellStyle name="Accent6 151" xfId="4692"/>
    <cellStyle name="Accent6 152" xfId="4693"/>
    <cellStyle name="Accent6 153" xfId="4694"/>
    <cellStyle name="Accent6 154" xfId="4695"/>
    <cellStyle name="Accent6 155" xfId="4696"/>
    <cellStyle name="Accent6 156" xfId="4697"/>
    <cellStyle name="Accent6 157" xfId="4698"/>
    <cellStyle name="Accent6 158" xfId="4699"/>
    <cellStyle name="Accent6 159" xfId="4700"/>
    <cellStyle name="Accent6 16" xfId="1041"/>
    <cellStyle name="Accent6 16 2" xfId="4701"/>
    <cellStyle name="Accent6 160" xfId="4702"/>
    <cellStyle name="Accent6 161" xfId="4703"/>
    <cellStyle name="Accent6 162" xfId="4704"/>
    <cellStyle name="Accent6 163" xfId="4705"/>
    <cellStyle name="Accent6 164" xfId="4706"/>
    <cellStyle name="Accent6 165" xfId="4707"/>
    <cellStyle name="Accent6 166" xfId="4708"/>
    <cellStyle name="Accent6 167" xfId="4709"/>
    <cellStyle name="Accent6 168" xfId="4710"/>
    <cellStyle name="Accent6 169" xfId="4711"/>
    <cellStyle name="Accent6 17" xfId="1042"/>
    <cellStyle name="Accent6 17 2" xfId="4712"/>
    <cellStyle name="Accent6 170" xfId="4713"/>
    <cellStyle name="Accent6 171" xfId="4714"/>
    <cellStyle name="Accent6 172" xfId="4715"/>
    <cellStyle name="Accent6 173" xfId="4716"/>
    <cellStyle name="Accent6 174" xfId="4717"/>
    <cellStyle name="Accent6 175" xfId="4718"/>
    <cellStyle name="Accent6 176" xfId="4719"/>
    <cellStyle name="Accent6 177" xfId="4720"/>
    <cellStyle name="Accent6 178" xfId="4721"/>
    <cellStyle name="Accent6 179" xfId="4722"/>
    <cellStyle name="Accent6 18" xfId="1043"/>
    <cellStyle name="Accent6 18 2" xfId="4723"/>
    <cellStyle name="Accent6 180" xfId="5998"/>
    <cellStyle name="Accent6 181" xfId="6168"/>
    <cellStyle name="Accent6 182" xfId="6010"/>
    <cellStyle name="Accent6 183" xfId="5991"/>
    <cellStyle name="Accent6 184" xfId="6193"/>
    <cellStyle name="Accent6 185" xfId="6182"/>
    <cellStyle name="Accent6 186" xfId="6181"/>
    <cellStyle name="Accent6 187" xfId="6212"/>
    <cellStyle name="Accent6 188" xfId="6213"/>
    <cellStyle name="Accent6 189" xfId="6206"/>
    <cellStyle name="Accent6 19" xfId="1044"/>
    <cellStyle name="Accent6 19 2" xfId="4724"/>
    <cellStyle name="Accent6 190" xfId="6228"/>
    <cellStyle name="Accent6 191" xfId="6262"/>
    <cellStyle name="Accent6 192" xfId="6269"/>
    <cellStyle name="Accent6 193" xfId="6249"/>
    <cellStyle name="Accent6 194" xfId="6264"/>
    <cellStyle name="Accent6 195" xfId="6293"/>
    <cellStyle name="Accent6 196" xfId="6280"/>
    <cellStyle name="Accent6 197" xfId="6300"/>
    <cellStyle name="Accent6 198" xfId="6287"/>
    <cellStyle name="Accent6 199" xfId="6312"/>
    <cellStyle name="Accent6 2" xfId="1045"/>
    <cellStyle name="Accent6 2 2" xfId="1046"/>
    <cellStyle name="Accent6 2 2 2" xfId="1047"/>
    <cellStyle name="Accent6 2 2 2 2" xfId="4725"/>
    <cellStyle name="Accent6 2 2 3" xfId="3322"/>
    <cellStyle name="Accent6 2 2 4" xfId="6560"/>
    <cellStyle name="Accent6 2 3" xfId="1048"/>
    <cellStyle name="Accent6 2 4" xfId="1049"/>
    <cellStyle name="Accent6 2 5" xfId="3321"/>
    <cellStyle name="Accent6 20" xfId="1050"/>
    <cellStyle name="Accent6 20 2" xfId="4726"/>
    <cellStyle name="Accent6 200" xfId="6556"/>
    <cellStyle name="Accent6 201" xfId="7644"/>
    <cellStyle name="Accent6 202" xfId="7671"/>
    <cellStyle name="Accent6 203" xfId="7643"/>
    <cellStyle name="Accent6 204" xfId="7672"/>
    <cellStyle name="Accent6 205" xfId="7650"/>
    <cellStyle name="Accent6 206" xfId="7677"/>
    <cellStyle name="Accent6 207" xfId="7658"/>
    <cellStyle name="Accent6 208" xfId="7718"/>
    <cellStyle name="Accent6 209" xfId="7734"/>
    <cellStyle name="Accent6 21" xfId="1051"/>
    <cellStyle name="Accent6 21 2" xfId="4727"/>
    <cellStyle name="Accent6 210" xfId="7737"/>
    <cellStyle name="Accent6 22" xfId="1052"/>
    <cellStyle name="Accent6 22 2" xfId="4728"/>
    <cellStyle name="Accent6 23" xfId="1053"/>
    <cellStyle name="Accent6 23 2" xfId="4729"/>
    <cellStyle name="Accent6 24" xfId="1054"/>
    <cellStyle name="Accent6 24 2" xfId="4730"/>
    <cellStyle name="Accent6 25" xfId="1055"/>
    <cellStyle name="Accent6 25 2" xfId="4731"/>
    <cellStyle name="Accent6 26" xfId="1056"/>
    <cellStyle name="Accent6 27" xfId="1057"/>
    <cellStyle name="Accent6 27 2" xfId="4732"/>
    <cellStyle name="Accent6 28" xfId="1058"/>
    <cellStyle name="Accent6 28 2" xfId="4733"/>
    <cellStyle name="Accent6 29" xfId="1059"/>
    <cellStyle name="Accent6 29 2" xfId="4734"/>
    <cellStyle name="Accent6 3" xfId="1060"/>
    <cellStyle name="Accent6 3 2" xfId="1061"/>
    <cellStyle name="Accent6 3 2 2" xfId="1062"/>
    <cellStyle name="Accent6 3 2 2 2" xfId="4735"/>
    <cellStyle name="Accent6 3 2 3" xfId="3324"/>
    <cellStyle name="Accent6 3 2 4" xfId="4736"/>
    <cellStyle name="Accent6 3 2 5" xfId="6561"/>
    <cellStyle name="Accent6 3 3" xfId="3323"/>
    <cellStyle name="Accent6 3 3 2" xfId="6141"/>
    <cellStyle name="Accent6 3 3 3" xfId="4737"/>
    <cellStyle name="Accent6 30" xfId="1063"/>
    <cellStyle name="Accent6 30 2" xfId="4738"/>
    <cellStyle name="Accent6 31" xfId="1064"/>
    <cellStyle name="Accent6 31 2" xfId="4739"/>
    <cellStyle name="Accent6 32" xfId="1065"/>
    <cellStyle name="Accent6 32 2" xfId="4740"/>
    <cellStyle name="Accent6 33" xfId="1066"/>
    <cellStyle name="Accent6 33 2" xfId="4741"/>
    <cellStyle name="Accent6 34" xfId="1067"/>
    <cellStyle name="Accent6 34 2" xfId="4742"/>
    <cellStyle name="Accent6 35" xfId="1068"/>
    <cellStyle name="Accent6 35 2" xfId="4743"/>
    <cellStyle name="Accent6 36" xfId="1069"/>
    <cellStyle name="Accent6 36 2" xfId="4744"/>
    <cellStyle name="Accent6 37" xfId="1070"/>
    <cellStyle name="Accent6 37 2" xfId="4745"/>
    <cellStyle name="Accent6 38" xfId="1071"/>
    <cellStyle name="Accent6 38 2" xfId="4746"/>
    <cellStyle name="Accent6 39" xfId="1072"/>
    <cellStyle name="Accent6 39 2" xfId="4747"/>
    <cellStyle name="Accent6 4" xfId="1073"/>
    <cellStyle name="Accent6 4 2" xfId="1074"/>
    <cellStyle name="Accent6 4 2 2" xfId="4748"/>
    <cellStyle name="Accent6 4 3" xfId="1075"/>
    <cellStyle name="Accent6 4 4" xfId="3325"/>
    <cellStyle name="Accent6 4 5" xfId="6562"/>
    <cellStyle name="Accent6 40" xfId="1076"/>
    <cellStyle name="Accent6 40 2" xfId="4749"/>
    <cellStyle name="Accent6 41" xfId="1077"/>
    <cellStyle name="Accent6 41 2" xfId="4750"/>
    <cellStyle name="Accent6 42" xfId="1078"/>
    <cellStyle name="Accent6 42 2" xfId="4751"/>
    <cellStyle name="Accent6 43" xfId="1079"/>
    <cellStyle name="Accent6 43 2" xfId="4752"/>
    <cellStyle name="Accent6 44" xfId="1080"/>
    <cellStyle name="Accent6 44 2" xfId="4753"/>
    <cellStyle name="Accent6 45" xfId="1081"/>
    <cellStyle name="Accent6 45 2" xfId="4754"/>
    <cellStyle name="Accent6 46" xfId="1082"/>
    <cellStyle name="Accent6 46 2" xfId="4755"/>
    <cellStyle name="Accent6 47" xfId="1083"/>
    <cellStyle name="Accent6 47 2" xfId="4756"/>
    <cellStyle name="Accent6 48" xfId="1084"/>
    <cellStyle name="Accent6 48 2" xfId="4757"/>
    <cellStyle name="Accent6 49" xfId="1085"/>
    <cellStyle name="Accent6 49 2" xfId="4758"/>
    <cellStyle name="Accent6 5" xfId="1086"/>
    <cellStyle name="Accent6 5 2" xfId="3326"/>
    <cellStyle name="Accent6 5 3" xfId="7651"/>
    <cellStyle name="Accent6 50" xfId="1087"/>
    <cellStyle name="Accent6 50 2" xfId="4759"/>
    <cellStyle name="Accent6 51" xfId="1088"/>
    <cellStyle name="Accent6 51 2" xfId="4760"/>
    <cellStyle name="Accent6 52" xfId="1089"/>
    <cellStyle name="Accent6 52 2" xfId="4761"/>
    <cellStyle name="Accent6 53" xfId="1090"/>
    <cellStyle name="Accent6 53 2" xfId="4762"/>
    <cellStyle name="Accent6 54" xfId="1091"/>
    <cellStyle name="Accent6 54 2" xfId="4763"/>
    <cellStyle name="Accent6 55" xfId="1092"/>
    <cellStyle name="Accent6 55 2" xfId="4764"/>
    <cellStyle name="Accent6 56" xfId="1093"/>
    <cellStyle name="Accent6 56 2" xfId="4765"/>
    <cellStyle name="Accent6 57" xfId="1094"/>
    <cellStyle name="Accent6 57 2" xfId="4766"/>
    <cellStyle name="Accent6 58" xfId="1095"/>
    <cellStyle name="Accent6 58 2" xfId="4767"/>
    <cellStyle name="Accent6 59" xfId="1096"/>
    <cellStyle name="Accent6 59 2" xfId="4768"/>
    <cellStyle name="Accent6 6" xfId="1097"/>
    <cellStyle name="Accent6 6 2" xfId="4769"/>
    <cellStyle name="Accent6 60" xfId="1098"/>
    <cellStyle name="Accent6 60 2" xfId="4770"/>
    <cellStyle name="Accent6 61" xfId="1099"/>
    <cellStyle name="Accent6 61 2" xfId="4771"/>
    <cellStyle name="Accent6 62" xfId="1100"/>
    <cellStyle name="Accent6 62 2" xfId="4772"/>
    <cellStyle name="Accent6 63" xfId="1101"/>
    <cellStyle name="Accent6 63 2" xfId="4773"/>
    <cellStyle name="Accent6 64" xfId="1102"/>
    <cellStyle name="Accent6 64 2" xfId="4774"/>
    <cellStyle name="Accent6 65" xfId="1103"/>
    <cellStyle name="Accent6 65 2" xfId="4775"/>
    <cellStyle name="Accent6 66" xfId="1104"/>
    <cellStyle name="Accent6 66 2" xfId="4776"/>
    <cellStyle name="Accent6 67" xfId="1105"/>
    <cellStyle name="Accent6 67 2" xfId="4777"/>
    <cellStyle name="Accent6 68" xfId="1106"/>
    <cellStyle name="Accent6 68 2" xfId="4778"/>
    <cellStyle name="Accent6 69" xfId="1107"/>
    <cellStyle name="Accent6 69 2" xfId="4779"/>
    <cellStyle name="Accent6 7" xfId="1108"/>
    <cellStyle name="Accent6 7 2" xfId="4780"/>
    <cellStyle name="Accent6 70" xfId="1109"/>
    <cellStyle name="Accent6 70 2" xfId="4781"/>
    <cellStyle name="Accent6 71" xfId="1110"/>
    <cellStyle name="Accent6 71 2" xfId="4782"/>
    <cellStyle name="Accent6 72" xfId="1111"/>
    <cellStyle name="Accent6 72 2" xfId="4783"/>
    <cellStyle name="Accent6 73" xfId="1112"/>
    <cellStyle name="Accent6 73 2" xfId="4784"/>
    <cellStyle name="Accent6 74" xfId="1113"/>
    <cellStyle name="Accent6 74 2" xfId="4785"/>
    <cellStyle name="Accent6 75" xfId="1114"/>
    <cellStyle name="Accent6 75 2" xfId="4786"/>
    <cellStyle name="Accent6 76" xfId="1115"/>
    <cellStyle name="Accent6 76 2" xfId="4787"/>
    <cellStyle name="Accent6 77" xfId="1116"/>
    <cellStyle name="Accent6 77 2" xfId="4788"/>
    <cellStyle name="Accent6 78" xfId="1117"/>
    <cellStyle name="Accent6 78 2" xfId="4789"/>
    <cellStyle name="Accent6 79" xfId="1118"/>
    <cellStyle name="Accent6 79 2" xfId="4790"/>
    <cellStyle name="Accent6 8" xfId="1119"/>
    <cellStyle name="Accent6 8 2" xfId="4791"/>
    <cellStyle name="Accent6 80" xfId="1120"/>
    <cellStyle name="Accent6 80 2" xfId="4792"/>
    <cellStyle name="Accent6 81" xfId="1121"/>
    <cellStyle name="Accent6 81 2" xfId="4793"/>
    <cellStyle name="Accent6 82" xfId="1122"/>
    <cellStyle name="Accent6 82 2" xfId="4794"/>
    <cellStyle name="Accent6 83" xfId="1123"/>
    <cellStyle name="Accent6 83 2" xfId="4795"/>
    <cellStyle name="Accent6 84" xfId="1124"/>
    <cellStyle name="Accent6 84 2" xfId="4796"/>
    <cellStyle name="Accent6 85" xfId="1125"/>
    <cellStyle name="Accent6 85 2" xfId="4797"/>
    <cellStyle name="Accent6 86" xfId="1126"/>
    <cellStyle name="Accent6 86 2" xfId="4798"/>
    <cellStyle name="Accent6 87" xfId="1127"/>
    <cellStyle name="Accent6 87 2" xfId="4799"/>
    <cellStyle name="Accent6 88" xfId="1128"/>
    <cellStyle name="Accent6 88 2" xfId="4800"/>
    <cellStyle name="Accent6 89" xfId="1129"/>
    <cellStyle name="Accent6 89 2" xfId="4801"/>
    <cellStyle name="Accent6 9" xfId="1130"/>
    <cellStyle name="Accent6 9 2" xfId="4802"/>
    <cellStyle name="Accent6 90" xfId="1131"/>
    <cellStyle name="Accent6 90 2" xfId="4803"/>
    <cellStyle name="Accent6 91" xfId="3192"/>
    <cellStyle name="Accent6 91 2" xfId="6123"/>
    <cellStyle name="Accent6 91 3" xfId="4804"/>
    <cellStyle name="Accent6 92" xfId="3203"/>
    <cellStyle name="Accent6 92 2" xfId="6126"/>
    <cellStyle name="Accent6 92 3" xfId="4805"/>
    <cellStyle name="Accent6 93" xfId="3442"/>
    <cellStyle name="Accent6 94" xfId="3423"/>
    <cellStyle name="Accent6 95" xfId="3445"/>
    <cellStyle name="Accent6 96" xfId="3419"/>
    <cellStyle name="Accent6 97" xfId="4806"/>
    <cellStyle name="Accent6 98" xfId="4807"/>
    <cellStyle name="Accent6 99" xfId="4808"/>
    <cellStyle name="Actual Date" xfId="1132"/>
    <cellStyle name="Actual Date 2" xfId="1133"/>
    <cellStyle name="Actual Date 2 2" xfId="1134"/>
    <cellStyle name="Actual Date 2 2 2" xfId="4810"/>
    <cellStyle name="Actual Date 2 3" xfId="4809"/>
    <cellStyle name="Actual Date 3" xfId="1135"/>
    <cellStyle name="Actual Date 3 2" xfId="4811"/>
    <cellStyle name="Actual Date 4" xfId="3327"/>
    <cellStyle name="ÅëÈ­ [0]_±âÅ¸" xfId="1136"/>
    <cellStyle name="ÅëÈ­_±âÅ¸" xfId="1137"/>
    <cellStyle name="ÄÞ¸¶ [0]_±âÅ¸" xfId="1138"/>
    <cellStyle name="ÄÞ¸¶_±âÅ¸" xfId="1139"/>
    <cellStyle name="Bad" xfId="52" builtinId="27" customBuiltin="1"/>
    <cellStyle name="Bad 2" xfId="1140"/>
    <cellStyle name="Bad 2 2" xfId="1141"/>
    <cellStyle name="Bad 2 2 2" xfId="1142"/>
    <cellStyle name="Bad 2 2 3" xfId="3328"/>
    <cellStyle name="Bad 2 2 4" xfId="6563"/>
    <cellStyle name="Bad 2 3" xfId="1143"/>
    <cellStyle name="Bad 2 4" xfId="1144"/>
    <cellStyle name="Bad 3" xfId="1145"/>
    <cellStyle name="Bad 3 2" xfId="4812"/>
    <cellStyle name="Bad 3 3" xfId="6564"/>
    <cellStyle name="Bad 4" xfId="6565"/>
    <cellStyle name="BMHeading" xfId="1146"/>
    <cellStyle name="BMHeading 2" xfId="1147"/>
    <cellStyle name="BMHeading 2 2" xfId="4814"/>
    <cellStyle name="BMHeading 3" xfId="4813"/>
    <cellStyle name="BMPercent" xfId="1148"/>
    <cellStyle name="Body" xfId="1149"/>
    <cellStyle name="Bold/Border" xfId="1150"/>
    <cellStyle name="BooleanYorN" xfId="1151"/>
    <cellStyle name="Bullet" xfId="1152"/>
    <cellStyle name="Bullet 2" xfId="1153"/>
    <cellStyle name="Bullet 2 2" xfId="1154"/>
    <cellStyle name="c" xfId="1155"/>
    <cellStyle name="c 2" xfId="1156"/>
    <cellStyle name="c 2 2" xfId="1157"/>
    <cellStyle name="c_Bal Sheets" xfId="1158"/>
    <cellStyle name="c_Bal Sheets 2" xfId="1159"/>
    <cellStyle name="c_Bal Sheets 2 2" xfId="1160"/>
    <cellStyle name="c_Bal Sheets_GTO MAR_1112_310312" xfId="1161"/>
    <cellStyle name="c_Bal Sheets_GTO MAR_1112_310312 2" xfId="1162"/>
    <cellStyle name="c_Credit (2)" xfId="1163"/>
    <cellStyle name="c_Credit (2) 2" xfId="1164"/>
    <cellStyle name="c_Credit (2) 2 2" xfId="1165"/>
    <cellStyle name="c_Credit (2)_GTO MAR_1112_310312" xfId="1166"/>
    <cellStyle name="c_Credit (2)_GTO MAR_1112_310312 2" xfId="1167"/>
    <cellStyle name="c_Earnings" xfId="1168"/>
    <cellStyle name="c_Earnings (2)" xfId="1169"/>
    <cellStyle name="c_Earnings (2) 2" xfId="1170"/>
    <cellStyle name="c_Earnings (2) 2 2" xfId="1171"/>
    <cellStyle name="c_Earnings (2)_GTO MAR_1112_310312" xfId="1172"/>
    <cellStyle name="c_Earnings (2)_GTO MAR_1112_310312 2" xfId="1173"/>
    <cellStyle name="c_Earnings 10" xfId="1174"/>
    <cellStyle name="c_Earnings 10 2" xfId="1175"/>
    <cellStyle name="c_Earnings 11" xfId="1176"/>
    <cellStyle name="c_Earnings 11 2" xfId="1177"/>
    <cellStyle name="c_Earnings 12" xfId="1178"/>
    <cellStyle name="c_Earnings 12 2" xfId="1179"/>
    <cellStyle name="c_Earnings 13" xfId="1180"/>
    <cellStyle name="c_Earnings 13 2" xfId="1181"/>
    <cellStyle name="c_Earnings 14" xfId="1182"/>
    <cellStyle name="c_Earnings 14 2" xfId="1183"/>
    <cellStyle name="c_Earnings 15" xfId="1184"/>
    <cellStyle name="c_Earnings 15 2" xfId="1185"/>
    <cellStyle name="c_Earnings 2" xfId="1186"/>
    <cellStyle name="c_Earnings 2 2" xfId="1187"/>
    <cellStyle name="c_Earnings 3" xfId="1188"/>
    <cellStyle name="c_Earnings 3 2" xfId="1189"/>
    <cellStyle name="c_Earnings 4" xfId="1190"/>
    <cellStyle name="c_Earnings 4 2" xfId="1191"/>
    <cellStyle name="c_Earnings 5" xfId="1192"/>
    <cellStyle name="c_Earnings 5 2" xfId="1193"/>
    <cellStyle name="c_Earnings 6" xfId="1194"/>
    <cellStyle name="c_Earnings 6 2" xfId="1195"/>
    <cellStyle name="c_Earnings 7" xfId="1196"/>
    <cellStyle name="c_Earnings 7 2" xfId="1197"/>
    <cellStyle name="c_Earnings 8" xfId="1198"/>
    <cellStyle name="c_Earnings 8 2" xfId="1199"/>
    <cellStyle name="c_Earnings 9" xfId="1200"/>
    <cellStyle name="c_Earnings 9 2" xfId="1201"/>
    <cellStyle name="c_Earnings_GTO MAR_1112_310312" xfId="1202"/>
    <cellStyle name="c_Earnings_GTO MAR_1112_310312 2" xfId="1203"/>
    <cellStyle name="c_finsumm" xfId="1204"/>
    <cellStyle name="c_finsumm 2" xfId="1205"/>
    <cellStyle name="c_finsumm 2 2" xfId="1206"/>
    <cellStyle name="c_finsumm_GTO MAR_1112_310312" xfId="1207"/>
    <cellStyle name="c_finsumm_GTO MAR_1112_310312 2" xfId="1208"/>
    <cellStyle name="c_GoroWipTax-to2050_fromCo_Oct21_99" xfId="1209"/>
    <cellStyle name="c_GoroWipTax-to2050_fromCo_Oct21_99 2" xfId="1210"/>
    <cellStyle name="c_GoroWipTax-to2050_fromCo_Oct21_99 2 2" xfId="1211"/>
    <cellStyle name="c_GoroWipTax-to2050_fromCo_Oct21_99_GTO MAR_1112_310312" xfId="1212"/>
    <cellStyle name="c_GoroWipTax-to2050_fromCo_Oct21_99_GTO MAR_1112_310312 2" xfId="1213"/>
    <cellStyle name="c_GTO MAR_1112_310312" xfId="1214"/>
    <cellStyle name="c_GTO MAR_1112_310312 2" xfId="1215"/>
    <cellStyle name="c_HardInc " xfId="1216"/>
    <cellStyle name="c_HardInc  2" xfId="1217"/>
    <cellStyle name="c_HardInc  2 2" xfId="1218"/>
    <cellStyle name="c_HardInc _GTO MAR_1112_310312" xfId="1219"/>
    <cellStyle name="c_HardInc _GTO MAR_1112_310312 2" xfId="1220"/>
    <cellStyle name="c_Hist Inputs (2)" xfId="1221"/>
    <cellStyle name="c_Hist Inputs (2) 2" xfId="1222"/>
    <cellStyle name="c_Hist Inputs (2) 2 2" xfId="1223"/>
    <cellStyle name="c_Hist Inputs (2)_GTO MAR_1112_310312" xfId="1224"/>
    <cellStyle name="c_Hist Inputs (2)_GTO MAR_1112_310312 2" xfId="1225"/>
    <cellStyle name="c_IEL_finsumm" xfId="1226"/>
    <cellStyle name="c_IEL_finsumm 2" xfId="1227"/>
    <cellStyle name="c_IEL_finsumm 2 2" xfId="1228"/>
    <cellStyle name="c_IEL_finsumm_GTO MAR_1112_310312" xfId="1229"/>
    <cellStyle name="c_IEL_finsumm_GTO MAR_1112_310312 2" xfId="1230"/>
    <cellStyle name="c_IEL_finsumm1" xfId="1231"/>
    <cellStyle name="c_IEL_finsumm1 2" xfId="1232"/>
    <cellStyle name="c_IEL_finsumm1 2 2" xfId="1233"/>
    <cellStyle name="c_IEL_finsumm1_GTO MAR_1112_310312" xfId="1234"/>
    <cellStyle name="c_IEL_finsumm1_GTO MAR_1112_310312 2" xfId="1235"/>
    <cellStyle name="c_LBO Summary" xfId="1236"/>
    <cellStyle name="c_LBO Summary 2" xfId="1237"/>
    <cellStyle name="c_LBO Summary 2 2" xfId="1238"/>
    <cellStyle name="c_LBO Summary_GTO MAR_1112_310312" xfId="1239"/>
    <cellStyle name="c_LBO Summary_GTO MAR_1112_310312 2" xfId="1240"/>
    <cellStyle name="c_Schedules" xfId="1241"/>
    <cellStyle name="c_Schedules 2" xfId="1242"/>
    <cellStyle name="c_Schedules 2 2" xfId="1243"/>
    <cellStyle name="c_Schedules_GTO MAR_1112_310312" xfId="1244"/>
    <cellStyle name="c_Schedules_GTO MAR_1112_310312 2" xfId="1245"/>
    <cellStyle name="c_Trans Assump (2)" xfId="1246"/>
    <cellStyle name="c_Trans Assump (2) 2" xfId="1247"/>
    <cellStyle name="c_Trans Assump (2) 2 2" xfId="1248"/>
    <cellStyle name="c_Trans Assump (2)_GTO MAR_1112_310312" xfId="1249"/>
    <cellStyle name="c_Trans Assump (2)_GTO MAR_1112_310312 2" xfId="1250"/>
    <cellStyle name="c_Unit Price Sen. (2)" xfId="1251"/>
    <cellStyle name="c_Unit Price Sen. (2) 2" xfId="1252"/>
    <cellStyle name="c_Unit Price Sen. (2) 2 2" xfId="1253"/>
    <cellStyle name="c_Unit Price Sen. (2)_GTO MAR_1112_310312" xfId="1254"/>
    <cellStyle name="c_Unit Price Sen. (2)_GTO MAR_1112_310312 2" xfId="1255"/>
    <cellStyle name="Ç¥ÁØ_¿ù°£¿ä¾àº¸°í" xfId="1256"/>
    <cellStyle name="Calc Currency (0)" xfId="1257"/>
    <cellStyle name="Calc Currency (0) 2" xfId="1258"/>
    <cellStyle name="Calc Currency (0) 2 2" xfId="1259"/>
    <cellStyle name="CalcInput" xfId="1260"/>
    <cellStyle name="CalcInput 2" xfId="1261"/>
    <cellStyle name="CalcInput 2 2" xfId="4815"/>
    <cellStyle name="CalcInput 3" xfId="1262"/>
    <cellStyle name="CalcInput 3 2" xfId="4816"/>
    <cellStyle name="CalcInput 4" xfId="3333"/>
    <cellStyle name="Calcs" xfId="1263"/>
    <cellStyle name="Calcs 2" xfId="1264"/>
    <cellStyle name="Calcs 2 2" xfId="1265"/>
    <cellStyle name="Calcs 2 2 2" xfId="4818"/>
    <cellStyle name="Calcs 2 3" xfId="4817"/>
    <cellStyle name="Calcs 3" xfId="3334"/>
    <cellStyle name="Calculation" xfId="56" builtinId="22" customBuiltin="1"/>
    <cellStyle name="Calculation 2" xfId="1266"/>
    <cellStyle name="Calculation 2 2" xfId="1267"/>
    <cellStyle name="Calculation 2 2 2" xfId="1268"/>
    <cellStyle name="Calculation 2 2 3" xfId="3335"/>
    <cellStyle name="Calculation 2 2 4" xfId="6566"/>
    <cellStyle name="Calculation 2 3" xfId="1269"/>
    <cellStyle name="Calculation 2 4" xfId="1270"/>
    <cellStyle name="Calculation 3" xfId="1271"/>
    <cellStyle name="Calculation 3 2" xfId="4819"/>
    <cellStyle name="Calculation 3 3" xfId="6567"/>
    <cellStyle name="Calculation 4" xfId="6568"/>
    <cellStyle name="Check Cell" xfId="58" builtinId="23" customBuiltin="1"/>
    <cellStyle name="Check Cell 2" xfId="1272"/>
    <cellStyle name="Check Cell 2 2" xfId="1273"/>
    <cellStyle name="Check Cell 2 2 2" xfId="1274"/>
    <cellStyle name="Check Cell 2 2 2 2" xfId="4820"/>
    <cellStyle name="Check Cell 2 2 3" xfId="3337"/>
    <cellStyle name="Check Cell 2 2 4" xfId="6569"/>
    <cellStyle name="Check Cell 2 3" xfId="1275"/>
    <cellStyle name="Check Cell 2 4" xfId="1276"/>
    <cellStyle name="Check Cell 2 5" xfId="3336"/>
    <cellStyle name="Check Cell 3" xfId="1277"/>
    <cellStyle name="Check Cell 3 2" xfId="4821"/>
    <cellStyle name="Check Cell 3 3" xfId="6570"/>
    <cellStyle name="Check Cell 4" xfId="3194"/>
    <cellStyle name="column Head Underlined" xfId="1278"/>
    <cellStyle name="column Head Underlined 2" xfId="1279"/>
    <cellStyle name="column Head Underlined 2 2" xfId="4822"/>
    <cellStyle name="column Head Underlined 2 2 2" xfId="8129"/>
    <cellStyle name="column Head Underlined 2 3" xfId="7960"/>
    <cellStyle name="column Head Underlined 3" xfId="3338"/>
    <cellStyle name="column Head Underlined 3 2" xfId="8101"/>
    <cellStyle name="column Head Underlined 4" xfId="6571"/>
    <cellStyle name="Column Heading" xfId="1280"/>
    <cellStyle name="Column Heading 2" xfId="1281"/>
    <cellStyle name="Column Heading 3" xfId="1282"/>
    <cellStyle name="Column Heading 3 2" xfId="1283"/>
    <cellStyle name="Column Heading 3 2 2" xfId="4824"/>
    <cellStyle name="Column Heading 3 2 2 2" xfId="8131"/>
    <cellStyle name="Column Heading 3 2 3" xfId="7962"/>
    <cellStyle name="Column Heading 3 3" xfId="4823"/>
    <cellStyle name="Column Heading 3 3 2" xfId="8130"/>
    <cellStyle name="Column Heading 3 4" xfId="7961"/>
    <cellStyle name="Column Heading 4" xfId="3339"/>
    <cellStyle name="Column Heading 4 2" xfId="6142"/>
    <cellStyle name="Column Heading 4 2 2" xfId="8259"/>
    <cellStyle name="Column Heading 4 3" xfId="4825"/>
    <cellStyle name="Column Heading 4 4" xfId="8102"/>
    <cellStyle name="Column Heading 5" xfId="6572"/>
    <cellStyle name="Comma" xfId="28" builtinId="3"/>
    <cellStyle name="Comma  - Style1" xfId="1284"/>
    <cellStyle name="Comma  - Style1 2" xfId="1285"/>
    <cellStyle name="Comma  - Style1 2 2" xfId="1286"/>
    <cellStyle name="Comma  - Style2" xfId="1287"/>
    <cellStyle name="Comma  - Style2 2" xfId="1288"/>
    <cellStyle name="Comma  - Style2 2 2" xfId="1289"/>
    <cellStyle name="Comma  - Style3" xfId="1290"/>
    <cellStyle name="Comma  - Style3 2" xfId="1291"/>
    <cellStyle name="Comma  - Style3 2 2" xfId="1292"/>
    <cellStyle name="Comma  - Style4" xfId="1293"/>
    <cellStyle name="Comma  - Style4 2" xfId="1294"/>
    <cellStyle name="Comma  - Style4 2 2" xfId="1295"/>
    <cellStyle name="Comma  - Style5" xfId="1296"/>
    <cellStyle name="Comma  - Style5 2" xfId="1297"/>
    <cellStyle name="Comma  - Style5 2 2" xfId="1298"/>
    <cellStyle name="Comma  - Style6" xfId="1299"/>
    <cellStyle name="Comma  - Style6 2" xfId="1300"/>
    <cellStyle name="Comma  - Style6 2 2" xfId="1301"/>
    <cellStyle name="Comma  - Style7" xfId="1302"/>
    <cellStyle name="Comma  - Style7 2" xfId="1303"/>
    <cellStyle name="Comma  - Style7 2 2" xfId="1304"/>
    <cellStyle name="Comma  - Style8" xfId="1305"/>
    <cellStyle name="Comma  - Style8 2" xfId="1306"/>
    <cellStyle name="Comma  - Style8 2 2" xfId="1307"/>
    <cellStyle name="Comma (0)" xfId="1308"/>
    <cellStyle name="Comma (0) 2" xfId="1309"/>
    <cellStyle name="Comma (0) 2 2" xfId="4826"/>
    <cellStyle name="Comma (0) 3" xfId="1310"/>
    <cellStyle name="Comma (0) 3 2" xfId="4827"/>
    <cellStyle name="Comma (0) 4" xfId="3340"/>
    <cellStyle name="Comma [0] 2" xfId="6573"/>
    <cellStyle name="Comma [0] 2 2" xfId="8276"/>
    <cellStyle name="Comma [0] 2 2 2" xfId="9164"/>
    <cellStyle name="Comma [0] 2 3" xfId="8739"/>
    <cellStyle name="Comma [1]" xfId="1311"/>
    <cellStyle name="Comma [1] 2" xfId="1312"/>
    <cellStyle name="Comma [1] 2 2" xfId="1313"/>
    <cellStyle name="Comma [1] 2 2 2" xfId="4829"/>
    <cellStyle name="Comma [1] 2 2 3" xfId="6576"/>
    <cellStyle name="Comma [1] 2 3" xfId="4828"/>
    <cellStyle name="Comma [1] 2 3 2" xfId="6577"/>
    <cellStyle name="Comma [1] 2 4" xfId="6578"/>
    <cellStyle name="Comma [1] 2 5" xfId="6579"/>
    <cellStyle name="Comma [1] 2 6" xfId="6580"/>
    <cellStyle name="Comma [1] 2 7" xfId="6581"/>
    <cellStyle name="Comma [1] 2 8" xfId="6582"/>
    <cellStyle name="Comma [1] 2 9" xfId="6575"/>
    <cellStyle name="Comma [1] 3" xfId="1314"/>
    <cellStyle name="Comma [1] 3 2" xfId="4830"/>
    <cellStyle name="Comma [1] 4" xfId="1315"/>
    <cellStyle name="Comma [1] 5" xfId="4831"/>
    <cellStyle name="Comma [1] 6" xfId="6574"/>
    <cellStyle name="Comma [2]" xfId="1316"/>
    <cellStyle name="Comma [3]" xfId="1317"/>
    <cellStyle name="Comma 0" xfId="1318"/>
    <cellStyle name="Comma 0*" xfId="1319"/>
    <cellStyle name="Comma 10" xfId="1320"/>
    <cellStyle name="Comma 10 2" xfId="1321"/>
    <cellStyle name="Comma 10 2 2" xfId="4833"/>
    <cellStyle name="Comma 10 2 2 2" xfId="8133"/>
    <cellStyle name="Comma 10 2 2 2 2" xfId="9024"/>
    <cellStyle name="Comma 10 2 2 3" xfId="8601"/>
    <cellStyle name="Comma 10 2 3" xfId="7964"/>
    <cellStyle name="Comma 10 2 3 2" xfId="8864"/>
    <cellStyle name="Comma 10 2 4" xfId="8442"/>
    <cellStyle name="Comma 10 3" xfId="4832"/>
    <cellStyle name="Comma 10 3 2" xfId="8132"/>
    <cellStyle name="Comma 10 3 2 2" xfId="9023"/>
    <cellStyle name="Comma 10 3 3" xfId="8600"/>
    <cellStyle name="Comma 10 4" xfId="6583"/>
    <cellStyle name="Comma 10 4 2" xfId="8277"/>
    <cellStyle name="Comma 10 4 2 2" xfId="9165"/>
    <cellStyle name="Comma 10 4 3" xfId="8740"/>
    <cellStyle name="Comma 10 5" xfId="7963"/>
    <cellStyle name="Comma 10 5 2" xfId="8863"/>
    <cellStyle name="Comma 10 6" xfId="8441"/>
    <cellStyle name="Comma 11" xfId="1322"/>
    <cellStyle name="Comma 11 2" xfId="1323"/>
    <cellStyle name="Comma 11 2 2" xfId="4835"/>
    <cellStyle name="Comma 11 2 2 2" xfId="8135"/>
    <cellStyle name="Comma 11 2 2 2 2" xfId="9026"/>
    <cellStyle name="Comma 11 2 2 3" xfId="8603"/>
    <cellStyle name="Comma 11 2 3" xfId="7966"/>
    <cellStyle name="Comma 11 2 3 2" xfId="8866"/>
    <cellStyle name="Comma 11 2 4" xfId="8444"/>
    <cellStyle name="Comma 11 3" xfId="4834"/>
    <cellStyle name="Comma 11 3 2" xfId="8134"/>
    <cellStyle name="Comma 11 3 2 2" xfId="9025"/>
    <cellStyle name="Comma 11 3 3" xfId="8602"/>
    <cellStyle name="Comma 11 4" xfId="6584"/>
    <cellStyle name="Comma 11 4 2" xfId="8278"/>
    <cellStyle name="Comma 11 4 2 2" xfId="9166"/>
    <cellStyle name="Comma 11 4 3" xfId="8741"/>
    <cellStyle name="Comma 11 5" xfId="7965"/>
    <cellStyle name="Comma 11 5 2" xfId="8865"/>
    <cellStyle name="Comma 11 6" xfId="8443"/>
    <cellStyle name="Comma 12" xfId="1324"/>
    <cellStyle name="Comma 12 2" xfId="1325"/>
    <cellStyle name="Comma 12 2 2" xfId="4837"/>
    <cellStyle name="Comma 12 2 2 2" xfId="8137"/>
    <cellStyle name="Comma 12 2 2 2 2" xfId="9028"/>
    <cellStyle name="Comma 12 2 2 3" xfId="8605"/>
    <cellStyle name="Comma 12 2 3" xfId="7968"/>
    <cellStyle name="Comma 12 2 3 2" xfId="8868"/>
    <cellStyle name="Comma 12 2 4" xfId="8446"/>
    <cellStyle name="Comma 12 3" xfId="4836"/>
    <cellStyle name="Comma 12 3 2" xfId="8136"/>
    <cellStyle name="Comma 12 3 2 2" xfId="9027"/>
    <cellStyle name="Comma 12 3 3" xfId="8604"/>
    <cellStyle name="Comma 12 4" xfId="6585"/>
    <cellStyle name="Comma 12 4 2" xfId="8279"/>
    <cellStyle name="Comma 12 4 2 2" xfId="9167"/>
    <cellStyle name="Comma 12 4 3" xfId="8742"/>
    <cellStyle name="Comma 12 5" xfId="7967"/>
    <cellStyle name="Comma 12 5 2" xfId="8867"/>
    <cellStyle name="Comma 12 6" xfId="8445"/>
    <cellStyle name="Comma 13" xfId="1326"/>
    <cellStyle name="Comma 13 2" xfId="1327"/>
    <cellStyle name="Comma 13 2 2" xfId="4839"/>
    <cellStyle name="Comma 13 2 2 2" xfId="8139"/>
    <cellStyle name="Comma 13 2 2 2 2" xfId="9030"/>
    <cellStyle name="Comma 13 2 2 3" xfId="8607"/>
    <cellStyle name="Comma 13 2 3" xfId="7970"/>
    <cellStyle name="Comma 13 2 3 2" xfId="8870"/>
    <cellStyle name="Comma 13 2 4" xfId="8448"/>
    <cellStyle name="Comma 13 3" xfId="4838"/>
    <cellStyle name="Comma 13 3 2" xfId="8138"/>
    <cellStyle name="Comma 13 3 2 2" xfId="9029"/>
    <cellStyle name="Comma 13 3 3" xfId="8606"/>
    <cellStyle name="Comma 13 4" xfId="6586"/>
    <cellStyle name="Comma 13 4 2" xfId="8280"/>
    <cellStyle name="Comma 13 4 2 2" xfId="9168"/>
    <cellStyle name="Comma 13 4 3" xfId="8743"/>
    <cellStyle name="Comma 13 5" xfId="7969"/>
    <cellStyle name="Comma 13 5 2" xfId="8869"/>
    <cellStyle name="Comma 13 6" xfId="8447"/>
    <cellStyle name="Comma 14" xfId="1328"/>
    <cellStyle name="Comma 14 2" xfId="1329"/>
    <cellStyle name="Comma 14 2 2" xfId="4841"/>
    <cellStyle name="Comma 14 2 2 2" xfId="8141"/>
    <cellStyle name="Comma 14 2 2 2 2" xfId="9032"/>
    <cellStyle name="Comma 14 2 2 3" xfId="8609"/>
    <cellStyle name="Comma 14 2 3" xfId="7972"/>
    <cellStyle name="Comma 14 2 3 2" xfId="8872"/>
    <cellStyle name="Comma 14 2 4" xfId="8450"/>
    <cellStyle name="Comma 14 3" xfId="4840"/>
    <cellStyle name="Comma 14 3 2" xfId="8140"/>
    <cellStyle name="Comma 14 3 2 2" xfId="9031"/>
    <cellStyle name="Comma 14 3 3" xfId="8608"/>
    <cellStyle name="Comma 14 4" xfId="6587"/>
    <cellStyle name="Comma 14 4 2" xfId="8281"/>
    <cellStyle name="Comma 14 4 2 2" xfId="9169"/>
    <cellStyle name="Comma 14 4 3" xfId="8744"/>
    <cellStyle name="Comma 14 5" xfId="7971"/>
    <cellStyle name="Comma 14 5 2" xfId="8871"/>
    <cellStyle name="Comma 14 6" xfId="8449"/>
    <cellStyle name="Comma 15" xfId="1330"/>
    <cellStyle name="Comma 15 2" xfId="1331"/>
    <cellStyle name="Comma 15 2 2" xfId="4843"/>
    <cellStyle name="Comma 15 2 2 2" xfId="8143"/>
    <cellStyle name="Comma 15 2 2 2 2" xfId="9034"/>
    <cellStyle name="Comma 15 2 2 3" xfId="8611"/>
    <cellStyle name="Comma 15 2 3" xfId="7974"/>
    <cellStyle name="Comma 15 2 3 2" xfId="8874"/>
    <cellStyle name="Comma 15 2 4" xfId="8452"/>
    <cellStyle name="Comma 15 3" xfId="4842"/>
    <cellStyle name="Comma 15 3 2" xfId="8142"/>
    <cellStyle name="Comma 15 3 2 2" xfId="9033"/>
    <cellStyle name="Comma 15 3 3" xfId="8610"/>
    <cellStyle name="Comma 15 4" xfId="7973"/>
    <cellStyle name="Comma 15 4 2" xfId="8873"/>
    <cellStyle name="Comma 15 5" xfId="8451"/>
    <cellStyle name="Comma 16" xfId="1332"/>
    <cellStyle name="Comma 16 2" xfId="1333"/>
    <cellStyle name="Comma 16 2 2" xfId="4845"/>
    <cellStyle name="Comma 16 2 2 2" xfId="8145"/>
    <cellStyle name="Comma 16 2 2 2 2" xfId="9036"/>
    <cellStyle name="Comma 16 2 2 3" xfId="8613"/>
    <cellStyle name="Comma 16 2 3" xfId="7976"/>
    <cellStyle name="Comma 16 2 3 2" xfId="8876"/>
    <cellStyle name="Comma 16 2 4" xfId="8454"/>
    <cellStyle name="Comma 16 3" xfId="4844"/>
    <cellStyle name="Comma 16 3 2" xfId="8144"/>
    <cellStyle name="Comma 16 3 2 2" xfId="9035"/>
    <cellStyle name="Comma 16 3 3" xfId="8612"/>
    <cellStyle name="Comma 16 4" xfId="7975"/>
    <cellStyle name="Comma 16 4 2" xfId="8875"/>
    <cellStyle name="Comma 16 5" xfId="8453"/>
    <cellStyle name="Comma 17" xfId="1334"/>
    <cellStyle name="Comma 17 2" xfId="1335"/>
    <cellStyle name="Comma 17 2 2" xfId="4847"/>
    <cellStyle name="Comma 17 2 2 2" xfId="8147"/>
    <cellStyle name="Comma 17 2 2 2 2" xfId="9038"/>
    <cellStyle name="Comma 17 2 2 3" xfId="8615"/>
    <cellStyle name="Comma 17 2 3" xfId="7978"/>
    <cellStyle name="Comma 17 2 3 2" xfId="8878"/>
    <cellStyle name="Comma 17 2 4" xfId="8456"/>
    <cellStyle name="Comma 17 3" xfId="4846"/>
    <cellStyle name="Comma 17 3 2" xfId="8146"/>
    <cellStyle name="Comma 17 3 2 2" xfId="9037"/>
    <cellStyle name="Comma 17 3 3" xfId="8614"/>
    <cellStyle name="Comma 17 4" xfId="7977"/>
    <cellStyle name="Comma 17 4 2" xfId="8877"/>
    <cellStyle name="Comma 17 5" xfId="8455"/>
    <cellStyle name="Comma 18" xfId="1336"/>
    <cellStyle name="Comma 18 2" xfId="1337"/>
    <cellStyle name="Comma 18 2 2" xfId="4849"/>
    <cellStyle name="Comma 18 2 2 2" xfId="8149"/>
    <cellStyle name="Comma 18 2 2 2 2" xfId="9040"/>
    <cellStyle name="Comma 18 2 2 3" xfId="8617"/>
    <cellStyle name="Comma 18 2 3" xfId="7980"/>
    <cellStyle name="Comma 18 2 3 2" xfId="8880"/>
    <cellStyle name="Comma 18 2 4" xfId="8458"/>
    <cellStyle name="Comma 18 3" xfId="4848"/>
    <cellStyle name="Comma 18 3 2" xfId="8148"/>
    <cellStyle name="Comma 18 3 2 2" xfId="9039"/>
    <cellStyle name="Comma 18 3 3" xfId="8616"/>
    <cellStyle name="Comma 18 4" xfId="7979"/>
    <cellStyle name="Comma 18 4 2" xfId="8879"/>
    <cellStyle name="Comma 18 5" xfId="8457"/>
    <cellStyle name="Comma 19" xfId="1338"/>
    <cellStyle name="Comma 19 2" xfId="1339"/>
    <cellStyle name="Comma 19 2 2" xfId="7982"/>
    <cellStyle name="Comma 19 2 2 2" xfId="8882"/>
    <cellStyle name="Comma 19 2 3" xfId="8460"/>
    <cellStyle name="Comma 19 3" xfId="7653"/>
    <cellStyle name="Comma 19 3 2" xfId="8370"/>
    <cellStyle name="Comma 19 3 2 2" xfId="9258"/>
    <cellStyle name="Comma 19 3 3" xfId="8832"/>
    <cellStyle name="Comma 19 4" xfId="7981"/>
    <cellStyle name="Comma 19 4 2" xfId="8881"/>
    <cellStyle name="Comma 19 5" xfId="8459"/>
    <cellStyle name="Comma 2" xfId="5"/>
    <cellStyle name="Comma 2 10" xfId="6588"/>
    <cellStyle name="Comma 2 10 2" xfId="8282"/>
    <cellStyle name="Comma 2 10 2 2" xfId="9170"/>
    <cellStyle name="Comma 2 10 3" xfId="8745"/>
    <cellStyle name="Comma 2 11" xfId="6589"/>
    <cellStyle name="Comma 2 11 2" xfId="8283"/>
    <cellStyle name="Comma 2 11 2 2" xfId="9171"/>
    <cellStyle name="Comma 2 11 3" xfId="8746"/>
    <cellStyle name="Comma 2 12" xfId="6590"/>
    <cellStyle name="Comma 2 12 2" xfId="8284"/>
    <cellStyle name="Comma 2 12 2 2" xfId="9172"/>
    <cellStyle name="Comma 2 12 3" xfId="8747"/>
    <cellStyle name="Comma 2 13" xfId="6591"/>
    <cellStyle name="Comma 2 13 2" xfId="8285"/>
    <cellStyle name="Comma 2 13 2 2" xfId="9173"/>
    <cellStyle name="Comma 2 13 3" xfId="8748"/>
    <cellStyle name="Comma 2 14" xfId="6592"/>
    <cellStyle name="Comma 2 14 2" xfId="8286"/>
    <cellStyle name="Comma 2 14 2 2" xfId="9174"/>
    <cellStyle name="Comma 2 14 3" xfId="8749"/>
    <cellStyle name="Comma 2 15" xfId="6593"/>
    <cellStyle name="Comma 2 15 2" xfId="8287"/>
    <cellStyle name="Comma 2 15 2 2" xfId="9175"/>
    <cellStyle name="Comma 2 15 3" xfId="8750"/>
    <cellStyle name="Comma 2 16" xfId="6594"/>
    <cellStyle name="Comma 2 16 2" xfId="8288"/>
    <cellStyle name="Comma 2 16 2 2" xfId="9176"/>
    <cellStyle name="Comma 2 16 3" xfId="8751"/>
    <cellStyle name="Comma 2 17" xfId="6595"/>
    <cellStyle name="Comma 2 17 2" xfId="8289"/>
    <cellStyle name="Comma 2 17 2 2" xfId="9177"/>
    <cellStyle name="Comma 2 17 3" xfId="8752"/>
    <cellStyle name="Comma 2 18" xfId="6596"/>
    <cellStyle name="Comma 2 18 2" xfId="8290"/>
    <cellStyle name="Comma 2 18 2 2" xfId="9178"/>
    <cellStyle name="Comma 2 18 3" xfId="8753"/>
    <cellStyle name="Comma 2 19" xfId="6597"/>
    <cellStyle name="Comma 2 19 2" xfId="8291"/>
    <cellStyle name="Comma 2 19 2 2" xfId="9179"/>
    <cellStyle name="Comma 2 19 3" xfId="8754"/>
    <cellStyle name="Comma 2 2" xfId="19"/>
    <cellStyle name="Comma 2 2 10" xfId="6598"/>
    <cellStyle name="Comma 2 2 10 2" xfId="8292"/>
    <cellStyle name="Comma 2 2 10 2 2" xfId="9180"/>
    <cellStyle name="Comma 2 2 10 3" xfId="8755"/>
    <cellStyle name="Comma 2 2 11" xfId="6599"/>
    <cellStyle name="Comma 2 2 11 2" xfId="8293"/>
    <cellStyle name="Comma 2 2 11 2 2" xfId="9181"/>
    <cellStyle name="Comma 2 2 11 3" xfId="8756"/>
    <cellStyle name="Comma 2 2 12" xfId="6600"/>
    <cellStyle name="Comma 2 2 12 2" xfId="8294"/>
    <cellStyle name="Comma 2 2 12 2 2" xfId="9182"/>
    <cellStyle name="Comma 2 2 12 3" xfId="8757"/>
    <cellStyle name="Comma 2 2 13" xfId="6601"/>
    <cellStyle name="Comma 2 2 13 2" xfId="8295"/>
    <cellStyle name="Comma 2 2 13 2 2" xfId="9183"/>
    <cellStyle name="Comma 2 2 13 3" xfId="8758"/>
    <cellStyle name="Comma 2 2 14" xfId="6602"/>
    <cellStyle name="Comma 2 2 14 2" xfId="8296"/>
    <cellStyle name="Comma 2 2 14 2 2" xfId="9184"/>
    <cellStyle name="Comma 2 2 14 3" xfId="8759"/>
    <cellStyle name="Comma 2 2 15" xfId="6603"/>
    <cellStyle name="Comma 2 2 15 2" xfId="8297"/>
    <cellStyle name="Comma 2 2 15 2 2" xfId="9185"/>
    <cellStyle name="Comma 2 2 15 3" xfId="8760"/>
    <cellStyle name="Comma 2 2 16" xfId="6604"/>
    <cellStyle name="Comma 2 2 16 2" xfId="8298"/>
    <cellStyle name="Comma 2 2 16 2 2" xfId="9186"/>
    <cellStyle name="Comma 2 2 16 3" xfId="8761"/>
    <cellStyle name="Comma 2 2 17" xfId="6605"/>
    <cellStyle name="Comma 2 2 17 2" xfId="8299"/>
    <cellStyle name="Comma 2 2 17 2 2" xfId="9187"/>
    <cellStyle name="Comma 2 2 17 3" xfId="8762"/>
    <cellStyle name="Comma 2 2 18" xfId="6606"/>
    <cellStyle name="Comma 2 2 18 2" xfId="8300"/>
    <cellStyle name="Comma 2 2 18 2 2" xfId="9188"/>
    <cellStyle name="Comma 2 2 18 3" xfId="8763"/>
    <cellStyle name="Comma 2 2 19" xfId="6607"/>
    <cellStyle name="Comma 2 2 19 2" xfId="8301"/>
    <cellStyle name="Comma 2 2 19 2 2" xfId="9189"/>
    <cellStyle name="Comma 2 2 19 3" xfId="8764"/>
    <cellStyle name="Comma 2 2 2" xfId="1342"/>
    <cellStyle name="Comma 2 2 2 10" xfId="6609"/>
    <cellStyle name="Comma 2 2 2 11" xfId="6610"/>
    <cellStyle name="Comma 2 2 2 12" xfId="6611"/>
    <cellStyle name="Comma 2 2 2 13" xfId="6612"/>
    <cellStyle name="Comma 2 2 2 14" xfId="6613"/>
    <cellStyle name="Comma 2 2 2 15" xfId="6614"/>
    <cellStyle name="Comma 2 2 2 16" xfId="6615"/>
    <cellStyle name="Comma 2 2 2 17" xfId="6616"/>
    <cellStyle name="Comma 2 2 2 18" xfId="6617"/>
    <cellStyle name="Comma 2 2 2 19" xfId="6608"/>
    <cellStyle name="Comma 2 2 2 19 2" xfId="8302"/>
    <cellStyle name="Comma 2 2 2 19 2 2" xfId="9190"/>
    <cellStyle name="Comma 2 2 2 19 3" xfId="8765"/>
    <cellStyle name="Comma 2 2 2 2" xfId="3342"/>
    <cellStyle name="Comma 2 2 2 2 10" xfId="8104"/>
    <cellStyle name="Comma 2 2 2 2 10 2" xfId="9000"/>
    <cellStyle name="Comma 2 2 2 2 11" xfId="8577"/>
    <cellStyle name="Comma 2 2 2 2 2" xfId="6619"/>
    <cellStyle name="Comma 2 2 2 2 2 2" xfId="6620"/>
    <cellStyle name="Comma 2 2 2 2 2 3" xfId="6621"/>
    <cellStyle name="Comma 2 2 2 2 2 4" xfId="6622"/>
    <cellStyle name="Comma 2 2 2 2 2 5" xfId="6623"/>
    <cellStyle name="Comma 2 2 2 2 2 6" xfId="6624"/>
    <cellStyle name="Comma 2 2 2 2 2 7" xfId="6625"/>
    <cellStyle name="Comma 2 2 2 2 2 8" xfId="8303"/>
    <cellStyle name="Comma 2 2 2 2 2 8 2" xfId="9191"/>
    <cellStyle name="Comma 2 2 2 2 2 9" xfId="8766"/>
    <cellStyle name="Comma 2 2 2 2 3" xfId="6626"/>
    <cellStyle name="Comma 2 2 2 2 4" xfId="6627"/>
    <cellStyle name="Comma 2 2 2 2 4 2" xfId="8304"/>
    <cellStyle name="Comma 2 2 2 2 4 2 2" xfId="9192"/>
    <cellStyle name="Comma 2 2 2 2 4 3" xfId="8767"/>
    <cellStyle name="Comma 2 2 2 2 5" xfId="6628"/>
    <cellStyle name="Comma 2 2 2 2 5 2" xfId="8305"/>
    <cellStyle name="Comma 2 2 2 2 5 2 2" xfId="9193"/>
    <cellStyle name="Comma 2 2 2 2 5 3" xfId="8768"/>
    <cellStyle name="Comma 2 2 2 2 6" xfId="6629"/>
    <cellStyle name="Comma 2 2 2 2 6 2" xfId="8306"/>
    <cellStyle name="Comma 2 2 2 2 6 2 2" xfId="9194"/>
    <cellStyle name="Comma 2 2 2 2 6 3" xfId="8769"/>
    <cellStyle name="Comma 2 2 2 2 7" xfId="6630"/>
    <cellStyle name="Comma 2 2 2 2 7 2" xfId="8307"/>
    <cellStyle name="Comma 2 2 2 2 7 2 2" xfId="9195"/>
    <cellStyle name="Comma 2 2 2 2 7 3" xfId="8770"/>
    <cellStyle name="Comma 2 2 2 2 8" xfId="6631"/>
    <cellStyle name="Comma 2 2 2 2 8 2" xfId="8308"/>
    <cellStyle name="Comma 2 2 2 2 8 2 2" xfId="9196"/>
    <cellStyle name="Comma 2 2 2 2 8 3" xfId="8771"/>
    <cellStyle name="Comma 2 2 2 2 9" xfId="6618"/>
    <cellStyle name="Comma 2 2 2 3" xfId="4850"/>
    <cellStyle name="Comma 2 2 2 4" xfId="6632"/>
    <cellStyle name="Comma 2 2 2 5" xfId="6633"/>
    <cellStyle name="Comma 2 2 2 5 2" xfId="6634"/>
    <cellStyle name="Comma 2 2 2 5 2 2" xfId="8309"/>
    <cellStyle name="Comma 2 2 2 5 2 2 2" xfId="9197"/>
    <cellStyle name="Comma 2 2 2 5 2 3" xfId="8772"/>
    <cellStyle name="Comma 2 2 2 5 3" xfId="6635"/>
    <cellStyle name="Comma 2 2 2 5 3 2" xfId="8310"/>
    <cellStyle name="Comma 2 2 2 5 3 2 2" xfId="9198"/>
    <cellStyle name="Comma 2 2 2 5 3 3" xfId="8773"/>
    <cellStyle name="Comma 2 2 2 5 4" xfId="6636"/>
    <cellStyle name="Comma 2 2 2 5 4 2" xfId="8311"/>
    <cellStyle name="Comma 2 2 2 5 4 2 2" xfId="9199"/>
    <cellStyle name="Comma 2 2 2 5 4 3" xfId="8774"/>
    <cellStyle name="Comma 2 2 2 5 5" xfId="6637"/>
    <cellStyle name="Comma 2 2 2 5 5 2" xfId="8312"/>
    <cellStyle name="Comma 2 2 2 5 5 2 2" xfId="9200"/>
    <cellStyle name="Comma 2 2 2 5 5 3" xfId="8775"/>
    <cellStyle name="Comma 2 2 2 5 6" xfId="6638"/>
    <cellStyle name="Comma 2 2 2 5 6 2" xfId="8313"/>
    <cellStyle name="Comma 2 2 2 5 6 2 2" xfId="9201"/>
    <cellStyle name="Comma 2 2 2 5 6 3" xfId="8776"/>
    <cellStyle name="Comma 2 2 2 5 7" xfId="6639"/>
    <cellStyle name="Comma 2 2 2 5 7 2" xfId="8314"/>
    <cellStyle name="Comma 2 2 2 5 7 2 2" xfId="9202"/>
    <cellStyle name="Comma 2 2 2 5 7 3" xfId="8777"/>
    <cellStyle name="Comma 2 2 2 6" xfId="6640"/>
    <cellStyle name="Comma 2 2 2 7" xfId="6641"/>
    <cellStyle name="Comma 2 2 2 8" xfId="6642"/>
    <cellStyle name="Comma 2 2 2 9" xfId="6643"/>
    <cellStyle name="Comma 2 2 20" xfId="6644"/>
    <cellStyle name="Comma 2 2 20 2" xfId="8315"/>
    <cellStyle name="Comma 2 2 20 2 2" xfId="9203"/>
    <cellStyle name="Comma 2 2 20 3" xfId="8778"/>
    <cellStyle name="Comma 2 2 21" xfId="1341"/>
    <cellStyle name="Comma 2 2 22" xfId="7952"/>
    <cellStyle name="Comma 2 2 22 2" xfId="8855"/>
    <cellStyle name="Comma 2 2 23" xfId="8427"/>
    <cellStyle name="Comma 2 2 3" xfId="1343"/>
    <cellStyle name="Comma 2 2 3 2" xfId="1344"/>
    <cellStyle name="Comma 2 2 3 2 2" xfId="4852"/>
    <cellStyle name="Comma 2 2 3 2 2 2" xfId="8151"/>
    <cellStyle name="Comma 2 2 3 2 2 2 2" xfId="9042"/>
    <cellStyle name="Comma 2 2 3 2 2 3" xfId="8619"/>
    <cellStyle name="Comma 2 2 3 2 3" xfId="7984"/>
    <cellStyle name="Comma 2 2 3 2 3 2" xfId="8884"/>
    <cellStyle name="Comma 2 2 3 2 4" xfId="8462"/>
    <cellStyle name="Comma 2 2 3 3" xfId="4851"/>
    <cellStyle name="Comma 2 2 3 3 2" xfId="8150"/>
    <cellStyle name="Comma 2 2 3 3 2 2" xfId="9041"/>
    <cellStyle name="Comma 2 2 3 3 3" xfId="8618"/>
    <cellStyle name="Comma 2 2 3 4" xfId="6645"/>
    <cellStyle name="Comma 2 2 3 5" xfId="7983"/>
    <cellStyle name="Comma 2 2 3 5 2" xfId="8883"/>
    <cellStyle name="Comma 2 2 3 6" xfId="8461"/>
    <cellStyle name="Comma 2 2 4" xfId="3114"/>
    <cellStyle name="Comma 2 2 4 10" xfId="8097"/>
    <cellStyle name="Comma 2 2 4 10 2" xfId="8995"/>
    <cellStyle name="Comma 2 2 4 11" xfId="8572"/>
    <cellStyle name="Comma 2 2 4 2" xfId="4853"/>
    <cellStyle name="Comma 2 2 4 2 10" xfId="8620"/>
    <cellStyle name="Comma 2 2 4 2 2" xfId="6648"/>
    <cellStyle name="Comma 2 2 4 2 2 2" xfId="8318"/>
    <cellStyle name="Comma 2 2 4 2 2 2 2" xfId="9206"/>
    <cellStyle name="Comma 2 2 4 2 2 3" xfId="8781"/>
    <cellStyle name="Comma 2 2 4 2 3" xfId="6649"/>
    <cellStyle name="Comma 2 2 4 2 3 2" xfId="8319"/>
    <cellStyle name="Comma 2 2 4 2 3 2 2" xfId="9207"/>
    <cellStyle name="Comma 2 2 4 2 3 3" xfId="8782"/>
    <cellStyle name="Comma 2 2 4 2 4" xfId="6650"/>
    <cellStyle name="Comma 2 2 4 2 4 2" xfId="8320"/>
    <cellStyle name="Comma 2 2 4 2 4 2 2" xfId="9208"/>
    <cellStyle name="Comma 2 2 4 2 4 3" xfId="8783"/>
    <cellStyle name="Comma 2 2 4 2 5" xfId="6651"/>
    <cellStyle name="Comma 2 2 4 2 5 2" xfId="8321"/>
    <cellStyle name="Comma 2 2 4 2 5 2 2" xfId="9209"/>
    <cellStyle name="Comma 2 2 4 2 5 3" xfId="8784"/>
    <cellStyle name="Comma 2 2 4 2 6" xfId="6652"/>
    <cellStyle name="Comma 2 2 4 2 6 2" xfId="8322"/>
    <cellStyle name="Comma 2 2 4 2 6 2 2" xfId="9210"/>
    <cellStyle name="Comma 2 2 4 2 6 3" xfId="8785"/>
    <cellStyle name="Comma 2 2 4 2 7" xfId="6653"/>
    <cellStyle name="Comma 2 2 4 2 7 2" xfId="8323"/>
    <cellStyle name="Comma 2 2 4 2 7 2 2" xfId="9211"/>
    <cellStyle name="Comma 2 2 4 2 7 3" xfId="8786"/>
    <cellStyle name="Comma 2 2 4 2 8" xfId="6647"/>
    <cellStyle name="Comma 2 2 4 2 8 2" xfId="8317"/>
    <cellStyle name="Comma 2 2 4 2 8 2 2" xfId="9205"/>
    <cellStyle name="Comma 2 2 4 2 8 3" xfId="8780"/>
    <cellStyle name="Comma 2 2 4 2 9" xfId="8152"/>
    <cellStyle name="Comma 2 2 4 2 9 2" xfId="9043"/>
    <cellStyle name="Comma 2 2 4 3" xfId="6654"/>
    <cellStyle name="Comma 2 2 4 3 2" xfId="8324"/>
    <cellStyle name="Comma 2 2 4 3 2 2" xfId="9212"/>
    <cellStyle name="Comma 2 2 4 3 3" xfId="8787"/>
    <cellStyle name="Comma 2 2 4 4" xfId="6655"/>
    <cellStyle name="Comma 2 2 4 4 2" xfId="8325"/>
    <cellStyle name="Comma 2 2 4 4 2 2" xfId="9213"/>
    <cellStyle name="Comma 2 2 4 4 3" xfId="8788"/>
    <cellStyle name="Comma 2 2 4 5" xfId="6656"/>
    <cellStyle name="Comma 2 2 4 5 2" xfId="8326"/>
    <cellStyle name="Comma 2 2 4 5 2 2" xfId="9214"/>
    <cellStyle name="Comma 2 2 4 5 3" xfId="8789"/>
    <cellStyle name="Comma 2 2 4 6" xfId="6657"/>
    <cellStyle name="Comma 2 2 4 6 2" xfId="8327"/>
    <cellStyle name="Comma 2 2 4 6 2 2" xfId="9215"/>
    <cellStyle name="Comma 2 2 4 6 3" xfId="8790"/>
    <cellStyle name="Comma 2 2 4 7" xfId="6658"/>
    <cellStyle name="Comma 2 2 4 7 2" xfId="8328"/>
    <cellStyle name="Comma 2 2 4 7 2 2" xfId="9216"/>
    <cellStyle name="Comma 2 2 4 7 3" xfId="8791"/>
    <cellStyle name="Comma 2 2 4 8" xfId="6659"/>
    <cellStyle name="Comma 2 2 4 8 2" xfId="8329"/>
    <cellStyle name="Comma 2 2 4 8 2 2" xfId="9217"/>
    <cellStyle name="Comma 2 2 4 8 3" xfId="8792"/>
    <cellStyle name="Comma 2 2 4 9" xfId="6646"/>
    <cellStyle name="Comma 2 2 4 9 2" xfId="8316"/>
    <cellStyle name="Comma 2 2 4 9 2 2" xfId="9204"/>
    <cellStyle name="Comma 2 2 4 9 3" xfId="8779"/>
    <cellStyle name="Comma 2 2 5" xfId="3341"/>
    <cellStyle name="Comma 2 2 5 2" xfId="6143"/>
    <cellStyle name="Comma 2 2 5 2 2" xfId="8260"/>
    <cellStyle name="Comma 2 2 5 2 2 2" xfId="9148"/>
    <cellStyle name="Comma 2 2 5 2 3" xfId="8724"/>
    <cellStyle name="Comma 2 2 5 3" xfId="4854"/>
    <cellStyle name="Comma 2 2 5 3 2" xfId="8153"/>
    <cellStyle name="Comma 2 2 5 3 2 2" xfId="9044"/>
    <cellStyle name="Comma 2 2 5 3 3" xfId="8621"/>
    <cellStyle name="Comma 2 2 5 4" xfId="6660"/>
    <cellStyle name="Comma 2 2 5 4 2" xfId="8330"/>
    <cellStyle name="Comma 2 2 5 4 2 2" xfId="9218"/>
    <cellStyle name="Comma 2 2 5 4 3" xfId="8793"/>
    <cellStyle name="Comma 2 2 5 5" xfId="8103"/>
    <cellStyle name="Comma 2 2 5 5 2" xfId="8999"/>
    <cellStyle name="Comma 2 2 5 6" xfId="8576"/>
    <cellStyle name="Comma 2 2 6" xfId="4855"/>
    <cellStyle name="Comma 2 2 6 10" xfId="8622"/>
    <cellStyle name="Comma 2 2 6 2" xfId="6662"/>
    <cellStyle name="Comma 2 2 6 2 2" xfId="8332"/>
    <cellStyle name="Comma 2 2 6 2 2 2" xfId="9220"/>
    <cellStyle name="Comma 2 2 6 2 3" xfId="8795"/>
    <cellStyle name="Comma 2 2 6 3" xfId="6663"/>
    <cellStyle name="Comma 2 2 6 3 2" xfId="8333"/>
    <cellStyle name="Comma 2 2 6 3 2 2" xfId="9221"/>
    <cellStyle name="Comma 2 2 6 3 3" xfId="8796"/>
    <cellStyle name="Comma 2 2 6 4" xfId="6664"/>
    <cellStyle name="Comma 2 2 6 4 2" xfId="8334"/>
    <cellStyle name="Comma 2 2 6 4 2 2" xfId="9222"/>
    <cellStyle name="Comma 2 2 6 4 3" xfId="8797"/>
    <cellStyle name="Comma 2 2 6 5" xfId="6665"/>
    <cellStyle name="Comma 2 2 6 5 2" xfId="8335"/>
    <cellStyle name="Comma 2 2 6 5 2 2" xfId="9223"/>
    <cellStyle name="Comma 2 2 6 5 3" xfId="8798"/>
    <cellStyle name="Comma 2 2 6 6" xfId="6666"/>
    <cellStyle name="Comma 2 2 6 6 2" xfId="8336"/>
    <cellStyle name="Comma 2 2 6 6 2 2" xfId="9224"/>
    <cellStyle name="Comma 2 2 6 6 3" xfId="8799"/>
    <cellStyle name="Comma 2 2 6 7" xfId="6667"/>
    <cellStyle name="Comma 2 2 6 7 2" xfId="8337"/>
    <cellStyle name="Comma 2 2 6 7 2 2" xfId="9225"/>
    <cellStyle name="Comma 2 2 6 7 3" xfId="8800"/>
    <cellStyle name="Comma 2 2 6 8" xfId="6661"/>
    <cellStyle name="Comma 2 2 6 8 2" xfId="8331"/>
    <cellStyle name="Comma 2 2 6 8 2 2" xfId="9219"/>
    <cellStyle name="Comma 2 2 6 8 3" xfId="8794"/>
    <cellStyle name="Comma 2 2 6 9" xfId="8154"/>
    <cellStyle name="Comma 2 2 6 9 2" xfId="9045"/>
    <cellStyle name="Comma 2 2 7" xfId="4856"/>
    <cellStyle name="Comma 2 2 7 2" xfId="6668"/>
    <cellStyle name="Comma 2 2 7 2 2" xfId="8338"/>
    <cellStyle name="Comma 2 2 7 2 2 2" xfId="9226"/>
    <cellStyle name="Comma 2 2 7 2 3" xfId="8801"/>
    <cellStyle name="Comma 2 2 8" xfId="5994"/>
    <cellStyle name="Comma 2 2 8 2" xfId="6669"/>
    <cellStyle name="Comma 2 2 8 2 2" xfId="8339"/>
    <cellStyle name="Comma 2 2 8 2 2 2" xfId="9227"/>
    <cellStyle name="Comma 2 2 8 2 3" xfId="8802"/>
    <cellStyle name="Comma 2 2 8 3" xfId="8220"/>
    <cellStyle name="Comma 2 2 8 3 2" xfId="9110"/>
    <cellStyle name="Comma 2 2 8 4" xfId="8686"/>
    <cellStyle name="Comma 2 2 9" xfId="6670"/>
    <cellStyle name="Comma 2 2 9 2" xfId="8340"/>
    <cellStyle name="Comma 2 2 9 2 2" xfId="9228"/>
    <cellStyle name="Comma 2 2 9 3" xfId="8803"/>
    <cellStyle name="Comma 2 2_Opex Input" xfId="6671"/>
    <cellStyle name="Comma 2 20" xfId="6672"/>
    <cellStyle name="Comma 2 20 2" xfId="8341"/>
    <cellStyle name="Comma 2 20 2 2" xfId="9229"/>
    <cellStyle name="Comma 2 20 3" xfId="8804"/>
    <cellStyle name="Comma 2 21" xfId="6673"/>
    <cellStyle name="Comma 2 21 2" xfId="8342"/>
    <cellStyle name="Comma 2 21 2 2" xfId="9230"/>
    <cellStyle name="Comma 2 21 3" xfId="8805"/>
    <cellStyle name="Comma 2 22" xfId="1340"/>
    <cellStyle name="Comma 2 23" xfId="7949"/>
    <cellStyle name="Comma 2 23 2" xfId="8852"/>
    <cellStyle name="Comma 2 24" xfId="8424"/>
    <cellStyle name="Comma 2 25" xfId="8422"/>
    <cellStyle name="Comma 2 3" xfId="39"/>
    <cellStyle name="Comma 2 3 2" xfId="3144"/>
    <cellStyle name="Comma 2 3 2 2" xfId="4857"/>
    <cellStyle name="Comma 2 3 2 2 2" xfId="6675"/>
    <cellStyle name="Comma 2 3 2 2 2 2" xfId="8344"/>
    <cellStyle name="Comma 2 3 2 2 2 2 2" xfId="9232"/>
    <cellStyle name="Comma 2 3 2 2 2 3" xfId="8807"/>
    <cellStyle name="Comma 2 3 2 3" xfId="6674"/>
    <cellStyle name="Comma 2 3 2 3 2" xfId="8343"/>
    <cellStyle name="Comma 2 3 2 3 2 2" xfId="9231"/>
    <cellStyle name="Comma 2 3 2 3 3" xfId="8806"/>
    <cellStyle name="Comma 2 3 3" xfId="3343"/>
    <cellStyle name="Comma 2 3 3 2" xfId="6144"/>
    <cellStyle name="Comma 2 3 3 3" xfId="4858"/>
    <cellStyle name="Comma 2 3 3 3 2" xfId="8155"/>
    <cellStyle name="Comma 2 3 3 3 2 2" xfId="9046"/>
    <cellStyle name="Comma 2 3 3 3 3" xfId="8623"/>
    <cellStyle name="Comma 2 3 3 4" xfId="6676"/>
    <cellStyle name="Comma 2 3 3 4 2" xfId="8345"/>
    <cellStyle name="Comma 2 3 3 4 2 2" xfId="9233"/>
    <cellStyle name="Comma 2 3 3 4 3" xfId="8808"/>
    <cellStyle name="Comma 2 3 4" xfId="6677"/>
    <cellStyle name="Comma 2 3 4 2" xfId="8346"/>
    <cellStyle name="Comma 2 3 4 2 2" xfId="9234"/>
    <cellStyle name="Comma 2 3 4 3" xfId="8809"/>
    <cellStyle name="Comma 2 3 5" xfId="1345"/>
    <cellStyle name="Comma 2 3 5 2" xfId="7985"/>
    <cellStyle name="Comma 2 3 5 2 2" xfId="8885"/>
    <cellStyle name="Comma 2 3 5 3" xfId="8463"/>
    <cellStyle name="Comma 2 3 6" xfId="7956"/>
    <cellStyle name="Comma 2 3 6 2" xfId="8859"/>
    <cellStyle name="Comma 2 3 7" xfId="8430"/>
    <cellStyle name="Comma 2 4" xfId="1346"/>
    <cellStyle name="Comma 2 4 2" xfId="3344"/>
    <cellStyle name="Comma 2 4 2 2" xfId="8105"/>
    <cellStyle name="Comma 2 4 2 2 2" xfId="9001"/>
    <cellStyle name="Comma 2 4 2 3" xfId="8578"/>
    <cellStyle name="Comma 2 4 3" xfId="6678"/>
    <cellStyle name="Comma 2 4 3 2" xfId="8347"/>
    <cellStyle name="Comma 2 4 3 2 2" xfId="9235"/>
    <cellStyle name="Comma 2 4 3 3" xfId="8810"/>
    <cellStyle name="Comma 2 4 4" xfId="7986"/>
    <cellStyle name="Comma 2 4 4 2" xfId="8886"/>
    <cellStyle name="Comma 2 4 5" xfId="8464"/>
    <cellStyle name="Comma 2 5" xfId="6679"/>
    <cellStyle name="Comma 2 5 2" xfId="8348"/>
    <cellStyle name="Comma 2 5 2 2" xfId="9236"/>
    <cellStyle name="Comma 2 5 3" xfId="8811"/>
    <cellStyle name="Comma 2 6" xfId="6680"/>
    <cellStyle name="Comma 2 6 2" xfId="8349"/>
    <cellStyle name="Comma 2 6 2 2" xfId="9237"/>
    <cellStyle name="Comma 2 6 3" xfId="8812"/>
    <cellStyle name="Comma 2 7" xfId="6681"/>
    <cellStyle name="Comma 2 7 2" xfId="8350"/>
    <cellStyle name="Comma 2 7 2 2" xfId="9238"/>
    <cellStyle name="Comma 2 7 3" xfId="8813"/>
    <cellStyle name="Comma 2 8" xfId="6682"/>
    <cellStyle name="Comma 2 8 2" xfId="8351"/>
    <cellStyle name="Comma 2 8 2 2" xfId="9239"/>
    <cellStyle name="Comma 2 8 3" xfId="8814"/>
    <cellStyle name="Comma 2 9" xfId="6683"/>
    <cellStyle name="Comma 2 9 2" xfId="8352"/>
    <cellStyle name="Comma 2 9 2 2" xfId="9240"/>
    <cellStyle name="Comma 2 9 3" xfId="8815"/>
    <cellStyle name="Comma 2*" xfId="1347"/>
    <cellStyle name="Comma 2* 2" xfId="1348"/>
    <cellStyle name="Comma 2* 2 2" xfId="1349"/>
    <cellStyle name="Comma 2* 2 2 2" xfId="4860"/>
    <cellStyle name="Comma 2* 2 3" xfId="4859"/>
    <cellStyle name="Comma 2* 3" xfId="3345"/>
    <cellStyle name="Comma 2_Data Sheet for Alan_Dec-09" xfId="1350"/>
    <cellStyle name="Comma 20" xfId="1351"/>
    <cellStyle name="Comma 20 2" xfId="1352"/>
    <cellStyle name="Comma 20 2 2" xfId="7988"/>
    <cellStyle name="Comma 20 2 2 2" xfId="8888"/>
    <cellStyle name="Comma 20 2 3" xfId="8466"/>
    <cellStyle name="Comma 20 3" xfId="7660"/>
    <cellStyle name="Comma 20 3 2" xfId="8372"/>
    <cellStyle name="Comma 20 3 2 2" xfId="9260"/>
    <cellStyle name="Comma 20 3 3" xfId="8834"/>
    <cellStyle name="Comma 20 4" xfId="7987"/>
    <cellStyle name="Comma 20 4 2" xfId="8887"/>
    <cellStyle name="Comma 20 5" xfId="8465"/>
    <cellStyle name="Comma 21" xfId="1353"/>
    <cellStyle name="Comma 21 2" xfId="1354"/>
    <cellStyle name="Comma 21 2 2" xfId="7990"/>
    <cellStyle name="Comma 21 2 2 2" xfId="8890"/>
    <cellStyle name="Comma 21 2 3" xfId="8468"/>
    <cellStyle name="Comma 21 3" xfId="7661"/>
    <cellStyle name="Comma 21 3 2" xfId="8373"/>
    <cellStyle name="Comma 21 3 2 2" xfId="9261"/>
    <cellStyle name="Comma 21 3 3" xfId="8835"/>
    <cellStyle name="Comma 21 4" xfId="7989"/>
    <cellStyle name="Comma 21 4 2" xfId="8889"/>
    <cellStyle name="Comma 21 5" xfId="8467"/>
    <cellStyle name="Comma 22" xfId="1355"/>
    <cellStyle name="Comma 22 2" xfId="1356"/>
    <cellStyle name="Comma 22 2 2" xfId="4862"/>
    <cellStyle name="Comma 22 2 2 2" xfId="8157"/>
    <cellStyle name="Comma 22 2 2 2 2" xfId="9048"/>
    <cellStyle name="Comma 22 2 2 3" xfId="8625"/>
    <cellStyle name="Comma 22 2 3" xfId="7992"/>
    <cellStyle name="Comma 22 2 3 2" xfId="8892"/>
    <cellStyle name="Comma 22 2 4" xfId="8470"/>
    <cellStyle name="Comma 22 3" xfId="4861"/>
    <cellStyle name="Comma 22 3 2" xfId="8156"/>
    <cellStyle name="Comma 22 3 2 2" xfId="9047"/>
    <cellStyle name="Comma 22 3 3" xfId="8624"/>
    <cellStyle name="Comma 22 4" xfId="7991"/>
    <cellStyle name="Comma 22 4 2" xfId="8891"/>
    <cellStyle name="Comma 22 5" xfId="8469"/>
    <cellStyle name="Comma 23" xfId="1357"/>
    <cellStyle name="Comma 23 2" xfId="1358"/>
    <cellStyle name="Comma 23 2 2" xfId="4864"/>
    <cellStyle name="Comma 23 2 2 2" xfId="8159"/>
    <cellStyle name="Comma 23 2 2 2 2" xfId="9050"/>
    <cellStyle name="Comma 23 2 2 3" xfId="8627"/>
    <cellStyle name="Comma 23 2 3" xfId="7994"/>
    <cellStyle name="Comma 23 2 3 2" xfId="8894"/>
    <cellStyle name="Comma 23 2 4" xfId="8472"/>
    <cellStyle name="Comma 23 3" xfId="4863"/>
    <cellStyle name="Comma 23 3 2" xfId="8158"/>
    <cellStyle name="Comma 23 3 2 2" xfId="9049"/>
    <cellStyle name="Comma 23 3 3" xfId="8626"/>
    <cellStyle name="Comma 23 4" xfId="7993"/>
    <cellStyle name="Comma 23 4 2" xfId="8893"/>
    <cellStyle name="Comma 23 5" xfId="8471"/>
    <cellStyle name="Comma 24" xfId="1359"/>
    <cellStyle name="Comma 24 2" xfId="1360"/>
    <cellStyle name="Comma 24 2 2" xfId="4866"/>
    <cellStyle name="Comma 24 2 2 2" xfId="8161"/>
    <cellStyle name="Comma 24 2 2 2 2" xfId="9052"/>
    <cellStyle name="Comma 24 2 2 3" xfId="8629"/>
    <cellStyle name="Comma 24 2 3" xfId="7996"/>
    <cellStyle name="Comma 24 2 3 2" xfId="8896"/>
    <cellStyle name="Comma 24 2 4" xfId="8474"/>
    <cellStyle name="Comma 24 3" xfId="4865"/>
    <cellStyle name="Comma 24 3 2" xfId="8160"/>
    <cellStyle name="Comma 24 3 2 2" xfId="9051"/>
    <cellStyle name="Comma 24 3 3" xfId="8628"/>
    <cellStyle name="Comma 24 4" xfId="7995"/>
    <cellStyle name="Comma 24 4 2" xfId="8895"/>
    <cellStyle name="Comma 24 5" xfId="8473"/>
    <cellStyle name="Comma 25" xfId="1361"/>
    <cellStyle name="Comma 25 2" xfId="1362"/>
    <cellStyle name="Comma 25 2 2" xfId="4868"/>
    <cellStyle name="Comma 25 2 2 2" xfId="8163"/>
    <cellStyle name="Comma 25 2 2 2 2" xfId="9054"/>
    <cellStyle name="Comma 25 2 2 3" xfId="8631"/>
    <cellStyle name="Comma 25 2 3" xfId="7998"/>
    <cellStyle name="Comma 25 2 3 2" xfId="8898"/>
    <cellStyle name="Comma 25 2 4" xfId="8476"/>
    <cellStyle name="Comma 25 3" xfId="4867"/>
    <cellStyle name="Comma 25 3 2" xfId="8162"/>
    <cellStyle name="Comma 25 3 2 2" xfId="9053"/>
    <cellStyle name="Comma 25 3 3" xfId="8630"/>
    <cellStyle name="Comma 25 4" xfId="7997"/>
    <cellStyle name="Comma 25 4 2" xfId="8897"/>
    <cellStyle name="Comma 25 5" xfId="8475"/>
    <cellStyle name="Comma 26" xfId="1363"/>
    <cellStyle name="Comma 26 2" xfId="4869"/>
    <cellStyle name="Comma 26 2 2" xfId="8164"/>
    <cellStyle name="Comma 26 2 2 2" xfId="9055"/>
    <cellStyle name="Comma 26 2 3" xfId="8632"/>
    <cellStyle name="Comma 26 3" xfId="7999"/>
    <cellStyle name="Comma 26 3 2" xfId="8899"/>
    <cellStyle name="Comma 26 4" xfId="8477"/>
    <cellStyle name="Comma 27" xfId="1364"/>
    <cellStyle name="Comma 27 2" xfId="4870"/>
    <cellStyle name="Comma 27 2 2" xfId="8165"/>
    <cellStyle name="Comma 27 2 2 2" xfId="9056"/>
    <cellStyle name="Comma 27 2 3" xfId="8633"/>
    <cellStyle name="Comma 27 3" xfId="8000"/>
    <cellStyle name="Comma 27 3 2" xfId="8900"/>
    <cellStyle name="Comma 27 4" xfId="8478"/>
    <cellStyle name="Comma 28" xfId="1365"/>
    <cellStyle name="Comma 28 2" xfId="4871"/>
    <cellStyle name="Comma 28 2 2" xfId="8166"/>
    <cellStyle name="Comma 28 2 2 2" xfId="9057"/>
    <cellStyle name="Comma 28 2 3" xfId="8634"/>
    <cellStyle name="Comma 28 3" xfId="8001"/>
    <cellStyle name="Comma 28 3 2" xfId="8901"/>
    <cellStyle name="Comma 28 4" xfId="8479"/>
    <cellStyle name="Comma 29" xfId="1366"/>
    <cellStyle name="Comma 29 2" xfId="4872"/>
    <cellStyle name="Comma 29 2 2" xfId="8167"/>
    <cellStyle name="Comma 29 2 2 2" xfId="9058"/>
    <cellStyle name="Comma 29 2 3" xfId="8635"/>
    <cellStyle name="Comma 29 3" xfId="8002"/>
    <cellStyle name="Comma 29 3 2" xfId="8902"/>
    <cellStyle name="Comma 29 4" xfId="8480"/>
    <cellStyle name="Comma 3" xfId="6"/>
    <cellStyle name="Comma 3 2" xfId="1368"/>
    <cellStyle name="Comma 3 2 2" xfId="1369"/>
    <cellStyle name="Comma 3 2 2 2" xfId="6684"/>
    <cellStyle name="Comma 3 2 2 2 2" xfId="8353"/>
    <cellStyle name="Comma 3 2 2 2 2 2" xfId="9241"/>
    <cellStyle name="Comma 3 2 2 2 3" xfId="8816"/>
    <cellStyle name="Comma 3 2 2 3" xfId="8005"/>
    <cellStyle name="Comma 3 2 2 3 2" xfId="8905"/>
    <cellStyle name="Comma 3 2 2 4" xfId="8483"/>
    <cellStyle name="Comma 3 2 3" xfId="3346"/>
    <cellStyle name="Comma 3 2 3 2" xfId="6685"/>
    <cellStyle name="Comma 3 2 3 2 2" xfId="8354"/>
    <cellStyle name="Comma 3 2 3 2 2 2" xfId="9242"/>
    <cellStyle name="Comma 3 2 3 2 3" xfId="8817"/>
    <cellStyle name="Comma 3 2 3 3" xfId="8106"/>
    <cellStyle name="Comma 3 2 3 3 2" xfId="9002"/>
    <cellStyle name="Comma 3 2 3 4" xfId="8579"/>
    <cellStyle name="Comma 3 2 4" xfId="4873"/>
    <cellStyle name="Comma 3 2 4 2" xfId="8168"/>
    <cellStyle name="Comma 3 2 4 2 2" xfId="9059"/>
    <cellStyle name="Comma 3 2 4 3" xfId="8636"/>
    <cellStyle name="Comma 3 2 5" xfId="8004"/>
    <cellStyle name="Comma 3 2 5 2" xfId="8904"/>
    <cellStyle name="Comma 3 2 6" xfId="8482"/>
    <cellStyle name="Comma 3 3" xfId="1370"/>
    <cellStyle name="Comma 3 3 2" xfId="1371"/>
    <cellStyle name="Comma 3 3 2 2" xfId="8007"/>
    <cellStyle name="Comma 3 3 2 2 2" xfId="8907"/>
    <cellStyle name="Comma 3 3 2 3" xfId="8485"/>
    <cellStyle name="Comma 3 3 3" xfId="8006"/>
    <cellStyle name="Comma 3 3 3 2" xfId="8906"/>
    <cellStyle name="Comma 3 3 4" xfId="8484"/>
    <cellStyle name="Comma 3 4" xfId="3115"/>
    <cellStyle name="Comma 3 4 2" xfId="4874"/>
    <cellStyle name="Comma 3 4 2 2" xfId="8169"/>
    <cellStyle name="Comma 3 4 2 2 2" xfId="9060"/>
    <cellStyle name="Comma 3 4 2 3" xfId="8637"/>
    <cellStyle name="Comma 3 4 3" xfId="6688"/>
    <cellStyle name="Comma 3 4 3 2" xfId="8355"/>
    <cellStyle name="Comma 3 4 3 2 2" xfId="9243"/>
    <cellStyle name="Comma 3 4 3 3" xfId="8818"/>
    <cellStyle name="Comma 3 4 4" xfId="8098"/>
    <cellStyle name="Comma 3 4 4 2" xfId="8996"/>
    <cellStyle name="Comma 3 4 5" xfId="8573"/>
    <cellStyle name="Comma 3 5" xfId="4875"/>
    <cellStyle name="Comma 3 5 2" xfId="8170"/>
    <cellStyle name="Comma 3 5 2 2" xfId="9061"/>
    <cellStyle name="Comma 3 5 3" xfId="8638"/>
    <cellStyle name="Comma 3 6" xfId="1367"/>
    <cellStyle name="Comma 3 6 2" xfId="8003"/>
    <cellStyle name="Comma 3 6 2 2" xfId="8903"/>
    <cellStyle name="Comma 3 6 3" xfId="8481"/>
    <cellStyle name="Comma 3 7" xfId="7950"/>
    <cellStyle name="Comma 3 7 2" xfId="8853"/>
    <cellStyle name="Comma 3 8" xfId="8425"/>
    <cellStyle name="Comma 3*" xfId="1372"/>
    <cellStyle name="Comma 3* 2" xfId="1373"/>
    <cellStyle name="Comma 3* 2 2" xfId="1374"/>
    <cellStyle name="Comma 3* 2 2 2" xfId="4877"/>
    <cellStyle name="Comma 3* 2 3" xfId="4876"/>
    <cellStyle name="Comma 3* 3" xfId="3347"/>
    <cellStyle name="Comma 3_Asset Health Themes (2)" xfId="6689"/>
    <cellStyle name="Comma 30" xfId="1375"/>
    <cellStyle name="Comma 30 2" xfId="4878"/>
    <cellStyle name="Comma 30 2 2" xfId="8171"/>
    <cellStyle name="Comma 30 2 2 2" xfId="9062"/>
    <cellStyle name="Comma 30 2 3" xfId="8639"/>
    <cellStyle name="Comma 30 3" xfId="8008"/>
    <cellStyle name="Comma 30 3 2" xfId="8908"/>
    <cellStyle name="Comma 30 4" xfId="8486"/>
    <cellStyle name="Comma 31" xfId="1376"/>
    <cellStyle name="Comma 31 2" xfId="6018"/>
    <cellStyle name="Comma 31 2 2" xfId="8225"/>
    <cellStyle name="Comma 31 2 2 2" xfId="9114"/>
    <cellStyle name="Comma 31 2 3" xfId="8690"/>
    <cellStyle name="Comma 31 3" xfId="8009"/>
    <cellStyle name="Comma 31 3 2" xfId="8909"/>
    <cellStyle name="Comma 31 4" xfId="8487"/>
    <cellStyle name="Comma 32" xfId="1377"/>
    <cellStyle name="Comma 32 2" xfId="6019"/>
    <cellStyle name="Comma 32 2 2" xfId="8226"/>
    <cellStyle name="Comma 32 2 2 2" xfId="9115"/>
    <cellStyle name="Comma 32 2 3" xfId="8691"/>
    <cellStyle name="Comma 32 3" xfId="8010"/>
    <cellStyle name="Comma 32 3 2" xfId="8910"/>
    <cellStyle name="Comma 32 4" xfId="8488"/>
    <cellStyle name="Comma 33" xfId="1378"/>
    <cellStyle name="Comma 33 2" xfId="6020"/>
    <cellStyle name="Comma 33 2 2" xfId="8227"/>
    <cellStyle name="Comma 33 2 2 2" xfId="9116"/>
    <cellStyle name="Comma 33 2 3" xfId="8692"/>
    <cellStyle name="Comma 33 3" xfId="8011"/>
    <cellStyle name="Comma 33 3 2" xfId="8911"/>
    <cellStyle name="Comma 33 4" xfId="8489"/>
    <cellStyle name="Comma 34" xfId="1379"/>
    <cellStyle name="Comma 34 2" xfId="6021"/>
    <cellStyle name="Comma 34 2 2" xfId="8228"/>
    <cellStyle name="Comma 34 2 2 2" xfId="9117"/>
    <cellStyle name="Comma 34 2 3" xfId="8693"/>
    <cellStyle name="Comma 34 3" xfId="8012"/>
    <cellStyle name="Comma 34 3 2" xfId="8912"/>
    <cellStyle name="Comma 34 4" xfId="8490"/>
    <cellStyle name="Comma 35" xfId="1380"/>
    <cellStyle name="Comma 35 2" xfId="6022"/>
    <cellStyle name="Comma 35 2 2" xfId="8229"/>
    <cellStyle name="Comma 35 2 2 2" xfId="9118"/>
    <cellStyle name="Comma 35 2 3" xfId="8694"/>
    <cellStyle name="Comma 35 3" xfId="8013"/>
    <cellStyle name="Comma 35 3 2" xfId="8913"/>
    <cellStyle name="Comma 35 4" xfId="8491"/>
    <cellStyle name="Comma 36" xfId="1381"/>
    <cellStyle name="Comma 36 2" xfId="6023"/>
    <cellStyle name="Comma 36 2 2" xfId="8230"/>
    <cellStyle name="Comma 36 2 2 2" xfId="9119"/>
    <cellStyle name="Comma 36 2 3" xfId="8695"/>
    <cellStyle name="Comma 36 3" xfId="8014"/>
    <cellStyle name="Comma 36 3 2" xfId="8914"/>
    <cellStyle name="Comma 36 4" xfId="8492"/>
    <cellStyle name="Comma 37" xfId="1382"/>
    <cellStyle name="Comma 37 2" xfId="6024"/>
    <cellStyle name="Comma 37 2 2" xfId="8231"/>
    <cellStyle name="Comma 37 2 2 2" xfId="9120"/>
    <cellStyle name="Comma 37 2 3" xfId="8696"/>
    <cellStyle name="Comma 37 3" xfId="8015"/>
    <cellStyle name="Comma 37 3 2" xfId="8915"/>
    <cellStyle name="Comma 37 4" xfId="8493"/>
    <cellStyle name="Comma 38" xfId="1383"/>
    <cellStyle name="Comma 38 2" xfId="6025"/>
    <cellStyle name="Comma 38 2 2" xfId="8232"/>
    <cellStyle name="Comma 38 2 2 2" xfId="9121"/>
    <cellStyle name="Comma 38 2 3" xfId="8697"/>
    <cellStyle name="Comma 38 3" xfId="8016"/>
    <cellStyle name="Comma 38 3 2" xfId="8916"/>
    <cellStyle name="Comma 38 4" xfId="8494"/>
    <cellStyle name="Comma 39" xfId="1384"/>
    <cellStyle name="Comma 39 2" xfId="6026"/>
    <cellStyle name="Comma 39 2 2" xfId="8233"/>
    <cellStyle name="Comma 39 2 2 2" xfId="9122"/>
    <cellStyle name="Comma 39 2 3" xfId="8698"/>
    <cellStyle name="Comma 39 3" xfId="8017"/>
    <cellStyle name="Comma 39 3 2" xfId="8917"/>
    <cellStyle name="Comma 39 4" xfId="8495"/>
    <cellStyle name="Comma 4" xfId="4"/>
    <cellStyle name="Comma 4 2" xfId="23"/>
    <cellStyle name="Comma 4 2 2" xfId="3348"/>
    <cellStyle name="Comma 4 2 2 2" xfId="8107"/>
    <cellStyle name="Comma 4 2 2 2 2" xfId="9003"/>
    <cellStyle name="Comma 4 2 2 3" xfId="8580"/>
    <cellStyle name="Comma 4 2 3" xfId="7953"/>
    <cellStyle name="Comma 4 2 3 2" xfId="8856"/>
    <cellStyle name="Comma 4 2 4" xfId="8428"/>
    <cellStyle name="Comma 4 3" xfId="34"/>
    <cellStyle name="Comma 4 3 2" xfId="6690"/>
    <cellStyle name="Comma 4 3 2 2" xfId="8356"/>
    <cellStyle name="Comma 4 3 2 2 2" xfId="9244"/>
    <cellStyle name="Comma 4 3 2 3" xfId="8819"/>
    <cellStyle name="Comma 4 3 3" xfId="1385"/>
    <cellStyle name="Comma 4 3 3 2" xfId="8018"/>
    <cellStyle name="Comma 4 3 3 2 2" xfId="8918"/>
    <cellStyle name="Comma 4 3 3 3" xfId="8496"/>
    <cellStyle name="Comma 4 3 4" xfId="7955"/>
    <cellStyle name="Comma 4 3 4 2" xfId="8858"/>
    <cellStyle name="Comma 4 3 5" xfId="8429"/>
    <cellStyle name="Comma 4 4" xfId="40"/>
    <cellStyle name="Comma 4 4 2" xfId="6691"/>
    <cellStyle name="Comma 4 4 2 2" xfId="8357"/>
    <cellStyle name="Comma 4 4 2 2 2" xfId="9245"/>
    <cellStyle name="Comma 4 4 2 3" xfId="8820"/>
    <cellStyle name="Comma 4 4 3" xfId="7957"/>
    <cellStyle name="Comma 4 4 3 2" xfId="8860"/>
    <cellStyle name="Comma 4 4 4" xfId="8431"/>
    <cellStyle name="Comma 4 5" xfId="7948"/>
    <cellStyle name="Comma 4 5 2" xfId="8851"/>
    <cellStyle name="Comma 4 6" xfId="8423"/>
    <cellStyle name="Comma 40" xfId="1386"/>
    <cellStyle name="Comma 40 2" xfId="6027"/>
    <cellStyle name="Comma 40 2 2" xfId="8234"/>
    <cellStyle name="Comma 40 2 2 2" xfId="9123"/>
    <cellStyle name="Comma 40 2 3" xfId="8699"/>
    <cellStyle name="Comma 40 3" xfId="8019"/>
    <cellStyle name="Comma 40 3 2" xfId="8919"/>
    <cellStyle name="Comma 40 4" xfId="8497"/>
    <cellStyle name="Comma 41" xfId="1387"/>
    <cellStyle name="Comma 41 2" xfId="6028"/>
    <cellStyle name="Comma 41 2 2" xfId="8235"/>
    <cellStyle name="Comma 41 2 2 2" xfId="9124"/>
    <cellStyle name="Comma 41 2 3" xfId="8700"/>
    <cellStyle name="Comma 41 3" xfId="8020"/>
    <cellStyle name="Comma 41 3 2" xfId="8920"/>
    <cellStyle name="Comma 41 4" xfId="8498"/>
    <cellStyle name="Comma 42" xfId="1388"/>
    <cellStyle name="Comma 42 2" xfId="6029"/>
    <cellStyle name="Comma 42 2 2" xfId="8236"/>
    <cellStyle name="Comma 42 2 2 2" xfId="9125"/>
    <cellStyle name="Comma 42 2 3" xfId="8701"/>
    <cellStyle name="Comma 42 3" xfId="8021"/>
    <cellStyle name="Comma 42 3 2" xfId="8921"/>
    <cellStyle name="Comma 42 4" xfId="8499"/>
    <cellStyle name="Comma 43" xfId="1389"/>
    <cellStyle name="Comma 43 2" xfId="6030"/>
    <cellStyle name="Comma 43 2 2" xfId="8237"/>
    <cellStyle name="Comma 43 2 2 2" xfId="9126"/>
    <cellStyle name="Comma 43 2 3" xfId="8702"/>
    <cellStyle name="Comma 43 3" xfId="8022"/>
    <cellStyle name="Comma 43 3 2" xfId="8922"/>
    <cellStyle name="Comma 43 4" xfId="8500"/>
    <cellStyle name="Comma 44" xfId="1390"/>
    <cellStyle name="Comma 44 2" xfId="6031"/>
    <cellStyle name="Comma 44 2 2" xfId="8238"/>
    <cellStyle name="Comma 44 2 2 2" xfId="9127"/>
    <cellStyle name="Comma 44 2 3" xfId="8703"/>
    <cellStyle name="Comma 44 3" xfId="8023"/>
    <cellStyle name="Comma 44 3 2" xfId="8923"/>
    <cellStyle name="Comma 44 4" xfId="8501"/>
    <cellStyle name="Comma 45" xfId="1391"/>
    <cellStyle name="Comma 45 2" xfId="6032"/>
    <cellStyle name="Comma 45 2 2" xfId="8239"/>
    <cellStyle name="Comma 45 2 2 2" xfId="9128"/>
    <cellStyle name="Comma 45 2 3" xfId="8704"/>
    <cellStyle name="Comma 45 3" xfId="8024"/>
    <cellStyle name="Comma 45 3 2" xfId="8924"/>
    <cellStyle name="Comma 45 4" xfId="8502"/>
    <cellStyle name="Comma 46" xfId="1392"/>
    <cellStyle name="Comma 46 2" xfId="6033"/>
    <cellStyle name="Comma 46 2 2" xfId="8240"/>
    <cellStyle name="Comma 46 2 2 2" xfId="9129"/>
    <cellStyle name="Comma 46 2 3" xfId="8705"/>
    <cellStyle name="Comma 46 3" xfId="8025"/>
    <cellStyle name="Comma 46 3 2" xfId="8925"/>
    <cellStyle name="Comma 46 4" xfId="8503"/>
    <cellStyle name="Comma 47" xfId="3195"/>
    <cellStyle name="Comma 47 2" xfId="8099"/>
    <cellStyle name="Comma 47 2 2" xfId="8997"/>
    <cellStyle name="Comma 47 3" xfId="8574"/>
    <cellStyle name="Comma 48" xfId="3201"/>
    <cellStyle name="Comma 48 2" xfId="8100"/>
    <cellStyle name="Comma 48 2 2" xfId="8998"/>
    <cellStyle name="Comma 48 3" xfId="8575"/>
    <cellStyle name="Comma 49" xfId="6255"/>
    <cellStyle name="Comma 49 2" xfId="8269"/>
    <cellStyle name="Comma 49 2 2" xfId="9157"/>
    <cellStyle name="Comma 49 3" xfId="8733"/>
    <cellStyle name="Comma 5" xfId="18"/>
    <cellStyle name="Comma 5 2" xfId="1393"/>
    <cellStyle name="Comma 5 2 2" xfId="4879"/>
    <cellStyle name="Comma 5 2 2 2" xfId="8172"/>
    <cellStyle name="Comma 5 2 2 2 2" xfId="9063"/>
    <cellStyle name="Comma 5 2 2 3" xfId="8640"/>
    <cellStyle name="Comma 5 2 3" xfId="8026"/>
    <cellStyle name="Comma 5 2 3 2" xfId="8926"/>
    <cellStyle name="Comma 5 2 4" xfId="8504"/>
    <cellStyle name="Comma 5 3" xfId="3349"/>
    <cellStyle name="Comma 5 3 2" xfId="6692"/>
    <cellStyle name="Comma 5 3 2 2" xfId="8358"/>
    <cellStyle name="Comma 5 3 2 2 2" xfId="9246"/>
    <cellStyle name="Comma 5 3 2 3" xfId="8821"/>
    <cellStyle name="Comma 5 3 3" xfId="8108"/>
    <cellStyle name="Comma 5 3 3 2" xfId="9004"/>
    <cellStyle name="Comma 5 3 4" xfId="8581"/>
    <cellStyle name="Comma 5 4" xfId="6693"/>
    <cellStyle name="Comma 5 4 2" xfId="8359"/>
    <cellStyle name="Comma 5 4 2 2" xfId="9247"/>
    <cellStyle name="Comma 5 4 3" xfId="8822"/>
    <cellStyle name="Comma 5 5" xfId="7951"/>
    <cellStyle name="Comma 5 5 2" xfId="8854"/>
    <cellStyle name="Comma 5 6" xfId="8426"/>
    <cellStyle name="Comma 50" xfId="6241"/>
    <cellStyle name="Comma 50 2" xfId="8262"/>
    <cellStyle name="Comma 50 2 2" xfId="9150"/>
    <cellStyle name="Comma 50 3" xfId="8726"/>
    <cellStyle name="Comma 51" xfId="6278"/>
    <cellStyle name="Comma 51 2" xfId="8273"/>
    <cellStyle name="Comma 51 2 2" xfId="9161"/>
    <cellStyle name="Comma 51 3" xfId="8737"/>
    <cellStyle name="Comma 52" xfId="6292"/>
    <cellStyle name="Comma 52 2" xfId="8274"/>
    <cellStyle name="Comma 52 2 2" xfId="9162"/>
    <cellStyle name="Comma 52 3" xfId="8738"/>
    <cellStyle name="Comma 53" xfId="7659"/>
    <cellStyle name="Comma 53 2" xfId="8371"/>
    <cellStyle name="Comma 53 2 2" xfId="9259"/>
    <cellStyle name="Comma 53 3" xfId="8833"/>
    <cellStyle name="Comma 54" xfId="7721"/>
    <cellStyle name="Comma 54 2" xfId="8378"/>
    <cellStyle name="Comma 54 2 2" xfId="9266"/>
    <cellStyle name="Comma 54 3" xfId="8840"/>
    <cellStyle name="Comma 55" xfId="7719"/>
    <cellStyle name="Comma 55 2" xfId="8376"/>
    <cellStyle name="Comma 55 2 2" xfId="9264"/>
    <cellStyle name="Comma 55 3" xfId="8838"/>
    <cellStyle name="Comma 56" xfId="7720"/>
    <cellStyle name="Comma 56 2" xfId="8377"/>
    <cellStyle name="Comma 56 2 2" xfId="9265"/>
    <cellStyle name="Comma 56 3" xfId="8839"/>
    <cellStyle name="Comma 57" xfId="7954"/>
    <cellStyle name="Comma 57 2" xfId="8857"/>
    <cellStyle name="Comma 58" xfId="7958"/>
    <cellStyle name="Comma 58 2" xfId="8861"/>
    <cellStyle name="Comma 59" xfId="8369"/>
    <cellStyle name="Comma 59 2" xfId="9257"/>
    <cellStyle name="Comma 6" xfId="1394"/>
    <cellStyle name="Comma 6 2" xfId="1395"/>
    <cellStyle name="Comma 6 2 2" xfId="4880"/>
    <cellStyle name="Comma 6 2 2 2" xfId="8173"/>
    <cellStyle name="Comma 6 2 2 2 2" xfId="9064"/>
    <cellStyle name="Comma 6 2 2 3" xfId="8641"/>
    <cellStyle name="Comma 6 2 3" xfId="6694"/>
    <cellStyle name="Comma 6 2 3 2" xfId="8360"/>
    <cellStyle name="Comma 6 2 3 2 2" xfId="9248"/>
    <cellStyle name="Comma 6 2 3 3" xfId="8823"/>
    <cellStyle name="Comma 6 2 4" xfId="8028"/>
    <cellStyle name="Comma 6 2 4 2" xfId="8928"/>
    <cellStyle name="Comma 6 2 5" xfId="8506"/>
    <cellStyle name="Comma 6 3" xfId="3350"/>
    <cellStyle name="Comma 6 3 2" xfId="8109"/>
    <cellStyle name="Comma 6 3 2 2" xfId="9005"/>
    <cellStyle name="Comma 6 3 3" xfId="8582"/>
    <cellStyle name="Comma 6 4" xfId="7732"/>
    <cellStyle name="Comma 6 4 2" xfId="8381"/>
    <cellStyle name="Comma 6 4 2 2" xfId="9269"/>
    <cellStyle name="Comma 6 4 3" xfId="8843"/>
    <cellStyle name="Comma 6 5" xfId="8027"/>
    <cellStyle name="Comma 6 5 2" xfId="8927"/>
    <cellStyle name="Comma 6 6" xfId="8505"/>
    <cellStyle name="Comma 60" xfId="8275"/>
    <cellStyle name="Comma 60 2" xfId="9163"/>
    <cellStyle name="Comma 61" xfId="8217"/>
    <cellStyle name="Comma 61 2" xfId="9108"/>
    <cellStyle name="Comma 62" xfId="8094"/>
    <cellStyle name="Comma 62 2" xfId="8994"/>
    <cellStyle name="Comma 7" xfId="1396"/>
    <cellStyle name="Comma 7 2" xfId="1397"/>
    <cellStyle name="Comma 7 2 2" xfId="4881"/>
    <cellStyle name="Comma 7 2 2 2" xfId="8174"/>
    <cellStyle name="Comma 7 2 2 2 2" xfId="9065"/>
    <cellStyle name="Comma 7 2 2 3" xfId="8642"/>
    <cellStyle name="Comma 7 2 3" xfId="6696"/>
    <cellStyle name="Comma 7 2 3 2" xfId="8362"/>
    <cellStyle name="Comma 7 2 3 2 2" xfId="9250"/>
    <cellStyle name="Comma 7 2 3 3" xfId="8825"/>
    <cellStyle name="Comma 7 2 4" xfId="8030"/>
    <cellStyle name="Comma 7 2 4 2" xfId="8930"/>
    <cellStyle name="Comma 7 2 5" xfId="8508"/>
    <cellStyle name="Comma 7 3" xfId="3351"/>
    <cellStyle name="Comma 7 3 2" xfId="8110"/>
    <cellStyle name="Comma 7 3 2 2" xfId="9006"/>
    <cellStyle name="Comma 7 3 3" xfId="8583"/>
    <cellStyle name="Comma 7 4" xfId="4882"/>
    <cellStyle name="Comma 7 4 2" xfId="8175"/>
    <cellStyle name="Comma 7 4 2 2" xfId="9066"/>
    <cellStyle name="Comma 7 4 3" xfId="8643"/>
    <cellStyle name="Comma 7 5" xfId="6695"/>
    <cellStyle name="Comma 7 5 2" xfId="8361"/>
    <cellStyle name="Comma 7 5 2 2" xfId="9249"/>
    <cellStyle name="Comma 7 5 3" xfId="8824"/>
    <cellStyle name="Comma 7 6" xfId="8029"/>
    <cellStyle name="Comma 7 6 2" xfId="8929"/>
    <cellStyle name="Comma 7 7" xfId="8507"/>
    <cellStyle name="Comma 8" xfId="1398"/>
    <cellStyle name="Comma 8 2" xfId="1399"/>
    <cellStyle name="Comma 8 2 2" xfId="4883"/>
    <cellStyle name="Comma 8 2 2 2" xfId="8176"/>
    <cellStyle name="Comma 8 2 2 2 2" xfId="9067"/>
    <cellStyle name="Comma 8 2 2 3" xfId="8644"/>
    <cellStyle name="Comma 8 2 3" xfId="6698"/>
    <cellStyle name="Comma 8 2 3 2" xfId="8364"/>
    <cellStyle name="Comma 8 2 3 2 2" xfId="9252"/>
    <cellStyle name="Comma 8 2 3 3" xfId="8827"/>
    <cellStyle name="Comma 8 2 4" xfId="8032"/>
    <cellStyle name="Comma 8 2 4 2" xfId="8932"/>
    <cellStyle name="Comma 8 2 5" xfId="8510"/>
    <cellStyle name="Comma 8 3" xfId="3352"/>
    <cellStyle name="Comma 8 3 2" xfId="6699"/>
    <cellStyle name="Comma 8 3 2 2" xfId="8365"/>
    <cellStyle name="Comma 8 3 2 2 2" xfId="9253"/>
    <cellStyle name="Comma 8 3 2 3" xfId="8828"/>
    <cellStyle name="Comma 8 3 3" xfId="8111"/>
    <cellStyle name="Comma 8 3 3 2" xfId="9007"/>
    <cellStyle name="Comma 8 3 4" xfId="8584"/>
    <cellStyle name="Comma 8 4" xfId="4884"/>
    <cellStyle name="Comma 8 4 2" xfId="8177"/>
    <cellStyle name="Comma 8 4 2 2" xfId="9068"/>
    <cellStyle name="Comma 8 4 3" xfId="8645"/>
    <cellStyle name="Comma 8 5" xfId="6697"/>
    <cellStyle name="Comma 8 5 2" xfId="8363"/>
    <cellStyle name="Comma 8 5 2 2" xfId="9251"/>
    <cellStyle name="Comma 8 5 3" xfId="8826"/>
    <cellStyle name="Comma 8 6" xfId="8031"/>
    <cellStyle name="Comma 8 6 2" xfId="8931"/>
    <cellStyle name="Comma 8 7" xfId="8509"/>
    <cellStyle name="Comma 9" xfId="1400"/>
    <cellStyle name="Comma 9 2" xfId="1401"/>
    <cellStyle name="Comma 9 2 2" xfId="4886"/>
    <cellStyle name="Comma 9 2 2 2" xfId="8179"/>
    <cellStyle name="Comma 9 2 2 2 2" xfId="9070"/>
    <cellStyle name="Comma 9 2 2 3" xfId="8647"/>
    <cellStyle name="Comma 9 2 3" xfId="8034"/>
    <cellStyle name="Comma 9 2 3 2" xfId="8934"/>
    <cellStyle name="Comma 9 2 4" xfId="8512"/>
    <cellStyle name="Comma 9 3" xfId="4887"/>
    <cellStyle name="Comma 9 3 2" xfId="8180"/>
    <cellStyle name="Comma 9 3 2 2" xfId="9071"/>
    <cellStyle name="Comma 9 3 3" xfId="8648"/>
    <cellStyle name="Comma 9 4" xfId="4885"/>
    <cellStyle name="Comma 9 4 2" xfId="8178"/>
    <cellStyle name="Comma 9 4 2 2" xfId="9069"/>
    <cellStyle name="Comma 9 4 3" xfId="8646"/>
    <cellStyle name="Comma 9 5" xfId="6700"/>
    <cellStyle name="Comma 9 5 2" xfId="8366"/>
    <cellStyle name="Comma 9 5 2 2" xfId="9254"/>
    <cellStyle name="Comma 9 5 3" xfId="8829"/>
    <cellStyle name="Comma 9 6" xfId="8033"/>
    <cellStyle name="Comma 9 6 2" xfId="8933"/>
    <cellStyle name="Comma 9 7" xfId="8511"/>
    <cellStyle name="Comma*" xfId="1402"/>
    <cellStyle name="Comma* 2" xfId="1403"/>
    <cellStyle name="Comma* 2 2" xfId="1404"/>
    <cellStyle name="Comma* 2 2 2" xfId="4889"/>
    <cellStyle name="Comma* 2 3" xfId="4888"/>
    <cellStyle name="Comma* 3" xfId="3353"/>
    <cellStyle name="comma[0]" xfId="1405"/>
    <cellStyle name="comma[0] 2" xfId="1406"/>
    <cellStyle name="comma[0] 2 2" xfId="1407"/>
    <cellStyle name="Comma0" xfId="1408"/>
    <cellStyle name="Comma0 2" xfId="1409"/>
    <cellStyle name="Comma0 2 2" xfId="1410"/>
    <cellStyle name="Comment" xfId="6701"/>
    <cellStyle name="CompanyName" xfId="1411"/>
    <cellStyle name="CompanyName 2" xfId="1412"/>
    <cellStyle name="CompanyName 2 2" xfId="1413"/>
    <cellStyle name="CompanyName 2 2 2" xfId="4891"/>
    <cellStyle name="CompanyName 2 3" xfId="4890"/>
    <cellStyle name="CompanyName 3" xfId="3354"/>
    <cellStyle name="Copied" xfId="1414"/>
    <cellStyle name="Copied 2" xfId="1415"/>
    <cellStyle name="Copied 2 2" xfId="1416"/>
    <cellStyle name="Copy0_" xfId="1417"/>
    <cellStyle name="Copy1_" xfId="1418"/>
    <cellStyle name="Copy2_" xfId="1419"/>
    <cellStyle name="Currency" xfId="7941" builtinId="4"/>
    <cellStyle name="Currency [0.00]" xfId="1420"/>
    <cellStyle name="Currency [0.00] 2" xfId="1421"/>
    <cellStyle name="Currency [0.00] 2 2" xfId="4892"/>
    <cellStyle name="Currency [0.00] 3" xfId="1422"/>
    <cellStyle name="Currency [0.00] 3 2" xfId="4893"/>
    <cellStyle name="Currency [0.00] 4" xfId="3355"/>
    <cellStyle name="Currency [0] 2" xfId="6702"/>
    <cellStyle name="Currency [0] 2 2" xfId="8367"/>
    <cellStyle name="Currency [0] 2 2 2" xfId="9255"/>
    <cellStyle name="Currency [0] 2 3" xfId="8830"/>
    <cellStyle name="Currency 0" xfId="1423"/>
    <cellStyle name="Currency 10" xfId="1424"/>
    <cellStyle name="Currency 10 2" xfId="1425"/>
    <cellStyle name="Currency 10 2 2" xfId="4895"/>
    <cellStyle name="Currency 10 2 2 2" xfId="8182"/>
    <cellStyle name="Currency 10 2 2 2 2" xfId="9073"/>
    <cellStyle name="Currency 10 2 2 3" xfId="8650"/>
    <cellStyle name="Currency 10 2 3" xfId="8036"/>
    <cellStyle name="Currency 10 2 3 2" xfId="8936"/>
    <cellStyle name="Currency 10 2 4" xfId="8514"/>
    <cellStyle name="Currency 10 3" xfId="4894"/>
    <cellStyle name="Currency 10 3 2" xfId="8181"/>
    <cellStyle name="Currency 10 3 2 2" xfId="9072"/>
    <cellStyle name="Currency 10 3 3" xfId="8649"/>
    <cellStyle name="Currency 10 4" xfId="8035"/>
    <cellStyle name="Currency 10 4 2" xfId="8935"/>
    <cellStyle name="Currency 10 5" xfId="8513"/>
    <cellStyle name="Currency 11" xfId="1426"/>
    <cellStyle name="Currency 11 2" xfId="1427"/>
    <cellStyle name="Currency 11 2 2" xfId="4897"/>
    <cellStyle name="Currency 11 2 2 2" xfId="8184"/>
    <cellStyle name="Currency 11 2 2 2 2" xfId="9075"/>
    <cellStyle name="Currency 11 2 2 3" xfId="8652"/>
    <cellStyle name="Currency 11 2 3" xfId="8038"/>
    <cellStyle name="Currency 11 2 3 2" xfId="8938"/>
    <cellStyle name="Currency 11 2 4" xfId="8516"/>
    <cellStyle name="Currency 11 3" xfId="4896"/>
    <cellStyle name="Currency 11 3 2" xfId="8183"/>
    <cellStyle name="Currency 11 3 2 2" xfId="9074"/>
    <cellStyle name="Currency 11 3 3" xfId="8651"/>
    <cellStyle name="Currency 11 4" xfId="8037"/>
    <cellStyle name="Currency 11 4 2" xfId="8937"/>
    <cellStyle name="Currency 11 5" xfId="8515"/>
    <cellStyle name="Currency 12" xfId="1428"/>
    <cellStyle name="Currency 12 2" xfId="1429"/>
    <cellStyle name="Currency 12 2 2" xfId="4899"/>
    <cellStyle name="Currency 12 2 2 2" xfId="8186"/>
    <cellStyle name="Currency 12 2 2 2 2" xfId="9077"/>
    <cellStyle name="Currency 12 2 2 3" xfId="8654"/>
    <cellStyle name="Currency 12 2 3" xfId="8040"/>
    <cellStyle name="Currency 12 2 3 2" xfId="8940"/>
    <cellStyle name="Currency 12 2 4" xfId="8518"/>
    <cellStyle name="Currency 12 3" xfId="4898"/>
    <cellStyle name="Currency 12 3 2" xfId="8185"/>
    <cellStyle name="Currency 12 3 2 2" xfId="9076"/>
    <cellStyle name="Currency 12 3 3" xfId="8653"/>
    <cellStyle name="Currency 12 4" xfId="8039"/>
    <cellStyle name="Currency 12 4 2" xfId="8939"/>
    <cellStyle name="Currency 12 5" xfId="8517"/>
    <cellStyle name="Currency 13" xfId="1430"/>
    <cellStyle name="Currency 13 2" xfId="1431"/>
    <cellStyle name="Currency 13 2 2" xfId="4901"/>
    <cellStyle name="Currency 13 2 2 2" xfId="8188"/>
    <cellStyle name="Currency 13 2 2 2 2" xfId="9079"/>
    <cellStyle name="Currency 13 2 2 3" xfId="8656"/>
    <cellStyle name="Currency 13 2 3" xfId="8042"/>
    <cellStyle name="Currency 13 2 3 2" xfId="8942"/>
    <cellStyle name="Currency 13 2 4" xfId="8520"/>
    <cellStyle name="Currency 13 3" xfId="4900"/>
    <cellStyle name="Currency 13 3 2" xfId="8187"/>
    <cellStyle name="Currency 13 3 2 2" xfId="9078"/>
    <cellStyle name="Currency 13 3 3" xfId="8655"/>
    <cellStyle name="Currency 13 4" xfId="8041"/>
    <cellStyle name="Currency 13 4 2" xfId="8941"/>
    <cellStyle name="Currency 13 5" xfId="8519"/>
    <cellStyle name="Currency 14" xfId="1432"/>
    <cellStyle name="Currency 14 2" xfId="1433"/>
    <cellStyle name="Currency 14 2 2" xfId="4903"/>
    <cellStyle name="Currency 14 2 2 2" xfId="8190"/>
    <cellStyle name="Currency 14 2 2 2 2" xfId="9081"/>
    <cellStyle name="Currency 14 2 2 3" xfId="8658"/>
    <cellStyle name="Currency 14 2 3" xfId="8044"/>
    <cellStyle name="Currency 14 2 3 2" xfId="8944"/>
    <cellStyle name="Currency 14 2 4" xfId="8522"/>
    <cellStyle name="Currency 14 3" xfId="4902"/>
    <cellStyle name="Currency 14 3 2" xfId="8189"/>
    <cellStyle name="Currency 14 3 2 2" xfId="9080"/>
    <cellStyle name="Currency 14 3 3" xfId="8657"/>
    <cellStyle name="Currency 14 4" xfId="8043"/>
    <cellStyle name="Currency 14 4 2" xfId="8943"/>
    <cellStyle name="Currency 14 5" xfId="8521"/>
    <cellStyle name="Currency 15" xfId="1434"/>
    <cellStyle name="Currency 15 2" xfId="1435"/>
    <cellStyle name="Currency 15 2 2" xfId="4905"/>
    <cellStyle name="Currency 15 2 2 2" xfId="8192"/>
    <cellStyle name="Currency 15 2 2 2 2" xfId="9083"/>
    <cellStyle name="Currency 15 2 2 3" xfId="8660"/>
    <cellStyle name="Currency 15 2 3" xfId="8046"/>
    <cellStyle name="Currency 15 2 3 2" xfId="8946"/>
    <cellStyle name="Currency 15 2 4" xfId="8524"/>
    <cellStyle name="Currency 15 3" xfId="4904"/>
    <cellStyle name="Currency 15 3 2" xfId="8191"/>
    <cellStyle name="Currency 15 3 2 2" xfId="9082"/>
    <cellStyle name="Currency 15 3 3" xfId="8659"/>
    <cellStyle name="Currency 15 4" xfId="8045"/>
    <cellStyle name="Currency 15 4 2" xfId="8945"/>
    <cellStyle name="Currency 15 5" xfId="8523"/>
    <cellStyle name="Currency 16" xfId="1436"/>
    <cellStyle name="Currency 16 2" xfId="1437"/>
    <cellStyle name="Currency 16 2 2" xfId="4907"/>
    <cellStyle name="Currency 16 2 2 2" xfId="8194"/>
    <cellStyle name="Currency 16 2 2 2 2" xfId="9085"/>
    <cellStyle name="Currency 16 2 2 3" xfId="8662"/>
    <cellStyle name="Currency 16 2 3" xfId="8048"/>
    <cellStyle name="Currency 16 2 3 2" xfId="8948"/>
    <cellStyle name="Currency 16 2 4" xfId="8526"/>
    <cellStyle name="Currency 16 3" xfId="4906"/>
    <cellStyle name="Currency 16 3 2" xfId="8193"/>
    <cellStyle name="Currency 16 3 2 2" xfId="9084"/>
    <cellStyle name="Currency 16 3 3" xfId="8661"/>
    <cellStyle name="Currency 16 4" xfId="8047"/>
    <cellStyle name="Currency 16 4 2" xfId="8947"/>
    <cellStyle name="Currency 16 5" xfId="8525"/>
    <cellStyle name="Currency 17" xfId="1438"/>
    <cellStyle name="Currency 17 2" xfId="1439"/>
    <cellStyle name="Currency 17 2 2" xfId="4909"/>
    <cellStyle name="Currency 17 2 2 2" xfId="8196"/>
    <cellStyle name="Currency 17 2 2 2 2" xfId="9087"/>
    <cellStyle name="Currency 17 2 2 3" xfId="8664"/>
    <cellStyle name="Currency 17 2 3" xfId="8050"/>
    <cellStyle name="Currency 17 2 3 2" xfId="8950"/>
    <cellStyle name="Currency 17 2 4" xfId="8528"/>
    <cellStyle name="Currency 17 3" xfId="4908"/>
    <cellStyle name="Currency 17 3 2" xfId="8195"/>
    <cellStyle name="Currency 17 3 2 2" xfId="9086"/>
    <cellStyle name="Currency 17 3 3" xfId="8663"/>
    <cellStyle name="Currency 17 4" xfId="8049"/>
    <cellStyle name="Currency 17 4 2" xfId="8949"/>
    <cellStyle name="Currency 17 5" xfId="8527"/>
    <cellStyle name="Currency 18" xfId="1440"/>
    <cellStyle name="Currency 18 2" xfId="8051"/>
    <cellStyle name="Currency 18 2 2" xfId="8951"/>
    <cellStyle name="Currency 18 3" xfId="8529"/>
    <cellStyle name="Currency 19" xfId="1441"/>
    <cellStyle name="Currency 19 2" xfId="8052"/>
    <cellStyle name="Currency 19 2 2" xfId="8952"/>
    <cellStyle name="Currency 19 3" xfId="8530"/>
    <cellStyle name="Currency 2" xfId="87"/>
    <cellStyle name="Currency 2 2" xfId="3525"/>
    <cellStyle name="Currency 2 2 2" xfId="8120"/>
    <cellStyle name="Currency 2 2 2 2" xfId="9014"/>
    <cellStyle name="Currency 2 2 3" xfId="8591"/>
    <cellStyle name="Currency 2 3" xfId="3524"/>
    <cellStyle name="Currency 2 3 2" xfId="8119"/>
    <cellStyle name="Currency 2 3 2 2" xfId="9013"/>
    <cellStyle name="Currency 2 3 3" xfId="8590"/>
    <cellStyle name="Currency 2 4" xfId="6703"/>
    <cellStyle name="Currency 2 4 2" xfId="8368"/>
    <cellStyle name="Currency 2 4 2 2" xfId="9256"/>
    <cellStyle name="Currency 2 4 3" xfId="8831"/>
    <cellStyle name="Currency 2 5" xfId="1442"/>
    <cellStyle name="Currency 2 6" xfId="7959"/>
    <cellStyle name="Currency 2 6 2" xfId="8862"/>
    <cellStyle name="Currency 2 7" xfId="8440"/>
    <cellStyle name="Currency 2*" xfId="1443"/>
    <cellStyle name="Currency 2* 2" xfId="1444"/>
    <cellStyle name="Currency 2* 2 2" xfId="1445"/>
    <cellStyle name="Currency 2* 2 2 2" xfId="4911"/>
    <cellStyle name="Currency 2* 2 3" xfId="4910"/>
    <cellStyle name="Currency 2* 3" xfId="3356"/>
    <cellStyle name="Currency 2_Model_Sep_2_02" xfId="1446"/>
    <cellStyle name="Currency 20" xfId="1447"/>
    <cellStyle name="Currency 20 2" xfId="1448"/>
    <cellStyle name="Currency 20 2 2" xfId="4913"/>
    <cellStyle name="Currency 20 2 2 2" xfId="8198"/>
    <cellStyle name="Currency 20 2 2 2 2" xfId="9089"/>
    <cellStyle name="Currency 20 2 2 3" xfId="8666"/>
    <cellStyle name="Currency 20 2 3" xfId="8054"/>
    <cellStyle name="Currency 20 2 3 2" xfId="8954"/>
    <cellStyle name="Currency 20 2 4" xfId="8532"/>
    <cellStyle name="Currency 20 3" xfId="4912"/>
    <cellStyle name="Currency 20 3 2" xfId="8197"/>
    <cellStyle name="Currency 20 3 2 2" xfId="9088"/>
    <cellStyle name="Currency 20 3 3" xfId="8665"/>
    <cellStyle name="Currency 20 4" xfId="8053"/>
    <cellStyle name="Currency 20 4 2" xfId="8953"/>
    <cellStyle name="Currency 20 5" xfId="8531"/>
    <cellStyle name="Currency 21" xfId="1449"/>
    <cellStyle name="Currency 21 2" xfId="1450"/>
    <cellStyle name="Currency 21 2 2" xfId="4915"/>
    <cellStyle name="Currency 21 2 2 2" xfId="8200"/>
    <cellStyle name="Currency 21 2 2 2 2" xfId="9091"/>
    <cellStyle name="Currency 21 2 2 3" xfId="8668"/>
    <cellStyle name="Currency 21 2 3" xfId="8056"/>
    <cellStyle name="Currency 21 2 3 2" xfId="8956"/>
    <cellStyle name="Currency 21 2 4" xfId="8534"/>
    <cellStyle name="Currency 21 3" xfId="4914"/>
    <cellStyle name="Currency 21 3 2" xfId="8199"/>
    <cellStyle name="Currency 21 3 2 2" xfId="9090"/>
    <cellStyle name="Currency 21 3 3" xfId="8667"/>
    <cellStyle name="Currency 21 4" xfId="8055"/>
    <cellStyle name="Currency 21 4 2" xfId="8955"/>
    <cellStyle name="Currency 21 5" xfId="8533"/>
    <cellStyle name="Currency 22" xfId="1451"/>
    <cellStyle name="Currency 22 2" xfId="1452"/>
    <cellStyle name="Currency 22 2 2" xfId="4917"/>
    <cellStyle name="Currency 22 2 2 2" xfId="8202"/>
    <cellStyle name="Currency 22 2 2 2 2" xfId="9093"/>
    <cellStyle name="Currency 22 2 2 3" xfId="8670"/>
    <cellStyle name="Currency 22 2 3" xfId="8058"/>
    <cellStyle name="Currency 22 2 3 2" xfId="8958"/>
    <cellStyle name="Currency 22 2 4" xfId="8536"/>
    <cellStyle name="Currency 22 3" xfId="4916"/>
    <cellStyle name="Currency 22 3 2" xfId="8201"/>
    <cellStyle name="Currency 22 3 2 2" xfId="9092"/>
    <cellStyle name="Currency 22 3 3" xfId="8669"/>
    <cellStyle name="Currency 22 4" xfId="8057"/>
    <cellStyle name="Currency 22 4 2" xfId="8957"/>
    <cellStyle name="Currency 22 5" xfId="8535"/>
    <cellStyle name="Currency 23" xfId="1453"/>
    <cellStyle name="Currency 23 2" xfId="4918"/>
    <cellStyle name="Currency 23 2 2" xfId="8203"/>
    <cellStyle name="Currency 23 2 2 2" xfId="9094"/>
    <cellStyle name="Currency 23 2 3" xfId="8671"/>
    <cellStyle name="Currency 23 3" xfId="8059"/>
    <cellStyle name="Currency 23 3 2" xfId="8959"/>
    <cellStyle name="Currency 23 4" xfId="8537"/>
    <cellStyle name="Currency 24" xfId="1454"/>
    <cellStyle name="Currency 24 2" xfId="4919"/>
    <cellStyle name="Currency 24 2 2" xfId="8204"/>
    <cellStyle name="Currency 24 2 2 2" xfId="9095"/>
    <cellStyle name="Currency 24 2 3" xfId="8672"/>
    <cellStyle name="Currency 24 3" xfId="8060"/>
    <cellStyle name="Currency 24 3 2" xfId="8960"/>
    <cellStyle name="Currency 24 4" xfId="8538"/>
    <cellStyle name="Currency 25" xfId="1455"/>
    <cellStyle name="Currency 25 2" xfId="4920"/>
    <cellStyle name="Currency 25 2 2" xfId="8205"/>
    <cellStyle name="Currency 25 2 2 2" xfId="9096"/>
    <cellStyle name="Currency 25 2 3" xfId="8673"/>
    <cellStyle name="Currency 25 3" xfId="8061"/>
    <cellStyle name="Currency 25 3 2" xfId="8961"/>
    <cellStyle name="Currency 25 4" xfId="8539"/>
    <cellStyle name="Currency 26" xfId="1456"/>
    <cellStyle name="Currency 26 2" xfId="6034"/>
    <cellStyle name="Currency 26 2 2" xfId="8241"/>
    <cellStyle name="Currency 26 2 2 2" xfId="9130"/>
    <cellStyle name="Currency 26 2 3" xfId="8706"/>
    <cellStyle name="Currency 26 3" xfId="8062"/>
    <cellStyle name="Currency 26 3 2" xfId="8962"/>
    <cellStyle name="Currency 26 4" xfId="8540"/>
    <cellStyle name="Currency 27" xfId="1457"/>
    <cellStyle name="Currency 27 2" xfId="6035"/>
    <cellStyle name="Currency 27 2 2" xfId="8242"/>
    <cellStyle name="Currency 27 2 2 2" xfId="9131"/>
    <cellStyle name="Currency 27 2 3" xfId="8707"/>
    <cellStyle name="Currency 27 3" xfId="8063"/>
    <cellStyle name="Currency 27 3 2" xfId="8963"/>
    <cellStyle name="Currency 27 4" xfId="8541"/>
    <cellStyle name="Currency 28" xfId="1458"/>
    <cellStyle name="Currency 28 2" xfId="6036"/>
    <cellStyle name="Currency 28 2 2" xfId="8243"/>
    <cellStyle name="Currency 28 2 2 2" xfId="9132"/>
    <cellStyle name="Currency 28 2 3" xfId="8708"/>
    <cellStyle name="Currency 28 3" xfId="8064"/>
    <cellStyle name="Currency 28 3 2" xfId="8964"/>
    <cellStyle name="Currency 28 4" xfId="8542"/>
    <cellStyle name="Currency 29" xfId="1459"/>
    <cellStyle name="Currency 29 2" xfId="6037"/>
    <cellStyle name="Currency 29 2 2" xfId="8244"/>
    <cellStyle name="Currency 29 2 2 2" xfId="9133"/>
    <cellStyle name="Currency 29 2 3" xfId="8709"/>
    <cellStyle name="Currency 29 3" xfId="8065"/>
    <cellStyle name="Currency 29 3 2" xfId="8965"/>
    <cellStyle name="Currency 29 4" xfId="8543"/>
    <cellStyle name="Currency 3" xfId="1460"/>
    <cellStyle name="Currency 3 2" xfId="1461"/>
    <cellStyle name="Currency 3 2 2" xfId="3527"/>
    <cellStyle name="Currency 3 2 2 2" xfId="8122"/>
    <cellStyle name="Currency 3 2 2 2 2" xfId="9016"/>
    <cellStyle name="Currency 3 2 2 3" xfId="8593"/>
    <cellStyle name="Currency 3 2 3" xfId="8067"/>
    <cellStyle name="Currency 3 2 3 2" xfId="8967"/>
    <cellStyle name="Currency 3 2 4" xfId="8545"/>
    <cellStyle name="Currency 3 3" xfId="3526"/>
    <cellStyle name="Currency 3 3 2" xfId="8121"/>
    <cellStyle name="Currency 3 3 2 2" xfId="9015"/>
    <cellStyle name="Currency 3 3 3" xfId="8592"/>
    <cellStyle name="Currency 3 4" xfId="7662"/>
    <cellStyle name="Currency 3 4 2" xfId="8374"/>
    <cellStyle name="Currency 3 4 2 2" xfId="9262"/>
    <cellStyle name="Currency 3 4 3" xfId="8836"/>
    <cellStyle name="Currency 3 5" xfId="8066"/>
    <cellStyle name="Currency 3 5 2" xfId="8966"/>
    <cellStyle name="Currency 3 6" xfId="8544"/>
    <cellStyle name="Currency 3*" xfId="1462"/>
    <cellStyle name="Currency 3* 2" xfId="1463"/>
    <cellStyle name="Currency 3* 2 2" xfId="1464"/>
    <cellStyle name="Currency 3* 2 2 2" xfId="4922"/>
    <cellStyle name="Currency 3* 2 3" xfId="4921"/>
    <cellStyle name="Currency 3* 3" xfId="3357"/>
    <cellStyle name="Currency 30" xfId="1465"/>
    <cellStyle name="Currency 30 2" xfId="6038"/>
    <cellStyle name="Currency 30 2 2" xfId="8245"/>
    <cellStyle name="Currency 30 2 2 2" xfId="9134"/>
    <cellStyle name="Currency 30 2 3" xfId="8710"/>
    <cellStyle name="Currency 30 3" xfId="8068"/>
    <cellStyle name="Currency 30 3 2" xfId="8968"/>
    <cellStyle name="Currency 30 4" xfId="8546"/>
    <cellStyle name="Currency 31" xfId="1466"/>
    <cellStyle name="Currency 31 2" xfId="6039"/>
    <cellStyle name="Currency 31 2 2" xfId="8246"/>
    <cellStyle name="Currency 31 2 2 2" xfId="9135"/>
    <cellStyle name="Currency 31 2 3" xfId="8711"/>
    <cellStyle name="Currency 31 3" xfId="8069"/>
    <cellStyle name="Currency 31 3 2" xfId="8969"/>
    <cellStyle name="Currency 31 4" xfId="8547"/>
    <cellStyle name="Currency 32" xfId="1467"/>
    <cellStyle name="Currency 32 2" xfId="6040"/>
    <cellStyle name="Currency 32 2 2" xfId="8247"/>
    <cellStyle name="Currency 32 2 2 2" xfId="9136"/>
    <cellStyle name="Currency 32 2 3" xfId="8712"/>
    <cellStyle name="Currency 32 3" xfId="8070"/>
    <cellStyle name="Currency 32 3 2" xfId="8970"/>
    <cellStyle name="Currency 32 4" xfId="8548"/>
    <cellStyle name="Currency 33" xfId="1468"/>
    <cellStyle name="Currency 33 2" xfId="6041"/>
    <cellStyle name="Currency 33 2 2" xfId="8248"/>
    <cellStyle name="Currency 33 2 2 2" xfId="9137"/>
    <cellStyle name="Currency 33 2 3" xfId="8713"/>
    <cellStyle name="Currency 33 3" xfId="8071"/>
    <cellStyle name="Currency 33 3 2" xfId="8971"/>
    <cellStyle name="Currency 33 4" xfId="8549"/>
    <cellStyle name="Currency 34" xfId="1469"/>
    <cellStyle name="Currency 34 2" xfId="6042"/>
    <cellStyle name="Currency 34 2 2" xfId="8249"/>
    <cellStyle name="Currency 34 2 2 2" xfId="9138"/>
    <cellStyle name="Currency 34 2 3" xfId="8714"/>
    <cellStyle name="Currency 34 3" xfId="8072"/>
    <cellStyle name="Currency 34 3 2" xfId="8972"/>
    <cellStyle name="Currency 34 4" xfId="8550"/>
    <cellStyle name="Currency 35" xfId="1470"/>
    <cellStyle name="Currency 35 2" xfId="6043"/>
    <cellStyle name="Currency 35 2 2" xfId="8250"/>
    <cellStyle name="Currency 35 2 2 2" xfId="9139"/>
    <cellStyle name="Currency 35 2 3" xfId="8715"/>
    <cellStyle name="Currency 35 3" xfId="8073"/>
    <cellStyle name="Currency 35 3 2" xfId="8973"/>
    <cellStyle name="Currency 35 4" xfId="8551"/>
    <cellStyle name="Currency 36" xfId="1471"/>
    <cellStyle name="Currency 36 2" xfId="6044"/>
    <cellStyle name="Currency 36 2 2" xfId="8251"/>
    <cellStyle name="Currency 36 2 2 2" xfId="9140"/>
    <cellStyle name="Currency 36 2 3" xfId="8716"/>
    <cellStyle name="Currency 36 3" xfId="8074"/>
    <cellStyle name="Currency 36 3 2" xfId="8974"/>
    <cellStyle name="Currency 36 4" xfId="8552"/>
    <cellStyle name="Currency 37" xfId="1472"/>
    <cellStyle name="Currency 37 2" xfId="6045"/>
    <cellStyle name="Currency 37 2 2" xfId="8252"/>
    <cellStyle name="Currency 37 2 2 2" xfId="9141"/>
    <cellStyle name="Currency 37 2 3" xfId="8717"/>
    <cellStyle name="Currency 37 3" xfId="8075"/>
    <cellStyle name="Currency 37 3 2" xfId="8975"/>
    <cellStyle name="Currency 37 4" xfId="8553"/>
    <cellStyle name="Currency 38" xfId="1473"/>
    <cellStyle name="Currency 38 2" xfId="6046"/>
    <cellStyle name="Currency 38 2 2" xfId="8253"/>
    <cellStyle name="Currency 38 2 2 2" xfId="9142"/>
    <cellStyle name="Currency 38 2 3" xfId="8718"/>
    <cellStyle name="Currency 38 3" xfId="8076"/>
    <cellStyle name="Currency 38 3 2" xfId="8976"/>
    <cellStyle name="Currency 38 4" xfId="8554"/>
    <cellStyle name="Currency 39" xfId="1474"/>
    <cellStyle name="Currency 39 2" xfId="6047"/>
    <cellStyle name="Currency 39 2 2" xfId="8254"/>
    <cellStyle name="Currency 39 2 2 2" xfId="9143"/>
    <cellStyle name="Currency 39 2 3" xfId="8719"/>
    <cellStyle name="Currency 39 3" xfId="8077"/>
    <cellStyle name="Currency 39 3 2" xfId="8977"/>
    <cellStyle name="Currency 39 4" xfId="8555"/>
    <cellStyle name="Currency 4" xfId="1475"/>
    <cellStyle name="Currency 4 2" xfId="1476"/>
    <cellStyle name="Currency 4 2 2" xfId="4923"/>
    <cellStyle name="Currency 4 2 2 2" xfId="8206"/>
    <cellStyle name="Currency 4 2 2 2 2" xfId="9097"/>
    <cellStyle name="Currency 4 2 2 3" xfId="8674"/>
    <cellStyle name="Currency 4 2 3" xfId="8079"/>
    <cellStyle name="Currency 4 2 3 2" xfId="8979"/>
    <cellStyle name="Currency 4 2 4" xfId="8557"/>
    <cellStyle name="Currency 4 3" xfId="3528"/>
    <cellStyle name="Currency 4 3 2" xfId="8123"/>
    <cellStyle name="Currency 4 3 2 2" xfId="9017"/>
    <cellStyle name="Currency 4 3 3" xfId="8594"/>
    <cellStyle name="Currency 4 4" xfId="8078"/>
    <cellStyle name="Currency 4 4 2" xfId="8978"/>
    <cellStyle name="Currency 4 5" xfId="8556"/>
    <cellStyle name="Currency 40" xfId="1477"/>
    <cellStyle name="Currency 40 2" xfId="6048"/>
    <cellStyle name="Currency 40 2 2" xfId="8255"/>
    <cellStyle name="Currency 40 2 2 2" xfId="9144"/>
    <cellStyle name="Currency 40 2 3" xfId="8720"/>
    <cellStyle name="Currency 40 3" xfId="8080"/>
    <cellStyle name="Currency 40 3 2" xfId="8980"/>
    <cellStyle name="Currency 40 4" xfId="8558"/>
    <cellStyle name="Currency 41" xfId="1478"/>
    <cellStyle name="Currency 41 2" xfId="6049"/>
    <cellStyle name="Currency 41 2 2" xfId="8256"/>
    <cellStyle name="Currency 41 2 2 2" xfId="9145"/>
    <cellStyle name="Currency 41 2 3" xfId="8721"/>
    <cellStyle name="Currency 41 3" xfId="8081"/>
    <cellStyle name="Currency 41 3 2" xfId="8981"/>
    <cellStyle name="Currency 41 4" xfId="8559"/>
    <cellStyle name="Currency 42" xfId="1479"/>
    <cellStyle name="Currency 42 2" xfId="6050"/>
    <cellStyle name="Currency 42 2 2" xfId="8257"/>
    <cellStyle name="Currency 42 2 2 2" xfId="9146"/>
    <cellStyle name="Currency 42 2 3" xfId="8722"/>
    <cellStyle name="Currency 42 3" xfId="8082"/>
    <cellStyle name="Currency 42 3 2" xfId="8982"/>
    <cellStyle name="Currency 42 4" xfId="8560"/>
    <cellStyle name="Currency 43" xfId="1480"/>
    <cellStyle name="Currency 43 2" xfId="6051"/>
    <cellStyle name="Currency 43 2 2" xfId="8258"/>
    <cellStyle name="Currency 43 2 2 2" xfId="9147"/>
    <cellStyle name="Currency 43 2 3" xfId="8723"/>
    <cellStyle name="Currency 43 3" xfId="8083"/>
    <cellStyle name="Currency 43 3 2" xfId="8983"/>
    <cellStyle name="Currency 43 4" xfId="8561"/>
    <cellStyle name="Currency 44" xfId="3523"/>
    <cellStyle name="Currency 44 2" xfId="8118"/>
    <cellStyle name="Currency 44 2 2" xfId="9012"/>
    <cellStyle name="Currency 44 3" xfId="8589"/>
    <cellStyle name="Currency 45" xfId="3530"/>
    <cellStyle name="Currency 45 2" xfId="8124"/>
    <cellStyle name="Currency 45 2 2" xfId="9018"/>
    <cellStyle name="Currency 45 3" xfId="8595"/>
    <cellStyle name="Currency 46" xfId="3518"/>
    <cellStyle name="Currency 46 2" xfId="8114"/>
    <cellStyle name="Currency 46 2 2" xfId="9008"/>
    <cellStyle name="Currency 46 3" xfId="8585"/>
    <cellStyle name="Currency 47" xfId="3531"/>
    <cellStyle name="Currency 47 2" xfId="8125"/>
    <cellStyle name="Currency 47 2 2" xfId="9019"/>
    <cellStyle name="Currency 47 3" xfId="8596"/>
    <cellStyle name="Currency 48" xfId="3519"/>
    <cellStyle name="Currency 48 2" xfId="8115"/>
    <cellStyle name="Currency 48 2 2" xfId="9009"/>
    <cellStyle name="Currency 48 3" xfId="8586"/>
    <cellStyle name="Currency 49" xfId="3532"/>
    <cellStyle name="Currency 49 2" xfId="8126"/>
    <cellStyle name="Currency 49 2 2" xfId="9020"/>
    <cellStyle name="Currency 49 3" xfId="8597"/>
    <cellStyle name="Currency 5" xfId="1481"/>
    <cellStyle name="Currency 5 2" xfId="1482"/>
    <cellStyle name="Currency 5 2 2" xfId="4925"/>
    <cellStyle name="Currency 5 2 2 2" xfId="8208"/>
    <cellStyle name="Currency 5 2 2 2 2" xfId="9099"/>
    <cellStyle name="Currency 5 2 2 3" xfId="8676"/>
    <cellStyle name="Currency 5 2 3" xfId="8085"/>
    <cellStyle name="Currency 5 2 3 2" xfId="8985"/>
    <cellStyle name="Currency 5 2 4" xfId="8563"/>
    <cellStyle name="Currency 5 3" xfId="4924"/>
    <cellStyle name="Currency 5 3 2" xfId="8207"/>
    <cellStyle name="Currency 5 3 2 2" xfId="9098"/>
    <cellStyle name="Currency 5 3 3" xfId="8675"/>
    <cellStyle name="Currency 5 4" xfId="8084"/>
    <cellStyle name="Currency 5 4 2" xfId="8984"/>
    <cellStyle name="Currency 5 5" xfId="8562"/>
    <cellStyle name="Currency 50" xfId="3520"/>
    <cellStyle name="Currency 50 2" xfId="8116"/>
    <cellStyle name="Currency 50 2 2" xfId="9010"/>
    <cellStyle name="Currency 50 3" xfId="8587"/>
    <cellStyle name="Currency 51" xfId="3533"/>
    <cellStyle name="Currency 51 2" xfId="8127"/>
    <cellStyle name="Currency 51 2 2" xfId="9021"/>
    <cellStyle name="Currency 51 3" xfId="8598"/>
    <cellStyle name="Currency 52" xfId="3521"/>
    <cellStyle name="Currency 52 2" xfId="8117"/>
    <cellStyle name="Currency 52 2 2" xfId="9011"/>
    <cellStyle name="Currency 52 3" xfId="8588"/>
    <cellStyle name="Currency 53" xfId="3534"/>
    <cellStyle name="Currency 53 2" xfId="8128"/>
    <cellStyle name="Currency 53 2 2" xfId="9022"/>
    <cellStyle name="Currency 53 3" xfId="8599"/>
    <cellStyle name="Currency 54" xfId="5992"/>
    <cellStyle name="Currency 54 2" xfId="8219"/>
    <cellStyle name="Currency 54 2 2" xfId="9109"/>
    <cellStyle name="Currency 54 3" xfId="8685"/>
    <cellStyle name="Currency 55" xfId="6005"/>
    <cellStyle name="Currency 55 2" xfId="8223"/>
    <cellStyle name="Currency 55 2 2" xfId="9112"/>
    <cellStyle name="Currency 55 3" xfId="8688"/>
    <cellStyle name="Currency 56" xfId="6004"/>
    <cellStyle name="Currency 56 2" xfId="8222"/>
    <cellStyle name="Currency 56 2 2" xfId="9111"/>
    <cellStyle name="Currency 56 3" xfId="8687"/>
    <cellStyle name="Currency 57" xfId="6006"/>
    <cellStyle name="Currency 57 2" xfId="8224"/>
    <cellStyle name="Currency 57 2 2" xfId="9113"/>
    <cellStyle name="Currency 57 3" xfId="8689"/>
    <cellStyle name="Currency 58" xfId="6234"/>
    <cellStyle name="Currency 58 2" xfId="8261"/>
    <cellStyle name="Currency 58 2 2" xfId="9149"/>
    <cellStyle name="Currency 58 3" xfId="8725"/>
    <cellStyle name="Currency 59" xfId="6268"/>
    <cellStyle name="Currency 59 2" xfId="8272"/>
    <cellStyle name="Currency 59 2 2" xfId="9160"/>
    <cellStyle name="Currency 59 3" xfId="8736"/>
    <cellStyle name="Currency 6" xfId="1483"/>
    <cellStyle name="Currency 6 2" xfId="1484"/>
    <cellStyle name="Currency 6 2 2" xfId="4927"/>
    <cellStyle name="Currency 6 2 2 2" xfId="8210"/>
    <cellStyle name="Currency 6 2 2 2 2" xfId="9101"/>
    <cellStyle name="Currency 6 2 2 3" xfId="8678"/>
    <cellStyle name="Currency 6 2 3" xfId="8087"/>
    <cellStyle name="Currency 6 2 3 2" xfId="8987"/>
    <cellStyle name="Currency 6 2 4" xfId="8565"/>
    <cellStyle name="Currency 6 3" xfId="4926"/>
    <cellStyle name="Currency 6 3 2" xfId="8209"/>
    <cellStyle name="Currency 6 3 2 2" xfId="9100"/>
    <cellStyle name="Currency 6 3 3" xfId="8677"/>
    <cellStyle name="Currency 6 4" xfId="8086"/>
    <cellStyle name="Currency 6 4 2" xfId="8986"/>
    <cellStyle name="Currency 6 5" xfId="8564"/>
    <cellStyle name="Currency 60" xfId="6256"/>
    <cellStyle name="Currency 60 2" xfId="8270"/>
    <cellStyle name="Currency 60 2 2" xfId="9158"/>
    <cellStyle name="Currency 60 3" xfId="8734"/>
    <cellStyle name="Currency 61" xfId="6263"/>
    <cellStyle name="Currency 61 2" xfId="8271"/>
    <cellStyle name="Currency 61 2 2" xfId="9159"/>
    <cellStyle name="Currency 61 3" xfId="8735"/>
    <cellStyle name="Currency 62" xfId="6250"/>
    <cellStyle name="Currency 62 2" xfId="8264"/>
    <cellStyle name="Currency 62 2 2" xfId="9152"/>
    <cellStyle name="Currency 62 3" xfId="8728"/>
    <cellStyle name="Currency 63" xfId="6251"/>
    <cellStyle name="Currency 63 2" xfId="8265"/>
    <cellStyle name="Currency 63 2 2" xfId="9153"/>
    <cellStyle name="Currency 63 3" xfId="8729"/>
    <cellStyle name="Currency 64" xfId="6242"/>
    <cellStyle name="Currency 64 2" xfId="8263"/>
    <cellStyle name="Currency 64 2 2" xfId="9151"/>
    <cellStyle name="Currency 64 3" xfId="8727"/>
    <cellStyle name="Currency 65" xfId="6253"/>
    <cellStyle name="Currency 65 2" xfId="8267"/>
    <cellStyle name="Currency 65 2 2" xfId="9155"/>
    <cellStyle name="Currency 65 3" xfId="8731"/>
    <cellStyle name="Currency 66" xfId="6252"/>
    <cellStyle name="Currency 66 2" xfId="8266"/>
    <cellStyle name="Currency 66 2 2" xfId="9154"/>
    <cellStyle name="Currency 66 3" xfId="8730"/>
    <cellStyle name="Currency 67" xfId="6254"/>
    <cellStyle name="Currency 67 2" xfId="8268"/>
    <cellStyle name="Currency 67 2 2" xfId="9156"/>
    <cellStyle name="Currency 67 3" xfId="8732"/>
    <cellStyle name="Currency 68" xfId="7723"/>
    <cellStyle name="Currency 68 2" xfId="8380"/>
    <cellStyle name="Currency 68 2 2" xfId="9268"/>
    <cellStyle name="Currency 68 3" xfId="8842"/>
    <cellStyle name="Currency 69" xfId="7715"/>
    <cellStyle name="Currency 69 2" xfId="8375"/>
    <cellStyle name="Currency 69 2 2" xfId="9263"/>
    <cellStyle name="Currency 69 3" xfId="8837"/>
    <cellStyle name="Currency 7" xfId="1485"/>
    <cellStyle name="Currency 7 2" xfId="1486"/>
    <cellStyle name="Currency 7 2 2" xfId="4929"/>
    <cellStyle name="Currency 7 2 2 2" xfId="8212"/>
    <cellStyle name="Currency 7 2 2 2 2" xfId="9103"/>
    <cellStyle name="Currency 7 2 2 3" xfId="8680"/>
    <cellStyle name="Currency 7 2 3" xfId="8089"/>
    <cellStyle name="Currency 7 2 3 2" xfId="8989"/>
    <cellStyle name="Currency 7 2 4" xfId="8567"/>
    <cellStyle name="Currency 7 3" xfId="4928"/>
    <cellStyle name="Currency 7 3 2" xfId="8211"/>
    <cellStyle name="Currency 7 3 2 2" xfId="9102"/>
    <cellStyle name="Currency 7 3 3" xfId="8679"/>
    <cellStyle name="Currency 7 4" xfId="8088"/>
    <cellStyle name="Currency 7 4 2" xfId="8988"/>
    <cellStyle name="Currency 7 5" xfId="8566"/>
    <cellStyle name="Currency 70" xfId="7722"/>
    <cellStyle name="Currency 70 2" xfId="8379"/>
    <cellStyle name="Currency 70 2 2" xfId="9267"/>
    <cellStyle name="Currency 70 3" xfId="8841"/>
    <cellStyle name="Currency 71" xfId="8416"/>
    <cellStyle name="Currency 71 2" xfId="9270"/>
    <cellStyle name="Currency 72" xfId="8417"/>
    <cellStyle name="Currency 72 2" xfId="9271"/>
    <cellStyle name="Currency 73" xfId="8418"/>
    <cellStyle name="Currency 73 2" xfId="9272"/>
    <cellStyle name="Currency 74" xfId="8419"/>
    <cellStyle name="Currency 74 2" xfId="9273"/>
    <cellStyle name="Currency 75" xfId="8420"/>
    <cellStyle name="Currency 75 2" xfId="9274"/>
    <cellStyle name="Currency 76" xfId="8421"/>
    <cellStyle name="Currency 76 2" xfId="9275"/>
    <cellStyle name="Currency 77" xfId="8844"/>
    <cellStyle name="Currency 8" xfId="1487"/>
    <cellStyle name="Currency 8 2" xfId="1488"/>
    <cellStyle name="Currency 8 2 2" xfId="4931"/>
    <cellStyle name="Currency 8 2 2 2" xfId="8214"/>
    <cellStyle name="Currency 8 2 2 2 2" xfId="9105"/>
    <cellStyle name="Currency 8 2 2 3" xfId="8682"/>
    <cellStyle name="Currency 8 2 3" xfId="8091"/>
    <cellStyle name="Currency 8 2 3 2" xfId="8991"/>
    <cellStyle name="Currency 8 2 4" xfId="8569"/>
    <cellStyle name="Currency 8 3" xfId="4930"/>
    <cellStyle name="Currency 8 3 2" xfId="8213"/>
    <cellStyle name="Currency 8 3 2 2" xfId="9104"/>
    <cellStyle name="Currency 8 3 3" xfId="8681"/>
    <cellStyle name="Currency 8 4" xfId="8090"/>
    <cellStyle name="Currency 8 4 2" xfId="8990"/>
    <cellStyle name="Currency 8 5" xfId="8568"/>
    <cellStyle name="Currency 9" xfId="1489"/>
    <cellStyle name="Currency 9 2" xfId="1490"/>
    <cellStyle name="Currency 9 2 2" xfId="4933"/>
    <cellStyle name="Currency 9 2 2 2" xfId="8216"/>
    <cellStyle name="Currency 9 2 2 2 2" xfId="9107"/>
    <cellStyle name="Currency 9 2 2 3" xfId="8684"/>
    <cellStyle name="Currency 9 2 3" xfId="8093"/>
    <cellStyle name="Currency 9 2 3 2" xfId="8993"/>
    <cellStyle name="Currency 9 2 4" xfId="8571"/>
    <cellStyle name="Currency 9 3" xfId="4932"/>
    <cellStyle name="Currency 9 3 2" xfId="8215"/>
    <cellStyle name="Currency 9 3 2 2" xfId="9106"/>
    <cellStyle name="Currency 9 3 3" xfId="8683"/>
    <cellStyle name="Currency 9 4" xfId="8092"/>
    <cellStyle name="Currency 9 4 2" xfId="8992"/>
    <cellStyle name="Currency 9 5" xfId="8570"/>
    <cellStyle name="Currency*" xfId="1491"/>
    <cellStyle name="Currency* 2" xfId="1492"/>
    <cellStyle name="Currency* 2 2" xfId="1493"/>
    <cellStyle name="Currency* 2 2 2" xfId="4935"/>
    <cellStyle name="Currency* 2 3" xfId="4934"/>
    <cellStyle name="Currency* 3" xfId="3358"/>
    <cellStyle name="Currency0" xfId="1494"/>
    <cellStyle name="Currency0 2" xfId="1495"/>
    <cellStyle name="Currency0 2 2" xfId="1496"/>
    <cellStyle name="Currency0 2 2 2" xfId="4937"/>
    <cellStyle name="Currency0 2 3" xfId="4936"/>
    <cellStyle name="Currency0 3" xfId="3359"/>
    <cellStyle name="Dash" xfId="1497"/>
    <cellStyle name="Dash 2" xfId="1498"/>
    <cellStyle name="Dash 2 2" xfId="1499"/>
    <cellStyle name="Date" xfId="1500"/>
    <cellStyle name="Date 2" xfId="1501"/>
    <cellStyle name="Date 2 2" xfId="1502"/>
    <cellStyle name="Date 2 2 2" xfId="4939"/>
    <cellStyle name="Date 2 3" xfId="4938"/>
    <cellStyle name="Date 3" xfId="3360"/>
    <cellStyle name="Date Aligned" xfId="1503"/>
    <cellStyle name="Date Aligned*" xfId="1504"/>
    <cellStyle name="Date Aligned* 2" xfId="1505"/>
    <cellStyle name="Date Aligned* 2 2" xfId="1506"/>
    <cellStyle name="Date Aligned* 2 2 2" xfId="4941"/>
    <cellStyle name="Date Aligned* 2 3" xfId="4940"/>
    <cellStyle name="Date Aligned* 3" xfId="3361"/>
    <cellStyle name="Date_0910 GSO Capex RRP - Final (Detail) v2 220710" xfId="6704"/>
    <cellStyle name="Dec places 0" xfId="1507"/>
    <cellStyle name="Dec places 1, millions" xfId="1508"/>
    <cellStyle name="Dec places 2" xfId="1509"/>
    <cellStyle name="Dec places 2, millions" xfId="1510"/>
    <cellStyle name="Dezimal [0]_Compiling Utility Macros" xfId="1511"/>
    <cellStyle name="Dezimal_Compiling Utility Macros" xfId="1512"/>
    <cellStyle name="dollar" xfId="1513"/>
    <cellStyle name="dollar 2" xfId="1514"/>
    <cellStyle name="dollar 2 2" xfId="1515"/>
    <cellStyle name="dollar[0]" xfId="1516"/>
    <cellStyle name="dollar[0] 2" xfId="1517"/>
    <cellStyle name="dollar[0] 2 2" xfId="1518"/>
    <cellStyle name="dollar_GTO MAR_1112_310312" xfId="1519"/>
    <cellStyle name="Dotted Line" xfId="1520"/>
    <cellStyle name="DOWNFOOT" xfId="1521"/>
    <cellStyle name="DP 0, no commas" xfId="1522"/>
    <cellStyle name="Emphasis 1" xfId="1523"/>
    <cellStyle name="Emphasis 1 2" xfId="3145"/>
    <cellStyle name="Emphasis 1 2 2" xfId="6705"/>
    <cellStyle name="Emphasis 2" xfId="1524"/>
    <cellStyle name="Emphasis 2 2" xfId="3146"/>
    <cellStyle name="Emphasis 2 2 2" xfId="6706"/>
    <cellStyle name="Emphasis 3" xfId="1525"/>
    <cellStyle name="Emphasis 3 2" xfId="3147"/>
    <cellStyle name="Emphasis 3 2 2" xfId="6708"/>
    <cellStyle name="Entered" xfId="1526"/>
    <cellStyle name="Entered 2" xfId="1527"/>
    <cellStyle name="Entered 2 2" xfId="1528"/>
    <cellStyle name="Euro" xfId="1529"/>
    <cellStyle name="Euro 2" xfId="1530"/>
    <cellStyle name="Euro 2 2" xfId="1531"/>
    <cellStyle name="Euro 2 2 2" xfId="4943"/>
    <cellStyle name="Euro 2 3" xfId="4942"/>
    <cellStyle name="Euro 3" xfId="1532"/>
    <cellStyle name="Euro 3 2" xfId="4944"/>
    <cellStyle name="Euro 4" xfId="1533"/>
    <cellStyle name="Euro 5" xfId="4945"/>
    <cellStyle name="Euro 6" xfId="6709"/>
    <cellStyle name="Explanatory Text" xfId="60" builtinId="53" customBuiltin="1"/>
    <cellStyle name="Explanatory Text 2" xfId="1534"/>
    <cellStyle name="Explanatory Text 2 2" xfId="1535"/>
    <cellStyle name="Explanatory Text 2 2 2" xfId="1536"/>
    <cellStyle name="Explanatory Text 2 2 3" xfId="3363"/>
    <cellStyle name="Explanatory Text 2 2 4" xfId="6710"/>
    <cellStyle name="Explanatory Text 2 3" xfId="1537"/>
    <cellStyle name="Explanatory Text 2 4" xfId="1538"/>
    <cellStyle name="Explanatory Text 3" xfId="1539"/>
    <cellStyle name="Explanatory Text 3 2" xfId="4946"/>
    <cellStyle name="Explanatory Text 3 3" xfId="6711"/>
    <cellStyle name="Explanatory Text 4" xfId="6712"/>
    <cellStyle name="Fixed" xfId="1540"/>
    <cellStyle name="Fixed 2" xfId="1541"/>
    <cellStyle name="Fixed 2 2" xfId="1542"/>
    <cellStyle name="Font size 12 (bold)" xfId="1543"/>
    <cellStyle name="font size 8 (bold)" xfId="1544"/>
    <cellStyle name="FOOTER - Style1" xfId="1545"/>
    <cellStyle name="Footnote" xfId="1546"/>
    <cellStyle name="FORECAST" xfId="1547"/>
    <cellStyle name="FORECAST 2" xfId="1548"/>
    <cellStyle name="FORECAST 2 2" xfId="1549"/>
    <cellStyle name="Good" xfId="51" builtinId="26" customBuiltin="1"/>
    <cellStyle name="Good 2" xfId="1550"/>
    <cellStyle name="Good 2 2" xfId="1551"/>
    <cellStyle name="Good 2 2 2" xfId="1552"/>
    <cellStyle name="Good 2 2 2 2" xfId="4947"/>
    <cellStyle name="Good 2 2 3" xfId="3365"/>
    <cellStyle name="Good 2 2 4" xfId="6713"/>
    <cellStyle name="Good 2 3" xfId="1553"/>
    <cellStyle name="Good 2 4" xfId="1554"/>
    <cellStyle name="Good 2 5" xfId="3364"/>
    <cellStyle name="Good 3" xfId="1555"/>
    <cellStyle name="Good 3 2" xfId="4948"/>
    <cellStyle name="Good 3 3" xfId="6714"/>
    <cellStyle name="Good 4" xfId="3197"/>
    <cellStyle name="Good 4 2" xfId="6715"/>
    <cellStyle name="Grey" xfId="1556"/>
    <cellStyle name="GreyOrWhite" xfId="1557"/>
    <cellStyle name="GreyOrWhite 2" xfId="1558"/>
    <cellStyle name="GreyOrWhite 2 2" xfId="1559"/>
    <cellStyle name="GreyOrWhite 2 2 2" xfId="4951"/>
    <cellStyle name="GreyOrWhite 2 2 3" xfId="6718"/>
    <cellStyle name="GreyOrWhite 2 3" xfId="4950"/>
    <cellStyle name="GreyOrWhite 2 3 2" xfId="6719"/>
    <cellStyle name="GreyOrWhite 2 4" xfId="6720"/>
    <cellStyle name="GreyOrWhite 2 5" xfId="6721"/>
    <cellStyle name="GreyOrWhite 2 6" xfId="6722"/>
    <cellStyle name="GreyOrWhite 2 7" xfId="6723"/>
    <cellStyle name="GreyOrWhite 2 8" xfId="6724"/>
    <cellStyle name="GreyOrWhite 2 9" xfId="6717"/>
    <cellStyle name="GreyOrWhite 3" xfId="4949"/>
    <cellStyle name="GreyOrWhite 4" xfId="6716"/>
    <cellStyle name="Hard Percent" xfId="1560"/>
    <cellStyle name="Header" xfId="1561"/>
    <cellStyle name="Header1" xfId="1562"/>
    <cellStyle name="Header2" xfId="1563"/>
    <cellStyle name="Heading 1" xfId="47" builtinId="16" customBuiltin="1"/>
    <cellStyle name="Heading 1 2" xfId="1564"/>
    <cellStyle name="Heading 1 2 2" xfId="1565"/>
    <cellStyle name="Heading 1 2 2 2" xfId="1566"/>
    <cellStyle name="Heading 1 2 2 3" xfId="3366"/>
    <cellStyle name="Heading 1 2 2 4" xfId="6725"/>
    <cellStyle name="Heading 1 2 3" xfId="1567"/>
    <cellStyle name="Heading 1 2 4" xfId="1568"/>
    <cellStyle name="Heading 1 3" xfId="1569"/>
    <cellStyle name="Heading 1 3 2" xfId="4952"/>
    <cellStyle name="Heading 1 3 3" xfId="6726"/>
    <cellStyle name="Heading 2" xfId="48" builtinId="17" customBuiltin="1"/>
    <cellStyle name="Heading 2 2" xfId="1570"/>
    <cellStyle name="Heading 2 2 2" xfId="1571"/>
    <cellStyle name="Heading 2 2 2 2" xfId="1572"/>
    <cellStyle name="Heading 2 2 2 3" xfId="3367"/>
    <cellStyle name="Heading 2 2 2 4" xfId="6727"/>
    <cellStyle name="Heading 2 2 3" xfId="1573"/>
    <cellStyle name="Heading 2 2 4" xfId="1574"/>
    <cellStyle name="Heading 2 3" xfId="1575"/>
    <cellStyle name="Heading 2 3 2" xfId="4953"/>
    <cellStyle name="Heading 2 3 3" xfId="6728"/>
    <cellStyle name="Heading 3" xfId="49" builtinId="18" customBuiltin="1"/>
    <cellStyle name="Heading 3 2" xfId="1576"/>
    <cellStyle name="Heading 3 2 2" xfId="1577"/>
    <cellStyle name="Heading 3 2 2 2" xfId="1578"/>
    <cellStyle name="Heading 3 2 2 3" xfId="3368"/>
    <cellStyle name="Heading 3 2 2 4" xfId="6729"/>
    <cellStyle name="Heading 3 2 3" xfId="1579"/>
    <cellStyle name="Heading 3 2 4" xfId="1580"/>
    <cellStyle name="Heading 3 3" xfId="1581"/>
    <cellStyle name="Heading 3 3 2" xfId="4954"/>
    <cellStyle name="Heading 3 3 3" xfId="6730"/>
    <cellStyle name="Heading 4" xfId="50" builtinId="19" customBuiltin="1"/>
    <cellStyle name="Heading 4 2" xfId="1582"/>
    <cellStyle name="Heading 4 2 2" xfId="1583"/>
    <cellStyle name="Heading 4 2 2 2" xfId="1584"/>
    <cellStyle name="Heading 4 2 2 3" xfId="3369"/>
    <cellStyle name="Heading 4 2 2 4" xfId="6731"/>
    <cellStyle name="Heading 4 2 3" xfId="1585"/>
    <cellStyle name="Heading 4 2 4" xfId="1586"/>
    <cellStyle name="Heading 4 3" xfId="1587"/>
    <cellStyle name="Heading 4 3 2" xfId="4955"/>
    <cellStyle name="Heading 4 3 3" xfId="6732"/>
    <cellStyle name="Heading1" xfId="1588"/>
    <cellStyle name="Heading1 2" xfId="1589"/>
    <cellStyle name="Heading1 2 2" xfId="1590"/>
    <cellStyle name="Heading2" xfId="1591"/>
    <cellStyle name="Heading2 2" xfId="1592"/>
    <cellStyle name="Heading2 2 2" xfId="1593"/>
    <cellStyle name="HEADINGS" xfId="1594"/>
    <cellStyle name="HEADINGS 2" xfId="1595"/>
    <cellStyle name="HEADINGS 2 2" xfId="1596"/>
    <cellStyle name="HIGHLIGHT" xfId="1597"/>
    <cellStyle name="HIGHLIGHT 2" xfId="1598"/>
    <cellStyle name="HIGHLIGHT 2 2" xfId="4956"/>
    <cellStyle name="HIGHLIGHT 3" xfId="1599"/>
    <cellStyle name="HIGHLIGHT 3 2" xfId="4957"/>
    <cellStyle name="HIGHLIGHT 4" xfId="3370"/>
    <cellStyle name="Hyperlink 2" xfId="1600"/>
    <cellStyle name="Hyperlink 2 2" xfId="1601"/>
    <cellStyle name="Hyperlink 2 2 2" xfId="4959"/>
    <cellStyle name="Hyperlink 2 3" xfId="1602"/>
    <cellStyle name="Hyperlink 2 4" xfId="4960"/>
    <cellStyle name="Hyperlink 2 5" xfId="4958"/>
    <cellStyle name="Hyperlink 2 6" xfId="6733"/>
    <cellStyle name="Hyperlink 3" xfId="1603"/>
    <cellStyle name="Hyperlink 3 2" xfId="4961"/>
    <cellStyle name="Hyperlink 3 3" xfId="6734"/>
    <cellStyle name="Hyperlink 4" xfId="1604"/>
    <cellStyle name="Hyperlink 4 2" xfId="6735"/>
    <cellStyle name="Hyperlink 5" xfId="1605"/>
    <cellStyle name="Hyperlink 5 2" xfId="4962"/>
    <cellStyle name="Hyperlink 6" xfId="1606"/>
    <cellStyle name="Hyperlink 6 2" xfId="4963"/>
    <cellStyle name="Incomplete" xfId="1607"/>
    <cellStyle name="Input" xfId="54" builtinId="20" customBuiltin="1"/>
    <cellStyle name="Input [yellow]" xfId="1608"/>
    <cellStyle name="Input 10" xfId="1609"/>
    <cellStyle name="Input 100" xfId="4964"/>
    <cellStyle name="Input 101" xfId="4965"/>
    <cellStyle name="Input 102" xfId="4966"/>
    <cellStyle name="Input 103" xfId="4967"/>
    <cellStyle name="Input 104" xfId="4968"/>
    <cellStyle name="Input 105" xfId="4969"/>
    <cellStyle name="Input 106" xfId="4970"/>
    <cellStyle name="Input 107" xfId="4971"/>
    <cellStyle name="Input 108" xfId="4972"/>
    <cellStyle name="Input 109" xfId="4973"/>
    <cellStyle name="Input 11" xfId="1610"/>
    <cellStyle name="Input 110" xfId="4974"/>
    <cellStyle name="Input 111" xfId="4975"/>
    <cellStyle name="Input 112" xfId="4976"/>
    <cellStyle name="Input 113" xfId="4977"/>
    <cellStyle name="Input 114" xfId="4978"/>
    <cellStyle name="Input 115" xfId="4979"/>
    <cellStyle name="Input 116" xfId="4980"/>
    <cellStyle name="Input 117" xfId="4981"/>
    <cellStyle name="Input 118" xfId="4982"/>
    <cellStyle name="Input 119" xfId="4983"/>
    <cellStyle name="Input 12" xfId="1611"/>
    <cellStyle name="Input 120" xfId="4984"/>
    <cellStyle name="Input 121" xfId="4985"/>
    <cellStyle name="Input 122" xfId="4986"/>
    <cellStyle name="Input 123" xfId="4987"/>
    <cellStyle name="Input 124" xfId="4988"/>
    <cellStyle name="Input 125" xfId="4989"/>
    <cellStyle name="Input 126" xfId="4990"/>
    <cellStyle name="Input 127" xfId="4991"/>
    <cellStyle name="Input 128" xfId="4992"/>
    <cellStyle name="Input 129" xfId="4993"/>
    <cellStyle name="Input 13" xfId="1612"/>
    <cellStyle name="Input 130" xfId="4994"/>
    <cellStyle name="Input 131" xfId="4995"/>
    <cellStyle name="Input 132" xfId="4996"/>
    <cellStyle name="Input 133" xfId="4997"/>
    <cellStyle name="Input 134" xfId="4998"/>
    <cellStyle name="Input 135" xfId="4999"/>
    <cellStyle name="Input 136" xfId="5000"/>
    <cellStyle name="Input 137" xfId="5001"/>
    <cellStyle name="Input 138" xfId="5002"/>
    <cellStyle name="Input 139" xfId="5003"/>
    <cellStyle name="Input 14" xfId="1613"/>
    <cellStyle name="Input 140" xfId="5004"/>
    <cellStyle name="Input 141" xfId="5005"/>
    <cellStyle name="Input 142" xfId="5006"/>
    <cellStyle name="Input 143" xfId="5007"/>
    <cellStyle name="Input 144" xfId="5008"/>
    <cellStyle name="Input 145" xfId="5009"/>
    <cellStyle name="Input 146" xfId="5010"/>
    <cellStyle name="Input 147" xfId="5011"/>
    <cellStyle name="Input 148" xfId="5012"/>
    <cellStyle name="Input 149" xfId="5013"/>
    <cellStyle name="Input 15" xfId="1614"/>
    <cellStyle name="Input 150" xfId="5014"/>
    <cellStyle name="Input 151" xfId="5015"/>
    <cellStyle name="Input 152" xfId="5016"/>
    <cellStyle name="Input 153" xfId="5017"/>
    <cellStyle name="Input 154" xfId="5018"/>
    <cellStyle name="Input 155" xfId="5019"/>
    <cellStyle name="Input 156" xfId="5020"/>
    <cellStyle name="Input 157" xfId="5021"/>
    <cellStyle name="Input 158" xfId="5022"/>
    <cellStyle name="Input 159" xfId="5023"/>
    <cellStyle name="Input 16" xfId="1615"/>
    <cellStyle name="Input 160" xfId="5024"/>
    <cellStyle name="Input 161" xfId="5025"/>
    <cellStyle name="Input 162" xfId="5026"/>
    <cellStyle name="Input 163" xfId="5027"/>
    <cellStyle name="Input 164" xfId="5028"/>
    <cellStyle name="Input 165" xfId="5029"/>
    <cellStyle name="Input 166" xfId="5030"/>
    <cellStyle name="Input 167" xfId="5031"/>
    <cellStyle name="Input 168" xfId="5032"/>
    <cellStyle name="Input 169" xfId="5033"/>
    <cellStyle name="Input 17" xfId="1616"/>
    <cellStyle name="Input 170" xfId="5034"/>
    <cellStyle name="Input 171" xfId="5035"/>
    <cellStyle name="Input 172" xfId="5036"/>
    <cellStyle name="Input 173" xfId="5037"/>
    <cellStyle name="Input 174" xfId="5038"/>
    <cellStyle name="Input 175" xfId="5039"/>
    <cellStyle name="Input 176" xfId="5040"/>
    <cellStyle name="Input 177" xfId="5041"/>
    <cellStyle name="Input 178" xfId="5042"/>
    <cellStyle name="Input 179" xfId="5043"/>
    <cellStyle name="Input 18" xfId="1617"/>
    <cellStyle name="Input 180" xfId="5985"/>
    <cellStyle name="Input 181" xfId="6011"/>
    <cellStyle name="Input 182" xfId="5990"/>
    <cellStyle name="Input 183" xfId="5881"/>
    <cellStyle name="Input 184" xfId="6195"/>
    <cellStyle name="Input 185" xfId="6175"/>
    <cellStyle name="Input 186" xfId="6194"/>
    <cellStyle name="Input 187" xfId="6219"/>
    <cellStyle name="Input 188" xfId="6199"/>
    <cellStyle name="Input 189" xfId="6220"/>
    <cellStyle name="Input 19" xfId="1618"/>
    <cellStyle name="Input 190" xfId="6229"/>
    <cellStyle name="Input 191" xfId="6277"/>
    <cellStyle name="Input 192" xfId="6247"/>
    <cellStyle name="Input 193" xfId="6279"/>
    <cellStyle name="Input 194" xfId="6294"/>
    <cellStyle name="Input 195" xfId="6281"/>
    <cellStyle name="Input 196" xfId="6302"/>
    <cellStyle name="Input 197" xfId="6288"/>
    <cellStyle name="Input 198" xfId="6313"/>
    <cellStyle name="Input 199" xfId="6320"/>
    <cellStyle name="Input 2" xfId="1619"/>
    <cellStyle name="Input 2 2" xfId="1620"/>
    <cellStyle name="Input 2 2 2" xfId="1621"/>
    <cellStyle name="Input 2 2 3" xfId="3371"/>
    <cellStyle name="Input 2 2 4" xfId="6737"/>
    <cellStyle name="Input 2 3" xfId="1622"/>
    <cellStyle name="Input 2 4" xfId="1623"/>
    <cellStyle name="Input 20" xfId="1624"/>
    <cellStyle name="Input 200" xfId="6736"/>
    <cellStyle name="Input 201" xfId="7664"/>
    <cellStyle name="Input 202" xfId="7667"/>
    <cellStyle name="Input 203" xfId="7663"/>
    <cellStyle name="Input 204" xfId="7668"/>
    <cellStyle name="Input 205" xfId="7665"/>
    <cellStyle name="Input 206" xfId="7669"/>
    <cellStyle name="Input 207" xfId="7666"/>
    <cellStyle name="Input 208" xfId="7728"/>
    <cellStyle name="Input 209" xfId="7706"/>
    <cellStyle name="Input 21" xfId="1625"/>
    <cellStyle name="Input 210" xfId="7729"/>
    <cellStyle name="Input 22" xfId="1626"/>
    <cellStyle name="Input 23" xfId="1627"/>
    <cellStyle name="Input 24" xfId="1628"/>
    <cellStyle name="Input 25" xfId="1629"/>
    <cellStyle name="Input 26" xfId="1630"/>
    <cellStyle name="Input 27" xfId="1631"/>
    <cellStyle name="Input 28" xfId="1632"/>
    <cellStyle name="Input 29" xfId="1633"/>
    <cellStyle name="Input 3" xfId="1634"/>
    <cellStyle name="Input 3 2" xfId="1635"/>
    <cellStyle name="Input 3 2 2" xfId="1636"/>
    <cellStyle name="Input 3 2 3" xfId="3372"/>
    <cellStyle name="Input 3 2 4" xfId="5044"/>
    <cellStyle name="Input 3 3" xfId="5045"/>
    <cellStyle name="Input 3 4" xfId="6738"/>
    <cellStyle name="Input 30" xfId="1637"/>
    <cellStyle name="Input 30 2" xfId="5046"/>
    <cellStyle name="Input 31" xfId="1638"/>
    <cellStyle name="Input 31 2" xfId="5047"/>
    <cellStyle name="Input 32" xfId="1639"/>
    <cellStyle name="Input 32 2" xfId="5048"/>
    <cellStyle name="Input 33" xfId="1640"/>
    <cellStyle name="Input 33 2" xfId="5049"/>
    <cellStyle name="Input 34" xfId="1641"/>
    <cellStyle name="Input 34 2" xfId="5050"/>
    <cellStyle name="Input 35" xfId="1642"/>
    <cellStyle name="Input 35 2" xfId="5051"/>
    <cellStyle name="Input 36" xfId="1643"/>
    <cellStyle name="Input 36 2" xfId="5052"/>
    <cellStyle name="Input 37" xfId="1644"/>
    <cellStyle name="Input 37 2" xfId="5053"/>
    <cellStyle name="Input 38" xfId="1645"/>
    <cellStyle name="Input 38 2" xfId="5054"/>
    <cellStyle name="Input 39" xfId="1646"/>
    <cellStyle name="Input 39 2" xfId="5055"/>
    <cellStyle name="Input 4" xfId="1647"/>
    <cellStyle name="Input 4 2" xfId="1648"/>
    <cellStyle name="Input 4 3" xfId="1649"/>
    <cellStyle name="Input 4 4" xfId="6739"/>
    <cellStyle name="Input 40" xfId="1650"/>
    <cellStyle name="Input 40 2" xfId="5056"/>
    <cellStyle name="Input 41" xfId="1651"/>
    <cellStyle name="Input 41 2" xfId="5057"/>
    <cellStyle name="Input 42" xfId="1652"/>
    <cellStyle name="Input 42 2" xfId="5058"/>
    <cellStyle name="Input 43" xfId="1653"/>
    <cellStyle name="Input 43 2" xfId="5059"/>
    <cellStyle name="Input 44" xfId="1654"/>
    <cellStyle name="Input 44 2" xfId="5060"/>
    <cellStyle name="Input 45" xfId="1655"/>
    <cellStyle name="Input 45 2" xfId="5061"/>
    <cellStyle name="Input 46" xfId="1656"/>
    <cellStyle name="Input 46 2" xfId="5062"/>
    <cellStyle name="Input 47" xfId="1657"/>
    <cellStyle name="Input 47 2" xfId="5063"/>
    <cellStyle name="Input 48" xfId="1658"/>
    <cellStyle name="Input 48 2" xfId="5064"/>
    <cellStyle name="Input 49" xfId="1659"/>
    <cellStyle name="Input 49 2" xfId="5065"/>
    <cellStyle name="Input 5" xfId="1660"/>
    <cellStyle name="Input 50" xfId="1661"/>
    <cellStyle name="Input 50 2" xfId="5066"/>
    <cellStyle name="Input 51" xfId="1662"/>
    <cellStyle name="Input 51 2" xfId="5067"/>
    <cellStyle name="Input 52" xfId="1663"/>
    <cellStyle name="Input 53" xfId="1664"/>
    <cellStyle name="Input 53 2" xfId="5068"/>
    <cellStyle name="Input 54" xfId="1665"/>
    <cellStyle name="Input 54 2" xfId="5069"/>
    <cellStyle name="Input 55" xfId="1666"/>
    <cellStyle name="Input 55 2" xfId="5070"/>
    <cellStyle name="Input 56" xfId="1667"/>
    <cellStyle name="Input 56 2" xfId="5071"/>
    <cellStyle name="Input 57" xfId="1668"/>
    <cellStyle name="Input 57 2" xfId="5072"/>
    <cellStyle name="Input 58" xfId="1669"/>
    <cellStyle name="Input 58 2" xfId="5073"/>
    <cellStyle name="Input 59" xfId="1670"/>
    <cellStyle name="Input 59 2" xfId="5074"/>
    <cellStyle name="Input 6" xfId="1671"/>
    <cellStyle name="Input 60" xfId="1672"/>
    <cellStyle name="Input 60 2" xfId="5075"/>
    <cellStyle name="Input 61" xfId="1673"/>
    <cellStyle name="Input 61 2" xfId="5076"/>
    <cellStyle name="Input 62" xfId="1674"/>
    <cellStyle name="Input 62 2" xfId="5077"/>
    <cellStyle name="Input 63" xfId="1675"/>
    <cellStyle name="Input 63 2" xfId="5078"/>
    <cellStyle name="Input 64" xfId="1676"/>
    <cellStyle name="Input 64 2" xfId="5079"/>
    <cellStyle name="Input 65" xfId="1677"/>
    <cellStyle name="Input 65 2" xfId="5080"/>
    <cellStyle name="Input 66" xfId="1678"/>
    <cellStyle name="Input 66 2" xfId="5081"/>
    <cellStyle name="Input 67" xfId="1679"/>
    <cellStyle name="Input 67 2" xfId="5082"/>
    <cellStyle name="Input 68" xfId="1680"/>
    <cellStyle name="Input 68 2" xfId="5083"/>
    <cellStyle name="Input 69" xfId="1681"/>
    <cellStyle name="Input 69 2" xfId="5084"/>
    <cellStyle name="Input 7" xfId="1682"/>
    <cellStyle name="Input 70" xfId="1683"/>
    <cellStyle name="Input 70 2" xfId="5085"/>
    <cellStyle name="Input 71" xfId="1684"/>
    <cellStyle name="Input 71 2" xfId="5086"/>
    <cellStyle name="Input 72" xfId="1685"/>
    <cellStyle name="Input 72 2" xfId="5087"/>
    <cellStyle name="Input 73" xfId="1686"/>
    <cellStyle name="Input 73 2" xfId="5088"/>
    <cellStyle name="Input 74" xfId="1687"/>
    <cellStyle name="Input 74 2" xfId="5089"/>
    <cellStyle name="Input 75" xfId="1688"/>
    <cellStyle name="Input 76" xfId="1689"/>
    <cellStyle name="Input 77" xfId="1690"/>
    <cellStyle name="Input 78" xfId="1691"/>
    <cellStyle name="Input 79" xfId="1692"/>
    <cellStyle name="Input 8" xfId="1693"/>
    <cellStyle name="Input 80" xfId="1694"/>
    <cellStyle name="Input 81" xfId="1695"/>
    <cellStyle name="Input 81 2" xfId="5090"/>
    <cellStyle name="Input 82" xfId="1696"/>
    <cellStyle name="Input 82 2" xfId="5091"/>
    <cellStyle name="Input 83" xfId="1697"/>
    <cellStyle name="Input 83 2" xfId="5092"/>
    <cellStyle name="Input 84" xfId="1698"/>
    <cellStyle name="Input 84 2" xfId="5093"/>
    <cellStyle name="Input 85" xfId="1699"/>
    <cellStyle name="Input 85 2" xfId="5094"/>
    <cellStyle name="Input 86" xfId="1700"/>
    <cellStyle name="Input 86 2" xfId="5095"/>
    <cellStyle name="Input 87" xfId="1701"/>
    <cellStyle name="Input 88" xfId="1702"/>
    <cellStyle name="Input 89" xfId="1703"/>
    <cellStyle name="Input 89 2" xfId="5096"/>
    <cellStyle name="Input 9" xfId="1704"/>
    <cellStyle name="Input 90" xfId="1705"/>
    <cellStyle name="Input 90 2" xfId="5097"/>
    <cellStyle name="Input 91" xfId="3198"/>
    <cellStyle name="Input 91 2" xfId="6125"/>
    <cellStyle name="Input 91 3" xfId="5098"/>
    <cellStyle name="Input 92" xfId="3196"/>
    <cellStyle name="Input 92 2" xfId="6124"/>
    <cellStyle name="Input 92 3" xfId="5099"/>
    <cellStyle name="Input 93" xfId="3438"/>
    <cellStyle name="Input 94" xfId="3441"/>
    <cellStyle name="Input 95" xfId="3439"/>
    <cellStyle name="Input 96" xfId="3440"/>
    <cellStyle name="Input 97" xfId="5100"/>
    <cellStyle name="Input 98" xfId="5101"/>
    <cellStyle name="Input 99" xfId="5102"/>
    <cellStyle name="InputBlueFont" xfId="1706"/>
    <cellStyle name="InputBlueFont 2" xfId="1707"/>
    <cellStyle name="InputBlueFont 2 2" xfId="5103"/>
    <cellStyle name="InputBlueFont 3" xfId="1708"/>
    <cellStyle name="InputBlueFont 3 2" xfId="5104"/>
    <cellStyle name="InputBlueFont 4" xfId="3373"/>
    <cellStyle name="InputData" xfId="6740"/>
    <cellStyle name="InputNegative" xfId="1709"/>
    <cellStyle name="InputNegative 2" xfId="1710"/>
    <cellStyle name="InputNegative 2 2" xfId="5105"/>
    <cellStyle name="InputNegative 3" xfId="3374"/>
    <cellStyle name="Integer" xfId="1711"/>
    <cellStyle name="Integer 2" xfId="1712"/>
    <cellStyle name="Integer 2 2" xfId="1713"/>
    <cellStyle name="Level 1" xfId="6741"/>
    <cellStyle name="Level 2" xfId="6742"/>
    <cellStyle name="Level 3" xfId="6743"/>
    <cellStyle name="Level 4" xfId="6744"/>
    <cellStyle name="Linked Cell" xfId="57" builtinId="24" customBuiltin="1"/>
    <cellStyle name="Linked Cell 2" xfId="1714"/>
    <cellStyle name="Linked Cell 2 2" xfId="1715"/>
    <cellStyle name="Linked Cell 2 2 2" xfId="1716"/>
    <cellStyle name="Linked Cell 2 2 3" xfId="3376"/>
    <cellStyle name="Linked Cell 2 2 4" xfId="6745"/>
    <cellStyle name="Linked Cell 2 3" xfId="1717"/>
    <cellStyle name="Linked Cell 2 4" xfId="1718"/>
    <cellStyle name="Linked Cell 3" xfId="1719"/>
    <cellStyle name="Linked Cell 3 2" xfId="5106"/>
    <cellStyle name="Linked Cell 3 3" xfId="6746"/>
    <cellStyle name="MACRO" xfId="1720"/>
    <cellStyle name="MACRO 2" xfId="1721"/>
    <cellStyle name="MACRO 2 2" xfId="1722"/>
    <cellStyle name="Main Heading" xfId="1723"/>
    <cellStyle name="Main Heading 2" xfId="6747"/>
    <cellStyle name="Main Title" xfId="1724"/>
    <cellStyle name="Model" xfId="1725"/>
    <cellStyle name="mult" xfId="1726"/>
    <cellStyle name="mult 2" xfId="1727"/>
    <cellStyle name="mult 2 2" xfId="1728"/>
    <cellStyle name="Multiple" xfId="1729"/>
    <cellStyle name="Multiple 2" xfId="1730"/>
    <cellStyle name="MultipleBelow" xfId="1731"/>
    <cellStyle name="Neutral" xfId="53" builtinId="28" customBuiltin="1"/>
    <cellStyle name="Neutral 2" xfId="1732"/>
    <cellStyle name="Neutral 2 2" xfId="1733"/>
    <cellStyle name="Neutral 2 2 2" xfId="1734"/>
    <cellStyle name="Neutral 2 2 2 2" xfId="5107"/>
    <cellStyle name="Neutral 2 2 3" xfId="3379"/>
    <cellStyle name="Neutral 2 2 4" xfId="6748"/>
    <cellStyle name="Neutral 2 3" xfId="1735"/>
    <cellStyle name="Neutral 2 4" xfId="1736"/>
    <cellStyle name="Neutral 2 5" xfId="3378"/>
    <cellStyle name="Neutral 3" xfId="1737"/>
    <cellStyle name="Neutral 3 2" xfId="5108"/>
    <cellStyle name="Neutral 3 3" xfId="6749"/>
    <cellStyle name="Neutral 4" xfId="3199"/>
    <cellStyle name="Neutral 4 2" xfId="6750"/>
    <cellStyle name="Neutral 5" xfId="8433"/>
    <cellStyle name="Neutral 6" xfId="9278"/>
    <cellStyle name="no dec" xfId="1738"/>
    <cellStyle name="no dec 2" xfId="1739"/>
    <cellStyle name="no dec 2 2" xfId="1740"/>
    <cellStyle name="Normal" xfId="0" builtinId="0"/>
    <cellStyle name="Normal - Style1" xfId="1741"/>
    <cellStyle name="Normal - Style1 2" xfId="1742"/>
    <cellStyle name="Normal - Style1 2 2" xfId="1743"/>
    <cellStyle name="Normal - Style1 2 2 2" xfId="5110"/>
    <cellStyle name="Normal - Style1 2 3" xfId="5109"/>
    <cellStyle name="Normal - Style1 3" xfId="3380"/>
    <cellStyle name="Normal (0)" xfId="1744"/>
    <cellStyle name="Normal (0) 2" xfId="1745"/>
    <cellStyle name="Normal (0) U" xfId="1746"/>
    <cellStyle name="Normal (0) U 2" xfId="1747"/>
    <cellStyle name="Normal (0) UD" xfId="1748"/>
    <cellStyle name="Normal (0) UD 2" xfId="1749"/>
    <cellStyle name="Normal (1)" xfId="1750"/>
    <cellStyle name="Normal (2)" xfId="1751"/>
    <cellStyle name="Normal (3)" xfId="1752"/>
    <cellStyle name="Normal 10" xfId="1753"/>
    <cellStyle name="Normal 10 2" xfId="3384"/>
    <cellStyle name="Normal 10 3" xfId="5111"/>
    <cellStyle name="Normal 10 3 2" xfId="7818"/>
    <cellStyle name="Normal 10 4" xfId="6751"/>
    <cellStyle name="Normal 10 5" xfId="7743"/>
    <cellStyle name="Normal 100" xfId="1754"/>
    <cellStyle name="Normal 100 2" xfId="5112"/>
    <cellStyle name="Normal 101" xfId="1755"/>
    <cellStyle name="Normal 101 2" xfId="5113"/>
    <cellStyle name="Normal 102" xfId="1756"/>
    <cellStyle name="Normal 102 2" xfId="5114"/>
    <cellStyle name="Normal 103" xfId="1757"/>
    <cellStyle name="Normal 103 2" xfId="5115"/>
    <cellStyle name="Normal 104" xfId="1758"/>
    <cellStyle name="Normal 104 2" xfId="5116"/>
    <cellStyle name="Normal 105" xfId="1759"/>
    <cellStyle name="Normal 105 2" xfId="5117"/>
    <cellStyle name="Normal 106" xfId="1760"/>
    <cellStyle name="Normal 106 2" xfId="5118"/>
    <cellStyle name="Normal 107" xfId="1761"/>
    <cellStyle name="Normal 107 2" xfId="5119"/>
    <cellStyle name="Normal 108" xfId="1762"/>
    <cellStyle name="Normal 108 2" xfId="5120"/>
    <cellStyle name="Normal 109" xfId="1763"/>
    <cellStyle name="Normal 109 2" xfId="5121"/>
    <cellStyle name="Normal 11" xfId="1764"/>
    <cellStyle name="Normal 11 2" xfId="3385"/>
    <cellStyle name="Normal 11 2 2" xfId="6753"/>
    <cellStyle name="Normal 11 3" xfId="5122"/>
    <cellStyle name="Normal 11 3 2" xfId="7819"/>
    <cellStyle name="Normal 11 4" xfId="6752"/>
    <cellStyle name="Normal 11 5" xfId="7744"/>
    <cellStyle name="Normal 110" xfId="1765"/>
    <cellStyle name="Normal 110 2" xfId="5123"/>
    <cellStyle name="Normal 111" xfId="1766"/>
    <cellStyle name="Normal 111 2" xfId="5124"/>
    <cellStyle name="Normal 112" xfId="1767"/>
    <cellStyle name="Normal 112 2" xfId="5125"/>
    <cellStyle name="Normal 113" xfId="1768"/>
    <cellStyle name="Normal 113 2" xfId="5126"/>
    <cellStyle name="Normal 114" xfId="1769"/>
    <cellStyle name="Normal 114 2" xfId="5127"/>
    <cellStyle name="Normal 115" xfId="1770"/>
    <cellStyle name="Normal 115 2" xfId="5128"/>
    <cellStyle name="Normal 116" xfId="1771"/>
    <cellStyle name="Normal 116 2" xfId="5129"/>
    <cellStyle name="Normal 117" xfId="1772"/>
    <cellStyle name="Normal 117 2" xfId="5130"/>
    <cellStyle name="Normal 118" xfId="1773"/>
    <cellStyle name="Normal 118 2" xfId="5131"/>
    <cellStyle name="Normal 119" xfId="1774"/>
    <cellStyle name="Normal 119 2" xfId="5132"/>
    <cellStyle name="Normal 119 2 2" xfId="7820"/>
    <cellStyle name="Normal 119 3" xfId="7745"/>
    <cellStyle name="Normal 12" xfId="1775"/>
    <cellStyle name="Normal 12 2" xfId="3386"/>
    <cellStyle name="Normal 12 2 2" xfId="6755"/>
    <cellStyle name="Normal 12 3" xfId="5133"/>
    <cellStyle name="Normal 12 3 2" xfId="7821"/>
    <cellStyle name="Normal 12 4" xfId="6754"/>
    <cellStyle name="Normal 12 5" xfId="7746"/>
    <cellStyle name="Normal 120" xfId="1776"/>
    <cellStyle name="Normal 120 2" xfId="5134"/>
    <cellStyle name="Normal 121" xfId="1777"/>
    <cellStyle name="Normal 121 2" xfId="5135"/>
    <cellStyle name="Normal 122" xfId="1778"/>
    <cellStyle name="Normal 122 2" xfId="5136"/>
    <cellStyle name="Normal 123" xfId="1779"/>
    <cellStyle name="Normal 123 2" xfId="5137"/>
    <cellStyle name="Normal 124" xfId="1780"/>
    <cellStyle name="Normal 124 2" xfId="5138"/>
    <cellStyle name="Normal 125" xfId="1781"/>
    <cellStyle name="Normal 125 2" xfId="5139"/>
    <cellStyle name="Normal 126" xfId="1782"/>
    <cellStyle name="Normal 126 2" xfId="5140"/>
    <cellStyle name="Normal 127" xfId="1783"/>
    <cellStyle name="Normal 127 2" xfId="5141"/>
    <cellStyle name="Normal 128" xfId="1784"/>
    <cellStyle name="Normal 128 2" xfId="5142"/>
    <cellStyle name="Normal 129" xfId="1785"/>
    <cellStyle name="Normal 129 2" xfId="5143"/>
    <cellStyle name="Normal 13" xfId="1786"/>
    <cellStyle name="Normal 13 2" xfId="3387"/>
    <cellStyle name="Normal 13 2 10" xfId="6758"/>
    <cellStyle name="Normal 13 2 2" xfId="6757"/>
    <cellStyle name="Normal 13 3" xfId="5144"/>
    <cellStyle name="Normal 13 3 2" xfId="7822"/>
    <cellStyle name="Normal 13 4" xfId="6756"/>
    <cellStyle name="Normal 13 5" xfId="7747"/>
    <cellStyle name="Normal 130" xfId="1787"/>
    <cellStyle name="Normal 130 2" xfId="5145"/>
    <cellStyle name="Normal 131" xfId="1788"/>
    <cellStyle name="Normal 131 2" xfId="5146"/>
    <cellStyle name="Normal 132" xfId="1789"/>
    <cellStyle name="Normal 132 2" xfId="5147"/>
    <cellStyle name="Normal 133" xfId="1790"/>
    <cellStyle name="Normal 133 2" xfId="5148"/>
    <cellStyle name="Normal 134" xfId="1791"/>
    <cellStyle name="Normal 134 2" xfId="5149"/>
    <cellStyle name="Normal 135" xfId="1792"/>
    <cellStyle name="Normal 135 2" xfId="5150"/>
    <cellStyle name="Normal 136" xfId="1793"/>
    <cellStyle name="Normal 136 2" xfId="5151"/>
    <cellStyle name="Normal 137" xfId="1794"/>
    <cellStyle name="Normal 137 2" xfId="1795"/>
    <cellStyle name="Normal 137 2 2" xfId="5153"/>
    <cellStyle name="Normal 137 3" xfId="5152"/>
    <cellStyle name="Normal 138" xfId="1796"/>
    <cellStyle name="Normal 138 2" xfId="1797"/>
    <cellStyle name="Normal 138 2 2" xfId="5155"/>
    <cellStyle name="Normal 138 3" xfId="5154"/>
    <cellStyle name="Normal 139" xfId="1798"/>
    <cellStyle name="Normal 139 2" xfId="1799"/>
    <cellStyle name="Normal 139 2 2" xfId="5157"/>
    <cellStyle name="Normal 139 3" xfId="5156"/>
    <cellStyle name="Normal 14" xfId="1800"/>
    <cellStyle name="Normal 14 2" xfId="3388"/>
    <cellStyle name="Normal 14 2 10" xfId="6760"/>
    <cellStyle name="Normal 14 3" xfId="5158"/>
    <cellStyle name="Normal 14 3 2" xfId="7823"/>
    <cellStyle name="Normal 14 4" xfId="6759"/>
    <cellStyle name="Normal 14 5" xfId="7748"/>
    <cellStyle name="Normal 140" xfId="1801"/>
    <cellStyle name="Normal 140 2" xfId="1802"/>
    <cellStyle name="Normal 140 2 2" xfId="5160"/>
    <cellStyle name="Normal 140 3" xfId="5159"/>
    <cellStyle name="Normal 141" xfId="1803"/>
    <cellStyle name="Normal 141 2" xfId="1804"/>
    <cellStyle name="Normal 141 2 2" xfId="5162"/>
    <cellStyle name="Normal 141 3" xfId="5161"/>
    <cellStyle name="Normal 142" xfId="1805"/>
    <cellStyle name="Normal 142 2" xfId="1806"/>
    <cellStyle name="Normal 142 2 2" xfId="5164"/>
    <cellStyle name="Normal 142 3" xfId="5163"/>
    <cellStyle name="Normal 143" xfId="1807"/>
    <cellStyle name="Normal 143 2" xfId="1808"/>
    <cellStyle name="Normal 143 2 2" xfId="5166"/>
    <cellStyle name="Normal 143 3" xfId="5165"/>
    <cellStyle name="Normal 144" xfId="1809"/>
    <cellStyle name="Normal 144 2" xfId="1810"/>
    <cellStyle name="Normal 144 2 2" xfId="5168"/>
    <cellStyle name="Normal 144 2 2 2" xfId="7825"/>
    <cellStyle name="Normal 144 2 3" xfId="7750"/>
    <cellStyle name="Normal 144 3" xfId="5167"/>
    <cellStyle name="Normal 144 3 2" xfId="7824"/>
    <cellStyle name="Normal 144 4" xfId="7749"/>
    <cellStyle name="Normal 145" xfId="1811"/>
    <cellStyle name="Normal 145 2" xfId="1812"/>
    <cellStyle name="Normal 145 2 2" xfId="5170"/>
    <cellStyle name="Normal 145 2 2 2" xfId="7827"/>
    <cellStyle name="Normal 145 2 3" xfId="7752"/>
    <cellStyle name="Normal 145 3" xfId="5169"/>
    <cellStyle name="Normal 145 3 2" xfId="7826"/>
    <cellStyle name="Normal 145 4" xfId="7751"/>
    <cellStyle name="Normal 146" xfId="1813"/>
    <cellStyle name="Normal 146 2" xfId="1814"/>
    <cellStyle name="Normal 146 2 2" xfId="5172"/>
    <cellStyle name="Normal 146 2 2 2" xfId="7829"/>
    <cellStyle name="Normal 146 2 3" xfId="7754"/>
    <cellStyle name="Normal 146 3" xfId="5171"/>
    <cellStyle name="Normal 146 3 2" xfId="7828"/>
    <cellStyle name="Normal 146 4" xfId="7753"/>
    <cellStyle name="Normal 147" xfId="1815"/>
    <cellStyle name="Normal 147 2" xfId="1816"/>
    <cellStyle name="Normal 147 2 2" xfId="5174"/>
    <cellStyle name="Normal 147 2 2 2" xfId="7831"/>
    <cellStyle name="Normal 147 2 3" xfId="7756"/>
    <cellStyle name="Normal 147 3" xfId="5173"/>
    <cellStyle name="Normal 147 3 2" xfId="7830"/>
    <cellStyle name="Normal 147 4" xfId="7755"/>
    <cellStyle name="Normal 148" xfId="1817"/>
    <cellStyle name="Normal 148 2" xfId="1818"/>
    <cellStyle name="Normal 148 2 2" xfId="5176"/>
    <cellStyle name="Normal 148 2 2 2" xfId="7833"/>
    <cellStyle name="Normal 148 2 3" xfId="7758"/>
    <cellStyle name="Normal 148 3" xfId="5175"/>
    <cellStyle name="Normal 148 3 2" xfId="7832"/>
    <cellStyle name="Normal 148 4" xfId="7757"/>
    <cellStyle name="Normal 149" xfId="1819"/>
    <cellStyle name="Normal 149 2" xfId="1820"/>
    <cellStyle name="Normal 149 2 2" xfId="5178"/>
    <cellStyle name="Normal 149 2 2 2" xfId="7835"/>
    <cellStyle name="Normal 149 2 3" xfId="7760"/>
    <cellStyle name="Normal 149 3" xfId="5177"/>
    <cellStyle name="Normal 149 3 2" xfId="7834"/>
    <cellStyle name="Normal 149 4" xfId="7759"/>
    <cellStyle name="Normal 15" xfId="1821"/>
    <cellStyle name="Normal 15 2" xfId="5180"/>
    <cellStyle name="Normal 15 3" xfId="5179"/>
    <cellStyle name="Normal 15 3 2" xfId="7836"/>
    <cellStyle name="Normal 15 4" xfId="6761"/>
    <cellStyle name="Normal 15 5" xfId="7761"/>
    <cellStyle name="Normal 150" xfId="1822"/>
    <cellStyle name="Normal 150 2" xfId="5181"/>
    <cellStyle name="Normal 151" xfId="1823"/>
    <cellStyle name="Normal 151 2" xfId="1824"/>
    <cellStyle name="Normal 151 2 2" xfId="5183"/>
    <cellStyle name="Normal 151 3" xfId="5182"/>
    <cellStyle name="Normal 152" xfId="1825"/>
    <cellStyle name="Normal 152 2" xfId="5184"/>
    <cellStyle name="Normal 153" xfId="1826"/>
    <cellStyle name="Normal 153 2" xfId="5185"/>
    <cellStyle name="Normal 154" xfId="1827"/>
    <cellStyle name="Normal 154 2" xfId="5186"/>
    <cellStyle name="Normal 155" xfId="1828"/>
    <cellStyle name="Normal 155 2" xfId="5187"/>
    <cellStyle name="Normal 156" xfId="1829"/>
    <cellStyle name="Normal 156 2" xfId="5188"/>
    <cellStyle name="Normal 157" xfId="1830"/>
    <cellStyle name="Normal 157 2" xfId="5189"/>
    <cellStyle name="Normal 158" xfId="1831"/>
    <cellStyle name="Normal 158 2" xfId="5190"/>
    <cellStyle name="Normal 158 2 2" xfId="7837"/>
    <cellStyle name="Normal 158 3" xfId="7762"/>
    <cellStyle name="Normal 159" xfId="1832"/>
    <cellStyle name="Normal 159 2" xfId="5191"/>
    <cellStyle name="Normal 159 2 2" xfId="7838"/>
    <cellStyle name="Normal 159 3" xfId="7763"/>
    <cellStyle name="Normal 16" xfId="1833"/>
    <cellStyle name="Normal 16 2" xfId="1834"/>
    <cellStyle name="Normal 16 2 2" xfId="5193"/>
    <cellStyle name="Normal 16 2 2 2" xfId="7840"/>
    <cellStyle name="Normal 16 2 3" xfId="7765"/>
    <cellStyle name="Normal 16 3" xfId="5192"/>
    <cellStyle name="Normal 16 3 2" xfId="7839"/>
    <cellStyle name="Normal 16 4" xfId="6762"/>
    <cellStyle name="Normal 16 5" xfId="7764"/>
    <cellStyle name="Normal 160" xfId="1835"/>
    <cellStyle name="Normal 160 2" xfId="5194"/>
    <cellStyle name="Normal 161" xfId="1836"/>
    <cellStyle name="Normal 161 2" xfId="5195"/>
    <cellStyle name="Normal 162" xfId="1837"/>
    <cellStyle name="Normal 162 2" xfId="5196"/>
    <cellStyle name="Normal 163" xfId="1838"/>
    <cellStyle name="Normal 163 2" xfId="5197"/>
    <cellStyle name="Normal 164" xfId="1839"/>
    <cellStyle name="Normal 164 2" xfId="5198"/>
    <cellStyle name="Normal 164 2 2" xfId="7841"/>
    <cellStyle name="Normal 164 3" xfId="7766"/>
    <cellStyle name="Normal 165" xfId="1840"/>
    <cellStyle name="Normal 165 2" xfId="5199"/>
    <cellStyle name="Normal 165 2 2" xfId="7842"/>
    <cellStyle name="Normal 165 3" xfId="7767"/>
    <cellStyle name="Normal 166" xfId="1841"/>
    <cellStyle name="Normal 166 2" xfId="5200"/>
    <cellStyle name="Normal 167" xfId="1842"/>
    <cellStyle name="Normal 167 2" xfId="5201"/>
    <cellStyle name="Normal 168" xfId="1843"/>
    <cellStyle name="Normal 168 2" xfId="6052"/>
    <cellStyle name="Normal 168 2 2" xfId="7877"/>
    <cellStyle name="Normal 168 3" xfId="5202"/>
    <cellStyle name="Normal 168 4" xfId="7768"/>
    <cellStyle name="Normal 169" xfId="1844"/>
    <cellStyle name="Normal 169 2" xfId="6053"/>
    <cellStyle name="Normal 169 2 2" xfId="7878"/>
    <cellStyle name="Normal 169 3" xfId="5203"/>
    <cellStyle name="Normal 169 4" xfId="7769"/>
    <cellStyle name="Normal 17" xfId="1845"/>
    <cellStyle name="Normal 17 2" xfId="1846"/>
    <cellStyle name="Normal 17 2 2" xfId="5205"/>
    <cellStyle name="Normal 17 2 2 2" xfId="7844"/>
    <cellStyle name="Normal 17 2 3" xfId="7771"/>
    <cellStyle name="Normal 17 3" xfId="5204"/>
    <cellStyle name="Normal 17 3 2" xfId="7843"/>
    <cellStyle name="Normal 17 4" xfId="6763"/>
    <cellStyle name="Normal 17 5" xfId="7770"/>
    <cellStyle name="Normal 170" xfId="1847"/>
    <cellStyle name="Normal 170 2" xfId="6054"/>
    <cellStyle name="Normal 170 2 2" xfId="7879"/>
    <cellStyle name="Normal 170 3" xfId="5206"/>
    <cellStyle name="Normal 170 4" xfId="7772"/>
    <cellStyle name="Normal 171" xfId="1848"/>
    <cellStyle name="Normal 171 2" xfId="6055"/>
    <cellStyle name="Normal 171 2 2" xfId="7880"/>
    <cellStyle name="Normal 171 3" xfId="5207"/>
    <cellStyle name="Normal 171 4" xfId="7773"/>
    <cellStyle name="Normal 172" xfId="1849"/>
    <cellStyle name="Normal 172 2" xfId="6056"/>
    <cellStyle name="Normal 172 2 2" xfId="7881"/>
    <cellStyle name="Normal 172 3" xfId="5208"/>
    <cellStyle name="Normal 172 4" xfId="7774"/>
    <cellStyle name="Normal 173" xfId="1850"/>
    <cellStyle name="Normal 173 2" xfId="6057"/>
    <cellStyle name="Normal 173 2 2" xfId="7882"/>
    <cellStyle name="Normal 173 3" xfId="5209"/>
    <cellStyle name="Normal 173 4" xfId="7775"/>
    <cellStyle name="Normal 174" xfId="1851"/>
    <cellStyle name="Normal 174 2" xfId="6058"/>
    <cellStyle name="Normal 174 2 2" xfId="7883"/>
    <cellStyle name="Normal 174 3" xfId="5210"/>
    <cellStyle name="Normal 174 4" xfId="7776"/>
    <cellStyle name="Normal 175" xfId="1852"/>
    <cellStyle name="Normal 175 2" xfId="6059"/>
    <cellStyle name="Normal 175 2 2" xfId="7884"/>
    <cellStyle name="Normal 175 3" xfId="5211"/>
    <cellStyle name="Normal 175 4" xfId="7777"/>
    <cellStyle name="Normal 176" xfId="1853"/>
    <cellStyle name="Normal 176 2" xfId="6060"/>
    <cellStyle name="Normal 176 2 2" xfId="7885"/>
    <cellStyle name="Normal 176 3" xfId="5212"/>
    <cellStyle name="Normal 176 4" xfId="7778"/>
    <cellStyle name="Normal 177" xfId="1854"/>
    <cellStyle name="Normal 177 2" xfId="6061"/>
    <cellStyle name="Normal 177 2 2" xfId="7886"/>
    <cellStyle name="Normal 177 3" xfId="5213"/>
    <cellStyle name="Normal 177 4" xfId="7779"/>
    <cellStyle name="Normal 178" xfId="1855"/>
    <cellStyle name="Normal 178 2" xfId="6062"/>
    <cellStyle name="Normal 178 2 2" xfId="7887"/>
    <cellStyle name="Normal 178 3" xfId="5214"/>
    <cellStyle name="Normal 178 4" xfId="7780"/>
    <cellStyle name="Normal 179" xfId="1856"/>
    <cellStyle name="Normal 179 2" xfId="6063"/>
    <cellStyle name="Normal 179 2 2" xfId="7888"/>
    <cellStyle name="Normal 179 3" xfId="5215"/>
    <cellStyle name="Normal 179 4" xfId="7781"/>
    <cellStyle name="Normal 18" xfId="1857"/>
    <cellStyle name="Normal 18 2" xfId="1858"/>
    <cellStyle name="Normal 18 2 2" xfId="5217"/>
    <cellStyle name="Normal 18 2 2 2" xfId="7846"/>
    <cellStyle name="Normal 18 2 3" xfId="7783"/>
    <cellStyle name="Normal 18 3" xfId="5216"/>
    <cellStyle name="Normal 18 3 2" xfId="7845"/>
    <cellStyle name="Normal 18 4" xfId="6764"/>
    <cellStyle name="Normal 18 5" xfId="7782"/>
    <cellStyle name="Normal 180" xfId="1859"/>
    <cellStyle name="Normal 180 2" xfId="6064"/>
    <cellStyle name="Normal 180 2 2" xfId="7889"/>
    <cellStyle name="Normal 180 3" xfId="5218"/>
    <cellStyle name="Normal 180 4" xfId="7784"/>
    <cellStyle name="Normal 181" xfId="1860"/>
    <cellStyle name="Normal 181 2" xfId="6065"/>
    <cellStyle name="Normal 181 2 2" xfId="7890"/>
    <cellStyle name="Normal 181 3" xfId="5219"/>
    <cellStyle name="Normal 181 4" xfId="7785"/>
    <cellStyle name="Normal 182" xfId="1861"/>
    <cellStyle name="Normal 182 2" xfId="6066"/>
    <cellStyle name="Normal 182 2 2" xfId="7891"/>
    <cellStyle name="Normal 182 3" xfId="5220"/>
    <cellStyle name="Normal 182 4" xfId="7786"/>
    <cellStyle name="Normal 183" xfId="1862"/>
    <cellStyle name="Normal 183 2" xfId="6067"/>
    <cellStyle name="Normal 183 2 2" xfId="7892"/>
    <cellStyle name="Normal 183 3" xfId="5221"/>
    <cellStyle name="Normal 183 4" xfId="7787"/>
    <cellStyle name="Normal 184" xfId="1863"/>
    <cellStyle name="Normal 184 2" xfId="6068"/>
    <cellStyle name="Normal 184 2 2" xfId="7893"/>
    <cellStyle name="Normal 184 3" xfId="5222"/>
    <cellStyle name="Normal 184 4" xfId="7788"/>
    <cellStyle name="Normal 185" xfId="1864"/>
    <cellStyle name="Normal 185 2" xfId="6069"/>
    <cellStyle name="Normal 185 2 2" xfId="7894"/>
    <cellStyle name="Normal 185 3" xfId="5223"/>
    <cellStyle name="Normal 185 4" xfId="7789"/>
    <cellStyle name="Normal 186" xfId="1865"/>
    <cellStyle name="Normal 186 2" xfId="5224"/>
    <cellStyle name="Normal 187" xfId="1866"/>
    <cellStyle name="Normal 187 2" xfId="5225"/>
    <cellStyle name="Normal 188" xfId="1867"/>
    <cellStyle name="Normal 188 2" xfId="5226"/>
    <cellStyle name="Normal 189" xfId="1868"/>
    <cellStyle name="Normal 189 2" xfId="5227"/>
    <cellStyle name="Normal 19" xfId="1869"/>
    <cellStyle name="Normal 19 2" xfId="1870"/>
    <cellStyle name="Normal 19 2 2" xfId="5229"/>
    <cellStyle name="Normal 19 2 2 2" xfId="7848"/>
    <cellStyle name="Normal 19 2 3" xfId="7791"/>
    <cellStyle name="Normal 19 3" xfId="5228"/>
    <cellStyle name="Normal 19 3 2" xfId="7847"/>
    <cellStyle name="Normal 19 4" xfId="6765"/>
    <cellStyle name="Normal 19 5" xfId="7790"/>
    <cellStyle name="Normal 190" xfId="3113"/>
    <cellStyle name="Normal 190 2" xfId="6090"/>
    <cellStyle name="Normal 190 3" xfId="5230"/>
    <cellStyle name="Normal 191" xfId="3121"/>
    <cellStyle name="Normal 191 2" xfId="6094"/>
    <cellStyle name="Normal 191 3" xfId="5231"/>
    <cellStyle name="Normal 192" xfId="3184"/>
    <cellStyle name="Normal 192 2" xfId="6115"/>
    <cellStyle name="Normal 192 3" xfId="5232"/>
    <cellStyle name="Normal 193" xfId="3185"/>
    <cellStyle name="Normal 193 2" xfId="6116"/>
    <cellStyle name="Normal 193 3" xfId="5233"/>
    <cellStyle name="Normal 194" xfId="3186"/>
    <cellStyle name="Normal 194 2" xfId="6117"/>
    <cellStyle name="Normal 194 3" xfId="5234"/>
    <cellStyle name="Normal 195" xfId="3210"/>
    <cellStyle name="Normal 195 2" xfId="6133"/>
    <cellStyle name="Normal 195 3" xfId="5235"/>
    <cellStyle name="Normal 196" xfId="3211"/>
    <cellStyle name="Normal 196 2" xfId="6134"/>
    <cellStyle name="Normal 196 3" xfId="5236"/>
    <cellStyle name="Normal 197" xfId="3508"/>
    <cellStyle name="Normal 197 2" xfId="6171"/>
    <cellStyle name="Normal 197 3" xfId="5237"/>
    <cellStyle name="Normal 198" xfId="3514"/>
    <cellStyle name="Normal 198 2" xfId="6172"/>
    <cellStyle name="Normal 198 3" xfId="5238"/>
    <cellStyle name="Normal 199" xfId="3502"/>
    <cellStyle name="Normal 2" xfId="1"/>
    <cellStyle name="Normal 2 10" xfId="1872"/>
    <cellStyle name="Normal 2 10 2" xfId="1873"/>
    <cellStyle name="Normal 2 10 3" xfId="6766"/>
    <cellStyle name="Normal 2 11" xfId="1874"/>
    <cellStyle name="Normal 2 11 2" xfId="6767"/>
    <cellStyle name="Normal 2 12" xfId="1875"/>
    <cellStyle name="Normal 2 12 2" xfId="5239"/>
    <cellStyle name="Normal 2 12 3" xfId="6768"/>
    <cellStyle name="Normal 2 13" xfId="1876"/>
    <cellStyle name="Normal 2 13 2" xfId="6769"/>
    <cellStyle name="Normal 2 14" xfId="1877"/>
    <cellStyle name="Normal 2 14 2" xfId="6770"/>
    <cellStyle name="Normal 2 15" xfId="3529"/>
    <cellStyle name="Normal 2 15 2" xfId="6173"/>
    <cellStyle name="Normal 2 15 3" xfId="5240"/>
    <cellStyle name="Normal 2 15 4" xfId="6771"/>
    <cellStyle name="Normal 2 16" xfId="5241"/>
    <cellStyle name="Normal 2 16 2" xfId="6772"/>
    <cellStyle name="Normal 2 17" xfId="5242"/>
    <cellStyle name="Normal 2 17 2" xfId="6773"/>
    <cellStyle name="Normal 2 18" xfId="6774"/>
    <cellStyle name="Normal 2 19" xfId="6775"/>
    <cellStyle name="Normal 2 2" xfId="7"/>
    <cellStyle name="Normal 2 2 10" xfId="1879"/>
    <cellStyle name="Normal 2 2 10 2" xfId="1880"/>
    <cellStyle name="Normal 2 2 10 2 2" xfId="5243"/>
    <cellStyle name="Normal 2 2 10 3" xfId="6776"/>
    <cellStyle name="Normal 2 2 11" xfId="1881"/>
    <cellStyle name="Normal 2 2 11 2" xfId="1882"/>
    <cellStyle name="Normal 2 2 11 2 2" xfId="6779"/>
    <cellStyle name="Normal 2 2 11 2 3" xfId="6780"/>
    <cellStyle name="Normal 2 2 11 2 4" xfId="6781"/>
    <cellStyle name="Normal 2 2 11 2 5" xfId="6782"/>
    <cellStyle name="Normal 2 2 11 2 6" xfId="6783"/>
    <cellStyle name="Normal 2 2 11 2 7" xfId="6784"/>
    <cellStyle name="Normal 2 2 11 2 8" xfId="6778"/>
    <cellStyle name="Normal 2 2 11 3" xfId="6785"/>
    <cellStyle name="Normal 2 2 11 4" xfId="6786"/>
    <cellStyle name="Normal 2 2 11 5" xfId="6787"/>
    <cellStyle name="Normal 2 2 11 6" xfId="6788"/>
    <cellStyle name="Normal 2 2 11 7" xfId="6789"/>
    <cellStyle name="Normal 2 2 11 8" xfId="6790"/>
    <cellStyle name="Normal 2 2 11 9" xfId="6777"/>
    <cellStyle name="Normal 2 2 12" xfId="3148"/>
    <cellStyle name="Normal 2 2 12 2" xfId="6095"/>
    <cellStyle name="Normal 2 2 12 3" xfId="5244"/>
    <cellStyle name="Normal 2 2 12 4" xfId="6791"/>
    <cellStyle name="Normal 2 2 13" xfId="3390"/>
    <cellStyle name="Normal 2 2 13 2" xfId="6145"/>
    <cellStyle name="Normal 2 2 13 2 2" xfId="6793"/>
    <cellStyle name="Normal 2 2 13 3" xfId="5245"/>
    <cellStyle name="Normal 2 2 13 3 2" xfId="6794"/>
    <cellStyle name="Normal 2 2 13 4" xfId="6795"/>
    <cellStyle name="Normal 2 2 13 5" xfId="6796"/>
    <cellStyle name="Normal 2 2 13 6" xfId="6797"/>
    <cellStyle name="Normal 2 2 13 7" xfId="6798"/>
    <cellStyle name="Normal 2 2 13 8" xfId="6792"/>
    <cellStyle name="Normal 2 2 14" xfId="6799"/>
    <cellStyle name="Normal 2 2 15" xfId="6800"/>
    <cellStyle name="Normal 2 2 16" xfId="6801"/>
    <cellStyle name="Normal 2 2 17" xfId="6802"/>
    <cellStyle name="Normal 2 2 18" xfId="6803"/>
    <cellStyle name="Normal 2 2 19" xfId="6804"/>
    <cellStyle name="Normal 2 2 2" xfId="24"/>
    <cellStyle name="Normal 2 2 2 10" xfId="3391"/>
    <cellStyle name="Normal 2 2 2 10 2" xfId="6146"/>
    <cellStyle name="Normal 2 2 2 10 3" xfId="5246"/>
    <cellStyle name="Normal 2 2 2 10 4" xfId="6806"/>
    <cellStyle name="Normal 2 2 2 11" xfId="5247"/>
    <cellStyle name="Normal 2 2 2 11 2" xfId="6808"/>
    <cellStyle name="Normal 2 2 2 11 2 2" xfId="6809"/>
    <cellStyle name="Normal 2 2 2 11 2 3" xfId="6810"/>
    <cellStyle name="Normal 2 2 2 11 2 4" xfId="6811"/>
    <cellStyle name="Normal 2 2 2 11 2 5" xfId="6812"/>
    <cellStyle name="Normal 2 2 2 11 2 6" xfId="6813"/>
    <cellStyle name="Normal 2 2 2 11 2 7" xfId="6814"/>
    <cellStyle name="Normal 2 2 2 11 3" xfId="6815"/>
    <cellStyle name="Normal 2 2 2 11 4" xfId="6816"/>
    <cellStyle name="Normal 2 2 2 11 5" xfId="6817"/>
    <cellStyle name="Normal 2 2 2 11 6" xfId="6818"/>
    <cellStyle name="Normal 2 2 2 11 7" xfId="6819"/>
    <cellStyle name="Normal 2 2 2 11 8" xfId="6820"/>
    <cellStyle name="Normal 2 2 2 11 9" xfId="6807"/>
    <cellStyle name="Normal 2 2 2 12" xfId="6821"/>
    <cellStyle name="Normal 2 2 2 13" xfId="6822"/>
    <cellStyle name="Normal 2 2 2 13 2" xfId="6823"/>
    <cellStyle name="Normal 2 2 2 13 3" xfId="6824"/>
    <cellStyle name="Normal 2 2 2 13 4" xfId="6825"/>
    <cellStyle name="Normal 2 2 2 13 5" xfId="6826"/>
    <cellStyle name="Normal 2 2 2 13 6" xfId="6827"/>
    <cellStyle name="Normal 2 2 2 13 7" xfId="6828"/>
    <cellStyle name="Normal 2 2 2 14" xfId="6829"/>
    <cellStyle name="Normal 2 2 2 15" xfId="6830"/>
    <cellStyle name="Normal 2 2 2 16" xfId="6831"/>
    <cellStyle name="Normal 2 2 2 17" xfId="6832"/>
    <cellStyle name="Normal 2 2 2 18" xfId="6833"/>
    <cellStyle name="Normal 2 2 2 19" xfId="6834"/>
    <cellStyle name="Normal 2 2 2 2" xfId="1884"/>
    <cellStyle name="Normal 2 2 2 2 10" xfId="6836"/>
    <cellStyle name="Normal 2 2 2 2 11" xfId="6837"/>
    <cellStyle name="Normal 2 2 2 2 11 2" xfId="6838"/>
    <cellStyle name="Normal 2 2 2 2 11 3" xfId="6839"/>
    <cellStyle name="Normal 2 2 2 2 11 4" xfId="6840"/>
    <cellStyle name="Normal 2 2 2 2 11 5" xfId="6841"/>
    <cellStyle name="Normal 2 2 2 2 11 6" xfId="6842"/>
    <cellStyle name="Normal 2 2 2 2 11 7" xfId="6843"/>
    <cellStyle name="Normal 2 2 2 2 12" xfId="6844"/>
    <cellStyle name="Normal 2 2 2 2 13" xfId="6845"/>
    <cellStyle name="Normal 2 2 2 2 14" xfId="6846"/>
    <cellStyle name="Normal 2 2 2 2 15" xfId="6847"/>
    <cellStyle name="Normal 2 2 2 2 16" xfId="6848"/>
    <cellStyle name="Normal 2 2 2 2 17" xfId="6849"/>
    <cellStyle name="Normal 2 2 2 2 18" xfId="6850"/>
    <cellStyle name="Normal 2 2 2 2 19" xfId="6851"/>
    <cellStyle name="Normal 2 2 2 2 2" xfId="1885"/>
    <cellStyle name="Normal 2 2 2 2 2 10" xfId="6853"/>
    <cellStyle name="Normal 2 2 2 2 2 11" xfId="6854"/>
    <cellStyle name="Normal 2 2 2 2 2 11 2" xfId="6855"/>
    <cellStyle name="Normal 2 2 2 2 2 11 3" xfId="6856"/>
    <cellStyle name="Normal 2 2 2 2 2 11 4" xfId="6857"/>
    <cellStyle name="Normal 2 2 2 2 2 11 5" xfId="6858"/>
    <cellStyle name="Normal 2 2 2 2 2 11 6" xfId="6859"/>
    <cellStyle name="Normal 2 2 2 2 2 11 7" xfId="6860"/>
    <cellStyle name="Normal 2 2 2 2 2 12" xfId="6861"/>
    <cellStyle name="Normal 2 2 2 2 2 13" xfId="6862"/>
    <cellStyle name="Normal 2 2 2 2 2 14" xfId="6863"/>
    <cellStyle name="Normal 2 2 2 2 2 15" xfId="6864"/>
    <cellStyle name="Normal 2 2 2 2 2 16" xfId="6865"/>
    <cellStyle name="Normal 2 2 2 2 2 17" xfId="6866"/>
    <cellStyle name="Normal 2 2 2 2 2 18" xfId="6867"/>
    <cellStyle name="Normal 2 2 2 2 2 19" xfId="6868"/>
    <cellStyle name="Normal 2 2 2 2 2 2" xfId="1886"/>
    <cellStyle name="Normal 2 2 2 2 2 2 10" xfId="6870"/>
    <cellStyle name="Normal 2 2 2 2 2 2 10 2" xfId="6871"/>
    <cellStyle name="Normal 2 2 2 2 2 2 10 3" xfId="6872"/>
    <cellStyle name="Normal 2 2 2 2 2 2 10 4" xfId="6873"/>
    <cellStyle name="Normal 2 2 2 2 2 2 10 5" xfId="6874"/>
    <cellStyle name="Normal 2 2 2 2 2 2 10 6" xfId="6875"/>
    <cellStyle name="Normal 2 2 2 2 2 2 10 7" xfId="6876"/>
    <cellStyle name="Normal 2 2 2 2 2 2 11" xfId="6877"/>
    <cellStyle name="Normal 2 2 2 2 2 2 12" xfId="6878"/>
    <cellStyle name="Normal 2 2 2 2 2 2 13" xfId="6879"/>
    <cellStyle name="Normal 2 2 2 2 2 2 14" xfId="6880"/>
    <cellStyle name="Normal 2 2 2 2 2 2 15" xfId="6881"/>
    <cellStyle name="Normal 2 2 2 2 2 2 16" xfId="6882"/>
    <cellStyle name="Normal 2 2 2 2 2 2 17" xfId="6883"/>
    <cellStyle name="Normal 2 2 2 2 2 2 18" xfId="6884"/>
    <cellStyle name="Normal 2 2 2 2 2 2 19" xfId="6885"/>
    <cellStyle name="Normal 2 2 2 2 2 2 2" xfId="1887"/>
    <cellStyle name="Normal 2 2 2 2 2 2 2 10" xfId="6887"/>
    <cellStyle name="Normal 2 2 2 2 2 2 2 10 2" xfId="6888"/>
    <cellStyle name="Normal 2 2 2 2 2 2 2 10 3" xfId="6889"/>
    <cellStyle name="Normal 2 2 2 2 2 2 2 10 4" xfId="6890"/>
    <cellStyle name="Normal 2 2 2 2 2 2 2 10 5" xfId="6891"/>
    <cellStyle name="Normal 2 2 2 2 2 2 2 10 6" xfId="6892"/>
    <cellStyle name="Normal 2 2 2 2 2 2 2 10 7" xfId="6893"/>
    <cellStyle name="Normal 2 2 2 2 2 2 2 11" xfId="6894"/>
    <cellStyle name="Normal 2 2 2 2 2 2 2 12" xfId="6895"/>
    <cellStyle name="Normal 2 2 2 2 2 2 2 13" xfId="6896"/>
    <cellStyle name="Normal 2 2 2 2 2 2 2 14" xfId="6897"/>
    <cellStyle name="Normal 2 2 2 2 2 2 2 15" xfId="6898"/>
    <cellStyle name="Normal 2 2 2 2 2 2 2 16" xfId="6899"/>
    <cellStyle name="Normal 2 2 2 2 2 2 2 17" xfId="6900"/>
    <cellStyle name="Normal 2 2 2 2 2 2 2 18" xfId="6901"/>
    <cellStyle name="Normal 2 2 2 2 2 2 2 19" xfId="6902"/>
    <cellStyle name="Normal 2 2 2 2 2 2 2 2" xfId="1888"/>
    <cellStyle name="Normal 2 2 2 2 2 2 2 2 10" xfId="6904"/>
    <cellStyle name="Normal 2 2 2 2 2 2 2 2 11" xfId="6905"/>
    <cellStyle name="Normal 2 2 2 2 2 2 2 2 12" xfId="6906"/>
    <cellStyle name="Normal 2 2 2 2 2 2 2 2 13" xfId="6907"/>
    <cellStyle name="Normal 2 2 2 2 2 2 2 2 14" xfId="6908"/>
    <cellStyle name="Normal 2 2 2 2 2 2 2 2 15" xfId="6909"/>
    <cellStyle name="Normal 2 2 2 2 2 2 2 2 16" xfId="6910"/>
    <cellStyle name="Normal 2 2 2 2 2 2 2 2 17" xfId="6911"/>
    <cellStyle name="Normal 2 2 2 2 2 2 2 2 18" xfId="6912"/>
    <cellStyle name="Normal 2 2 2 2 2 2 2 2 19" xfId="6913"/>
    <cellStyle name="Normal 2 2 2 2 2 2 2 2 2" xfId="1889"/>
    <cellStyle name="Normal 2 2 2 2 2 2 2 2 2 10" xfId="6915"/>
    <cellStyle name="Normal 2 2 2 2 2 2 2 2 2 11" xfId="6916"/>
    <cellStyle name="Normal 2 2 2 2 2 2 2 2 2 12" xfId="6917"/>
    <cellStyle name="Normal 2 2 2 2 2 2 2 2 2 13" xfId="6918"/>
    <cellStyle name="Normal 2 2 2 2 2 2 2 2 2 14" xfId="6919"/>
    <cellStyle name="Normal 2 2 2 2 2 2 2 2 2 15" xfId="6920"/>
    <cellStyle name="Normal 2 2 2 2 2 2 2 2 2 16" xfId="6921"/>
    <cellStyle name="Normal 2 2 2 2 2 2 2 2 2 17" xfId="6922"/>
    <cellStyle name="Normal 2 2 2 2 2 2 2 2 2 18" xfId="6923"/>
    <cellStyle name="Normal 2 2 2 2 2 2 2 2 2 19" xfId="6924"/>
    <cellStyle name="Normal 2 2 2 2 2 2 2 2 2 2" xfId="5253"/>
    <cellStyle name="Normal 2 2 2 2 2 2 2 2 2 2 10" xfId="6926"/>
    <cellStyle name="Normal 2 2 2 2 2 2 2 2 2 2 11" xfId="6927"/>
    <cellStyle name="Normal 2 2 2 2 2 2 2 2 2 2 12" xfId="6928"/>
    <cellStyle name="Normal 2 2 2 2 2 2 2 2 2 2 13" xfId="6929"/>
    <cellStyle name="Normal 2 2 2 2 2 2 2 2 2 2 14" xfId="6930"/>
    <cellStyle name="Normal 2 2 2 2 2 2 2 2 2 2 15" xfId="6931"/>
    <cellStyle name="Normal 2 2 2 2 2 2 2 2 2 2 16" xfId="6932"/>
    <cellStyle name="Normal 2 2 2 2 2 2 2 2 2 2 17" xfId="6933"/>
    <cellStyle name="Normal 2 2 2 2 2 2 2 2 2 2 18" xfId="6934"/>
    <cellStyle name="Normal 2 2 2 2 2 2 2 2 2 2 19" xfId="6925"/>
    <cellStyle name="Normal 2 2 2 2 2 2 2 2 2 2 2" xfId="6935"/>
    <cellStyle name="Normal 2 2 2 2 2 2 2 2 2 2 2 2" xfId="6936"/>
    <cellStyle name="Normal 2 2 2 2 2 2 2 2 2 2 2 2 2" xfId="6937"/>
    <cellStyle name="Normal 2 2 2 2 2 2 2 2 2 2 2 2 3" xfId="6938"/>
    <cellStyle name="Normal 2 2 2 2 2 2 2 2 2 2 2 2 4" xfId="6939"/>
    <cellStyle name="Normal 2 2 2 2 2 2 2 2 2 2 2 2 5" xfId="6940"/>
    <cellStyle name="Normal 2 2 2 2 2 2 2 2 2 2 2 2 6" xfId="6941"/>
    <cellStyle name="Normal 2 2 2 2 2 2 2 2 2 2 2 2 7" xfId="6942"/>
    <cellStyle name="Normal 2 2 2 2 2 2 2 2 2 2 2 3" xfId="6943"/>
    <cellStyle name="Normal 2 2 2 2 2 2 2 2 2 2 2 4" xfId="6944"/>
    <cellStyle name="Normal 2 2 2 2 2 2 2 2 2 2 2 5" xfId="6945"/>
    <cellStyle name="Normal 2 2 2 2 2 2 2 2 2 2 2 6" xfId="6946"/>
    <cellStyle name="Normal 2 2 2 2 2 2 2 2 2 2 2 7" xfId="6947"/>
    <cellStyle name="Normal 2 2 2 2 2 2 2 2 2 2 2 8" xfId="6948"/>
    <cellStyle name="Normal 2 2 2 2 2 2 2 2 2 2 3" xfId="6949"/>
    <cellStyle name="Normal 2 2 2 2 2 2 2 2 2 2 4" xfId="6950"/>
    <cellStyle name="Normal 2 2 2 2 2 2 2 2 2 2 5" xfId="6951"/>
    <cellStyle name="Normal 2 2 2 2 2 2 2 2 2 2 5 2" xfId="6952"/>
    <cellStyle name="Normal 2 2 2 2 2 2 2 2 2 2 5 3" xfId="6953"/>
    <cellStyle name="Normal 2 2 2 2 2 2 2 2 2 2 5 4" xfId="6954"/>
    <cellStyle name="Normal 2 2 2 2 2 2 2 2 2 2 5 5" xfId="6955"/>
    <cellStyle name="Normal 2 2 2 2 2 2 2 2 2 2 5 6" xfId="6956"/>
    <cellStyle name="Normal 2 2 2 2 2 2 2 2 2 2 5 7" xfId="6957"/>
    <cellStyle name="Normal 2 2 2 2 2 2 2 2 2 2 6" xfId="6958"/>
    <cellStyle name="Normal 2 2 2 2 2 2 2 2 2 2 7" xfId="6959"/>
    <cellStyle name="Normal 2 2 2 2 2 2 2 2 2 2 8" xfId="6960"/>
    <cellStyle name="Normal 2 2 2 2 2 2 2 2 2 2 9" xfId="6961"/>
    <cellStyle name="Normal 2 2 2 2 2 2 2 2 2 20" xfId="6914"/>
    <cellStyle name="Normal 2 2 2 2 2 2 2 2 2 3" xfId="6962"/>
    <cellStyle name="Normal 2 2 2 2 2 2 2 2 2 4" xfId="6963"/>
    <cellStyle name="Normal 2 2 2 2 2 2 2 2 2 4 2" xfId="6964"/>
    <cellStyle name="Normal 2 2 2 2 2 2 2 2 2 4 2 2" xfId="6965"/>
    <cellStyle name="Normal 2 2 2 2 2 2 2 2 2 4 2 3" xfId="6966"/>
    <cellStyle name="Normal 2 2 2 2 2 2 2 2 2 4 2 4" xfId="6967"/>
    <cellStyle name="Normal 2 2 2 2 2 2 2 2 2 4 2 5" xfId="6968"/>
    <cellStyle name="Normal 2 2 2 2 2 2 2 2 2 4 2 6" xfId="6969"/>
    <cellStyle name="Normal 2 2 2 2 2 2 2 2 2 4 2 7" xfId="6970"/>
    <cellStyle name="Normal 2 2 2 2 2 2 2 2 2 4 3" xfId="6971"/>
    <cellStyle name="Normal 2 2 2 2 2 2 2 2 2 4 4" xfId="6972"/>
    <cellStyle name="Normal 2 2 2 2 2 2 2 2 2 4 5" xfId="6973"/>
    <cellStyle name="Normal 2 2 2 2 2 2 2 2 2 4 6" xfId="6974"/>
    <cellStyle name="Normal 2 2 2 2 2 2 2 2 2 4 7" xfId="6975"/>
    <cellStyle name="Normal 2 2 2 2 2 2 2 2 2 4 8" xfId="6976"/>
    <cellStyle name="Normal 2 2 2 2 2 2 2 2 2 5" xfId="6977"/>
    <cellStyle name="Normal 2 2 2 2 2 2 2 2 2 6" xfId="6978"/>
    <cellStyle name="Normal 2 2 2 2 2 2 2 2 2 6 2" xfId="6979"/>
    <cellStyle name="Normal 2 2 2 2 2 2 2 2 2 6 3" xfId="6980"/>
    <cellStyle name="Normal 2 2 2 2 2 2 2 2 2 6 4" xfId="6981"/>
    <cellStyle name="Normal 2 2 2 2 2 2 2 2 2 6 5" xfId="6982"/>
    <cellStyle name="Normal 2 2 2 2 2 2 2 2 2 6 6" xfId="6983"/>
    <cellStyle name="Normal 2 2 2 2 2 2 2 2 2 6 7" xfId="6984"/>
    <cellStyle name="Normal 2 2 2 2 2 2 2 2 2 7" xfId="6985"/>
    <cellStyle name="Normal 2 2 2 2 2 2 2 2 2 8" xfId="6986"/>
    <cellStyle name="Normal 2 2 2 2 2 2 2 2 2 9" xfId="6987"/>
    <cellStyle name="Normal 2 2 2 2 2 2 2 2 2_Opex Input" xfId="6988"/>
    <cellStyle name="Normal 2 2 2 2 2 2 2 2 20" xfId="6989"/>
    <cellStyle name="Normal 2 2 2 2 2 2 2 2 21" xfId="6903"/>
    <cellStyle name="Normal 2 2 2 2 2 2 2 2 3" xfId="1890"/>
    <cellStyle name="Normal 2 2 2 2 2 2 2 2 3 2" xfId="5254"/>
    <cellStyle name="Normal 2 2 2 2 2 2 2 2 3 3" xfId="6990"/>
    <cellStyle name="Normal 2 2 2 2 2 2 2 2 4" xfId="5252"/>
    <cellStyle name="Normal 2 2 2 2 2 2 2 2 4 2" xfId="6991"/>
    <cellStyle name="Normal 2 2 2 2 2 2 2 2 5" xfId="6992"/>
    <cellStyle name="Normal 2 2 2 2 2 2 2 2 5 2" xfId="6993"/>
    <cellStyle name="Normal 2 2 2 2 2 2 2 2 5 2 2" xfId="6994"/>
    <cellStyle name="Normal 2 2 2 2 2 2 2 2 5 2 3" xfId="6995"/>
    <cellStyle name="Normal 2 2 2 2 2 2 2 2 5 2 4" xfId="6996"/>
    <cellStyle name="Normal 2 2 2 2 2 2 2 2 5 2 5" xfId="6997"/>
    <cellStyle name="Normal 2 2 2 2 2 2 2 2 5 2 6" xfId="6998"/>
    <cellStyle name="Normal 2 2 2 2 2 2 2 2 5 2 7" xfId="6999"/>
    <cellStyle name="Normal 2 2 2 2 2 2 2 2 5 3" xfId="7000"/>
    <cellStyle name="Normal 2 2 2 2 2 2 2 2 5 4" xfId="7001"/>
    <cellStyle name="Normal 2 2 2 2 2 2 2 2 5 5" xfId="7002"/>
    <cellStyle name="Normal 2 2 2 2 2 2 2 2 5 6" xfId="7003"/>
    <cellStyle name="Normal 2 2 2 2 2 2 2 2 5 7" xfId="7004"/>
    <cellStyle name="Normal 2 2 2 2 2 2 2 2 5 8" xfId="7005"/>
    <cellStyle name="Normal 2 2 2 2 2 2 2 2 6" xfId="7006"/>
    <cellStyle name="Normal 2 2 2 2 2 2 2 2 7" xfId="7007"/>
    <cellStyle name="Normal 2 2 2 2 2 2 2 2 7 2" xfId="7008"/>
    <cellStyle name="Normal 2 2 2 2 2 2 2 2 7 3" xfId="7009"/>
    <cellStyle name="Normal 2 2 2 2 2 2 2 2 7 4" xfId="7010"/>
    <cellStyle name="Normal 2 2 2 2 2 2 2 2 7 5" xfId="7011"/>
    <cellStyle name="Normal 2 2 2 2 2 2 2 2 7 6" xfId="7012"/>
    <cellStyle name="Normal 2 2 2 2 2 2 2 2 7 7" xfId="7013"/>
    <cellStyle name="Normal 2 2 2 2 2 2 2 2 8" xfId="7014"/>
    <cellStyle name="Normal 2 2 2 2 2 2 2 2 9" xfId="7015"/>
    <cellStyle name="Normal 2 2 2 2 2 2 2 2_Central" xfId="1891"/>
    <cellStyle name="Normal 2 2 2 2 2 2 2 20" xfId="7016"/>
    <cellStyle name="Normal 2 2 2 2 2 2 2 21" xfId="7017"/>
    <cellStyle name="Normal 2 2 2 2 2 2 2 22" xfId="7018"/>
    <cellStyle name="Normal 2 2 2 2 2 2 2 23" xfId="7019"/>
    <cellStyle name="Normal 2 2 2 2 2 2 2 24" xfId="6886"/>
    <cellStyle name="Normal 2 2 2 2 2 2 2 3" xfId="1892"/>
    <cellStyle name="Normal 2 2 2 2 2 2 2 3 2" xfId="5255"/>
    <cellStyle name="Normal 2 2 2 2 2 2 2 3 3" xfId="7020"/>
    <cellStyle name="Normal 2 2 2 2 2 2 2 4" xfId="1893"/>
    <cellStyle name="Normal 2 2 2 2 2 2 2 4 2" xfId="5256"/>
    <cellStyle name="Normal 2 2 2 2 2 2 2 4 3" xfId="7021"/>
    <cellStyle name="Normal 2 2 2 2 2 2 2 5" xfId="1894"/>
    <cellStyle name="Normal 2 2 2 2 2 2 2 5 2" xfId="5257"/>
    <cellStyle name="Normal 2 2 2 2 2 2 2 5 3" xfId="7022"/>
    <cellStyle name="Normal 2 2 2 2 2 2 2 6" xfId="1895"/>
    <cellStyle name="Normal 2 2 2 2 2 2 2 6 2" xfId="5258"/>
    <cellStyle name="Normal 2 2 2 2 2 2 2 6 3" xfId="7023"/>
    <cellStyle name="Normal 2 2 2 2 2 2 2 7" xfId="5251"/>
    <cellStyle name="Normal 2 2 2 2 2 2 2 7 2" xfId="7024"/>
    <cellStyle name="Normal 2 2 2 2 2 2 2 8" xfId="7025"/>
    <cellStyle name="Normal 2 2 2 2 2 2 2 8 2" xfId="7026"/>
    <cellStyle name="Normal 2 2 2 2 2 2 2 8 2 2" xfId="7027"/>
    <cellStyle name="Normal 2 2 2 2 2 2 2 8 2 3" xfId="7028"/>
    <cellStyle name="Normal 2 2 2 2 2 2 2 8 2 4" xfId="7029"/>
    <cellStyle name="Normal 2 2 2 2 2 2 2 8 2 5" xfId="7030"/>
    <cellStyle name="Normal 2 2 2 2 2 2 2 8 2 6" xfId="7031"/>
    <cellStyle name="Normal 2 2 2 2 2 2 2 8 2 7" xfId="7032"/>
    <cellStyle name="Normal 2 2 2 2 2 2 2 8 3" xfId="7033"/>
    <cellStyle name="Normal 2 2 2 2 2 2 2 8 4" xfId="7034"/>
    <cellStyle name="Normal 2 2 2 2 2 2 2 8 5" xfId="7035"/>
    <cellStyle name="Normal 2 2 2 2 2 2 2 8 6" xfId="7036"/>
    <cellStyle name="Normal 2 2 2 2 2 2 2 8 7" xfId="7037"/>
    <cellStyle name="Normal 2 2 2 2 2 2 2 8 8" xfId="7038"/>
    <cellStyle name="Normal 2 2 2 2 2 2 2 9" xfId="7039"/>
    <cellStyle name="Normal 2 2 2 2 2 2 2_Central" xfId="1896"/>
    <cellStyle name="Normal 2 2 2 2 2 2 20" xfId="7040"/>
    <cellStyle name="Normal 2 2 2 2 2 2 21" xfId="7041"/>
    <cellStyle name="Normal 2 2 2 2 2 2 22" xfId="7042"/>
    <cellStyle name="Normal 2 2 2 2 2 2 23" xfId="7043"/>
    <cellStyle name="Normal 2 2 2 2 2 2 24" xfId="6869"/>
    <cellStyle name="Normal 2 2 2 2 2 2 3" xfId="1897"/>
    <cellStyle name="Normal 2 2 2 2 2 2 3 2" xfId="1898"/>
    <cellStyle name="Normal 2 2 2 2 2 2 3 2 2" xfId="5260"/>
    <cellStyle name="Normal 2 2 2 2 2 2 3 2 3" xfId="7045"/>
    <cellStyle name="Normal 2 2 2 2 2 2 3 3" xfId="1899"/>
    <cellStyle name="Normal 2 2 2 2 2 2 3 3 2" xfId="5261"/>
    <cellStyle name="Normal 2 2 2 2 2 2 3 3 3" xfId="7046"/>
    <cellStyle name="Normal 2 2 2 2 2 2 3 4" xfId="5259"/>
    <cellStyle name="Normal 2 2 2 2 2 2 3 5" xfId="7044"/>
    <cellStyle name="Normal 2 2 2 2 2 2 3_Central" xfId="1900"/>
    <cellStyle name="Normal 2 2 2 2 2 2 4" xfId="1901"/>
    <cellStyle name="Normal 2 2 2 2 2 2 4 2" xfId="5262"/>
    <cellStyle name="Normal 2 2 2 2 2 2 4 3" xfId="7047"/>
    <cellStyle name="Normal 2 2 2 2 2 2 5" xfId="1902"/>
    <cellStyle name="Normal 2 2 2 2 2 2 5 2" xfId="5263"/>
    <cellStyle name="Normal 2 2 2 2 2 2 5 3" xfId="7048"/>
    <cellStyle name="Normal 2 2 2 2 2 2 6" xfId="1903"/>
    <cellStyle name="Normal 2 2 2 2 2 2 6 2" xfId="5264"/>
    <cellStyle name="Normal 2 2 2 2 2 2 6 3" xfId="7049"/>
    <cellStyle name="Normal 2 2 2 2 2 2 7" xfId="5250"/>
    <cellStyle name="Normal 2 2 2 2 2 2 7 2" xfId="7050"/>
    <cellStyle name="Normal 2 2 2 2 2 2 8" xfId="7051"/>
    <cellStyle name="Normal 2 2 2 2 2 2 8 2" xfId="7052"/>
    <cellStyle name="Normal 2 2 2 2 2 2 8 2 2" xfId="7053"/>
    <cellStyle name="Normal 2 2 2 2 2 2 8 2 3" xfId="7054"/>
    <cellStyle name="Normal 2 2 2 2 2 2 8 2 4" xfId="7055"/>
    <cellStyle name="Normal 2 2 2 2 2 2 8 2 5" xfId="7056"/>
    <cellStyle name="Normal 2 2 2 2 2 2 8 2 6" xfId="7057"/>
    <cellStyle name="Normal 2 2 2 2 2 2 8 2 7" xfId="7058"/>
    <cellStyle name="Normal 2 2 2 2 2 2 8 3" xfId="7059"/>
    <cellStyle name="Normal 2 2 2 2 2 2 8 4" xfId="7060"/>
    <cellStyle name="Normal 2 2 2 2 2 2 8 5" xfId="7061"/>
    <cellStyle name="Normal 2 2 2 2 2 2 8 6" xfId="7062"/>
    <cellStyle name="Normal 2 2 2 2 2 2 8 7" xfId="7063"/>
    <cellStyle name="Normal 2 2 2 2 2 2 8 8" xfId="7064"/>
    <cellStyle name="Normal 2 2 2 2 2 2 9" xfId="7065"/>
    <cellStyle name="Normal 2 2 2 2 2 2_Central" xfId="1904"/>
    <cellStyle name="Normal 2 2 2 2 2 20" xfId="7066"/>
    <cellStyle name="Normal 2 2 2 2 2 21" xfId="7067"/>
    <cellStyle name="Normal 2 2 2 2 2 22" xfId="7068"/>
    <cellStyle name="Normal 2 2 2 2 2 23" xfId="7069"/>
    <cellStyle name="Normal 2 2 2 2 2 24" xfId="7070"/>
    <cellStyle name="Normal 2 2 2 2 2 25" xfId="6852"/>
    <cellStyle name="Normal 2 2 2 2 2 3" xfId="1905"/>
    <cellStyle name="Normal 2 2 2 2 2 3 2" xfId="1906"/>
    <cellStyle name="Normal 2 2 2 2 2 3 2 2" xfId="5266"/>
    <cellStyle name="Normal 2 2 2 2 2 3 2 3" xfId="7072"/>
    <cellStyle name="Normal 2 2 2 2 2 3 3" xfId="1907"/>
    <cellStyle name="Normal 2 2 2 2 2 3 3 2" xfId="5267"/>
    <cellStyle name="Normal 2 2 2 2 2 3 3 3" xfId="7073"/>
    <cellStyle name="Normal 2 2 2 2 2 3 4" xfId="5265"/>
    <cellStyle name="Normal 2 2 2 2 2 3 5" xfId="7071"/>
    <cellStyle name="Normal 2 2 2 2 2 3_Central" xfId="1908"/>
    <cellStyle name="Normal 2 2 2 2 2 4" xfId="1909"/>
    <cellStyle name="Normal 2 2 2 2 2 4 2" xfId="5268"/>
    <cellStyle name="Normal 2 2 2 2 2 4 3" xfId="7074"/>
    <cellStyle name="Normal 2 2 2 2 2 5" xfId="1910"/>
    <cellStyle name="Normal 2 2 2 2 2 5 2" xfId="5269"/>
    <cellStyle name="Normal 2 2 2 2 2 5 3" xfId="7075"/>
    <cellStyle name="Normal 2 2 2 2 2 6" xfId="1911"/>
    <cellStyle name="Normal 2 2 2 2 2 6 2" xfId="5270"/>
    <cellStyle name="Normal 2 2 2 2 2 6 3" xfId="7076"/>
    <cellStyle name="Normal 2 2 2 2 2 7" xfId="1912"/>
    <cellStyle name="Normal 2 2 2 2 2 7 2" xfId="5271"/>
    <cellStyle name="Normal 2 2 2 2 2 7 3" xfId="7077"/>
    <cellStyle name="Normal 2 2 2 2 2 8" xfId="5249"/>
    <cellStyle name="Normal 2 2 2 2 2 8 2" xfId="7078"/>
    <cellStyle name="Normal 2 2 2 2 2 9" xfId="7079"/>
    <cellStyle name="Normal 2 2 2 2 2 9 2" xfId="7080"/>
    <cellStyle name="Normal 2 2 2 2 2 9 2 2" xfId="7081"/>
    <cellStyle name="Normal 2 2 2 2 2 9 2 3" xfId="7082"/>
    <cellStyle name="Normal 2 2 2 2 2 9 2 4" xfId="7083"/>
    <cellStyle name="Normal 2 2 2 2 2 9 2 5" xfId="7084"/>
    <cellStyle name="Normal 2 2 2 2 2 9 2 6" xfId="7085"/>
    <cellStyle name="Normal 2 2 2 2 2 9 2 7" xfId="7086"/>
    <cellStyle name="Normal 2 2 2 2 2 9 3" xfId="7087"/>
    <cellStyle name="Normal 2 2 2 2 2 9 4" xfId="7088"/>
    <cellStyle name="Normal 2 2 2 2 2 9 5" xfId="7089"/>
    <cellStyle name="Normal 2 2 2 2 2 9 6" xfId="7090"/>
    <cellStyle name="Normal 2 2 2 2 2 9 7" xfId="7091"/>
    <cellStyle name="Normal 2 2 2 2 2 9 8" xfId="7092"/>
    <cellStyle name="Normal 2 2 2 2 2_Central" xfId="1913"/>
    <cellStyle name="Normal 2 2 2 2 20" xfId="7093"/>
    <cellStyle name="Normal 2 2 2 2 21" xfId="7094"/>
    <cellStyle name="Normal 2 2 2 2 22" xfId="7095"/>
    <cellStyle name="Normal 2 2 2 2 23" xfId="7096"/>
    <cellStyle name="Normal 2 2 2 2 24" xfId="7097"/>
    <cellStyle name="Normal 2 2 2 2 25" xfId="6835"/>
    <cellStyle name="Normal 2 2 2 2 3" xfId="1914"/>
    <cellStyle name="Normal 2 2 2 2 3 2" xfId="1915"/>
    <cellStyle name="Normal 2 2 2 2 3 2 2" xfId="1916"/>
    <cellStyle name="Normal 2 2 2 2 3 2 2 2" xfId="5274"/>
    <cellStyle name="Normal 2 2 2 2 3 2 2 3" xfId="7100"/>
    <cellStyle name="Normal 2 2 2 2 3 2 3" xfId="1917"/>
    <cellStyle name="Normal 2 2 2 2 3 2 3 2" xfId="5275"/>
    <cellStyle name="Normal 2 2 2 2 3 2 3 3" xfId="7101"/>
    <cellStyle name="Normal 2 2 2 2 3 2 4" xfId="5273"/>
    <cellStyle name="Normal 2 2 2 2 3 2 5" xfId="7099"/>
    <cellStyle name="Normal 2 2 2 2 3 2_Central" xfId="1918"/>
    <cellStyle name="Normal 2 2 2 2 3 3" xfId="1919"/>
    <cellStyle name="Normal 2 2 2 2 3 3 2" xfId="5276"/>
    <cellStyle name="Normal 2 2 2 2 3 3 3" xfId="7102"/>
    <cellStyle name="Normal 2 2 2 2 3 4" xfId="1920"/>
    <cellStyle name="Normal 2 2 2 2 3 4 2" xfId="5277"/>
    <cellStyle name="Normal 2 2 2 2 3 4 3" xfId="7103"/>
    <cellStyle name="Normal 2 2 2 2 3 5" xfId="1921"/>
    <cellStyle name="Normal 2 2 2 2 3 5 2" xfId="5278"/>
    <cellStyle name="Normal 2 2 2 2 3 5 3" xfId="7104"/>
    <cellStyle name="Normal 2 2 2 2 3 6" xfId="1922"/>
    <cellStyle name="Normal 2 2 2 2 3 6 2" xfId="5279"/>
    <cellStyle name="Normal 2 2 2 2 3 6 3" xfId="7105"/>
    <cellStyle name="Normal 2 2 2 2 3 7" xfId="5272"/>
    <cellStyle name="Normal 2 2 2 2 3 8" xfId="7098"/>
    <cellStyle name="Normal 2 2 2 2 3_Central" xfId="1923"/>
    <cellStyle name="Normal 2 2 2 2 4" xfId="1924"/>
    <cellStyle name="Normal 2 2 2 2 4 2" xfId="1925"/>
    <cellStyle name="Normal 2 2 2 2 4 2 2" xfId="5281"/>
    <cellStyle name="Normal 2 2 2 2 4 2 3" xfId="7107"/>
    <cellStyle name="Normal 2 2 2 2 4 3" xfId="1926"/>
    <cellStyle name="Normal 2 2 2 2 4 3 2" xfId="5282"/>
    <cellStyle name="Normal 2 2 2 2 4 3 3" xfId="7108"/>
    <cellStyle name="Normal 2 2 2 2 4 4" xfId="5280"/>
    <cellStyle name="Normal 2 2 2 2 4 5" xfId="7106"/>
    <cellStyle name="Normal 2 2 2 2 4_Central" xfId="1927"/>
    <cellStyle name="Normal 2 2 2 2 5" xfId="1928"/>
    <cellStyle name="Normal 2 2 2 2 5 2" xfId="5283"/>
    <cellStyle name="Normal 2 2 2 2 5 3" xfId="7109"/>
    <cellStyle name="Normal 2 2 2 2 6" xfId="1929"/>
    <cellStyle name="Normal 2 2 2 2 6 2" xfId="5284"/>
    <cellStyle name="Normal 2 2 2 2 6 3" xfId="7110"/>
    <cellStyle name="Normal 2 2 2 2 7" xfId="1930"/>
    <cellStyle name="Normal 2 2 2 2 7 2" xfId="5285"/>
    <cellStyle name="Normal 2 2 2 2 7 3" xfId="7111"/>
    <cellStyle name="Normal 2 2 2 2 8" xfId="5248"/>
    <cellStyle name="Normal 2 2 2 2 8 2" xfId="7112"/>
    <cellStyle name="Normal 2 2 2 2 9" xfId="7113"/>
    <cellStyle name="Normal 2 2 2 2 9 2" xfId="7114"/>
    <cellStyle name="Normal 2 2 2 2 9 2 2" xfId="7115"/>
    <cellStyle name="Normal 2 2 2 2 9 2 3" xfId="7116"/>
    <cellStyle name="Normal 2 2 2 2 9 2 4" xfId="7117"/>
    <cellStyle name="Normal 2 2 2 2 9 2 5" xfId="7118"/>
    <cellStyle name="Normal 2 2 2 2 9 2 6" xfId="7119"/>
    <cellStyle name="Normal 2 2 2 2 9 2 7" xfId="7120"/>
    <cellStyle name="Normal 2 2 2 2 9 3" xfId="7121"/>
    <cellStyle name="Normal 2 2 2 2 9 4" xfId="7122"/>
    <cellStyle name="Normal 2 2 2 2 9 5" xfId="7123"/>
    <cellStyle name="Normal 2 2 2 2 9 6" xfId="7124"/>
    <cellStyle name="Normal 2 2 2 2 9 7" xfId="7125"/>
    <cellStyle name="Normal 2 2 2 2 9 8" xfId="7126"/>
    <cellStyle name="Normal 2 2 2 2_Central" xfId="1931"/>
    <cellStyle name="Normal 2 2 2 20" xfId="7127"/>
    <cellStyle name="Normal 2 2 2 21" xfId="7128"/>
    <cellStyle name="Normal 2 2 2 22" xfId="7129"/>
    <cellStyle name="Normal 2 2 2 23" xfId="7130"/>
    <cellStyle name="Normal 2 2 2 24" xfId="7131"/>
    <cellStyle name="Normal 2 2 2 25" xfId="7132"/>
    <cellStyle name="Normal 2 2 2 26" xfId="7133"/>
    <cellStyle name="Normal 2 2 2 27" xfId="6805"/>
    <cellStyle name="Normal 2 2 2 28" xfId="1883"/>
    <cellStyle name="Normal 2 2 2 3" xfId="1932"/>
    <cellStyle name="Normal 2 2 2 3 2" xfId="5286"/>
    <cellStyle name="Normal 2 2 2 3 3" xfId="7134"/>
    <cellStyle name="Normal 2 2 2 4" xfId="1933"/>
    <cellStyle name="Normal 2 2 2 4 2" xfId="1934"/>
    <cellStyle name="Normal 2 2 2 4 2 2" xfId="1935"/>
    <cellStyle name="Normal 2 2 2 4 2 2 2" xfId="1936"/>
    <cellStyle name="Normal 2 2 2 4 2 2 2 2" xfId="5290"/>
    <cellStyle name="Normal 2 2 2 4 2 2 2 3" xfId="7138"/>
    <cellStyle name="Normal 2 2 2 4 2 2 3" xfId="1937"/>
    <cellStyle name="Normal 2 2 2 4 2 2 3 2" xfId="5291"/>
    <cellStyle name="Normal 2 2 2 4 2 2 3 3" xfId="7139"/>
    <cellStyle name="Normal 2 2 2 4 2 2 4" xfId="5289"/>
    <cellStyle name="Normal 2 2 2 4 2 2 5" xfId="7137"/>
    <cellStyle name="Normal 2 2 2 4 2 2_Central" xfId="1938"/>
    <cellStyle name="Normal 2 2 2 4 2 3" xfId="1939"/>
    <cellStyle name="Normal 2 2 2 4 2 3 2" xfId="5292"/>
    <cellStyle name="Normal 2 2 2 4 2 3 3" xfId="7140"/>
    <cellStyle name="Normal 2 2 2 4 2 4" xfId="1940"/>
    <cellStyle name="Normal 2 2 2 4 2 4 2" xfId="5293"/>
    <cellStyle name="Normal 2 2 2 4 2 4 3" xfId="7141"/>
    <cellStyle name="Normal 2 2 2 4 2 5" xfId="1941"/>
    <cellStyle name="Normal 2 2 2 4 2 5 2" xfId="5294"/>
    <cellStyle name="Normal 2 2 2 4 2 5 3" xfId="7142"/>
    <cellStyle name="Normal 2 2 2 4 2 6" xfId="1942"/>
    <cellStyle name="Normal 2 2 2 4 2 6 2" xfId="5295"/>
    <cellStyle name="Normal 2 2 2 4 2 6 3" xfId="7143"/>
    <cellStyle name="Normal 2 2 2 4 2 7" xfId="5288"/>
    <cellStyle name="Normal 2 2 2 4 2 8" xfId="7136"/>
    <cellStyle name="Normal 2 2 2 4 2_Central" xfId="1943"/>
    <cellStyle name="Normal 2 2 2 4 3" xfId="1944"/>
    <cellStyle name="Normal 2 2 2 4 3 2" xfId="1945"/>
    <cellStyle name="Normal 2 2 2 4 3 2 2" xfId="5297"/>
    <cellStyle name="Normal 2 2 2 4 3 2 3" xfId="7145"/>
    <cellStyle name="Normal 2 2 2 4 3 3" xfId="1946"/>
    <cellStyle name="Normal 2 2 2 4 3 3 2" xfId="5298"/>
    <cellStyle name="Normal 2 2 2 4 3 3 3" xfId="7146"/>
    <cellStyle name="Normal 2 2 2 4 3 4" xfId="5296"/>
    <cellStyle name="Normal 2 2 2 4 3 5" xfId="7144"/>
    <cellStyle name="Normal 2 2 2 4 3_Central" xfId="1947"/>
    <cellStyle name="Normal 2 2 2 4 4" xfId="1948"/>
    <cellStyle name="Normal 2 2 2 4 4 2" xfId="5299"/>
    <cellStyle name="Normal 2 2 2 4 4 3" xfId="7147"/>
    <cellStyle name="Normal 2 2 2 4 5" xfId="1949"/>
    <cellStyle name="Normal 2 2 2 4 5 2" xfId="5300"/>
    <cellStyle name="Normal 2 2 2 4 5 3" xfId="7148"/>
    <cellStyle name="Normal 2 2 2 4 6" xfId="1950"/>
    <cellStyle name="Normal 2 2 2 4 6 2" xfId="5301"/>
    <cellStyle name="Normal 2 2 2 4 6 3" xfId="7149"/>
    <cellStyle name="Normal 2 2 2 4 7" xfId="5287"/>
    <cellStyle name="Normal 2 2 2 4 8" xfId="7135"/>
    <cellStyle name="Normal 2 2 2 4_Central" xfId="1951"/>
    <cellStyle name="Normal 2 2 2 5" xfId="1952"/>
    <cellStyle name="Normal 2 2 2 5 2" xfId="1953"/>
    <cellStyle name="Normal 2 2 2 5 2 2" xfId="5303"/>
    <cellStyle name="Normal 2 2 2 5 2 3" xfId="7151"/>
    <cellStyle name="Normal 2 2 2 5 3" xfId="1954"/>
    <cellStyle name="Normal 2 2 2 5 3 2" xfId="5304"/>
    <cellStyle name="Normal 2 2 2 5 3 3" xfId="7152"/>
    <cellStyle name="Normal 2 2 2 5 4" xfId="5302"/>
    <cellStyle name="Normal 2 2 2 5 5" xfId="7150"/>
    <cellStyle name="Normal 2 2 2 5_Central" xfId="1955"/>
    <cellStyle name="Normal 2 2 2 6" xfId="1956"/>
    <cellStyle name="Normal 2 2 2 6 2" xfId="5305"/>
    <cellStyle name="Normal 2 2 2 6 3" xfId="7153"/>
    <cellStyle name="Normal 2 2 2 7" xfId="1957"/>
    <cellStyle name="Normal 2 2 2 7 2" xfId="5306"/>
    <cellStyle name="Normal 2 2 2 7 3" xfId="7154"/>
    <cellStyle name="Normal 2 2 2 8" xfId="1958"/>
    <cellStyle name="Normal 2 2 2 8 2" xfId="5307"/>
    <cellStyle name="Normal 2 2 2 8 3" xfId="7155"/>
    <cellStyle name="Normal 2 2 2 9" xfId="1959"/>
    <cellStyle name="Normal 2 2 2 9 2" xfId="5308"/>
    <cellStyle name="Normal 2 2 2 9 3" xfId="7156"/>
    <cellStyle name="Normal 2 2 2_Central" xfId="1960"/>
    <cellStyle name="Normal 2 2 20" xfId="7157"/>
    <cellStyle name="Normal 2 2 21" xfId="7158"/>
    <cellStyle name="Normal 2 2 22" xfId="7159"/>
    <cellStyle name="Normal 2 2 23" xfId="7160"/>
    <cellStyle name="Normal 2 2 24" xfId="7161"/>
    <cellStyle name="Normal 2 2 25" xfId="7162"/>
    <cellStyle name="Normal 2 2 26" xfId="7163"/>
    <cellStyle name="Normal 2 2 27" xfId="7164"/>
    <cellStyle name="Normal 2 2 28" xfId="1878"/>
    <cellStyle name="Normal 2 2 3" xfId="33"/>
    <cellStyle name="Normal 2 2 3 10" xfId="1961"/>
    <cellStyle name="Normal 2 2 3 2" xfId="1962"/>
    <cellStyle name="Normal 2 2 3 2 2" xfId="1963"/>
    <cellStyle name="Normal 2 2 3 2 2 2" xfId="1964"/>
    <cellStyle name="Normal 2 2 3 2 2 2 2" xfId="1965"/>
    <cellStyle name="Normal 2 2 3 2 2 2 2 2" xfId="1966"/>
    <cellStyle name="Normal 2 2 3 2 2 2 2 2 2" xfId="5314"/>
    <cellStyle name="Normal 2 2 3 2 2 2 2 2 3" xfId="7170"/>
    <cellStyle name="Normal 2 2 3 2 2 2 2 3" xfId="1967"/>
    <cellStyle name="Normal 2 2 3 2 2 2 2 3 2" xfId="5315"/>
    <cellStyle name="Normal 2 2 3 2 2 2 2 3 3" xfId="7171"/>
    <cellStyle name="Normal 2 2 3 2 2 2 2 4" xfId="5313"/>
    <cellStyle name="Normal 2 2 3 2 2 2 2 5" xfId="7169"/>
    <cellStyle name="Normal 2 2 3 2 2 2 2_Central" xfId="1968"/>
    <cellStyle name="Normal 2 2 3 2 2 2 3" xfId="1969"/>
    <cellStyle name="Normal 2 2 3 2 2 2 3 2" xfId="5316"/>
    <cellStyle name="Normal 2 2 3 2 2 2 3 3" xfId="7172"/>
    <cellStyle name="Normal 2 2 3 2 2 2 4" xfId="1970"/>
    <cellStyle name="Normal 2 2 3 2 2 2 4 2" xfId="5317"/>
    <cellStyle name="Normal 2 2 3 2 2 2 4 3" xfId="7173"/>
    <cellStyle name="Normal 2 2 3 2 2 2 5" xfId="1971"/>
    <cellStyle name="Normal 2 2 3 2 2 2 5 2" xfId="5318"/>
    <cellStyle name="Normal 2 2 3 2 2 2 5 3" xfId="7174"/>
    <cellStyle name="Normal 2 2 3 2 2 2 6" xfId="1972"/>
    <cellStyle name="Normal 2 2 3 2 2 2 6 2" xfId="5319"/>
    <cellStyle name="Normal 2 2 3 2 2 2 6 3" xfId="7175"/>
    <cellStyle name="Normal 2 2 3 2 2 2 7" xfId="5312"/>
    <cellStyle name="Normal 2 2 3 2 2 2 8" xfId="7168"/>
    <cellStyle name="Normal 2 2 3 2 2 2_Central" xfId="1973"/>
    <cellStyle name="Normal 2 2 3 2 2 3" xfId="1974"/>
    <cellStyle name="Normal 2 2 3 2 2 3 2" xfId="1975"/>
    <cellStyle name="Normal 2 2 3 2 2 3 2 2" xfId="5321"/>
    <cellStyle name="Normal 2 2 3 2 2 3 2 3" xfId="7177"/>
    <cellStyle name="Normal 2 2 3 2 2 3 3" xfId="1976"/>
    <cellStyle name="Normal 2 2 3 2 2 3 3 2" xfId="5322"/>
    <cellStyle name="Normal 2 2 3 2 2 3 3 3" xfId="7178"/>
    <cellStyle name="Normal 2 2 3 2 2 3 4" xfId="5320"/>
    <cellStyle name="Normal 2 2 3 2 2 3 5" xfId="7176"/>
    <cellStyle name="Normal 2 2 3 2 2 3_Central" xfId="1977"/>
    <cellStyle name="Normal 2 2 3 2 2 4" xfId="1978"/>
    <cellStyle name="Normal 2 2 3 2 2 4 2" xfId="5323"/>
    <cellStyle name="Normal 2 2 3 2 2 4 3" xfId="7179"/>
    <cellStyle name="Normal 2 2 3 2 2 5" xfId="1979"/>
    <cellStyle name="Normal 2 2 3 2 2 5 2" xfId="5324"/>
    <cellStyle name="Normal 2 2 3 2 2 5 3" xfId="7180"/>
    <cellStyle name="Normal 2 2 3 2 2 6" xfId="1980"/>
    <cellStyle name="Normal 2 2 3 2 2 6 2" xfId="5325"/>
    <cellStyle name="Normal 2 2 3 2 2 6 3" xfId="7181"/>
    <cellStyle name="Normal 2 2 3 2 2 7" xfId="5311"/>
    <cellStyle name="Normal 2 2 3 2 2 8" xfId="7167"/>
    <cellStyle name="Normal 2 2 3 2 2_Central" xfId="1981"/>
    <cellStyle name="Normal 2 2 3 2 3" xfId="1982"/>
    <cellStyle name="Normal 2 2 3 2 3 2" xfId="1983"/>
    <cellStyle name="Normal 2 2 3 2 3 2 2" xfId="5327"/>
    <cellStyle name="Normal 2 2 3 2 3 2 3" xfId="7183"/>
    <cellStyle name="Normal 2 2 3 2 3 3" xfId="1984"/>
    <cellStyle name="Normal 2 2 3 2 3 3 2" xfId="5328"/>
    <cellStyle name="Normal 2 2 3 2 3 3 3" xfId="7184"/>
    <cellStyle name="Normal 2 2 3 2 3 4" xfId="5326"/>
    <cellStyle name="Normal 2 2 3 2 3 5" xfId="7182"/>
    <cellStyle name="Normal 2 2 3 2 3_Central" xfId="1985"/>
    <cellStyle name="Normal 2 2 3 2 4" xfId="1986"/>
    <cellStyle name="Normal 2 2 3 2 4 2" xfId="5329"/>
    <cellStyle name="Normal 2 2 3 2 4 3" xfId="7185"/>
    <cellStyle name="Normal 2 2 3 2 5" xfId="1987"/>
    <cellStyle name="Normal 2 2 3 2 5 2" xfId="5330"/>
    <cellStyle name="Normal 2 2 3 2 5 3" xfId="7186"/>
    <cellStyle name="Normal 2 2 3 2 6" xfId="1988"/>
    <cellStyle name="Normal 2 2 3 2 6 2" xfId="5331"/>
    <cellStyle name="Normal 2 2 3 2 6 3" xfId="7187"/>
    <cellStyle name="Normal 2 2 3 2 7" xfId="1989"/>
    <cellStyle name="Normal 2 2 3 2 7 2" xfId="5332"/>
    <cellStyle name="Normal 2 2 3 2 7 3" xfId="7188"/>
    <cellStyle name="Normal 2 2 3 2 8" xfId="5310"/>
    <cellStyle name="Normal 2 2 3 2 9" xfId="7166"/>
    <cellStyle name="Normal 2 2 3 2_Central" xfId="1990"/>
    <cellStyle name="Normal 2 2 3 3" xfId="1991"/>
    <cellStyle name="Normal 2 2 3 3 2" xfId="1992"/>
    <cellStyle name="Normal 2 2 3 3 2 2" xfId="1993"/>
    <cellStyle name="Normal 2 2 3 3 2 2 2" xfId="5335"/>
    <cellStyle name="Normal 2 2 3 3 2 2 3" xfId="7191"/>
    <cellStyle name="Normal 2 2 3 3 2 3" xfId="1994"/>
    <cellStyle name="Normal 2 2 3 3 2 3 2" xfId="5336"/>
    <cellStyle name="Normal 2 2 3 3 2 3 3" xfId="7192"/>
    <cellStyle name="Normal 2 2 3 3 2 4" xfId="5334"/>
    <cellStyle name="Normal 2 2 3 3 2 5" xfId="7190"/>
    <cellStyle name="Normal 2 2 3 3 2_Central" xfId="1995"/>
    <cellStyle name="Normal 2 2 3 3 3" xfId="1996"/>
    <cellStyle name="Normal 2 2 3 3 3 2" xfId="5337"/>
    <cellStyle name="Normal 2 2 3 3 3 3" xfId="7193"/>
    <cellStyle name="Normal 2 2 3 3 4" xfId="1997"/>
    <cellStyle name="Normal 2 2 3 3 4 2" xfId="5338"/>
    <cellStyle name="Normal 2 2 3 3 4 3" xfId="7194"/>
    <cellStyle name="Normal 2 2 3 3 5" xfId="1998"/>
    <cellStyle name="Normal 2 2 3 3 5 2" xfId="5339"/>
    <cellStyle name="Normal 2 2 3 3 5 3" xfId="7195"/>
    <cellStyle name="Normal 2 2 3 3 6" xfId="1999"/>
    <cellStyle name="Normal 2 2 3 3 6 2" xfId="5340"/>
    <cellStyle name="Normal 2 2 3 3 6 3" xfId="7196"/>
    <cellStyle name="Normal 2 2 3 3 7" xfId="5333"/>
    <cellStyle name="Normal 2 2 3 3 8" xfId="7189"/>
    <cellStyle name="Normal 2 2 3 3_Central" xfId="2000"/>
    <cellStyle name="Normal 2 2 3 4" xfId="2001"/>
    <cellStyle name="Normal 2 2 3 4 2" xfId="2002"/>
    <cellStyle name="Normal 2 2 3 4 2 2" xfId="5342"/>
    <cellStyle name="Normal 2 2 3 4 2 3" xfId="7198"/>
    <cellStyle name="Normal 2 2 3 4 3" xfId="2003"/>
    <cellStyle name="Normal 2 2 3 4 3 2" xfId="5343"/>
    <cellStyle name="Normal 2 2 3 4 3 3" xfId="7199"/>
    <cellStyle name="Normal 2 2 3 4 4" xfId="5341"/>
    <cellStyle name="Normal 2 2 3 4 5" xfId="7197"/>
    <cellStyle name="Normal 2 2 3 4_Central" xfId="2004"/>
    <cellStyle name="Normal 2 2 3 5" xfId="2005"/>
    <cellStyle name="Normal 2 2 3 5 2" xfId="5344"/>
    <cellStyle name="Normal 2 2 3 5 3" xfId="7200"/>
    <cellStyle name="Normal 2 2 3 6" xfId="2006"/>
    <cellStyle name="Normal 2 2 3 6 2" xfId="5345"/>
    <cellStyle name="Normal 2 2 3 6 3" xfId="7201"/>
    <cellStyle name="Normal 2 2 3 7" xfId="2007"/>
    <cellStyle name="Normal 2 2 3 7 2" xfId="5346"/>
    <cellStyle name="Normal 2 2 3 7 3" xfId="7202"/>
    <cellStyle name="Normal 2 2 3 8" xfId="5309"/>
    <cellStyle name="Normal 2 2 3 9" xfId="7165"/>
    <cellStyle name="Normal 2 2 3_Central" xfId="2008"/>
    <cellStyle name="Normal 2 2 4" xfId="41"/>
    <cellStyle name="Normal 2 2 4 2" xfId="2010"/>
    <cellStyle name="Normal 2 2 4 2 2" xfId="2011"/>
    <cellStyle name="Normal 2 2 4 2 2 2" xfId="2012"/>
    <cellStyle name="Normal 2 2 4 2 2 2 2" xfId="5350"/>
    <cellStyle name="Normal 2 2 4 2 2 2 3" xfId="7206"/>
    <cellStyle name="Normal 2 2 4 2 2 3" xfId="2013"/>
    <cellStyle name="Normal 2 2 4 2 2 3 2" xfId="5351"/>
    <cellStyle name="Normal 2 2 4 2 2 3 3" xfId="7207"/>
    <cellStyle name="Normal 2 2 4 2 2 4" xfId="5349"/>
    <cellStyle name="Normal 2 2 4 2 2 5" xfId="7205"/>
    <cellStyle name="Normal 2 2 4 2 2_Central" xfId="2014"/>
    <cellStyle name="Normal 2 2 4 2 3" xfId="2015"/>
    <cellStyle name="Normal 2 2 4 2 3 2" xfId="5352"/>
    <cellStyle name="Normal 2 2 4 2 3 3" xfId="7208"/>
    <cellStyle name="Normal 2 2 4 2 4" xfId="2016"/>
    <cellStyle name="Normal 2 2 4 2 4 2" xfId="5353"/>
    <cellStyle name="Normal 2 2 4 2 4 3" xfId="7209"/>
    <cellStyle name="Normal 2 2 4 2 5" xfId="2017"/>
    <cellStyle name="Normal 2 2 4 2 5 2" xfId="5354"/>
    <cellStyle name="Normal 2 2 4 2 5 3" xfId="7210"/>
    <cellStyle name="Normal 2 2 4 2 6" xfId="2018"/>
    <cellStyle name="Normal 2 2 4 2 6 2" xfId="5355"/>
    <cellStyle name="Normal 2 2 4 2 6 3" xfId="7211"/>
    <cellStyle name="Normal 2 2 4 2 7" xfId="5348"/>
    <cellStyle name="Normal 2 2 4 2 8" xfId="7204"/>
    <cellStyle name="Normal 2 2 4 2_Central" xfId="2019"/>
    <cellStyle name="Normal 2 2 4 3" xfId="2020"/>
    <cellStyle name="Normal 2 2 4 3 2" xfId="2021"/>
    <cellStyle name="Normal 2 2 4 3 2 2" xfId="5357"/>
    <cellStyle name="Normal 2 2 4 3 2 3" xfId="7213"/>
    <cellStyle name="Normal 2 2 4 3 3" xfId="2022"/>
    <cellStyle name="Normal 2 2 4 3 3 2" xfId="5358"/>
    <cellStyle name="Normal 2 2 4 3 3 3" xfId="7214"/>
    <cellStyle name="Normal 2 2 4 3 4" xfId="5356"/>
    <cellStyle name="Normal 2 2 4 3 5" xfId="7212"/>
    <cellStyle name="Normal 2 2 4 3_Central" xfId="2023"/>
    <cellStyle name="Normal 2 2 4 4" xfId="2024"/>
    <cellStyle name="Normal 2 2 4 4 2" xfId="5359"/>
    <cellStyle name="Normal 2 2 4 4 3" xfId="7215"/>
    <cellStyle name="Normal 2 2 4 5" xfId="2025"/>
    <cellStyle name="Normal 2 2 4 5 2" xfId="5360"/>
    <cellStyle name="Normal 2 2 4 5 3" xfId="7216"/>
    <cellStyle name="Normal 2 2 4 6" xfId="2026"/>
    <cellStyle name="Normal 2 2 4 6 2" xfId="5361"/>
    <cellStyle name="Normal 2 2 4 6 3" xfId="7217"/>
    <cellStyle name="Normal 2 2 4 7" xfId="5347"/>
    <cellStyle name="Normal 2 2 4 8" xfId="7203"/>
    <cellStyle name="Normal 2 2 4 9" xfId="2009"/>
    <cellStyle name="Normal 2 2 4_Central" xfId="2027"/>
    <cellStyle name="Normal 2 2 5" xfId="2028"/>
    <cellStyle name="Normal 2 2 5 2" xfId="2029"/>
    <cellStyle name="Normal 2 2 5 2 2" xfId="5363"/>
    <cellStyle name="Normal 2 2 5 2 3" xfId="7219"/>
    <cellStyle name="Normal 2 2 5 3" xfId="2030"/>
    <cellStyle name="Normal 2 2 5 3 2" xfId="5364"/>
    <cellStyle name="Normal 2 2 5 3 3" xfId="7220"/>
    <cellStyle name="Normal 2 2 5 4" xfId="5362"/>
    <cellStyle name="Normal 2 2 5 5" xfId="7218"/>
    <cellStyle name="Normal 2 2 5_Central" xfId="2031"/>
    <cellStyle name="Normal 2 2 6" xfId="2032"/>
    <cellStyle name="Normal 2 2 6 2" xfId="5365"/>
    <cellStyle name="Normal 2 2 6 3" xfId="7221"/>
    <cellStyle name="Normal 2 2 7" xfId="2033"/>
    <cellStyle name="Normal 2 2 7 2" xfId="5366"/>
    <cellStyle name="Normal 2 2 7 3" xfId="7222"/>
    <cellStyle name="Normal 2 2 8" xfId="2034"/>
    <cellStyle name="Normal 2 2 8 2" xfId="5367"/>
    <cellStyle name="Normal 2 2 8 3" xfId="7223"/>
    <cellStyle name="Normal 2 2 9" xfId="2035"/>
    <cellStyle name="Normal 2 2 9 2" xfId="5368"/>
    <cellStyle name="Normal 2 2 9 3" xfId="7224"/>
    <cellStyle name="Normal 2 2_Central" xfId="2036"/>
    <cellStyle name="Normal 2 20" xfId="7225"/>
    <cellStyle name="Normal 2 21" xfId="7226"/>
    <cellStyle name="Normal 2 22" xfId="7227"/>
    <cellStyle name="Normal 2 23" xfId="7228"/>
    <cellStyle name="Normal 2 24" xfId="7229"/>
    <cellStyle name="Normal 2 25" xfId="7230"/>
    <cellStyle name="Normal 2 26" xfId="7231"/>
    <cellStyle name="Normal 2 27" xfId="7232"/>
    <cellStyle name="Normal 2 28" xfId="7233"/>
    <cellStyle name="Normal 2 29" xfId="7670"/>
    <cellStyle name="Normal 2 3" xfId="15"/>
    <cellStyle name="Normal 2 3 10" xfId="2038"/>
    <cellStyle name="Normal 2 3 10 2" xfId="5369"/>
    <cellStyle name="Normal 2 3 11" xfId="3392"/>
    <cellStyle name="Normal 2 3 11 2" xfId="6147"/>
    <cellStyle name="Normal 2 3 11 3" xfId="5370"/>
    <cellStyle name="Normal 2 3 12" xfId="5371"/>
    <cellStyle name="Normal 2 3 13" xfId="2037"/>
    <cellStyle name="Normal 2 3 2" xfId="25"/>
    <cellStyle name="Normal 2 3 2 10" xfId="3329"/>
    <cellStyle name="Normal 2 3 2 11" xfId="5372"/>
    <cellStyle name="Normal 2 3 2 12" xfId="7234"/>
    <cellStyle name="Normal 2 3 2 13" xfId="2039"/>
    <cellStyle name="Normal 2 3 2 2" xfId="2040"/>
    <cellStyle name="Normal 2 3 2 2 2" xfId="2041"/>
    <cellStyle name="Normal 2 3 2 2 2 2" xfId="2042"/>
    <cellStyle name="Normal 2 3 2 2 2 2 2" xfId="2043"/>
    <cellStyle name="Normal 2 3 2 2 2 2 2 2" xfId="5376"/>
    <cellStyle name="Normal 2 3 2 2 2 2 2 3" xfId="7238"/>
    <cellStyle name="Normal 2 3 2 2 2 2 3" xfId="2044"/>
    <cellStyle name="Normal 2 3 2 2 2 2 3 2" xfId="5377"/>
    <cellStyle name="Normal 2 3 2 2 2 2 3 3" xfId="7239"/>
    <cellStyle name="Normal 2 3 2 2 2 2 4" xfId="5375"/>
    <cellStyle name="Normal 2 3 2 2 2 2 5" xfId="7237"/>
    <cellStyle name="Normal 2 3 2 2 2 2_Central" xfId="2045"/>
    <cellStyle name="Normal 2 3 2 2 2 3" xfId="2046"/>
    <cellStyle name="Normal 2 3 2 2 2 3 2" xfId="5378"/>
    <cellStyle name="Normal 2 3 2 2 2 3 3" xfId="7240"/>
    <cellStyle name="Normal 2 3 2 2 2 4" xfId="2047"/>
    <cellStyle name="Normal 2 3 2 2 2 4 2" xfId="5379"/>
    <cellStyle name="Normal 2 3 2 2 2 4 3" xfId="7241"/>
    <cellStyle name="Normal 2 3 2 2 2 5" xfId="2048"/>
    <cellStyle name="Normal 2 3 2 2 2 5 2" xfId="5380"/>
    <cellStyle name="Normal 2 3 2 2 2 5 3" xfId="7242"/>
    <cellStyle name="Normal 2 3 2 2 2 6" xfId="2049"/>
    <cellStyle name="Normal 2 3 2 2 2 6 2" xfId="5381"/>
    <cellStyle name="Normal 2 3 2 2 2 6 3" xfId="7243"/>
    <cellStyle name="Normal 2 3 2 2 2 7" xfId="5374"/>
    <cellStyle name="Normal 2 3 2 2 2 8" xfId="7236"/>
    <cellStyle name="Normal 2 3 2 2 2_Central" xfId="2050"/>
    <cellStyle name="Normal 2 3 2 2 3" xfId="2051"/>
    <cellStyle name="Normal 2 3 2 2 3 2" xfId="2052"/>
    <cellStyle name="Normal 2 3 2 2 3 2 2" xfId="5383"/>
    <cellStyle name="Normal 2 3 2 2 3 2 3" xfId="7245"/>
    <cellStyle name="Normal 2 3 2 2 3 3" xfId="2053"/>
    <cellStyle name="Normal 2 3 2 2 3 3 2" xfId="5384"/>
    <cellStyle name="Normal 2 3 2 2 3 3 3" xfId="7246"/>
    <cellStyle name="Normal 2 3 2 2 3 4" xfId="5382"/>
    <cellStyle name="Normal 2 3 2 2 3 5" xfId="7244"/>
    <cellStyle name="Normal 2 3 2 2 3_Central" xfId="2054"/>
    <cellStyle name="Normal 2 3 2 2 4" xfId="2055"/>
    <cellStyle name="Normal 2 3 2 2 4 2" xfId="5385"/>
    <cellStyle name="Normal 2 3 2 2 4 3" xfId="7247"/>
    <cellStyle name="Normal 2 3 2 2 5" xfId="2056"/>
    <cellStyle name="Normal 2 3 2 2 5 2" xfId="5386"/>
    <cellStyle name="Normal 2 3 2 2 5 3" xfId="7248"/>
    <cellStyle name="Normal 2 3 2 2 6" xfId="2057"/>
    <cellStyle name="Normal 2 3 2 2 6 2" xfId="5387"/>
    <cellStyle name="Normal 2 3 2 2 6 3" xfId="7249"/>
    <cellStyle name="Normal 2 3 2 2 7" xfId="5373"/>
    <cellStyle name="Normal 2 3 2 2 8" xfId="7235"/>
    <cellStyle name="Normal 2 3 2 2_Central" xfId="2058"/>
    <cellStyle name="Normal 2 3 2 3" xfId="2059"/>
    <cellStyle name="Normal 2 3 2 3 2" xfId="2060"/>
    <cellStyle name="Normal 2 3 2 3 2 2" xfId="5389"/>
    <cellStyle name="Normal 2 3 2 3 2 3" xfId="7251"/>
    <cellStyle name="Normal 2 3 2 3 3" xfId="2061"/>
    <cellStyle name="Normal 2 3 2 3 3 2" xfId="5390"/>
    <cellStyle name="Normal 2 3 2 3 3 3" xfId="7252"/>
    <cellStyle name="Normal 2 3 2 3 4" xfId="5388"/>
    <cellStyle name="Normal 2 3 2 3 5" xfId="7250"/>
    <cellStyle name="Normal 2 3 2 3_Central" xfId="2062"/>
    <cellStyle name="Normal 2 3 2 4" xfId="2063"/>
    <cellStyle name="Normal 2 3 2 4 2" xfId="5391"/>
    <cellStyle name="Normal 2 3 2 4 3" xfId="7253"/>
    <cellStyle name="Normal 2 3 2 5" xfId="2064"/>
    <cellStyle name="Normal 2 3 2 5 2" xfId="5392"/>
    <cellStyle name="Normal 2 3 2 5 3" xfId="7254"/>
    <cellStyle name="Normal 2 3 2 6" xfId="2065"/>
    <cellStyle name="Normal 2 3 2 6 2" xfId="5393"/>
    <cellStyle name="Normal 2 3 2 6 3" xfId="7255"/>
    <cellStyle name="Normal 2 3 2 7" xfId="2066"/>
    <cellStyle name="Normal 2 3 2 7 2" xfId="5394"/>
    <cellStyle name="Normal 2 3 2 7 3" xfId="7256"/>
    <cellStyle name="Normal 2 3 2 8" xfId="3393"/>
    <cellStyle name="Normal 2 3 2 9" xfId="3510"/>
    <cellStyle name="Normal 2 3 2_Central" xfId="2067"/>
    <cellStyle name="Normal 2 3 3" xfId="32"/>
    <cellStyle name="Normal 2 3 3 2" xfId="2069"/>
    <cellStyle name="Normal 2 3 3 2 2" xfId="2070"/>
    <cellStyle name="Normal 2 3 3 2 2 2" xfId="5397"/>
    <cellStyle name="Normal 2 3 3 2 2 3" xfId="7259"/>
    <cellStyle name="Normal 2 3 3 2 3" xfId="2071"/>
    <cellStyle name="Normal 2 3 3 2 3 2" xfId="5398"/>
    <cellStyle name="Normal 2 3 3 2 3 3" xfId="7260"/>
    <cellStyle name="Normal 2 3 3 2 4" xfId="5396"/>
    <cellStyle name="Normal 2 3 3 2 5" xfId="7258"/>
    <cellStyle name="Normal 2 3 3 2_Central" xfId="2072"/>
    <cellStyle name="Normal 2 3 3 3" xfId="2073"/>
    <cellStyle name="Normal 2 3 3 3 2" xfId="5399"/>
    <cellStyle name="Normal 2 3 3 3 3" xfId="7261"/>
    <cellStyle name="Normal 2 3 3 4" xfId="2074"/>
    <cellStyle name="Normal 2 3 3 4 2" xfId="5400"/>
    <cellStyle name="Normal 2 3 3 4 3" xfId="7262"/>
    <cellStyle name="Normal 2 3 3 5" xfId="2075"/>
    <cellStyle name="Normal 2 3 3 5 2" xfId="5401"/>
    <cellStyle name="Normal 2 3 3 5 3" xfId="7263"/>
    <cellStyle name="Normal 2 3 3 6" xfId="2076"/>
    <cellStyle name="Normal 2 3 3 6 2" xfId="5402"/>
    <cellStyle name="Normal 2 3 3 6 3" xfId="7264"/>
    <cellStyle name="Normal 2 3 3 7" xfId="5395"/>
    <cellStyle name="Normal 2 3 3 8" xfId="7257"/>
    <cellStyle name="Normal 2 3 3 9" xfId="2068"/>
    <cellStyle name="Normal 2 3 3_Central" xfId="2077"/>
    <cellStyle name="Normal 2 3 4" xfId="42"/>
    <cellStyle name="Normal 2 3 4 2" xfId="2079"/>
    <cellStyle name="Normal 2 3 4 2 2" xfId="5404"/>
    <cellStyle name="Normal 2 3 4 2 3" xfId="7266"/>
    <cellStyle name="Normal 2 3 4 3" xfId="2080"/>
    <cellStyle name="Normal 2 3 4 3 2" xfId="5405"/>
    <cellStyle name="Normal 2 3 4 3 3" xfId="7267"/>
    <cellStyle name="Normal 2 3 4 4" xfId="5403"/>
    <cellStyle name="Normal 2 3 4 5" xfId="7265"/>
    <cellStyle name="Normal 2 3 4 6" xfId="2078"/>
    <cellStyle name="Normal 2 3 4_Central" xfId="2081"/>
    <cellStyle name="Normal 2 3 5" xfId="2082"/>
    <cellStyle name="Normal 2 3 5 2" xfId="5406"/>
    <cellStyle name="Normal 2 3 5 3" xfId="7268"/>
    <cellStyle name="Normal 2 3 6" xfId="2083"/>
    <cellStyle name="Normal 2 3 6 2" xfId="5407"/>
    <cellStyle name="Normal 2 3 6 3" xfId="7269"/>
    <cellStyle name="Normal 2 3 7" xfId="2084"/>
    <cellStyle name="Normal 2 3 7 2" xfId="5408"/>
    <cellStyle name="Normal 2 3 7 3" xfId="7270"/>
    <cellStyle name="Normal 2 3 8" xfId="2085"/>
    <cellStyle name="Normal 2 3 8 2" xfId="5409"/>
    <cellStyle name="Normal 2 3 8 3" xfId="7271"/>
    <cellStyle name="Normal 2 3 9" xfId="2086"/>
    <cellStyle name="Normal 2 3 9 2" xfId="5410"/>
    <cellStyle name="Normal 2 3_Central" xfId="2087"/>
    <cellStyle name="Normal 2 30" xfId="1871"/>
    <cellStyle name="Normal 2 4" xfId="20"/>
    <cellStyle name="Normal 2 4 2" xfId="2089"/>
    <cellStyle name="Normal 2 4 2 2" xfId="2090"/>
    <cellStyle name="Normal 2 4 3" xfId="3182"/>
    <cellStyle name="Normal 2 4 3 2" xfId="6114"/>
    <cellStyle name="Normal 2 4 3 3" xfId="5412"/>
    <cellStyle name="Normal 2 4 4" xfId="5411"/>
    <cellStyle name="Normal 2 4 5" xfId="7272"/>
    <cellStyle name="Normal 2 4 6" xfId="2088"/>
    <cellStyle name="Normal 2 5" xfId="2091"/>
    <cellStyle name="Normal 2 5 2" xfId="2092"/>
    <cellStyle name="Normal 2 5 2 2" xfId="2093"/>
    <cellStyle name="Normal 2 5 2 2 2" xfId="2094"/>
    <cellStyle name="Normal 2 5 2 2 2 2" xfId="5416"/>
    <cellStyle name="Normal 2 5 2 2 2 3" xfId="7276"/>
    <cellStyle name="Normal 2 5 2 2 3" xfId="2095"/>
    <cellStyle name="Normal 2 5 2 2 3 2" xfId="5417"/>
    <cellStyle name="Normal 2 5 2 2 3 3" xfId="7277"/>
    <cellStyle name="Normal 2 5 2 2 4" xfId="5415"/>
    <cellStyle name="Normal 2 5 2 2 5" xfId="7275"/>
    <cellStyle name="Normal 2 5 2 2_Central" xfId="2096"/>
    <cellStyle name="Normal 2 5 2 3" xfId="2097"/>
    <cellStyle name="Normal 2 5 2 3 2" xfId="5418"/>
    <cellStyle name="Normal 2 5 2 3 3" xfId="7278"/>
    <cellStyle name="Normal 2 5 2 4" xfId="2098"/>
    <cellStyle name="Normal 2 5 2 4 2" xfId="5419"/>
    <cellStyle name="Normal 2 5 2 4 3" xfId="7279"/>
    <cellStyle name="Normal 2 5 2 5" xfId="2099"/>
    <cellStyle name="Normal 2 5 2 5 2" xfId="5420"/>
    <cellStyle name="Normal 2 5 2 5 3" xfId="7280"/>
    <cellStyle name="Normal 2 5 2 6" xfId="2100"/>
    <cellStyle name="Normal 2 5 2 6 2" xfId="5421"/>
    <cellStyle name="Normal 2 5 2 6 3" xfId="7281"/>
    <cellStyle name="Normal 2 5 2 7" xfId="5414"/>
    <cellStyle name="Normal 2 5 2 8" xfId="7274"/>
    <cellStyle name="Normal 2 5 2_Central" xfId="2101"/>
    <cellStyle name="Normal 2 5 3" xfId="2102"/>
    <cellStyle name="Normal 2 5 3 2" xfId="2103"/>
    <cellStyle name="Normal 2 5 3 2 2" xfId="5423"/>
    <cellStyle name="Normal 2 5 3 2 3" xfId="7283"/>
    <cellStyle name="Normal 2 5 3 3" xfId="2104"/>
    <cellStyle name="Normal 2 5 3 3 2" xfId="5424"/>
    <cellStyle name="Normal 2 5 3 3 3" xfId="7284"/>
    <cellStyle name="Normal 2 5 3 4" xfId="5422"/>
    <cellStyle name="Normal 2 5 3 5" xfId="7282"/>
    <cellStyle name="Normal 2 5 3_Central" xfId="2105"/>
    <cellStyle name="Normal 2 5 4" xfId="2106"/>
    <cellStyle name="Normal 2 5 4 2" xfId="5425"/>
    <cellStyle name="Normal 2 5 4 3" xfId="7285"/>
    <cellStyle name="Normal 2 5 5" xfId="2107"/>
    <cellStyle name="Normal 2 5 5 2" xfId="5426"/>
    <cellStyle name="Normal 2 5 5 3" xfId="7286"/>
    <cellStyle name="Normal 2 5 6" xfId="2108"/>
    <cellStyle name="Normal 2 5 6 2" xfId="5427"/>
    <cellStyle name="Normal 2 5 6 3" xfId="7287"/>
    <cellStyle name="Normal 2 5 7" xfId="5413"/>
    <cellStyle name="Normal 2 5 8" xfId="7273"/>
    <cellStyle name="Normal 2 5_Central" xfId="2109"/>
    <cellStyle name="Normal 2 6" xfId="2110"/>
    <cellStyle name="Normal 2 6 2" xfId="5428"/>
    <cellStyle name="Normal 2 6 3" xfId="7288"/>
    <cellStyle name="Normal 2 7" xfId="2111"/>
    <cellStyle name="Normal 2 7 2" xfId="5429"/>
    <cellStyle name="Normal 2 7 3" xfId="7289"/>
    <cellStyle name="Normal 2 8" xfId="2112"/>
    <cellStyle name="Normal 2 8 2" xfId="5430"/>
    <cellStyle name="Normal 2 8 3" xfId="7290"/>
    <cellStyle name="Normal 2 9" xfId="2113"/>
    <cellStyle name="Normal 2 9 2" xfId="5431"/>
    <cellStyle name="Normal 2 9 3" xfId="7291"/>
    <cellStyle name="Normal 2_CONFIDENTIAL - CNI Forecast Opex_Capex August 2010_6" xfId="2114"/>
    <cellStyle name="Normal 20" xfId="2115"/>
    <cellStyle name="Normal 20 2" xfId="2116"/>
    <cellStyle name="Normal 20 2 2" xfId="5433"/>
    <cellStyle name="Normal 20 2 2 2" xfId="7850"/>
    <cellStyle name="Normal 20 2 3" xfId="7793"/>
    <cellStyle name="Normal 20 3" xfId="5432"/>
    <cellStyle name="Normal 20 3 2" xfId="7849"/>
    <cellStyle name="Normal 20 4" xfId="7292"/>
    <cellStyle name="Normal 20 5" xfId="7792"/>
    <cellStyle name="Normal 200" xfId="3362"/>
    <cellStyle name="Normal 201" xfId="3515"/>
    <cellStyle name="Normal 202" xfId="3516"/>
    <cellStyle name="Normal 203" xfId="3517"/>
    <cellStyle name="Normal 204" xfId="3522"/>
    <cellStyle name="Normal 205" xfId="3535"/>
    <cellStyle name="Normal 206" xfId="3536"/>
    <cellStyle name="Normal 207" xfId="3537"/>
    <cellStyle name="Normal 208" xfId="3539"/>
    <cellStyle name="Normal 209" xfId="3540"/>
    <cellStyle name="Normal 21" xfId="37"/>
    <cellStyle name="Normal 21 2" xfId="2118"/>
    <cellStyle name="Normal 21 2 2" xfId="5435"/>
    <cellStyle name="Normal 21 2 2 2" xfId="7852"/>
    <cellStyle name="Normal 21 2 3" xfId="7795"/>
    <cellStyle name="Normal 21 3" xfId="5434"/>
    <cellStyle name="Normal 21 3 2" xfId="7851"/>
    <cellStyle name="Normal 21 4" xfId="7293"/>
    <cellStyle name="Normal 21 5" xfId="2117"/>
    <cellStyle name="Normal 21 5 2" xfId="7794"/>
    <cellStyle name="Normal 210" xfId="3541"/>
    <cellStyle name="Normal 211" xfId="3542"/>
    <cellStyle name="Normal 212" xfId="3543"/>
    <cellStyle name="Normal 213" xfId="5436"/>
    <cellStyle name="Normal 214" xfId="5437"/>
    <cellStyle name="Normal 215" xfId="5438"/>
    <cellStyle name="Normal 216" xfId="5439"/>
    <cellStyle name="Normal 217" xfId="5440"/>
    <cellStyle name="Normal 218" xfId="5441"/>
    <cellStyle name="Normal 219" xfId="5442"/>
    <cellStyle name="Normal 22" xfId="2119"/>
    <cellStyle name="Normal 22 2" xfId="2120"/>
    <cellStyle name="Normal 22 2 2" xfId="5444"/>
    <cellStyle name="Normal 22 2 2 2" xfId="7854"/>
    <cellStyle name="Normal 22 2 3" xfId="7797"/>
    <cellStyle name="Normal 22 3" xfId="5443"/>
    <cellStyle name="Normal 22 3 2" xfId="7853"/>
    <cellStyle name="Normal 22 4" xfId="7294"/>
    <cellStyle name="Normal 22 5" xfId="7796"/>
    <cellStyle name="Normal 220" xfId="5445"/>
    <cellStyle name="Normal 221" xfId="5446"/>
    <cellStyle name="Normal 222" xfId="5447"/>
    <cellStyle name="Normal 223" xfId="5448"/>
    <cellStyle name="Normal 224" xfId="5449"/>
    <cellStyle name="Normal 225" xfId="5450"/>
    <cellStyle name="Normal 226" xfId="5451"/>
    <cellStyle name="Normal 227" xfId="5452"/>
    <cellStyle name="Normal 228" xfId="5453"/>
    <cellStyle name="Normal 229" xfId="5454"/>
    <cellStyle name="Normal 23" xfId="2121"/>
    <cellStyle name="Normal 23 2" xfId="2122"/>
    <cellStyle name="Normal 23 2 2" xfId="5456"/>
    <cellStyle name="Normal 23 2 2 2" xfId="7856"/>
    <cellStyle name="Normal 23 2 3" xfId="7799"/>
    <cellStyle name="Normal 23 3" xfId="5455"/>
    <cellStyle name="Normal 23 3 2" xfId="7855"/>
    <cellStyle name="Normal 23 4" xfId="7295"/>
    <cellStyle name="Normal 23 5" xfId="7798"/>
    <cellStyle name="Normal 230" xfId="5457"/>
    <cellStyle name="Normal 231" xfId="5458"/>
    <cellStyle name="Normal 232" xfId="5459"/>
    <cellStyle name="Normal 233" xfId="5460"/>
    <cellStyle name="Normal 234" xfId="5461"/>
    <cellStyle name="Normal 235" xfId="5462"/>
    <cellStyle name="Normal 236" xfId="5463"/>
    <cellStyle name="Normal 237" xfId="5464"/>
    <cellStyle name="Normal 238" xfId="5465"/>
    <cellStyle name="Normal 239" xfId="5466"/>
    <cellStyle name="Normal 24" xfId="2123"/>
    <cellStyle name="Normal 24 2" xfId="2124"/>
    <cellStyle name="Normal 24 2 2" xfId="5468"/>
    <cellStyle name="Normal 24 2 2 2" xfId="7858"/>
    <cellStyle name="Normal 24 2 3" xfId="7801"/>
    <cellStyle name="Normal 24 3" xfId="5467"/>
    <cellStyle name="Normal 24 3 2" xfId="7857"/>
    <cellStyle name="Normal 24 4" xfId="7800"/>
    <cellStyle name="Normal 240" xfId="5469"/>
    <cellStyle name="Normal 241" xfId="5470"/>
    <cellStyle name="Normal 242" xfId="5471"/>
    <cellStyle name="Normal 243" xfId="5472"/>
    <cellStyle name="Normal 244" xfId="5473"/>
    <cellStyle name="Normal 245" xfId="5474"/>
    <cellStyle name="Normal 246" xfId="5475"/>
    <cellStyle name="Normal 247" xfId="5476"/>
    <cellStyle name="Normal 248" xfId="5477"/>
    <cellStyle name="Normal 249" xfId="5478"/>
    <cellStyle name="Normal 25" xfId="38"/>
    <cellStyle name="Normal 25 2" xfId="2126"/>
    <cellStyle name="Normal 25 2 2" xfId="5480"/>
    <cellStyle name="Normal 25 2 2 2" xfId="7860"/>
    <cellStyle name="Normal 25 2 3" xfId="7803"/>
    <cellStyle name="Normal 25 3" xfId="5479"/>
    <cellStyle name="Normal 25 3 2" xfId="7859"/>
    <cellStyle name="Normal 25 4" xfId="2125"/>
    <cellStyle name="Normal 25 4 2" xfId="7802"/>
    <cellStyle name="Normal 250" xfId="5481"/>
    <cellStyle name="Normal 251" xfId="5482"/>
    <cellStyle name="Normal 252" xfId="5483"/>
    <cellStyle name="Normal 253" xfId="5484"/>
    <cellStyle name="Normal 254" xfId="5485"/>
    <cellStyle name="Normal 255" xfId="5486"/>
    <cellStyle name="Normal 256" xfId="5487"/>
    <cellStyle name="Normal 257" xfId="5488"/>
    <cellStyle name="Normal 258" xfId="5489"/>
    <cellStyle name="Normal 259" xfId="5490"/>
    <cellStyle name="Normal 26" xfId="2127"/>
    <cellStyle name="Normal 26 2" xfId="2128"/>
    <cellStyle name="Normal 26 2 2" xfId="5492"/>
    <cellStyle name="Normal 26 2 2 2" xfId="7862"/>
    <cellStyle name="Normal 26 2 3" xfId="7805"/>
    <cellStyle name="Normal 26 3" xfId="5491"/>
    <cellStyle name="Normal 26 3 2" xfId="7861"/>
    <cellStyle name="Normal 26 4" xfId="7804"/>
    <cellStyle name="Normal 260" xfId="5493"/>
    <cellStyle name="Normal 261" xfId="5494"/>
    <cellStyle name="Normal 262" xfId="5495"/>
    <cellStyle name="Normal 263" xfId="5496"/>
    <cellStyle name="Normal 264" xfId="5497"/>
    <cellStyle name="Normal 265" xfId="5498"/>
    <cellStyle name="Normal 266" xfId="5499"/>
    <cellStyle name="Normal 267" xfId="5500"/>
    <cellStyle name="Normal 268" xfId="5501"/>
    <cellStyle name="Normal 269" xfId="5502"/>
    <cellStyle name="Normal 27" xfId="2129"/>
    <cellStyle name="Normal 27 2" xfId="2130"/>
    <cellStyle name="Normal 27 2 2" xfId="5504"/>
    <cellStyle name="Normal 27 2 2 2" xfId="7864"/>
    <cellStyle name="Normal 27 2 3" xfId="7807"/>
    <cellStyle name="Normal 27 3" xfId="5503"/>
    <cellStyle name="Normal 27 3 2" xfId="7863"/>
    <cellStyle name="Normal 27 4" xfId="7806"/>
    <cellStyle name="Normal 270" xfId="5505"/>
    <cellStyle name="Normal 271" xfId="5506"/>
    <cellStyle name="Normal 272" xfId="5507"/>
    <cellStyle name="Normal 273" xfId="5508"/>
    <cellStyle name="Normal 274" xfId="5509"/>
    <cellStyle name="Normal 274 2" xfId="7865"/>
    <cellStyle name="Normal 275" xfId="5510"/>
    <cellStyle name="Normal 276" xfId="6017"/>
    <cellStyle name="Normal 276 2" xfId="7876"/>
    <cellStyle name="Normal 277" xfId="6089"/>
    <cellStyle name="Normal 277 2" xfId="7895"/>
    <cellStyle name="Normal 278" xfId="3538"/>
    <cellStyle name="Normal 279" xfId="6013"/>
    <cellStyle name="Normal 28" xfId="2131"/>
    <cellStyle name="Normal 28 2" xfId="5511"/>
    <cellStyle name="Normal 28 2 2" xfId="7866"/>
    <cellStyle name="Normal 28 3" xfId="7808"/>
    <cellStyle name="Normal 280" xfId="5984"/>
    <cellStyle name="Normal 281" xfId="5880"/>
    <cellStyle name="Normal 282" xfId="5722"/>
    <cellStyle name="Normal 283" xfId="6174"/>
    <cellStyle name="Normal 284" xfId="6196"/>
    <cellStyle name="Normal 285" xfId="6197"/>
    <cellStyle name="Normal 286" xfId="6198"/>
    <cellStyle name="Normal 287" xfId="6221"/>
    <cellStyle name="Normal 288" xfId="6222"/>
    <cellStyle name="Normal 289" xfId="6200"/>
    <cellStyle name="Normal 29" xfId="2132"/>
    <cellStyle name="Normal 29 2" xfId="5512"/>
    <cellStyle name="Normal 29 2 2" xfId="7867"/>
    <cellStyle name="Normal 29 3" xfId="7809"/>
    <cellStyle name="Normal 290" xfId="6230"/>
    <cellStyle name="Normal 291" xfId="6231"/>
    <cellStyle name="Normal 292" xfId="6232"/>
    <cellStyle name="Normal 293" xfId="6233"/>
    <cellStyle name="Normal 294" xfId="6235"/>
    <cellStyle name="Normal 295" xfId="6236"/>
    <cellStyle name="Normal 296" xfId="6237"/>
    <cellStyle name="Normal 297" xfId="6238"/>
    <cellStyle name="Normal 298" xfId="6239"/>
    <cellStyle name="Normal 299" xfId="6240"/>
    <cellStyle name="Normal 3" xfId="2"/>
    <cellStyle name="Normal 3 10" xfId="2134"/>
    <cellStyle name="Normal 3 10 2" xfId="5513"/>
    <cellStyle name="Normal 3 10 2 2" xfId="7298"/>
    <cellStyle name="Normal 3 10 3" xfId="7299"/>
    <cellStyle name="Normal 3 10 4" xfId="7300"/>
    <cellStyle name="Normal 3 10 5" xfId="7301"/>
    <cellStyle name="Normal 3 10 6" xfId="7302"/>
    <cellStyle name="Normal 3 10 7" xfId="7303"/>
    <cellStyle name="Normal 3 10 8" xfId="7297"/>
    <cellStyle name="Normal 3 11" xfId="3116"/>
    <cellStyle name="Normal 3 11 2" xfId="6091"/>
    <cellStyle name="Normal 3 11 3" xfId="5514"/>
    <cellStyle name="Normal 3 11 4" xfId="7304"/>
    <cellStyle name="Normal 3 12" xfId="3394"/>
    <cellStyle name="Normal 3 12 2" xfId="6148"/>
    <cellStyle name="Normal 3 12 3" xfId="5515"/>
    <cellStyle name="Normal 3 12 4" xfId="7305"/>
    <cellStyle name="Normal 3 13" xfId="7306"/>
    <cellStyle name="Normal 3 14" xfId="7307"/>
    <cellStyle name="Normal 3 15" xfId="7308"/>
    <cellStyle name="Normal 3 16" xfId="7309"/>
    <cellStyle name="Normal 3 17" xfId="7310"/>
    <cellStyle name="Normal 3 18" xfId="7311"/>
    <cellStyle name="Normal 3 19" xfId="7312"/>
    <cellStyle name="Normal 3 2" xfId="8"/>
    <cellStyle name="Normal 3 2 10" xfId="7314"/>
    <cellStyle name="Normal 3 2 11" xfId="7315"/>
    <cellStyle name="Normal 3 2 12" xfId="7316"/>
    <cellStyle name="Normal 3 2 13" xfId="7317"/>
    <cellStyle name="Normal 3 2 14" xfId="7318"/>
    <cellStyle name="Normal 3 2 15" xfId="7319"/>
    <cellStyle name="Normal 3 2 16" xfId="7320"/>
    <cellStyle name="Normal 3 2 17" xfId="7321"/>
    <cellStyle name="Normal 3 2 18" xfId="2135"/>
    <cellStyle name="Normal 3 2 2" xfId="2136"/>
    <cellStyle name="Normal 3 2 2 2" xfId="7323"/>
    <cellStyle name="Normal 3 2 2 3" xfId="7324"/>
    <cellStyle name="Normal 3 2 2 4" xfId="7325"/>
    <cellStyle name="Normal 3 2 2 5" xfId="7326"/>
    <cellStyle name="Normal 3 2 2 6" xfId="7327"/>
    <cellStyle name="Normal 3 2 2 7" xfId="7328"/>
    <cellStyle name="Normal 3 2 2 8" xfId="7322"/>
    <cellStyle name="Normal 3 2 3" xfId="3149"/>
    <cellStyle name="Normal 3 2 3 2" xfId="5516"/>
    <cellStyle name="Normal 3 2 3 3" xfId="7329"/>
    <cellStyle name="Normal 3 2 4" xfId="3395"/>
    <cellStyle name="Normal 3 2 4 2" xfId="6149"/>
    <cellStyle name="Normal 3 2 4 3" xfId="5517"/>
    <cellStyle name="Normal 3 2 4 4" xfId="7330"/>
    <cellStyle name="Normal 3 2 5" xfId="5518"/>
    <cellStyle name="Normal 3 2 5 2" xfId="7331"/>
    <cellStyle name="Normal 3 2 6" xfId="7332"/>
    <cellStyle name="Normal 3 2 7" xfId="7333"/>
    <cellStyle name="Normal 3 2 8" xfId="7334"/>
    <cellStyle name="Normal 3 2 9" xfId="7335"/>
    <cellStyle name="Normal 3 20" xfId="7336"/>
    <cellStyle name="Normal 3 21" xfId="7337"/>
    <cellStyle name="Normal 3 22" xfId="7731"/>
    <cellStyle name="Normal 3 23" xfId="2133"/>
    <cellStyle name="Normal 3 3" xfId="22"/>
    <cellStyle name="Normal 3 3 2" xfId="2138"/>
    <cellStyle name="Normal 3 3 2 2" xfId="5519"/>
    <cellStyle name="Normal 3 3 2 3" xfId="7339"/>
    <cellStyle name="Normal 3 3 3" xfId="3396"/>
    <cellStyle name="Normal 3 3 4" xfId="5520"/>
    <cellStyle name="Normal 3 3 5" xfId="7338"/>
    <cellStyle name="Normal 3 3 6" xfId="2137"/>
    <cellStyle name="Normal 3 3_GTO Non Operational Capex Roll-over submission (FINAL with property)" xfId="7340"/>
    <cellStyle name="Normal 3 4" xfId="31"/>
    <cellStyle name="Normal 3 4 2" xfId="5521"/>
    <cellStyle name="Normal 3 4 3" xfId="7341"/>
    <cellStyle name="Normal 3 4 4" xfId="2139"/>
    <cellStyle name="Normal 3 5" xfId="43"/>
    <cellStyle name="Normal 3 5 2" xfId="5522"/>
    <cellStyle name="Normal 3 5 3" xfId="7342"/>
    <cellStyle name="Normal 3 5 4" xfId="2140"/>
    <cellStyle name="Normal 3 6" xfId="2141"/>
    <cellStyle name="Normal 3 6 2" xfId="5523"/>
    <cellStyle name="Normal 3 6 3" xfId="7343"/>
    <cellStyle name="Normal 3 7" xfId="2142"/>
    <cellStyle name="Normal 3 7 2" xfId="5524"/>
    <cellStyle name="Normal 3 7 3" xfId="7344"/>
    <cellStyle name="Normal 3 8" xfId="2143"/>
    <cellStyle name="Normal 3 8 2" xfId="5525"/>
    <cellStyle name="Normal 3 8 3" xfId="7345"/>
    <cellStyle name="Normal 3 9" xfId="2144"/>
    <cellStyle name="Normal 3 9 2" xfId="2145"/>
    <cellStyle name="Normal 3 9 2 2" xfId="5527"/>
    <cellStyle name="Normal 3 9 3" xfId="5526"/>
    <cellStyle name="Normal 3 9 4" xfId="7346"/>
    <cellStyle name="Normal 3_ELEC SAP FCST UPLOAD" xfId="7347"/>
    <cellStyle name="Normal 30" xfId="2146"/>
    <cellStyle name="Normal 30 2" xfId="5528"/>
    <cellStyle name="Normal 30 2 2" xfId="7868"/>
    <cellStyle name="Normal 30 3" xfId="7810"/>
    <cellStyle name="Normal 300" xfId="6291"/>
    <cellStyle name="Normal 301" xfId="6304"/>
    <cellStyle name="Normal 302" xfId="6308"/>
    <cellStyle name="Normal 303" xfId="6319"/>
    <cellStyle name="Normal 304" xfId="6321"/>
    <cellStyle name="Normal 305" xfId="6322"/>
    <cellStyle name="Normal 306" xfId="6323"/>
    <cellStyle name="Normal 307" xfId="6324"/>
    <cellStyle name="Normal 308" xfId="6325"/>
    <cellStyle name="Normal 309" xfId="6326"/>
    <cellStyle name="Normal 31" xfId="2147"/>
    <cellStyle name="Normal 31 2" xfId="5529"/>
    <cellStyle name="Normal 31 2 2" xfId="7869"/>
    <cellStyle name="Normal 31 3" xfId="7811"/>
    <cellStyle name="Normal 310" xfId="6327"/>
    <cellStyle name="Normal 311" xfId="6328"/>
    <cellStyle name="Normal 312" xfId="6329"/>
    <cellStyle name="Normal 313" xfId="6330"/>
    <cellStyle name="Normal 314" xfId="6331"/>
    <cellStyle name="Normal 315" xfId="7617"/>
    <cellStyle name="Normal 316" xfId="7700"/>
    <cellStyle name="Normal 317" xfId="7701"/>
    <cellStyle name="Normal 318" xfId="7702"/>
    <cellStyle name="Normal 319" xfId="7552"/>
    <cellStyle name="Normal 32" xfId="2148"/>
    <cellStyle name="Normal 32 2" xfId="2149"/>
    <cellStyle name="Normal 32 2 2" xfId="5531"/>
    <cellStyle name="Normal 32 2 2 2" xfId="7871"/>
    <cellStyle name="Normal 32 2 3" xfId="7813"/>
    <cellStyle name="Normal 32 3" xfId="5530"/>
    <cellStyle name="Normal 32 3 2" xfId="7870"/>
    <cellStyle name="Normal 32 4" xfId="7812"/>
    <cellStyle name="Normal 320" xfId="7703"/>
    <cellStyle name="Normal 321" xfId="7348"/>
    <cellStyle name="Normal 322" xfId="7705"/>
    <cellStyle name="Normal 323" xfId="7733"/>
    <cellStyle name="Normal 324" xfId="7736"/>
    <cellStyle name="Normal 325" xfId="7738"/>
    <cellStyle name="Normal 326" xfId="7730"/>
    <cellStyle name="Normal 327" xfId="7739"/>
    <cellStyle name="Normal 328" xfId="7740"/>
    <cellStyle name="Normal 329" xfId="7741"/>
    <cellStyle name="Normal 33" xfId="2150"/>
    <cellStyle name="Normal 33 2" xfId="2151"/>
    <cellStyle name="Normal 33 2 2" xfId="5533"/>
    <cellStyle name="Normal 33 2 2 2" xfId="7873"/>
    <cellStyle name="Normal 33 2 3" xfId="7815"/>
    <cellStyle name="Normal 33 3" xfId="5532"/>
    <cellStyle name="Normal 33 3 2" xfId="7872"/>
    <cellStyle name="Normal 33 4" xfId="7814"/>
    <cellStyle name="Normal 330" xfId="88"/>
    <cellStyle name="Normal 331" xfId="7896"/>
    <cellStyle name="Normal 332" xfId="7898"/>
    <cellStyle name="Normal 333" xfId="7899"/>
    <cellStyle name="Normal 334" xfId="7900"/>
    <cellStyle name="Normal 335" xfId="7901"/>
    <cellStyle name="Normal 336" xfId="7902"/>
    <cellStyle name="Normal 337" xfId="7903"/>
    <cellStyle name="Normal 338" xfId="7904"/>
    <cellStyle name="Normal 339" xfId="7905"/>
    <cellStyle name="Normal 34" xfId="2152"/>
    <cellStyle name="Normal 34 2" xfId="2153"/>
    <cellStyle name="Normal 34 2 2" xfId="5535"/>
    <cellStyle name="Normal 34 3" xfId="5534"/>
    <cellStyle name="Normal 340" xfId="7906"/>
    <cellStyle name="Normal 340 2" xfId="8383"/>
    <cellStyle name="Normal 341" xfId="7907"/>
    <cellStyle name="Normal 341 2" xfId="8384"/>
    <cellStyle name="Normal 342" xfId="7908"/>
    <cellStyle name="Normal 342 2" xfId="8385"/>
    <cellStyle name="Normal 343" xfId="7909"/>
    <cellStyle name="Normal 343 2" xfId="8386"/>
    <cellStyle name="Normal 344" xfId="7910"/>
    <cellStyle name="Normal 344 2" xfId="8387"/>
    <cellStyle name="Normal 345" xfId="7911"/>
    <cellStyle name="Normal 345 2" xfId="8388"/>
    <cellStyle name="Normal 346" xfId="7912"/>
    <cellStyle name="Normal 346 2" xfId="8389"/>
    <cellStyle name="Normal 347" xfId="7913"/>
    <cellStyle name="Normal 347 2" xfId="8390"/>
    <cellStyle name="Normal 348" xfId="7914"/>
    <cellStyle name="Normal 348 2" xfId="8391"/>
    <cellStyle name="Normal 349" xfId="7915"/>
    <cellStyle name="Normal 349 2" xfId="8392"/>
    <cellStyle name="Normal 35" xfId="2154"/>
    <cellStyle name="Normal 35 2" xfId="2155"/>
    <cellStyle name="Normal 35 2 2" xfId="5537"/>
    <cellStyle name="Normal 35 3" xfId="5536"/>
    <cellStyle name="Normal 350" xfId="7916"/>
    <cellStyle name="Normal 350 2" xfId="8393"/>
    <cellStyle name="Normal 351" xfId="7917"/>
    <cellStyle name="Normal 351 2" xfId="8394"/>
    <cellStyle name="Normal 352" xfId="7918"/>
    <cellStyle name="Normal 352 2" xfId="8395"/>
    <cellStyle name="Normal 353" xfId="7919"/>
    <cellStyle name="Normal 353 2" xfId="8396"/>
    <cellStyle name="Normal 354" xfId="7920"/>
    <cellStyle name="Normal 354 2" xfId="8397"/>
    <cellStyle name="Normal 355" xfId="7921"/>
    <cellStyle name="Normal 355 2" xfId="8398"/>
    <cellStyle name="Normal 356" xfId="7922"/>
    <cellStyle name="Normal 356 2" xfId="8399"/>
    <cellStyle name="Normal 357" xfId="7923"/>
    <cellStyle name="Normal 357 2" xfId="8400"/>
    <cellStyle name="Normal 358" xfId="7924"/>
    <cellStyle name="Normal 358 2" xfId="8401"/>
    <cellStyle name="Normal 359" xfId="7925"/>
    <cellStyle name="Normal 359 2" xfId="8402"/>
    <cellStyle name="Normal 36" xfId="2156"/>
    <cellStyle name="Normal 36 2" xfId="2157"/>
    <cellStyle name="Normal 36 2 2" xfId="5539"/>
    <cellStyle name="Normal 36 3" xfId="5538"/>
    <cellStyle name="Normal 360" xfId="7926"/>
    <cellStyle name="Normal 360 2" xfId="8403"/>
    <cellStyle name="Normal 361" xfId="7927"/>
    <cellStyle name="Normal 361 2" xfId="8404"/>
    <cellStyle name="Normal 362" xfId="7928"/>
    <cellStyle name="Normal 362 2" xfId="8405"/>
    <cellStyle name="Normal 363" xfId="7929"/>
    <cellStyle name="Normal 363 2" xfId="8406"/>
    <cellStyle name="Normal 364" xfId="7930"/>
    <cellStyle name="Normal 364 2" xfId="8407"/>
    <cellStyle name="Normal 365" xfId="7931"/>
    <cellStyle name="Normal 365 2" xfId="8408"/>
    <cellStyle name="Normal 366" xfId="7932"/>
    <cellStyle name="Normal 366 2" xfId="8409"/>
    <cellStyle name="Normal 367" xfId="7933"/>
    <cellStyle name="Normal 367 2" xfId="8410"/>
    <cellStyle name="Normal 368" xfId="7934"/>
    <cellStyle name="Normal 368 2" xfId="8411"/>
    <cellStyle name="Normal 369" xfId="7935"/>
    <cellStyle name="Normal 369 2" xfId="8412"/>
    <cellStyle name="Normal 37" xfId="2158"/>
    <cellStyle name="Normal 37 2" xfId="2159"/>
    <cellStyle name="Normal 37 2 2" xfId="2160"/>
    <cellStyle name="Normal 37 2 2 2" xfId="5542"/>
    <cellStyle name="Normal 37 2 2 2 2" xfId="7875"/>
    <cellStyle name="Normal 37 2 2 3" xfId="7817"/>
    <cellStyle name="Normal 37 2 3" xfId="5541"/>
    <cellStyle name="Normal 37 2 3 2" xfId="7874"/>
    <cellStyle name="Normal 37 2 4" xfId="7816"/>
    <cellStyle name="Normal 37 3" xfId="2161"/>
    <cellStyle name="Normal 37 3 2" xfId="5543"/>
    <cellStyle name="Normal 37 4" xfId="5540"/>
    <cellStyle name="Normal 370" xfId="7936"/>
    <cellStyle name="Normal 370 2" xfId="8413"/>
    <cellStyle name="Normal 371" xfId="7937"/>
    <cellStyle name="Normal 371 2" xfId="8414"/>
    <cellStyle name="Normal 372" xfId="7938"/>
    <cellStyle name="Normal 372 2" xfId="8415"/>
    <cellStyle name="Normal 373" xfId="7939"/>
    <cellStyle name="Normal 374" xfId="7942"/>
    <cellStyle name="Normal 374 2" xfId="8845"/>
    <cellStyle name="Normal 375" xfId="7943"/>
    <cellStyle name="Normal 375 2" xfId="8846"/>
    <cellStyle name="Normal 376" xfId="7945"/>
    <cellStyle name="Normal 376 2" xfId="8848"/>
    <cellStyle name="Normal 38" xfId="2162"/>
    <cellStyle name="Normal 38 2" xfId="5544"/>
    <cellStyle name="Normal 39" xfId="2163"/>
    <cellStyle name="Normal 39 2" xfId="5545"/>
    <cellStyle name="Normal 4" xfId="9"/>
    <cellStyle name="Normal 4 10" xfId="2165"/>
    <cellStyle name="Normal 4 10 2" xfId="2166"/>
    <cellStyle name="Normal 4 11" xfId="2167"/>
    <cellStyle name="Normal 4 12" xfId="2168"/>
    <cellStyle name="Normal 4 12 2" xfId="5546"/>
    <cellStyle name="Normal 4 13" xfId="2169"/>
    <cellStyle name="Normal 4 13 2" xfId="5547"/>
    <cellStyle name="Normal 4 14" xfId="2170"/>
    <cellStyle name="Normal 4 14 2" xfId="5548"/>
    <cellStyle name="Normal 4 15" xfId="3397"/>
    <cellStyle name="Normal 4 15 2" xfId="6150"/>
    <cellStyle name="Normal 4 15 3" xfId="5549"/>
    <cellStyle name="Normal 4 16" xfId="3437"/>
    <cellStyle name="Normal 4 17" xfId="2164"/>
    <cellStyle name="Normal 4 2" xfId="30"/>
    <cellStyle name="Normal 4 2 10" xfId="3398"/>
    <cellStyle name="Normal 4 2 11" xfId="3436"/>
    <cellStyle name="Normal 4 2 12" xfId="5550"/>
    <cellStyle name="Normal 4 2 13" xfId="5551"/>
    <cellStyle name="Normal 4 2 14" xfId="5552"/>
    <cellStyle name="Normal 4 2 15" xfId="2171"/>
    <cellStyle name="Normal 4 2 2" xfId="2172"/>
    <cellStyle name="Normal 4 2 2 10" xfId="5554"/>
    <cellStyle name="Normal 4 2 2 11" xfId="5553"/>
    <cellStyle name="Normal 4 2 2 2" xfId="2173"/>
    <cellStyle name="Normal 4 2 2 2 2" xfId="2174"/>
    <cellStyle name="Normal 4 2 2 2 2 2" xfId="2175"/>
    <cellStyle name="Normal 4 2 2 2 2 2 2" xfId="5557"/>
    <cellStyle name="Normal 4 2 2 2 2 2 3" xfId="7351"/>
    <cellStyle name="Normal 4 2 2 2 2 3" xfId="2176"/>
    <cellStyle name="Normal 4 2 2 2 2 3 2" xfId="5558"/>
    <cellStyle name="Normal 4 2 2 2 2 3 3" xfId="7352"/>
    <cellStyle name="Normal 4 2 2 2 2 4" xfId="5556"/>
    <cellStyle name="Normal 4 2 2 2 2 5" xfId="7350"/>
    <cellStyle name="Normal 4 2 2 2 2_Central" xfId="2177"/>
    <cellStyle name="Normal 4 2 2 2 3" xfId="2178"/>
    <cellStyle name="Normal 4 2 2 2 3 2" xfId="5559"/>
    <cellStyle name="Normal 4 2 2 2 3 3" xfId="7353"/>
    <cellStyle name="Normal 4 2 2 2 4" xfId="2179"/>
    <cellStyle name="Normal 4 2 2 2 4 2" xfId="5560"/>
    <cellStyle name="Normal 4 2 2 2 4 3" xfId="7354"/>
    <cellStyle name="Normal 4 2 2 2 5" xfId="2180"/>
    <cellStyle name="Normal 4 2 2 2 5 2" xfId="5561"/>
    <cellStyle name="Normal 4 2 2 2 5 3" xfId="7355"/>
    <cellStyle name="Normal 4 2 2 2 6" xfId="2181"/>
    <cellStyle name="Normal 4 2 2 2 6 2" xfId="5562"/>
    <cellStyle name="Normal 4 2 2 2 6 3" xfId="7356"/>
    <cellStyle name="Normal 4 2 2 2 7" xfId="5555"/>
    <cellStyle name="Normal 4 2 2 2 8" xfId="7349"/>
    <cellStyle name="Normal 4 2 2 2_Central" xfId="2182"/>
    <cellStyle name="Normal 4 2 2 3" xfId="2183"/>
    <cellStyle name="Normal 4 2 2 3 2" xfId="2184"/>
    <cellStyle name="Normal 4 2 2 3 2 2" xfId="5564"/>
    <cellStyle name="Normal 4 2 2 3 2 3" xfId="7358"/>
    <cellStyle name="Normal 4 2 2 3 3" xfId="2185"/>
    <cellStyle name="Normal 4 2 2 3 3 2" xfId="5565"/>
    <cellStyle name="Normal 4 2 2 3 3 3" xfId="7359"/>
    <cellStyle name="Normal 4 2 2 3 4" xfId="5563"/>
    <cellStyle name="Normal 4 2 2 3 5" xfId="7357"/>
    <cellStyle name="Normal 4 2 2 3_Central" xfId="2186"/>
    <cellStyle name="Normal 4 2 2 4" xfId="2187"/>
    <cellStyle name="Normal 4 2 2 4 2" xfId="5566"/>
    <cellStyle name="Normal 4 2 2 4 3" xfId="7360"/>
    <cellStyle name="Normal 4 2 2 5" xfId="2188"/>
    <cellStyle name="Normal 4 2 2 5 2" xfId="5567"/>
    <cellStyle name="Normal 4 2 2 5 3" xfId="7361"/>
    <cellStyle name="Normal 4 2 2 6" xfId="2189"/>
    <cellStyle name="Normal 4 2 2 6 2" xfId="5568"/>
    <cellStyle name="Normal 4 2 2 6 3" xfId="7362"/>
    <cellStyle name="Normal 4 2 2 7" xfId="3399"/>
    <cellStyle name="Normal 4 2 2 7 2" xfId="7363"/>
    <cellStyle name="Normal 4 2 2 8" xfId="3511"/>
    <cellStyle name="Normal 4 2 2 9" xfId="3330"/>
    <cellStyle name="Normal 4 2 2_Central" xfId="2190"/>
    <cellStyle name="Normal 4 2 3" xfId="2191"/>
    <cellStyle name="Normal 4 2 3 2" xfId="2192"/>
    <cellStyle name="Normal 4 2 3 2 2" xfId="5570"/>
    <cellStyle name="Normal 4 2 3 2 3" xfId="7365"/>
    <cellStyle name="Normal 4 2 3 3" xfId="2193"/>
    <cellStyle name="Normal 4 2 3 3 2" xfId="5571"/>
    <cellStyle name="Normal 4 2 3 3 3" xfId="7366"/>
    <cellStyle name="Normal 4 2 3 4" xfId="5569"/>
    <cellStyle name="Normal 4 2 3 5" xfId="7364"/>
    <cellStyle name="Normal 4 2 3_Central" xfId="2194"/>
    <cellStyle name="Normal 4 2 4" xfId="2195"/>
    <cellStyle name="Normal 4 2 4 2" xfId="5572"/>
    <cellStyle name="Normal 4 2 4 3" xfId="7367"/>
    <cellStyle name="Normal 4 2 5" xfId="2196"/>
    <cellStyle name="Normal 4 2 5 2" xfId="5573"/>
    <cellStyle name="Normal 4 2 5 3" xfId="7368"/>
    <cellStyle name="Normal 4 2 6" xfId="2197"/>
    <cellStyle name="Normal 4 2 6 2" xfId="5574"/>
    <cellStyle name="Normal 4 2 6 3" xfId="7369"/>
    <cellStyle name="Normal 4 2 7" xfId="2198"/>
    <cellStyle name="Normal 4 2 7 2" xfId="5575"/>
    <cellStyle name="Normal 4 2 7 3" xfId="7370"/>
    <cellStyle name="Normal 4 2 8" xfId="3150"/>
    <cellStyle name="Normal 4 2 8 2" xfId="7371"/>
    <cellStyle name="Normal 4 2 9" xfId="3183"/>
    <cellStyle name="Normal 4 2_Central" xfId="2199"/>
    <cellStyle name="Normal 4 3" xfId="29"/>
    <cellStyle name="Normal 4 3 10" xfId="5577"/>
    <cellStyle name="Normal 4 3 11" xfId="5578"/>
    <cellStyle name="Normal 4 3 12" xfId="5576"/>
    <cellStyle name="Normal 4 3 13" xfId="7372"/>
    <cellStyle name="Normal 4 3 14" xfId="2200"/>
    <cellStyle name="Normal 4 3 2" xfId="2201"/>
    <cellStyle name="Normal 4 3 2 2" xfId="2202"/>
    <cellStyle name="Normal 4 3 2 2 2" xfId="5580"/>
    <cellStyle name="Normal 4 3 2 2 3" xfId="7374"/>
    <cellStyle name="Normal 4 3 2 3" xfId="2203"/>
    <cellStyle name="Normal 4 3 2 3 2" xfId="5581"/>
    <cellStyle name="Normal 4 3 2 3 3" xfId="7375"/>
    <cellStyle name="Normal 4 3 2 4" xfId="5579"/>
    <cellStyle name="Normal 4 3 2 5" xfId="7373"/>
    <cellStyle name="Normal 4 3 2_Central" xfId="2204"/>
    <cellStyle name="Normal 4 3 3" xfId="2205"/>
    <cellStyle name="Normal 4 3 3 2" xfId="5582"/>
    <cellStyle name="Normal 4 3 3 3" xfId="7376"/>
    <cellStyle name="Normal 4 3 4" xfId="2206"/>
    <cellStyle name="Normal 4 3 4 2" xfId="5583"/>
    <cellStyle name="Normal 4 3 4 3" xfId="7377"/>
    <cellStyle name="Normal 4 3 5" xfId="2207"/>
    <cellStyle name="Normal 4 3 5 2" xfId="5584"/>
    <cellStyle name="Normal 4 3 5 3" xfId="7378"/>
    <cellStyle name="Normal 4 3 6" xfId="2208"/>
    <cellStyle name="Normal 4 3 6 2" xfId="5585"/>
    <cellStyle name="Normal 4 3 6 3" xfId="7379"/>
    <cellStyle name="Normal 4 3 7" xfId="3400"/>
    <cellStyle name="Normal 4 3 8" xfId="3512"/>
    <cellStyle name="Normal 4 3 9" xfId="3331"/>
    <cellStyle name="Normal 4 3_Central" xfId="2209"/>
    <cellStyle name="Normal 4 4" xfId="2210"/>
    <cellStyle name="Normal 4 4 2" xfId="5586"/>
    <cellStyle name="Normal 4 4 3" xfId="7380"/>
    <cellStyle name="Normal 4 5" xfId="2211"/>
    <cellStyle name="Normal 4 5 2" xfId="5587"/>
    <cellStyle name="Normal 4 5 3" xfId="7381"/>
    <cellStyle name="Normal 4 6" xfId="2212"/>
    <cellStyle name="Normal 4 6 2" xfId="5588"/>
    <cellStyle name="Normal 4 6 3" xfId="7382"/>
    <cellStyle name="Normal 4 7" xfId="2213"/>
    <cellStyle name="Normal 4 7 2" xfId="2214"/>
    <cellStyle name="Normal 4 7 2 2" xfId="5589"/>
    <cellStyle name="Normal 4 7 3" xfId="2215"/>
    <cellStyle name="Normal 4 7 4" xfId="7383"/>
    <cellStyle name="Normal 4 8" xfId="2216"/>
    <cellStyle name="Normal 4 8 2" xfId="2217"/>
    <cellStyle name="Normal 4 9" xfId="2218"/>
    <cellStyle name="Normal 4 9 2" xfId="2219"/>
    <cellStyle name="Normal 4_ELEC SAP FCST UPLOAD" xfId="7384"/>
    <cellStyle name="Normal 40" xfId="2220"/>
    <cellStyle name="Normal 40 2" xfId="2221"/>
    <cellStyle name="Normal 40 2 2" xfId="5591"/>
    <cellStyle name="Normal 40 3" xfId="5590"/>
    <cellStyle name="Normal 41" xfId="2222"/>
    <cellStyle name="Normal 41 2" xfId="2223"/>
    <cellStyle name="Normal 41 2 2" xfId="5593"/>
    <cellStyle name="Normal 41 3" xfId="5592"/>
    <cellStyle name="Normal 42" xfId="2224"/>
    <cellStyle name="Normal 42 2" xfId="2225"/>
    <cellStyle name="Normal 42 2 2" xfId="5595"/>
    <cellStyle name="Normal 42 3" xfId="5594"/>
    <cellStyle name="Normal 43" xfId="2226"/>
    <cellStyle name="Normal 43 2" xfId="2227"/>
    <cellStyle name="Normal 43 2 2" xfId="5597"/>
    <cellStyle name="Normal 43 3" xfId="5596"/>
    <cellStyle name="Normal 44" xfId="2228"/>
    <cellStyle name="Normal 44 2" xfId="2229"/>
    <cellStyle name="Normal 44 2 2" xfId="5599"/>
    <cellStyle name="Normal 44 3" xfId="5598"/>
    <cellStyle name="Normal 45" xfId="2230"/>
    <cellStyle name="Normal 45 2" xfId="2231"/>
    <cellStyle name="Normal 45 2 2" xfId="5601"/>
    <cellStyle name="Normal 45 3" xfId="5600"/>
    <cellStyle name="Normal 46" xfId="2232"/>
    <cellStyle name="Normal 46 2" xfId="2233"/>
    <cellStyle name="Normal 46 2 2" xfId="5603"/>
    <cellStyle name="Normal 46 3" xfId="5602"/>
    <cellStyle name="Normal 47" xfId="2234"/>
    <cellStyle name="Normal 47 2" xfId="2235"/>
    <cellStyle name="Normal 47 2 2" xfId="5605"/>
    <cellStyle name="Normal 47 3" xfId="5604"/>
    <cellStyle name="Normal 48" xfId="2236"/>
    <cellStyle name="Normal 48 2" xfId="2237"/>
    <cellStyle name="Normal 48 2 2" xfId="5607"/>
    <cellStyle name="Normal 48 3" xfId="5606"/>
    <cellStyle name="Normal 49" xfId="2238"/>
    <cellStyle name="Normal 49 2" xfId="2239"/>
    <cellStyle name="Normal 49 2 2" xfId="5609"/>
    <cellStyle name="Normal 49 3" xfId="5608"/>
    <cellStyle name="Normal 5" xfId="10"/>
    <cellStyle name="Normal 5 10" xfId="2241"/>
    <cellStyle name="Normal 5 10 2" xfId="5610"/>
    <cellStyle name="Normal 5 11" xfId="2242"/>
    <cellStyle name="Normal 5 12" xfId="3401"/>
    <cellStyle name="Normal 5 13" xfId="3435"/>
    <cellStyle name="Normal 5 13 2" xfId="6153"/>
    <cellStyle name="Normal 5 13 3" xfId="5611"/>
    <cellStyle name="Normal 5 14" xfId="2240"/>
    <cellStyle name="Normal 5 2" xfId="2243"/>
    <cellStyle name="Normal 5 2 10" xfId="5613"/>
    <cellStyle name="Normal 5 2 11" xfId="5612"/>
    <cellStyle name="Normal 5 2 12" xfId="7385"/>
    <cellStyle name="Normal 5 2 2" xfId="2244"/>
    <cellStyle name="Normal 5 2 2 2" xfId="2245"/>
    <cellStyle name="Normal 5 2 2 2 2" xfId="5615"/>
    <cellStyle name="Normal 5 2 2 2 3" xfId="7387"/>
    <cellStyle name="Normal 5 2 2 3" xfId="2246"/>
    <cellStyle name="Normal 5 2 2 3 2" xfId="5616"/>
    <cellStyle name="Normal 5 2 2 3 3" xfId="7388"/>
    <cellStyle name="Normal 5 2 2 4" xfId="5614"/>
    <cellStyle name="Normal 5 2 2 5" xfId="7386"/>
    <cellStyle name="Normal 5 2 2_Central" xfId="2247"/>
    <cellStyle name="Normal 5 2 3" xfId="2248"/>
    <cellStyle name="Normal 5 2 3 2" xfId="5617"/>
    <cellStyle name="Normal 5 2 3 3" xfId="7389"/>
    <cellStyle name="Normal 5 2 4" xfId="2249"/>
    <cellStyle name="Normal 5 2 4 2" xfId="5618"/>
    <cellStyle name="Normal 5 2 4 3" xfId="7390"/>
    <cellStyle name="Normal 5 2 5" xfId="2250"/>
    <cellStyle name="Normal 5 2 5 2" xfId="5619"/>
    <cellStyle name="Normal 5 2 5 3" xfId="7391"/>
    <cellStyle name="Normal 5 2 6" xfId="2251"/>
    <cellStyle name="Normal 5 2 6 2" xfId="5620"/>
    <cellStyle name="Normal 5 2 6 3" xfId="7392"/>
    <cellStyle name="Normal 5 2 7" xfId="3402"/>
    <cellStyle name="Normal 5 2 8" xfId="3513"/>
    <cellStyle name="Normal 5 2 9" xfId="3332"/>
    <cellStyle name="Normal 5 2_Central" xfId="2252"/>
    <cellStyle name="Normal 5 3" xfId="2253"/>
    <cellStyle name="Normal 5 3 2" xfId="5621"/>
    <cellStyle name="Normal 5 3 3" xfId="7393"/>
    <cellStyle name="Normal 5 4" xfId="2254"/>
    <cellStyle name="Normal 5 4 2" xfId="5622"/>
    <cellStyle name="Normal 5 4 3" xfId="7394"/>
    <cellStyle name="Normal 5 5" xfId="2255"/>
    <cellStyle name="Normal 5 5 2" xfId="5623"/>
    <cellStyle name="Normal 5 5 3" xfId="7395"/>
    <cellStyle name="Normal 5 6" xfId="2256"/>
    <cellStyle name="Normal 5 6 2" xfId="2257"/>
    <cellStyle name="Normal 5 6 2 2" xfId="5625"/>
    <cellStyle name="Normal 5 6 3" xfId="5624"/>
    <cellStyle name="Normal 5 6 4" xfId="7396"/>
    <cellStyle name="Normal 5 7" xfId="2258"/>
    <cellStyle name="Normal 5 7 2" xfId="5626"/>
    <cellStyle name="Normal 5 8" xfId="2259"/>
    <cellStyle name="Normal 5 8 2" xfId="5627"/>
    <cellStyle name="Normal 5 9" xfId="2260"/>
    <cellStyle name="Normal 5 9 2" xfId="5628"/>
    <cellStyle name="Normal 5_ELEC SAP FCST UPLOAD" xfId="7397"/>
    <cellStyle name="Normal 50" xfId="2261"/>
    <cellStyle name="Normal 50 2" xfId="2262"/>
    <cellStyle name="Normal 50 2 2" xfId="5630"/>
    <cellStyle name="Normal 50 3" xfId="5629"/>
    <cellStyle name="Normal 51" xfId="2263"/>
    <cellStyle name="Normal 51 2" xfId="2264"/>
    <cellStyle name="Normal 51 2 2" xfId="5632"/>
    <cellStyle name="Normal 51 3" xfId="5631"/>
    <cellStyle name="Normal 52" xfId="2265"/>
    <cellStyle name="Normal 52 2" xfId="2266"/>
    <cellStyle name="Normal 52 2 2" xfId="5634"/>
    <cellStyle name="Normal 52 3" xfId="5633"/>
    <cellStyle name="Normal 53" xfId="2267"/>
    <cellStyle name="Normal 53 2" xfId="2268"/>
    <cellStyle name="Normal 53 2 2" xfId="5636"/>
    <cellStyle name="Normal 53 3" xfId="5635"/>
    <cellStyle name="Normal 54" xfId="2269"/>
    <cellStyle name="Normal 54 2" xfId="2270"/>
    <cellStyle name="Normal 54 2 2" xfId="5638"/>
    <cellStyle name="Normal 54 3" xfId="5637"/>
    <cellStyle name="Normal 55" xfId="2271"/>
    <cellStyle name="Normal 55 2" xfId="2272"/>
    <cellStyle name="Normal 55 2 2" xfId="5640"/>
    <cellStyle name="Normal 55 3" xfId="5639"/>
    <cellStyle name="Normal 56" xfId="2273"/>
    <cellStyle name="Normal 56 2" xfId="2274"/>
    <cellStyle name="Normal 56 2 2" xfId="5642"/>
    <cellStyle name="Normal 56 3" xfId="5641"/>
    <cellStyle name="Normal 57" xfId="2275"/>
    <cellStyle name="Normal 57 2" xfId="2276"/>
    <cellStyle name="Normal 57 2 2" xfId="5644"/>
    <cellStyle name="Normal 57 3" xfId="5643"/>
    <cellStyle name="Normal 58" xfId="2277"/>
    <cellStyle name="Normal 58 2" xfId="2278"/>
    <cellStyle name="Normal 58 2 2" xfId="5646"/>
    <cellStyle name="Normal 58 3" xfId="5645"/>
    <cellStyle name="Normal 59" xfId="2279"/>
    <cellStyle name="Normal 59 2" xfId="2280"/>
    <cellStyle name="Normal 59 2 2" xfId="5648"/>
    <cellStyle name="Normal 59 3" xfId="5647"/>
    <cellStyle name="Normal 6" xfId="11"/>
    <cellStyle name="Normal 6 2" xfId="2282"/>
    <cellStyle name="Normal 6 2 2" xfId="3404"/>
    <cellStyle name="Normal 6 2 3" xfId="7398"/>
    <cellStyle name="Normal 6 3" xfId="2283"/>
    <cellStyle name="Normal 6 3 2" xfId="2284"/>
    <cellStyle name="Normal 6 4" xfId="2285"/>
    <cellStyle name="Normal 6 4 2" xfId="5649"/>
    <cellStyle name="Normal 6 5" xfId="3403"/>
    <cellStyle name="Normal 6 6" xfId="5650"/>
    <cellStyle name="Normal 6 7" xfId="2281"/>
    <cellStyle name="Normal 60" xfId="2286"/>
    <cellStyle name="Normal 60 2" xfId="2287"/>
    <cellStyle name="Normal 60 2 2" xfId="5652"/>
    <cellStyle name="Normal 60 3" xfId="5651"/>
    <cellStyle name="Normal 61" xfId="2288"/>
    <cellStyle name="Normal 61 2" xfId="2289"/>
    <cellStyle name="Normal 61 2 2" xfId="5654"/>
    <cellStyle name="Normal 61 3" xfId="5653"/>
    <cellStyle name="Normal 62" xfId="2290"/>
    <cellStyle name="Normal 62 2" xfId="2291"/>
    <cellStyle name="Normal 62 2 2" xfId="5656"/>
    <cellStyle name="Normal 62 3" xfId="5655"/>
    <cellStyle name="Normal 63" xfId="2292"/>
    <cellStyle name="Normal 63 2" xfId="2293"/>
    <cellStyle name="Normal 63 2 2" xfId="5658"/>
    <cellStyle name="Normal 63 3" xfId="5657"/>
    <cellStyle name="Normal 64" xfId="2294"/>
    <cellStyle name="Normal 64 2" xfId="2295"/>
    <cellStyle name="Normal 64 2 2" xfId="5660"/>
    <cellStyle name="Normal 64 3" xfId="5659"/>
    <cellStyle name="Normal 65" xfId="2296"/>
    <cellStyle name="Normal 65 2" xfId="2297"/>
    <cellStyle name="Normal 65 2 2" xfId="5662"/>
    <cellStyle name="Normal 65 3" xfId="5661"/>
    <cellStyle name="Normal 66" xfId="2298"/>
    <cellStyle name="Normal 66 2" xfId="2299"/>
    <cellStyle name="Normal 66 2 2" xfId="5664"/>
    <cellStyle name="Normal 66 3" xfId="5663"/>
    <cellStyle name="Normal 67" xfId="2300"/>
    <cellStyle name="Normal 67 2" xfId="2301"/>
    <cellStyle name="Normal 67 2 2" xfId="5666"/>
    <cellStyle name="Normal 67 3" xfId="5665"/>
    <cellStyle name="Normal 68" xfId="2302"/>
    <cellStyle name="Normal 68 2" xfId="2303"/>
    <cellStyle name="Normal 68 2 2" xfId="5668"/>
    <cellStyle name="Normal 68 3" xfId="5667"/>
    <cellStyle name="Normal 69" xfId="2304"/>
    <cellStyle name="Normal 69 2" xfId="2305"/>
    <cellStyle name="Normal 69 2 2" xfId="5670"/>
    <cellStyle name="Normal 69 3" xfId="5669"/>
    <cellStyle name="Normal 7" xfId="3"/>
    <cellStyle name="Normal 7 2" xfId="21"/>
    <cellStyle name="Normal 7 2 2" xfId="5671"/>
    <cellStyle name="Normal 7 2 3" xfId="7399"/>
    <cellStyle name="Normal 7 3" xfId="3117"/>
    <cellStyle name="Normal 7 4" xfId="5672"/>
    <cellStyle name="Normal 7 4 2" xfId="7400"/>
    <cellStyle name="Normal 7 5" xfId="5673"/>
    <cellStyle name="Normal 7 6" xfId="5674"/>
    <cellStyle name="Normal 7 7" xfId="2306"/>
    <cellStyle name="Normal 70" xfId="2307"/>
    <cellStyle name="Normal 70 2" xfId="2308"/>
    <cellStyle name="Normal 70 2 2" xfId="5676"/>
    <cellStyle name="Normal 70 3" xfId="5675"/>
    <cellStyle name="Normal 71" xfId="2309"/>
    <cellStyle name="Normal 71 2" xfId="2310"/>
    <cellStyle name="Normal 71 2 2" xfId="5678"/>
    <cellStyle name="Normal 71 3" xfId="5677"/>
    <cellStyle name="Normal 72" xfId="2311"/>
    <cellStyle name="Normal 72 2" xfId="2312"/>
    <cellStyle name="Normal 72 2 2" xfId="5680"/>
    <cellStyle name="Normal 72 3" xfId="5679"/>
    <cellStyle name="Normal 73" xfId="2313"/>
    <cellStyle name="Normal 73 2" xfId="2314"/>
    <cellStyle name="Normal 73 2 2" xfId="5682"/>
    <cellStyle name="Normal 73 3" xfId="5681"/>
    <cellStyle name="Normal 74" xfId="2315"/>
    <cellStyle name="Normal 74 2" xfId="2316"/>
    <cellStyle name="Normal 74 2 2" xfId="5684"/>
    <cellStyle name="Normal 74 3" xfId="5683"/>
    <cellStyle name="Normal 75" xfId="2317"/>
    <cellStyle name="Normal 75 2" xfId="2318"/>
    <cellStyle name="Normal 75 2 2" xfId="5686"/>
    <cellStyle name="Normal 75 3" xfId="5685"/>
    <cellStyle name="Normal 76" xfId="2319"/>
    <cellStyle name="Normal 76 2" xfId="2320"/>
    <cellStyle name="Normal 76 2 2" xfId="5688"/>
    <cellStyle name="Normal 76 3" xfId="5687"/>
    <cellStyle name="Normal 77" xfId="2321"/>
    <cellStyle name="Normal 77 2" xfId="2322"/>
    <cellStyle name="Normal 77 2 2" xfId="5690"/>
    <cellStyle name="Normal 77 3" xfId="5689"/>
    <cellStyle name="Normal 78" xfId="2323"/>
    <cellStyle name="Normal 78 2" xfId="2324"/>
    <cellStyle name="Normal 78 2 2" xfId="5692"/>
    <cellStyle name="Normal 78 3" xfId="5691"/>
    <cellStyle name="Normal 79" xfId="2325"/>
    <cellStyle name="Normal 79 2" xfId="2326"/>
    <cellStyle name="Normal 79 2 2" xfId="5694"/>
    <cellStyle name="Normal 79 3" xfId="5693"/>
    <cellStyle name="Normal 8" xfId="13"/>
    <cellStyle name="Normal 8 2" xfId="16"/>
    <cellStyle name="Normal 8 2 2" xfId="26"/>
    <cellStyle name="Normal 8 2 2 2" xfId="7401"/>
    <cellStyle name="Normal 8 2 3" xfId="35"/>
    <cellStyle name="Normal 8 2 4" xfId="44"/>
    <cellStyle name="Normal 8 2 5" xfId="3151"/>
    <cellStyle name="Normal 8 3" xfId="5695"/>
    <cellStyle name="Normal 8 4" xfId="2327"/>
    <cellStyle name="Normal 80" xfId="2328"/>
    <cellStyle name="Normal 80 2" xfId="2329"/>
    <cellStyle name="Normal 80 2 2" xfId="5697"/>
    <cellStyle name="Normal 80 3" xfId="5696"/>
    <cellStyle name="Normal 81" xfId="2330"/>
    <cellStyle name="Normal 81 2" xfId="2331"/>
    <cellStyle name="Normal 81 2 2" xfId="5699"/>
    <cellStyle name="Normal 81 3" xfId="5698"/>
    <cellStyle name="Normal 82" xfId="2332"/>
    <cellStyle name="Normal 82 2" xfId="2333"/>
    <cellStyle name="Normal 82 2 2" xfId="5701"/>
    <cellStyle name="Normal 82 3" xfId="5700"/>
    <cellStyle name="Normal 83" xfId="2334"/>
    <cellStyle name="Normal 83 2" xfId="2335"/>
    <cellStyle name="Normal 83 2 2" xfId="5703"/>
    <cellStyle name="Normal 83 3" xfId="5702"/>
    <cellStyle name="Normal 84" xfId="2336"/>
    <cellStyle name="Normal 84 2" xfId="2337"/>
    <cellStyle name="Normal 84 2 2" xfId="5705"/>
    <cellStyle name="Normal 84 3" xfId="5704"/>
    <cellStyle name="Normal 85" xfId="2338"/>
    <cellStyle name="Normal 85 2" xfId="2339"/>
    <cellStyle name="Normal 85 2 2" xfId="5707"/>
    <cellStyle name="Normal 85 3" xfId="5706"/>
    <cellStyle name="Normal 86" xfId="2340"/>
    <cellStyle name="Normal 86 2" xfId="2341"/>
    <cellStyle name="Normal 86 2 2" xfId="5709"/>
    <cellStyle name="Normal 86 3" xfId="5708"/>
    <cellStyle name="Normal 87" xfId="2342"/>
    <cellStyle name="Normal 87 2" xfId="2343"/>
    <cellStyle name="Normal 87 2 2" xfId="5711"/>
    <cellStyle name="Normal 87 3" xfId="5710"/>
    <cellStyle name="Normal 88" xfId="2344"/>
    <cellStyle name="Normal 88 2" xfId="2345"/>
    <cellStyle name="Normal 88 2 2" xfId="5713"/>
    <cellStyle name="Normal 88 3" xfId="5712"/>
    <cellStyle name="Normal 89" xfId="2346"/>
    <cellStyle name="Normal 89 2" xfId="2347"/>
    <cellStyle name="Normal 89 2 2" xfId="5715"/>
    <cellStyle name="Normal 89 3" xfId="5714"/>
    <cellStyle name="Normal 9" xfId="86"/>
    <cellStyle name="Normal 9 2" xfId="3406"/>
    <cellStyle name="Normal 9 2 2" xfId="7403"/>
    <cellStyle name="Normal 9 3" xfId="5716"/>
    <cellStyle name="Normal 9 4" xfId="7402"/>
    <cellStyle name="Normal 9 5" xfId="2348"/>
    <cellStyle name="Normal 9 6" xfId="7742"/>
    <cellStyle name="Normal 9_GTO Non Operational Capex Roll-over submission (FINAL with property)" xfId="7404"/>
    <cellStyle name="Normal 90" xfId="2349"/>
    <cellStyle name="Normal 90 2" xfId="5717"/>
    <cellStyle name="Normal 91" xfId="2350"/>
    <cellStyle name="Normal 91 2" xfId="5718"/>
    <cellStyle name="Normal 92" xfId="2351"/>
    <cellStyle name="Normal 92 2" xfId="2352"/>
    <cellStyle name="Normal 93" xfId="2353"/>
    <cellStyle name="Normal 93 2" xfId="2354"/>
    <cellStyle name="Normal 94" xfId="2355"/>
    <cellStyle name="Normal 94 2" xfId="2356"/>
    <cellStyle name="Normal 95" xfId="2357"/>
    <cellStyle name="Normal 96" xfId="2358"/>
    <cellStyle name="Normal 97" xfId="2359"/>
    <cellStyle name="Normal 97 2" xfId="5719"/>
    <cellStyle name="Normal 98" xfId="2360"/>
    <cellStyle name="Normal 98 2" xfId="5720"/>
    <cellStyle name="Normal 99" xfId="2361"/>
    <cellStyle name="Normal 99 2" xfId="5721"/>
    <cellStyle name="Normal dotted under" xfId="2362"/>
    <cellStyle name="Normal U" xfId="2363"/>
    <cellStyle name="Normal U 2" xfId="2364"/>
    <cellStyle name="Normal U 2 2" xfId="5723"/>
    <cellStyle name="Normal U 3" xfId="2365"/>
    <cellStyle name="Normal U 3 2" xfId="5724"/>
    <cellStyle name="Normal U 4" xfId="3407"/>
    <cellStyle name="Normal U 5" xfId="7405"/>
    <cellStyle name="NormalGB" xfId="2366"/>
    <cellStyle name="Note" xfId="9276" builtinId="10" customBuiltin="1"/>
    <cellStyle name="Note 10" xfId="7689"/>
    <cellStyle name="Note 2" xfId="2367"/>
    <cellStyle name="Note 2 2" xfId="2368"/>
    <cellStyle name="Note 2 2 2" xfId="2369"/>
    <cellStyle name="Note 2 2 2 2" xfId="5725"/>
    <cellStyle name="Note 2 2 3" xfId="2370"/>
    <cellStyle name="Note 2 2 3 2" xfId="5726"/>
    <cellStyle name="Note 2 2 4" xfId="3409"/>
    <cellStyle name="Note 2 2 5" xfId="5727"/>
    <cellStyle name="Note 2 2 6" xfId="7408"/>
    <cellStyle name="Note 2 3" xfId="2371"/>
    <cellStyle name="Note 2 3 2" xfId="2372"/>
    <cellStyle name="Note 2 3 2 2" xfId="5728"/>
    <cellStyle name="Note 2 3 3" xfId="2373"/>
    <cellStyle name="Note 2 4" xfId="2374"/>
    <cellStyle name="Note 2 4 2" xfId="2375"/>
    <cellStyle name="Note 2 4 2 2" xfId="5730"/>
    <cellStyle name="Note 2 4 3" xfId="5729"/>
    <cellStyle name="Note 2 5" xfId="2376"/>
    <cellStyle name="Note 2 5 2" xfId="5731"/>
    <cellStyle name="Note 2 6" xfId="2377"/>
    <cellStyle name="Note 2 7" xfId="3118"/>
    <cellStyle name="Note 2 8" xfId="3408"/>
    <cellStyle name="Note 3" xfId="2378"/>
    <cellStyle name="Note 3 2" xfId="2379"/>
    <cellStyle name="Note 3 2 2" xfId="5732"/>
    <cellStyle name="Note 3 2 3" xfId="7410"/>
    <cellStyle name="Note 3 3" xfId="2380"/>
    <cellStyle name="Note 3 3 2" xfId="5733"/>
    <cellStyle name="Note 3 3 3" xfId="7411"/>
    <cellStyle name="Note 3 4" xfId="2381"/>
    <cellStyle name="Note 3 4 2" xfId="6070"/>
    <cellStyle name="Note 3 4 3" xfId="5734"/>
    <cellStyle name="Note 3 4 4" xfId="7412"/>
    <cellStyle name="Note 3 5" xfId="7413"/>
    <cellStyle name="Note 3 6" xfId="7414"/>
    <cellStyle name="Note 3 7" xfId="7415"/>
    <cellStyle name="Note 3 8" xfId="7416"/>
    <cellStyle name="Note 3 9" xfId="7417"/>
    <cellStyle name="Note 4" xfId="2382"/>
    <cellStyle name="Note 4 2" xfId="2383"/>
    <cellStyle name="Note 4 2 2" xfId="5735"/>
    <cellStyle name="Note 4 3" xfId="3411"/>
    <cellStyle name="Note 5" xfId="2384"/>
    <cellStyle name="Note 5 2" xfId="2385"/>
    <cellStyle name="Note 5 2 2" xfId="5736"/>
    <cellStyle name="Note 5 3" xfId="3412"/>
    <cellStyle name="Note 6" xfId="2386"/>
    <cellStyle name="Note 6 2" xfId="2387"/>
    <cellStyle name="Note 6 2 2" xfId="5737"/>
    <cellStyle name="Note 6 3" xfId="3424"/>
    <cellStyle name="Note 6 3 2" xfId="6152"/>
    <cellStyle name="Note 6 3 3" xfId="5738"/>
    <cellStyle name="Note 7" xfId="5739"/>
    <cellStyle name="Note 7 2" xfId="7418"/>
    <cellStyle name="Note 7 3" xfId="7419"/>
    <cellStyle name="Note 8" xfId="7420"/>
    <cellStyle name="Note 9" xfId="7421"/>
    <cellStyle name="Number" xfId="2388"/>
    <cellStyle name="Number 2" xfId="2389"/>
    <cellStyle name="Number 2 2" xfId="2390"/>
    <cellStyle name="Number 2 2 2" xfId="5741"/>
    <cellStyle name="Number 2 3" xfId="5740"/>
    <cellStyle name="Number 3" xfId="3413"/>
    <cellStyle name="Output" xfId="55" builtinId="21" customBuiltin="1"/>
    <cellStyle name="Output 2" xfId="2391"/>
    <cellStyle name="Output 2 2" xfId="2392"/>
    <cellStyle name="Output 2 2 2" xfId="2393"/>
    <cellStyle name="Output 2 2 2 2" xfId="5742"/>
    <cellStyle name="Output 2 2 3" xfId="3415"/>
    <cellStyle name="Output 2 2 4" xfId="7422"/>
    <cellStyle name="Output 2 3" xfId="2394"/>
    <cellStyle name="Output 2 4" xfId="2395"/>
    <cellStyle name="Output 2 5" xfId="3414"/>
    <cellStyle name="Output 3" xfId="2396"/>
    <cellStyle name="Output 3 2" xfId="5743"/>
    <cellStyle name="Output 3 3" xfId="7423"/>
    <cellStyle name="Output 4" xfId="3200"/>
    <cellStyle name="Output Amounts" xfId="2397"/>
    <cellStyle name="Output Amounts 2" xfId="2398"/>
    <cellStyle name="Output Amounts 2 2" xfId="5744"/>
    <cellStyle name="Output Amounts 3" xfId="3416"/>
    <cellStyle name="Output Column Headings" xfId="2399"/>
    <cellStyle name="Output Line Items" xfId="2400"/>
    <cellStyle name="Output Report Heading" xfId="2401"/>
    <cellStyle name="Output Report Title" xfId="2402"/>
    <cellStyle name="Output1_Back" xfId="2403"/>
    <cellStyle name="Page Number" xfId="2404"/>
    <cellStyle name="PAGE6" xfId="2405"/>
    <cellStyle name="Percent" xfId="7940" builtinId="5"/>
    <cellStyle name="Percent [2]" xfId="2406"/>
    <cellStyle name="Percent [2] 2" xfId="2407"/>
    <cellStyle name="Percent [2] 2 2" xfId="2408"/>
    <cellStyle name="Percent [2] 2 2 2" xfId="5746"/>
    <cellStyle name="Percent [2] 2 3" xfId="5745"/>
    <cellStyle name="Percent [2] 3" xfId="3420"/>
    <cellStyle name="Percent 10" xfId="2409"/>
    <cellStyle name="Percent 10 2" xfId="2410"/>
    <cellStyle name="Percent 10 2 2" xfId="5748"/>
    <cellStyle name="Percent 10 3" xfId="5749"/>
    <cellStyle name="Percent 10 4" xfId="5747"/>
    <cellStyle name="Percent 11" xfId="2411"/>
    <cellStyle name="Percent 11 2" xfId="2412"/>
    <cellStyle name="Percent 11 2 2" xfId="5751"/>
    <cellStyle name="Percent 11 3" xfId="5750"/>
    <cellStyle name="Percent 12" xfId="2413"/>
    <cellStyle name="Percent 12 2" xfId="2414"/>
    <cellStyle name="Percent 12 2 2" xfId="5753"/>
    <cellStyle name="Percent 12 3" xfId="5752"/>
    <cellStyle name="Percent 13" xfId="2415"/>
    <cellStyle name="Percent 13 2" xfId="2416"/>
    <cellStyle name="Percent 13 2 2" xfId="5755"/>
    <cellStyle name="Percent 13 3" xfId="5754"/>
    <cellStyle name="Percent 14" xfId="2417"/>
    <cellStyle name="Percent 14 2" xfId="2418"/>
    <cellStyle name="Percent 14 2 2" xfId="5757"/>
    <cellStyle name="Percent 14 3" xfId="5756"/>
    <cellStyle name="Percent 15" xfId="2419"/>
    <cellStyle name="Percent 15 2" xfId="2420"/>
    <cellStyle name="Percent 15 2 2" xfId="5759"/>
    <cellStyle name="Percent 15 3" xfId="5758"/>
    <cellStyle name="Percent 15 4" xfId="7425"/>
    <cellStyle name="Percent 16" xfId="2421"/>
    <cellStyle name="Percent 16 2" xfId="2422"/>
    <cellStyle name="Percent 16 2 2" xfId="5761"/>
    <cellStyle name="Percent 16 3" xfId="5760"/>
    <cellStyle name="Percent 17" xfId="2423"/>
    <cellStyle name="Percent 17 2" xfId="5762"/>
    <cellStyle name="Percent 18" xfId="2424"/>
    <cellStyle name="Percent 18 2" xfId="2425"/>
    <cellStyle name="Percent 19" xfId="2426"/>
    <cellStyle name="Percent 19 2" xfId="2427"/>
    <cellStyle name="Percent 2" xfId="2428"/>
    <cellStyle name="Percent 2 2" xfId="2429"/>
    <cellStyle name="Percent 2 2 2" xfId="2430"/>
    <cellStyle name="Percent 2 2 3" xfId="2431"/>
    <cellStyle name="Percent 2 2 3 2" xfId="7426"/>
    <cellStyle name="Percent 2 2 4" xfId="3152"/>
    <cellStyle name="Percent 2 2 4 2" xfId="7427"/>
    <cellStyle name="Percent 2 2 5" xfId="5763"/>
    <cellStyle name="Percent 2 3" xfId="2432"/>
    <cellStyle name="Percent 2 3 2" xfId="2433"/>
    <cellStyle name="Percent 2 3 3" xfId="3422"/>
    <cellStyle name="Percent 2 3 3 2" xfId="6151"/>
    <cellStyle name="Percent 2 3 3 3" xfId="5765"/>
    <cellStyle name="Percent 2 3 3 4" xfId="7428"/>
    <cellStyle name="Percent 2 3 4" xfId="5766"/>
    <cellStyle name="Percent 2 3 5" xfId="5764"/>
    <cellStyle name="Percent 2 4" xfId="3119"/>
    <cellStyle name="Percent 2 4 2" xfId="6092"/>
    <cellStyle name="Percent 2 4 2 2" xfId="7429"/>
    <cellStyle name="Percent 2 4 3" xfId="5767"/>
    <cellStyle name="Percent 2 5" xfId="3421"/>
    <cellStyle name="Percent 2 5 2" xfId="7430"/>
    <cellStyle name="Percent 2 6" xfId="5768"/>
    <cellStyle name="Percent 2 6 2" xfId="7431"/>
    <cellStyle name="Percent 2 7" xfId="5769"/>
    <cellStyle name="Percent 2 8" xfId="5770"/>
    <cellStyle name="Percent 2 DP" xfId="2434"/>
    <cellStyle name="Percent 20" xfId="2435"/>
    <cellStyle name="Percent 20 2" xfId="2436"/>
    <cellStyle name="Percent 21" xfId="2437"/>
    <cellStyle name="Percent 22" xfId="2438"/>
    <cellStyle name="Percent 23" xfId="2439"/>
    <cellStyle name="Percent 23 2" xfId="2440"/>
    <cellStyle name="Percent 23 2 2" xfId="5772"/>
    <cellStyle name="Percent 23 3" xfId="5771"/>
    <cellStyle name="Percent 24" xfId="2441"/>
    <cellStyle name="Percent 24 2" xfId="2442"/>
    <cellStyle name="Percent 24 2 2" xfId="5774"/>
    <cellStyle name="Percent 24 3" xfId="5773"/>
    <cellStyle name="Percent 25" xfId="2443"/>
    <cellStyle name="Percent 25 2" xfId="2444"/>
    <cellStyle name="Percent 25 2 2" xfId="5776"/>
    <cellStyle name="Percent 25 3" xfId="5775"/>
    <cellStyle name="Percent 26" xfId="2445"/>
    <cellStyle name="Percent 26 2" xfId="2446"/>
    <cellStyle name="Percent 26 2 2" xfId="5778"/>
    <cellStyle name="Percent 26 3" xfId="5777"/>
    <cellStyle name="Percent 27" xfId="2447"/>
    <cellStyle name="Percent 27 2" xfId="5779"/>
    <cellStyle name="Percent 28" xfId="2448"/>
    <cellStyle name="Percent 28 2" xfId="5780"/>
    <cellStyle name="Percent 29" xfId="2449"/>
    <cellStyle name="Percent 29 2" xfId="6071"/>
    <cellStyle name="Percent 3" xfId="2450"/>
    <cellStyle name="Percent 3 2" xfId="2451"/>
    <cellStyle name="Percent 3 2 2" xfId="2452"/>
    <cellStyle name="Percent 3 2 2 2" xfId="5781"/>
    <cellStyle name="Percent 3 2 2 3" xfId="7432"/>
    <cellStyle name="Percent 3 2 3" xfId="3153"/>
    <cellStyle name="Percent 3 2 4" xfId="5782"/>
    <cellStyle name="Percent 3 3" xfId="3425"/>
    <cellStyle name="Percent 3 4" xfId="3426"/>
    <cellStyle name="Percent 30" xfId="2453"/>
    <cellStyle name="Percent 30 2" xfId="6072"/>
    <cellStyle name="Percent 31" xfId="2454"/>
    <cellStyle name="Percent 31 2" xfId="6073"/>
    <cellStyle name="Percent 32" xfId="2455"/>
    <cellStyle name="Percent 32 2" xfId="6074"/>
    <cellStyle name="Percent 33" xfId="2456"/>
    <cellStyle name="Percent 33 2" xfId="6075"/>
    <cellStyle name="Percent 34" xfId="2457"/>
    <cellStyle name="Percent 34 2" xfId="6076"/>
    <cellStyle name="Percent 35" xfId="2458"/>
    <cellStyle name="Percent 35 2" xfId="6077"/>
    <cellStyle name="Percent 36" xfId="2459"/>
    <cellStyle name="Percent 36 2" xfId="6078"/>
    <cellStyle name="Percent 37" xfId="2460"/>
    <cellStyle name="Percent 37 2" xfId="6079"/>
    <cellStyle name="Percent 38" xfId="2461"/>
    <cellStyle name="Percent 38 2" xfId="6080"/>
    <cellStyle name="Percent 39" xfId="2462"/>
    <cellStyle name="Percent 39 2" xfId="6081"/>
    <cellStyle name="Percent 4" xfId="2463"/>
    <cellStyle name="Percent 4 2" xfId="2464"/>
    <cellStyle name="Percent 4 2 2" xfId="5783"/>
    <cellStyle name="Percent 4 2 2 2" xfId="7434"/>
    <cellStyle name="Percent 4 2 3" xfId="7433"/>
    <cellStyle name="Percent 4 3" xfId="3154"/>
    <cellStyle name="Percent 4 3 2" xfId="7436"/>
    <cellStyle name="Percent 4 3 3" xfId="7435"/>
    <cellStyle name="Percent 4 4" xfId="3427"/>
    <cellStyle name="Percent 40" xfId="2465"/>
    <cellStyle name="Percent 40 2" xfId="6082"/>
    <cellStyle name="Percent 41" xfId="2466"/>
    <cellStyle name="Percent 41 2" xfId="6083"/>
    <cellStyle name="Percent 42" xfId="2467"/>
    <cellStyle name="Percent 42 2" xfId="6084"/>
    <cellStyle name="Percent 43" xfId="2468"/>
    <cellStyle name="Percent 43 2" xfId="6085"/>
    <cellStyle name="Percent 44" xfId="2469"/>
    <cellStyle name="Percent 44 2" xfId="6086"/>
    <cellStyle name="Percent 45" xfId="3202"/>
    <cellStyle name="Percent 46" xfId="3193"/>
    <cellStyle name="Percent 47" xfId="7690"/>
    <cellStyle name="Percent 48" xfId="7944"/>
    <cellStyle name="Percent 48 2" xfId="8847"/>
    <cellStyle name="Percent 49" xfId="7946"/>
    <cellStyle name="Percent 49 2" xfId="8849"/>
    <cellStyle name="Percent 5" xfId="2470"/>
    <cellStyle name="Percent 5 2" xfId="2471"/>
    <cellStyle name="Percent 5 2 2" xfId="5784"/>
    <cellStyle name="Percent 5 3" xfId="3428"/>
    <cellStyle name="Percent 5 4" xfId="7437"/>
    <cellStyle name="Percent 6" xfId="2472"/>
    <cellStyle name="Percent 6 2" xfId="2473"/>
    <cellStyle name="Percent 6 2 2" xfId="5785"/>
    <cellStyle name="Percent 6 2 2 2" xfId="7438"/>
    <cellStyle name="Percent 6 3" xfId="3429"/>
    <cellStyle name="Percent 6 3 2" xfId="7439"/>
    <cellStyle name="Percent 6 4" xfId="7440"/>
    <cellStyle name="Percent 7" xfId="2474"/>
    <cellStyle name="Percent 7 2" xfId="2475"/>
    <cellStyle name="Percent 7 2 2" xfId="5786"/>
    <cellStyle name="Percent 7 3" xfId="3430"/>
    <cellStyle name="Percent 7 4" xfId="5787"/>
    <cellStyle name="Percent 8" xfId="2476"/>
    <cellStyle name="Percent 8 2" xfId="2477"/>
    <cellStyle name="Percent 8 2 2" xfId="5788"/>
    <cellStyle name="Percent 8 2 3" xfId="7442"/>
    <cellStyle name="Percent 8 3" xfId="3431"/>
    <cellStyle name="Percent 8 4" xfId="5789"/>
    <cellStyle name="Percent 8 5" xfId="7441"/>
    <cellStyle name="Percent 9" xfId="2478"/>
    <cellStyle name="Percent 9 2" xfId="2479"/>
    <cellStyle name="Percent 9 2 2" xfId="5791"/>
    <cellStyle name="Percent 9 2 3" xfId="7443"/>
    <cellStyle name="Percent 9 3" xfId="3120"/>
    <cellStyle name="Percent 9 3 2" xfId="6093"/>
    <cellStyle name="Percent 9 3 3" xfId="5792"/>
    <cellStyle name="Percent 9 4" xfId="5793"/>
    <cellStyle name="Percent 9 5" xfId="5790"/>
    <cellStyle name="Percent Input" xfId="2480"/>
    <cellStyle name="Percent Input 2" xfId="2481"/>
    <cellStyle name="Percent Input 2 2" xfId="5794"/>
    <cellStyle name="Percent Input 3" xfId="3432"/>
    <cellStyle name="Percent(0)" xfId="2482"/>
    <cellStyle name="Percent(1)" xfId="2483"/>
    <cellStyle name="Percent(2)" xfId="2484"/>
    <cellStyle name="Percent*" xfId="2485"/>
    <cellStyle name="Percent* 2" xfId="2486"/>
    <cellStyle name="Percent* 2 2" xfId="2487"/>
    <cellStyle name="Percent* 2 2 2" xfId="5796"/>
    <cellStyle name="Percent* 2 3" xfId="5795"/>
    <cellStyle name="Percent* 3" xfId="3433"/>
    <cellStyle name="Percent[1]" xfId="2488"/>
    <cellStyle name="Percent[2]" xfId="2489"/>
    <cellStyle name="Percent[2D]" xfId="2490"/>
    <cellStyle name="Pre-inputted cells" xfId="7444"/>
    <cellStyle name="Pre-inputted cells 2" xfId="7445"/>
    <cellStyle name="Pre-inputted cells 2 2" xfId="7446"/>
    <cellStyle name="Pre-inputted cells 3" xfId="7447"/>
    <cellStyle name="Pre-inputted cells 3 2" xfId="7448"/>
    <cellStyle name="Pre-inputted cells 4" xfId="7449"/>
    <cellStyle name="Pre-inputted cells 4 2" xfId="7450"/>
    <cellStyle name="Pre-inputted cells 5" xfId="7451"/>
    <cellStyle name="Pre-inputted cells 5 2" xfId="7452"/>
    <cellStyle name="Pre-inputted cells 6" xfId="7453"/>
    <cellStyle name="Pre-inputted cells 7" xfId="7454"/>
    <cellStyle name="PROTECTED" xfId="2491"/>
    <cellStyle name="PROTECTED 2" xfId="2492"/>
    <cellStyle name="PROTECTED 2 2" xfId="2493"/>
    <cellStyle name="PROTECTED 2 2 2" xfId="5798"/>
    <cellStyle name="PROTECTED 2 3" xfId="5797"/>
    <cellStyle name="PROTECTED 3" xfId="3434"/>
    <cellStyle name="PSChar" xfId="2494"/>
    <cellStyle name="PSChar 2" xfId="2495"/>
    <cellStyle name="PSChar 2 2" xfId="2496"/>
    <cellStyle name="RangeName" xfId="7455"/>
    <cellStyle name="RevList" xfId="2497"/>
    <cellStyle name="RIGs" xfId="7456"/>
    <cellStyle name="RIGs 2" xfId="7457"/>
    <cellStyle name="RIGs input cells" xfId="7458"/>
    <cellStyle name="RIGs input cells 2" xfId="7459"/>
    <cellStyle name="RIGs input cells 2 2" xfId="7460"/>
    <cellStyle name="RIGs input cells 2 2 2" xfId="7461"/>
    <cellStyle name="RIGs input cells 2 3" xfId="7462"/>
    <cellStyle name="RIGs input cells 3" xfId="7463"/>
    <cellStyle name="RIGs input cells 3 2" xfId="7464"/>
    <cellStyle name="RIGs input cells 3 2 2" xfId="7465"/>
    <cellStyle name="RIGs input cells 3 3" xfId="7466"/>
    <cellStyle name="RIGs input cells 4" xfId="7467"/>
    <cellStyle name="RIGs input cells 4 2" xfId="7468"/>
    <cellStyle name="RIGs input cells 5" xfId="7469"/>
    <cellStyle name="RIGs input cells 5 2" xfId="7470"/>
    <cellStyle name="RIGs input cells 6" xfId="7471"/>
    <cellStyle name="RIGs input cells 6 2" xfId="7472"/>
    <cellStyle name="RIGs input cells 7" xfId="7473"/>
    <cellStyle name="RIGs input totals" xfId="7474"/>
    <cellStyle name="RIGs input totals 2" xfId="7475"/>
    <cellStyle name="RIGs input totals 2 2" xfId="7476"/>
    <cellStyle name="RIGs input totals 2 2 2" xfId="7477"/>
    <cellStyle name="RIGs input totals 2 3" xfId="7478"/>
    <cellStyle name="RIGs input totals 2 3 2" xfId="7479"/>
    <cellStyle name="RIGs input totals 2 4" xfId="7480"/>
    <cellStyle name="RIGs input totals 2 5" xfId="7481"/>
    <cellStyle name="RIGs input totals 3" xfId="7482"/>
    <cellStyle name="RIGs input totals 3 2" xfId="7483"/>
    <cellStyle name="RIGs input totals 4" xfId="7484"/>
    <cellStyle name="RIGs input totals 4 2" xfId="7485"/>
    <cellStyle name="RIGs input totals 5" xfId="7486"/>
    <cellStyle name="RIGs input totals 5 2" xfId="7487"/>
    <cellStyle name="RIGs input totals 6" xfId="7488"/>
    <cellStyle name="RIGs input totals 7" xfId="7489"/>
    <cellStyle name="RIGs linked cells" xfId="7490"/>
    <cellStyle name="RIGs linked cells 2" xfId="7491"/>
    <cellStyle name="RIGs linked cells 2 2" xfId="7492"/>
    <cellStyle name="RIGs linked cells 3" xfId="7493"/>
    <cellStyle name="RIGs linked cells 3 2" xfId="7494"/>
    <cellStyle name="RIGs linked cells 3 3" xfId="7495"/>
    <cellStyle name="RIGs linked cells 4" xfId="7496"/>
    <cellStyle name="RIGs linked cells 4 2" xfId="7497"/>
    <cellStyle name="RIGs linked cells 5" xfId="7498"/>
    <cellStyle name="RISKbigPercent" xfId="2498"/>
    <cellStyle name="RISKbigPercent 2" xfId="2499"/>
    <cellStyle name="RISKbigPercent 2 2" xfId="2500"/>
    <cellStyle name="RISKbigPercent 2 2 2" xfId="5801"/>
    <cellStyle name="RISKbigPercent 2 3" xfId="5800"/>
    <cellStyle name="RISKbigPercent 3" xfId="5799"/>
    <cellStyle name="RISKblandrEdge" xfId="2501"/>
    <cellStyle name="RISKblandrEdge 2" xfId="2502"/>
    <cellStyle name="RISKblandrEdge 2 2" xfId="2503"/>
    <cellStyle name="RISKblandrEdge 2 2 2" xfId="5804"/>
    <cellStyle name="RISKblandrEdge 2 3" xfId="5803"/>
    <cellStyle name="RISKblandrEdge 3" xfId="5802"/>
    <cellStyle name="RISKblCorner" xfId="2504"/>
    <cellStyle name="RISKblCorner 2" xfId="2505"/>
    <cellStyle name="RISKblCorner 2 2" xfId="2506"/>
    <cellStyle name="RISKblCorner 2 2 2" xfId="5807"/>
    <cellStyle name="RISKblCorner 2 3" xfId="5806"/>
    <cellStyle name="RISKblCorner 3" xfId="5805"/>
    <cellStyle name="RISKbottomEdge" xfId="2507"/>
    <cellStyle name="RISKbottomEdge 2" xfId="2508"/>
    <cellStyle name="RISKbottomEdge 2 2" xfId="2509"/>
    <cellStyle name="RISKbottomEdge 2 2 2" xfId="5810"/>
    <cellStyle name="RISKbottomEdge 2 3" xfId="5809"/>
    <cellStyle name="RISKbottomEdge 3" xfId="5808"/>
    <cellStyle name="RISKbrCorner" xfId="2510"/>
    <cellStyle name="RISKbrCorner 2" xfId="2511"/>
    <cellStyle name="RISKbrCorner 2 2" xfId="2512"/>
    <cellStyle name="RISKbrCorner 2 2 2" xfId="5813"/>
    <cellStyle name="RISKbrCorner 2 3" xfId="5812"/>
    <cellStyle name="RISKbrCorner 3" xfId="5811"/>
    <cellStyle name="RISKdarkBoxed" xfId="2513"/>
    <cellStyle name="RISKdarkBoxed 2" xfId="2514"/>
    <cellStyle name="RISKdarkBoxed 2 2" xfId="2515"/>
    <cellStyle name="RISKdarkBoxed 2 2 2" xfId="5816"/>
    <cellStyle name="RISKdarkBoxed 2 3" xfId="5815"/>
    <cellStyle name="RISKdarkBoxed 3" xfId="5814"/>
    <cellStyle name="RISKdarkShade" xfId="2516"/>
    <cellStyle name="RISKdarkShade 2" xfId="2517"/>
    <cellStyle name="RISKdarkShade 2 2" xfId="2518"/>
    <cellStyle name="RISKdarkShade 2 2 2" xfId="5819"/>
    <cellStyle name="RISKdarkShade 2 3" xfId="5818"/>
    <cellStyle name="RISKdarkShade 3" xfId="5817"/>
    <cellStyle name="RISKdbottomEdge" xfId="2519"/>
    <cellStyle name="RISKdbottomEdge 2" xfId="2520"/>
    <cellStyle name="RISKdbottomEdge 2 2" xfId="2521"/>
    <cellStyle name="RISKdbottomEdge 2 2 2" xfId="5822"/>
    <cellStyle name="RISKdbottomEdge 2 3" xfId="5821"/>
    <cellStyle name="RISKdbottomEdge 3" xfId="5820"/>
    <cellStyle name="RISKdrightEdge" xfId="2522"/>
    <cellStyle name="RISKdrightEdge 2" xfId="2523"/>
    <cellStyle name="RISKdrightEdge 2 2" xfId="2524"/>
    <cellStyle name="RISKdrightEdge 2 2 2" xfId="5825"/>
    <cellStyle name="RISKdrightEdge 2 3" xfId="5824"/>
    <cellStyle name="RISKdrightEdge 3" xfId="5823"/>
    <cellStyle name="RISKdurationTime" xfId="2525"/>
    <cellStyle name="RISKdurationTime 2" xfId="2526"/>
    <cellStyle name="RISKdurationTime 2 2" xfId="2527"/>
    <cellStyle name="RISKdurationTime 2 2 2" xfId="5828"/>
    <cellStyle name="RISKdurationTime 2 3" xfId="5827"/>
    <cellStyle name="RISKdurationTime 3" xfId="5826"/>
    <cellStyle name="RISKinNumber" xfId="2528"/>
    <cellStyle name="RISKinNumber 2" xfId="2529"/>
    <cellStyle name="RISKinNumber 2 2" xfId="2530"/>
    <cellStyle name="RISKinNumber 2 2 2" xfId="5831"/>
    <cellStyle name="RISKinNumber 2 3" xfId="5830"/>
    <cellStyle name="RISKinNumber 3" xfId="5829"/>
    <cellStyle name="RISKlandrEdge" xfId="2531"/>
    <cellStyle name="RISKlandrEdge 2" xfId="2532"/>
    <cellStyle name="RISKlandrEdge 2 2" xfId="2533"/>
    <cellStyle name="RISKlandrEdge 2 2 2" xfId="5834"/>
    <cellStyle name="RISKlandrEdge 2 3" xfId="5833"/>
    <cellStyle name="RISKlandrEdge 3" xfId="5832"/>
    <cellStyle name="RISKleftEdge" xfId="2534"/>
    <cellStyle name="RISKleftEdge 2" xfId="2535"/>
    <cellStyle name="RISKleftEdge 2 2" xfId="2536"/>
    <cellStyle name="RISKleftEdge 2 2 2" xfId="5837"/>
    <cellStyle name="RISKleftEdge 2 3" xfId="5836"/>
    <cellStyle name="RISKleftEdge 3" xfId="5835"/>
    <cellStyle name="RISKlightBoxed" xfId="2537"/>
    <cellStyle name="RISKlightBoxed 2" xfId="2538"/>
    <cellStyle name="RISKlightBoxed 2 2" xfId="2539"/>
    <cellStyle name="RISKlightBoxed 2 2 2" xfId="5840"/>
    <cellStyle name="RISKlightBoxed 2 3" xfId="5839"/>
    <cellStyle name="RISKlightBoxed 3" xfId="5838"/>
    <cellStyle name="RISKltandbEdge" xfId="2540"/>
    <cellStyle name="RISKltandbEdge 2" xfId="2541"/>
    <cellStyle name="RISKltandbEdge 2 2" xfId="2542"/>
    <cellStyle name="RISKltandbEdge 2 2 2" xfId="5843"/>
    <cellStyle name="RISKltandbEdge 2 3" xfId="5842"/>
    <cellStyle name="RISKltandbEdge 3" xfId="5841"/>
    <cellStyle name="RISKnormBoxed" xfId="2543"/>
    <cellStyle name="RISKnormBoxed 2" xfId="2544"/>
    <cellStyle name="RISKnormBoxed 2 2" xfId="2545"/>
    <cellStyle name="RISKnormBoxed 2 2 2" xfId="5846"/>
    <cellStyle name="RISKnormBoxed 2 3" xfId="5845"/>
    <cellStyle name="RISKnormBoxed 3" xfId="5844"/>
    <cellStyle name="RISKnormCenter" xfId="2546"/>
    <cellStyle name="RISKnormCenter 2" xfId="2547"/>
    <cellStyle name="RISKnormCenter 2 2" xfId="2548"/>
    <cellStyle name="RISKnormCenter 2 2 2" xfId="5849"/>
    <cellStyle name="RISKnormCenter 2 3" xfId="5848"/>
    <cellStyle name="RISKnormCenter 3" xfId="5847"/>
    <cellStyle name="RISKnormHeading" xfId="2549"/>
    <cellStyle name="RISKnormHeading 2" xfId="2550"/>
    <cellStyle name="RISKnormItal" xfId="2551"/>
    <cellStyle name="RISKnormItal 2" xfId="2552"/>
    <cellStyle name="RISKnormItal 2 2" xfId="2553"/>
    <cellStyle name="RISKnormLabel" xfId="2554"/>
    <cellStyle name="RISKnormLabel 2" xfId="2555"/>
    <cellStyle name="RISKnormShade" xfId="2556"/>
    <cellStyle name="RISKnormShade 2" xfId="2557"/>
    <cellStyle name="RISKnormShade 2 2" xfId="2558"/>
    <cellStyle name="RISKnormShade 2 2 2" xfId="5852"/>
    <cellStyle name="RISKnormShade 2 3" xfId="5851"/>
    <cellStyle name="RISKnormShade 3" xfId="5850"/>
    <cellStyle name="RISKnormTitle" xfId="2559"/>
    <cellStyle name="RISKnormTitle 2" xfId="2560"/>
    <cellStyle name="RISKnormTitle 2 2" xfId="2561"/>
    <cellStyle name="RISKoutNumber" xfId="2562"/>
    <cellStyle name="RISKoutNumber 2" xfId="2563"/>
    <cellStyle name="RISKoutNumber 2 2" xfId="2564"/>
    <cellStyle name="RISKoutNumber 2 2 2" xfId="5855"/>
    <cellStyle name="RISKoutNumber 2 3" xfId="5854"/>
    <cellStyle name="RISKoutNumber 3" xfId="5853"/>
    <cellStyle name="RISKrightEdge" xfId="2565"/>
    <cellStyle name="RISKrightEdge 2" xfId="2566"/>
    <cellStyle name="RISKrightEdge 2 2" xfId="2567"/>
    <cellStyle name="RISKrightEdge 2 2 2" xfId="5858"/>
    <cellStyle name="RISKrightEdge 2 3" xfId="5857"/>
    <cellStyle name="RISKrightEdge 3" xfId="5856"/>
    <cellStyle name="RISKrtandbEdge" xfId="2568"/>
    <cellStyle name="RISKrtandbEdge 2" xfId="2569"/>
    <cellStyle name="RISKrtandbEdge 2 2" xfId="2570"/>
    <cellStyle name="RISKrtandbEdge 2 2 2" xfId="5861"/>
    <cellStyle name="RISKrtandbEdge 2 3" xfId="5860"/>
    <cellStyle name="RISKrtandbEdge 3" xfId="5859"/>
    <cellStyle name="RISKssTime" xfId="2571"/>
    <cellStyle name="RISKssTime 2" xfId="2572"/>
    <cellStyle name="RISKssTime 2 2" xfId="2573"/>
    <cellStyle name="RISKssTime 2 2 2" xfId="5864"/>
    <cellStyle name="RISKssTime 2 3" xfId="5863"/>
    <cellStyle name="RISKssTime 3" xfId="5862"/>
    <cellStyle name="RISKtandbEdge" xfId="2574"/>
    <cellStyle name="RISKtandbEdge 2" xfId="2575"/>
    <cellStyle name="RISKtandbEdge 2 2" xfId="2576"/>
    <cellStyle name="RISKtandbEdge 2 2 2" xfId="5867"/>
    <cellStyle name="RISKtandbEdge 2 3" xfId="5866"/>
    <cellStyle name="RISKtandbEdge 3" xfId="5865"/>
    <cellStyle name="RISKtlandrEdge" xfId="2577"/>
    <cellStyle name="RISKtlandrEdge 2" xfId="2578"/>
    <cellStyle name="RISKtlandrEdge 2 2" xfId="2579"/>
    <cellStyle name="RISKtlandrEdge 2 2 2" xfId="5870"/>
    <cellStyle name="RISKtlandrEdge 2 3" xfId="5869"/>
    <cellStyle name="RISKtlandrEdge 3" xfId="5868"/>
    <cellStyle name="RISKtlCorner" xfId="2580"/>
    <cellStyle name="RISKtlCorner 2" xfId="2581"/>
    <cellStyle name="RISKtlCorner 2 2" xfId="2582"/>
    <cellStyle name="RISKtlCorner 2 2 2" xfId="5873"/>
    <cellStyle name="RISKtlCorner 2 3" xfId="5872"/>
    <cellStyle name="RISKtlCorner 3" xfId="5871"/>
    <cellStyle name="RISKtopEdge" xfId="2583"/>
    <cellStyle name="RISKtopEdge 2" xfId="2584"/>
    <cellStyle name="RISKtopEdge 2 2" xfId="2585"/>
    <cellStyle name="RISKtopEdge 2 2 2" xfId="5876"/>
    <cellStyle name="RISKtopEdge 2 3" xfId="5875"/>
    <cellStyle name="RISKtopEdge 3" xfId="5874"/>
    <cellStyle name="RISKtrCorner" xfId="2586"/>
    <cellStyle name="RISKtrCorner 2" xfId="2587"/>
    <cellStyle name="RISKtrCorner 2 2" xfId="2588"/>
    <cellStyle name="RISKtrCorner 2 2 2" xfId="5879"/>
    <cellStyle name="RISKtrCorner 2 3" xfId="5878"/>
    <cellStyle name="RISKtrCorner 3" xfId="5877"/>
    <cellStyle name="s" xfId="2589"/>
    <cellStyle name="s 2" xfId="2590"/>
    <cellStyle name="s 2 2" xfId="2591"/>
    <cellStyle name="s_B" xfId="2592"/>
    <cellStyle name="s_B 2" xfId="2593"/>
    <cellStyle name="s_B 2 2" xfId="2594"/>
    <cellStyle name="s_B_GTO MAR_1112_310312" xfId="2595"/>
    <cellStyle name="s_B_GTO MAR_1112_310312 2" xfId="2596"/>
    <cellStyle name="s_Bal Sheets" xfId="2597"/>
    <cellStyle name="s_Bal Sheets 2" xfId="2598"/>
    <cellStyle name="s_Bal Sheets 2 2" xfId="2599"/>
    <cellStyle name="s_Bal Sheets_1" xfId="2600"/>
    <cellStyle name="s_Bal Sheets_1 2" xfId="2601"/>
    <cellStyle name="s_Bal Sheets_1 2 2" xfId="2602"/>
    <cellStyle name="s_Bal Sheets_1_GTO MAR_1112_310312" xfId="2603"/>
    <cellStyle name="s_Bal Sheets_1_GTO MAR_1112_310312 2" xfId="2604"/>
    <cellStyle name="s_Bal Sheets_2" xfId="2605"/>
    <cellStyle name="s_Bal Sheets_2 2" xfId="2606"/>
    <cellStyle name="s_Bal Sheets_2 2 2" xfId="2607"/>
    <cellStyle name="s_Bal Sheets_2_GTO MAR_1112_310312" xfId="2608"/>
    <cellStyle name="s_Bal Sheets_2_GTO MAR_1112_310312 2" xfId="2609"/>
    <cellStyle name="s_Bal Sheets_GTO MAR_1112_310312" xfId="2610"/>
    <cellStyle name="s_Bal Sheets_GTO MAR_1112_310312 2" xfId="2611"/>
    <cellStyle name="s_Credit (2)" xfId="2612"/>
    <cellStyle name="s_Credit (2) 2" xfId="2613"/>
    <cellStyle name="s_Credit (2) 2 2" xfId="2614"/>
    <cellStyle name="s_Credit (2)_1" xfId="2615"/>
    <cellStyle name="s_Credit (2)_1 2" xfId="2616"/>
    <cellStyle name="s_Credit (2)_1 2 2" xfId="2617"/>
    <cellStyle name="s_Credit (2)_1_GTO MAR_1112_310312" xfId="2618"/>
    <cellStyle name="s_Credit (2)_1_GTO MAR_1112_310312 2" xfId="2619"/>
    <cellStyle name="s_Credit (2)_2" xfId="2620"/>
    <cellStyle name="s_Credit (2)_2 2" xfId="2621"/>
    <cellStyle name="s_Credit (2)_2 2 2" xfId="2622"/>
    <cellStyle name="s_Credit (2)_2_GTO MAR_1112_310312" xfId="2623"/>
    <cellStyle name="s_Credit (2)_2_GTO MAR_1112_310312 2" xfId="2624"/>
    <cellStyle name="s_Credit (2)_GTO MAR_1112_310312" xfId="2625"/>
    <cellStyle name="s_Credit (2)_GTO MAR_1112_310312 2" xfId="2626"/>
    <cellStyle name="s_DCF Analysis for DPL" xfId="2627"/>
    <cellStyle name="s_DCF Analysis for DPL 2" xfId="2628"/>
    <cellStyle name="s_DCF Analysis for DPL 2 2" xfId="2629"/>
    <cellStyle name="s_DCF Analysis for DPL_GTO MAR_1112_310312" xfId="2630"/>
    <cellStyle name="s_DCF Analysis for DPL_GTO MAR_1112_310312 2" xfId="2631"/>
    <cellStyle name="s_DCF Matrix" xfId="2632"/>
    <cellStyle name="s_DCF Matrix 2" xfId="2633"/>
    <cellStyle name="s_DCF Matrix 2 2" xfId="2634"/>
    <cellStyle name="s_DCF Matrix_1" xfId="2635"/>
    <cellStyle name="s_DCF Matrix_1 2" xfId="2636"/>
    <cellStyle name="s_DCF Matrix_1 2 2" xfId="2637"/>
    <cellStyle name="s_DCF Matrix_1_GTO MAR_1112_310312" xfId="2638"/>
    <cellStyle name="s_DCF Matrix_1_GTO MAR_1112_310312 2" xfId="2639"/>
    <cellStyle name="s_DCF Matrix_GTO MAR_1112_310312" xfId="2640"/>
    <cellStyle name="s_DCF Matrix_GTO MAR_1112_310312 2" xfId="2641"/>
    <cellStyle name="s_DCFLBO Code" xfId="2642"/>
    <cellStyle name="s_DCFLBO Code 2" xfId="2643"/>
    <cellStyle name="s_DCFLBO Code 2 2" xfId="2644"/>
    <cellStyle name="s_DCFLBO Code_1" xfId="2645"/>
    <cellStyle name="s_DCFLBO Code_1 2" xfId="2646"/>
    <cellStyle name="s_DCFLBO Code_1 2 2" xfId="2647"/>
    <cellStyle name="s_DCFLBO Code_1_GTO MAR_1112_310312" xfId="2648"/>
    <cellStyle name="s_DCFLBO Code_1_GTO MAR_1112_310312 2" xfId="2649"/>
    <cellStyle name="s_DCFLBO Code_GTO MAR_1112_310312" xfId="2650"/>
    <cellStyle name="s_DCFLBO Code_GTO MAR_1112_310312 2" xfId="2651"/>
    <cellStyle name="s_DPL Valuation1022" xfId="2652"/>
    <cellStyle name="s_DPL Valuation1022 2" xfId="2653"/>
    <cellStyle name="s_DPL Valuation1022 2 2" xfId="2654"/>
    <cellStyle name="s_DPL Valuation1022_GTO MAR_1112_310312" xfId="2655"/>
    <cellStyle name="s_DPL Valuation1022_GTO MAR_1112_310312 2" xfId="2656"/>
    <cellStyle name="s_Earnings" xfId="2657"/>
    <cellStyle name="s_Earnings (2)" xfId="2658"/>
    <cellStyle name="s_Earnings (2) 2" xfId="2659"/>
    <cellStyle name="s_Earnings (2) 2 2" xfId="2660"/>
    <cellStyle name="s_Earnings (2)_1" xfId="2661"/>
    <cellStyle name="s_Earnings (2)_1 2" xfId="2662"/>
    <cellStyle name="s_Earnings (2)_1 2 2" xfId="2663"/>
    <cellStyle name="s_Earnings (2)_1_GTO MAR_1112_310312" xfId="2664"/>
    <cellStyle name="s_Earnings (2)_1_GTO MAR_1112_310312 2" xfId="2665"/>
    <cellStyle name="s_Earnings (2)_GTO MAR_1112_310312" xfId="2666"/>
    <cellStyle name="s_Earnings (2)_GTO MAR_1112_310312 2" xfId="2667"/>
    <cellStyle name="s_Earnings 10" xfId="2668"/>
    <cellStyle name="s_Earnings 10 2" xfId="2669"/>
    <cellStyle name="s_Earnings 11" xfId="2670"/>
    <cellStyle name="s_Earnings 11 2" xfId="2671"/>
    <cellStyle name="s_Earnings 12" xfId="2672"/>
    <cellStyle name="s_Earnings 12 2" xfId="2673"/>
    <cellStyle name="s_Earnings 13" xfId="2674"/>
    <cellStyle name="s_Earnings 13 2" xfId="2675"/>
    <cellStyle name="s_Earnings 14" xfId="2676"/>
    <cellStyle name="s_Earnings 14 2" xfId="2677"/>
    <cellStyle name="s_Earnings 15" xfId="2678"/>
    <cellStyle name="s_Earnings 15 2" xfId="2679"/>
    <cellStyle name="s_Earnings 2" xfId="2680"/>
    <cellStyle name="s_Earnings 2 2" xfId="2681"/>
    <cellStyle name="s_Earnings 3" xfId="2682"/>
    <cellStyle name="s_Earnings 3 2" xfId="2683"/>
    <cellStyle name="s_Earnings 4" xfId="2684"/>
    <cellStyle name="s_Earnings 4 2" xfId="2685"/>
    <cellStyle name="s_Earnings 5" xfId="2686"/>
    <cellStyle name="s_Earnings 5 2" xfId="2687"/>
    <cellStyle name="s_Earnings 6" xfId="2688"/>
    <cellStyle name="s_Earnings 6 2" xfId="2689"/>
    <cellStyle name="s_Earnings 7" xfId="2690"/>
    <cellStyle name="s_Earnings 7 2" xfId="2691"/>
    <cellStyle name="s_Earnings 8" xfId="2692"/>
    <cellStyle name="s_Earnings 8 2" xfId="2693"/>
    <cellStyle name="s_Earnings 9" xfId="2694"/>
    <cellStyle name="s_Earnings 9 2" xfId="2695"/>
    <cellStyle name="s_Earnings_1" xfId="2696"/>
    <cellStyle name="s_Earnings_1 2" xfId="2697"/>
    <cellStyle name="s_Earnings_1 2 2" xfId="2698"/>
    <cellStyle name="s_Earnings_1_GTO MAR_1112_310312" xfId="2699"/>
    <cellStyle name="s_Earnings_1_GTO MAR_1112_310312 2" xfId="2700"/>
    <cellStyle name="s_Earnings_GTO MAR_1112_310312" xfId="2701"/>
    <cellStyle name="s_Earnings_GTO MAR_1112_310312 2" xfId="2702"/>
    <cellStyle name="s_finsumm" xfId="2703"/>
    <cellStyle name="s_finsumm 2" xfId="2704"/>
    <cellStyle name="s_finsumm 2 2" xfId="2705"/>
    <cellStyle name="s_finsumm_1" xfId="2706"/>
    <cellStyle name="s_finsumm_1 2" xfId="2707"/>
    <cellStyle name="s_finsumm_1 2 2" xfId="2708"/>
    <cellStyle name="s_finsumm_1_GTO MAR_1112_310312" xfId="2709"/>
    <cellStyle name="s_finsumm_1_GTO MAR_1112_310312 2" xfId="2710"/>
    <cellStyle name="s_finsumm_2" xfId="2711"/>
    <cellStyle name="s_finsumm_2 2" xfId="2712"/>
    <cellStyle name="s_finsumm_2 2 2" xfId="2713"/>
    <cellStyle name="s_finsumm_2_GTO MAR_1112_310312" xfId="2714"/>
    <cellStyle name="s_finsumm_2_GTO MAR_1112_310312 2" xfId="2715"/>
    <cellStyle name="s_finsumm_GTO MAR_1112_310312" xfId="2716"/>
    <cellStyle name="s_finsumm_GTO MAR_1112_310312 2" xfId="2717"/>
    <cellStyle name="s_GoroWipTax-to2050_fromCo_Oct21_99" xfId="2718"/>
    <cellStyle name="s_GoroWipTax-to2050_fromCo_Oct21_99 2" xfId="2719"/>
    <cellStyle name="s_GoroWipTax-to2050_fromCo_Oct21_99 2 2" xfId="2720"/>
    <cellStyle name="s_GoroWipTax-to2050_fromCo_Oct21_99_GTO MAR_1112_310312" xfId="2721"/>
    <cellStyle name="s_GoroWipTax-to2050_fromCo_Oct21_99_GTO MAR_1112_310312 2" xfId="2722"/>
    <cellStyle name="s_GTO MAR_1112_310312" xfId="2723"/>
    <cellStyle name="s_GTO MAR_1112_310312 2" xfId="2724"/>
    <cellStyle name="s_HardInc " xfId="2725"/>
    <cellStyle name="s_HardInc  2" xfId="2726"/>
    <cellStyle name="s_HardInc  2 2" xfId="2727"/>
    <cellStyle name="s_HardInc _GTO MAR_1112_310312" xfId="2728"/>
    <cellStyle name="s_HardInc _GTO MAR_1112_310312 2" xfId="2729"/>
    <cellStyle name="s_Hist Inputs (2)" xfId="2730"/>
    <cellStyle name="s_Hist Inputs (2) 2" xfId="2731"/>
    <cellStyle name="s_Hist Inputs (2) 2 2" xfId="2732"/>
    <cellStyle name="s_Hist Inputs (2)_1" xfId="2733"/>
    <cellStyle name="s_Hist Inputs (2)_1 2" xfId="2734"/>
    <cellStyle name="s_Hist Inputs (2)_1 2 2" xfId="2735"/>
    <cellStyle name="s_Hist Inputs (2)_1_GTO MAR_1112_310312" xfId="2736"/>
    <cellStyle name="s_Hist Inputs (2)_1_GTO MAR_1112_310312 2" xfId="2737"/>
    <cellStyle name="s_Hist Inputs (2)_GTO MAR_1112_310312" xfId="2738"/>
    <cellStyle name="s_Hist Inputs (2)_GTO MAR_1112_310312 2" xfId="2739"/>
    <cellStyle name="s_IEL_finsumm" xfId="2740"/>
    <cellStyle name="s_IEL_finsumm 2" xfId="2741"/>
    <cellStyle name="s_IEL_finsumm 2 2" xfId="2742"/>
    <cellStyle name="s_IEL_finsumm_1" xfId="2743"/>
    <cellStyle name="s_IEL_finsumm_1 2" xfId="2744"/>
    <cellStyle name="s_IEL_finsumm_1 2 2" xfId="2745"/>
    <cellStyle name="s_IEL_finsumm_1_GTO MAR_1112_310312" xfId="2746"/>
    <cellStyle name="s_IEL_finsumm_1_GTO MAR_1112_310312 2" xfId="2747"/>
    <cellStyle name="s_IEL_finsumm_2" xfId="2748"/>
    <cellStyle name="s_IEL_finsumm_2 2" xfId="2749"/>
    <cellStyle name="s_IEL_finsumm_2 2 2" xfId="2750"/>
    <cellStyle name="s_IEL_finsumm_2_GTO MAR_1112_310312" xfId="2751"/>
    <cellStyle name="s_IEL_finsumm_2_GTO MAR_1112_310312 2" xfId="2752"/>
    <cellStyle name="s_IEL_finsumm_GTO MAR_1112_310312" xfId="2753"/>
    <cellStyle name="s_IEL_finsumm_GTO MAR_1112_310312 2" xfId="2754"/>
    <cellStyle name="s_IEL_finsumm1" xfId="2755"/>
    <cellStyle name="s_IEL_finsumm1 2" xfId="2756"/>
    <cellStyle name="s_IEL_finsumm1 2 2" xfId="2757"/>
    <cellStyle name="s_IEL_finsumm1_1" xfId="2758"/>
    <cellStyle name="s_IEL_finsumm1_1 2" xfId="2759"/>
    <cellStyle name="s_IEL_finsumm1_1 2 2" xfId="2760"/>
    <cellStyle name="s_IEL_finsumm1_1_GTO MAR_1112_310312" xfId="2761"/>
    <cellStyle name="s_IEL_finsumm1_1_GTO MAR_1112_310312 2" xfId="2762"/>
    <cellStyle name="s_IEL_finsumm1_2" xfId="2763"/>
    <cellStyle name="s_IEL_finsumm1_2 2" xfId="2764"/>
    <cellStyle name="s_IEL_finsumm1_2 2 2" xfId="2765"/>
    <cellStyle name="s_IEL_finsumm1_2_GTO MAR_1112_310312" xfId="2766"/>
    <cellStyle name="s_IEL_finsumm1_2_GTO MAR_1112_310312 2" xfId="2767"/>
    <cellStyle name="s_IEL_finsumm1_GTO MAR_1112_310312" xfId="2768"/>
    <cellStyle name="s_IEL_finsumm1_GTO MAR_1112_310312 2" xfId="2769"/>
    <cellStyle name="s_Lbo" xfId="2770"/>
    <cellStyle name="s_Lbo 2" xfId="2771"/>
    <cellStyle name="s_Lbo 2 2" xfId="2772"/>
    <cellStyle name="s_LBO Summary" xfId="2773"/>
    <cellStyle name="s_LBO Summary 2" xfId="2774"/>
    <cellStyle name="s_LBO Summary 2 2" xfId="2775"/>
    <cellStyle name="s_LBO Summary_1" xfId="2776"/>
    <cellStyle name="s_LBO Summary_1 2" xfId="2777"/>
    <cellStyle name="s_LBO Summary_1 2 2" xfId="2778"/>
    <cellStyle name="s_LBO Summary_1_GTO MAR_1112_310312" xfId="2779"/>
    <cellStyle name="s_LBO Summary_1_GTO MAR_1112_310312 2" xfId="2780"/>
    <cellStyle name="s_LBO Summary_2" xfId="2781"/>
    <cellStyle name="s_LBO Summary_2 2" xfId="2782"/>
    <cellStyle name="s_LBO Summary_2 2 2" xfId="2783"/>
    <cellStyle name="s_LBO Summary_2_GTO MAR_1112_310312" xfId="2784"/>
    <cellStyle name="s_LBO Summary_2_GTO MAR_1112_310312 2" xfId="2785"/>
    <cellStyle name="s_LBO Summary_GTO MAR_1112_310312" xfId="2786"/>
    <cellStyle name="s_LBO Summary_GTO MAR_1112_310312 2" xfId="2787"/>
    <cellStyle name="s_Lbo_1" xfId="2788"/>
    <cellStyle name="s_Lbo_1 2" xfId="2789"/>
    <cellStyle name="s_Lbo_1 2 2" xfId="2790"/>
    <cellStyle name="s_Lbo_1_GTO MAR_1112_310312" xfId="2791"/>
    <cellStyle name="s_Lbo_1_GTO MAR_1112_310312 2" xfId="2792"/>
    <cellStyle name="s_Lbo_GTO MAR_1112_310312" xfId="2793"/>
    <cellStyle name="s_Lbo_GTO MAR_1112_310312 2" xfId="2794"/>
    <cellStyle name="s_rvr_analysis_andrew" xfId="2795"/>
    <cellStyle name="s_rvr_analysis_andrew 2" xfId="2796"/>
    <cellStyle name="s_rvr_analysis_andrew 2 2" xfId="2797"/>
    <cellStyle name="s_rvr_analysis_andrew_GTO MAR_1112_310312" xfId="2798"/>
    <cellStyle name="s_rvr_analysis_andrew_GTO MAR_1112_310312 2" xfId="2799"/>
    <cellStyle name="s_Schedules" xfId="2800"/>
    <cellStyle name="s_Schedules 2" xfId="2801"/>
    <cellStyle name="s_Schedules 2 2" xfId="2802"/>
    <cellStyle name="s_Schedules_1" xfId="2803"/>
    <cellStyle name="s_Schedules_1 2" xfId="2804"/>
    <cellStyle name="s_Schedules_1 2 2" xfId="2805"/>
    <cellStyle name="s_Schedules_1_GTO MAR_1112_310312" xfId="2806"/>
    <cellStyle name="s_Schedules_1_GTO MAR_1112_310312 2" xfId="2807"/>
    <cellStyle name="s_Schedules_GTO MAR_1112_310312" xfId="2808"/>
    <cellStyle name="s_Schedules_GTO MAR_1112_310312 2" xfId="2809"/>
    <cellStyle name="s_Trans Assump" xfId="2810"/>
    <cellStyle name="s_Trans Assump (2)" xfId="2811"/>
    <cellStyle name="s_Trans Assump (2) 2" xfId="2812"/>
    <cellStyle name="s_Trans Assump (2) 2 2" xfId="2813"/>
    <cellStyle name="s_Trans Assump (2)_1" xfId="2814"/>
    <cellStyle name="s_Trans Assump (2)_1 2" xfId="2815"/>
    <cellStyle name="s_Trans Assump (2)_1 2 2" xfId="2816"/>
    <cellStyle name="s_Trans Assump (2)_1_GTO MAR_1112_310312" xfId="2817"/>
    <cellStyle name="s_Trans Assump (2)_1_GTO MAR_1112_310312 2" xfId="2818"/>
    <cellStyle name="s_Trans Assump (2)_GTO MAR_1112_310312" xfId="2819"/>
    <cellStyle name="s_Trans Assump (2)_GTO MAR_1112_310312 2" xfId="2820"/>
    <cellStyle name="s_Trans Assump 10" xfId="2821"/>
    <cellStyle name="s_Trans Assump 10 2" xfId="2822"/>
    <cellStyle name="s_Trans Assump 11" xfId="2823"/>
    <cellStyle name="s_Trans Assump 11 2" xfId="2824"/>
    <cellStyle name="s_Trans Assump 12" xfId="2825"/>
    <cellStyle name="s_Trans Assump 12 2" xfId="2826"/>
    <cellStyle name="s_Trans Assump 13" xfId="2827"/>
    <cellStyle name="s_Trans Assump 13 2" xfId="2828"/>
    <cellStyle name="s_Trans Assump 14" xfId="2829"/>
    <cellStyle name="s_Trans Assump 14 2" xfId="2830"/>
    <cellStyle name="s_Trans Assump 15" xfId="2831"/>
    <cellStyle name="s_Trans Assump 15 2" xfId="2832"/>
    <cellStyle name="s_Trans Assump 2" xfId="2833"/>
    <cellStyle name="s_Trans Assump 2 2" xfId="2834"/>
    <cellStyle name="s_Trans Assump 3" xfId="2835"/>
    <cellStyle name="s_Trans Assump 3 2" xfId="2836"/>
    <cellStyle name="s_Trans Assump 4" xfId="2837"/>
    <cellStyle name="s_Trans Assump 4 2" xfId="2838"/>
    <cellStyle name="s_Trans Assump 5" xfId="2839"/>
    <cellStyle name="s_Trans Assump 5 2" xfId="2840"/>
    <cellStyle name="s_Trans Assump 6" xfId="2841"/>
    <cellStyle name="s_Trans Assump 6 2" xfId="2842"/>
    <cellStyle name="s_Trans Assump 7" xfId="2843"/>
    <cellStyle name="s_Trans Assump 7 2" xfId="2844"/>
    <cellStyle name="s_Trans Assump 8" xfId="2845"/>
    <cellStyle name="s_Trans Assump 8 2" xfId="2846"/>
    <cellStyle name="s_Trans Assump 9" xfId="2847"/>
    <cellStyle name="s_Trans Assump 9 2" xfId="2848"/>
    <cellStyle name="s_Trans Assump_1" xfId="2849"/>
    <cellStyle name="s_Trans Assump_1 2" xfId="2850"/>
    <cellStyle name="s_Trans Assump_1 2 2" xfId="2851"/>
    <cellStyle name="s_Trans Assump_1_GTO MAR_1112_310312" xfId="2852"/>
    <cellStyle name="s_Trans Assump_1_GTO MAR_1112_310312 2" xfId="2853"/>
    <cellStyle name="s_Trans Assump_GTO MAR_1112_310312" xfId="2854"/>
    <cellStyle name="s_Trans Assump_GTO MAR_1112_310312 2" xfId="2855"/>
    <cellStyle name="s_Trans Sum" xfId="2856"/>
    <cellStyle name="s_Trans Sum 2" xfId="2857"/>
    <cellStyle name="s_Trans Sum 2 2" xfId="2858"/>
    <cellStyle name="s_Trans Sum_1" xfId="2859"/>
    <cellStyle name="s_Trans Sum_1 2" xfId="2860"/>
    <cellStyle name="s_Trans Sum_1 2 2" xfId="2861"/>
    <cellStyle name="s_Trans Sum_1_GTO MAR_1112_310312" xfId="2862"/>
    <cellStyle name="s_Trans Sum_1_GTO MAR_1112_310312 2" xfId="2863"/>
    <cellStyle name="s_Trans Sum_GTO MAR_1112_310312" xfId="2864"/>
    <cellStyle name="s_Trans Sum_GTO MAR_1112_310312 2" xfId="2865"/>
    <cellStyle name="s_Unit Price Sen. (2)" xfId="2866"/>
    <cellStyle name="s_Unit Price Sen. (2) 2" xfId="2867"/>
    <cellStyle name="s_Unit Price Sen. (2) 2 2" xfId="2868"/>
    <cellStyle name="s_Unit Price Sen. (2)_1" xfId="2869"/>
    <cellStyle name="s_Unit Price Sen. (2)_1 2" xfId="2870"/>
    <cellStyle name="s_Unit Price Sen. (2)_1 2 2" xfId="2871"/>
    <cellStyle name="s_Unit Price Sen. (2)_1_GTO MAR_1112_310312" xfId="2872"/>
    <cellStyle name="s_Unit Price Sen. (2)_1_GTO MAR_1112_310312 2" xfId="2873"/>
    <cellStyle name="s_Unit Price Sen. (2)_2" xfId="2874"/>
    <cellStyle name="s_Unit Price Sen. (2)_2 2" xfId="2875"/>
    <cellStyle name="s_Unit Price Sen. (2)_2 2 2" xfId="2876"/>
    <cellStyle name="s_Unit Price Sen. (2)_2_GTO MAR_1112_310312" xfId="2877"/>
    <cellStyle name="s_Unit Price Sen. (2)_2_GTO MAR_1112_310312 2" xfId="2878"/>
    <cellStyle name="s_Unit Price Sen. (2)_GTO MAR_1112_310312" xfId="2879"/>
    <cellStyle name="s_Unit Price Sen. (2)_GTO MAR_1112_310312 2" xfId="2880"/>
    <cellStyle name="Salomon Logo" xfId="2881"/>
    <cellStyle name="SAPBEXaggData" xfId="2882"/>
    <cellStyle name="SAPBEXaggData 2" xfId="2883"/>
    <cellStyle name="SAPBEXaggData 2 2" xfId="2884"/>
    <cellStyle name="SAPBEXaggData 2 3" xfId="3449"/>
    <cellStyle name="SAPBEXaggData 2 4" xfId="5886"/>
    <cellStyle name="SAPBEXaggData 2 5" xfId="7499"/>
    <cellStyle name="SAPBEXaggData 3" xfId="3155"/>
    <cellStyle name="SAPBEXaggDataEmph" xfId="2885"/>
    <cellStyle name="SAPBEXaggDataEmph 2" xfId="2886"/>
    <cellStyle name="SAPBEXaggDataEmph 2 2" xfId="2887"/>
    <cellStyle name="SAPBEXaggDataEmph 2 3" xfId="3450"/>
    <cellStyle name="SAPBEXaggDataEmph 2 4" xfId="5887"/>
    <cellStyle name="SAPBEXaggDataEmph 2 5" xfId="7500"/>
    <cellStyle name="SAPBEXaggDataEmph 3" xfId="3156"/>
    <cellStyle name="SAPBEXaggItem" xfId="2888"/>
    <cellStyle name="SAPBEXaggItem 2" xfId="2889"/>
    <cellStyle name="SAPBEXaggItem 2 2" xfId="2890"/>
    <cellStyle name="SAPBEXaggItem 2 3" xfId="3452"/>
    <cellStyle name="SAPBEXaggItem 2 4" xfId="5888"/>
    <cellStyle name="SAPBEXaggItem 2 5" xfId="7501"/>
    <cellStyle name="SAPBEXaggItem 3" xfId="3157"/>
    <cellStyle name="SAPBEXaggItemX" xfId="2891"/>
    <cellStyle name="SAPBEXaggItemX 2" xfId="2892"/>
    <cellStyle name="SAPBEXaggItemX 2 2" xfId="2893"/>
    <cellStyle name="SAPBEXaggItemX 2 2 2" xfId="5890"/>
    <cellStyle name="SAPBEXaggItemX 2 3" xfId="5889"/>
    <cellStyle name="SAPBEXaggItemX 2 4" xfId="7502"/>
    <cellStyle name="SAPBEXaggItemX 3" xfId="2894"/>
    <cellStyle name="SAPBEXaggItemX 3 2" xfId="5891"/>
    <cellStyle name="SAPBEXaggItemX 4" xfId="2895"/>
    <cellStyle name="SAPBEXaggItemX 5" xfId="5892"/>
    <cellStyle name="SAPBEXchaText" xfId="2896"/>
    <cellStyle name="SAPBEXchaText 2" xfId="2897"/>
    <cellStyle name="SAPBEXchaText 2 2" xfId="2898"/>
    <cellStyle name="SAPBEXchaText 2 3" xfId="3454"/>
    <cellStyle name="SAPBEXchaText 2 4" xfId="5893"/>
    <cellStyle name="SAPBEXchaText 2 5" xfId="7503"/>
    <cellStyle name="SAPBEXchaText 3" xfId="3158"/>
    <cellStyle name="SAPBEXexcBad7" xfId="2899"/>
    <cellStyle name="SAPBEXexcBad7 2" xfId="2900"/>
    <cellStyle name="SAPBEXexcBad7 2 2" xfId="2901"/>
    <cellStyle name="SAPBEXexcBad7 2 3" xfId="3455"/>
    <cellStyle name="SAPBEXexcBad7 2 4" xfId="5894"/>
    <cellStyle name="SAPBEXexcBad7 2 5" xfId="7504"/>
    <cellStyle name="SAPBEXexcBad7 3" xfId="3159"/>
    <cellStyle name="SAPBEXexcBad7 3 2" xfId="6096"/>
    <cellStyle name="SAPBEXexcBad8" xfId="2902"/>
    <cellStyle name="SAPBEXexcBad8 2" xfId="2903"/>
    <cellStyle name="SAPBEXexcBad8 2 2" xfId="2904"/>
    <cellStyle name="SAPBEXexcBad8 2 3" xfId="3456"/>
    <cellStyle name="SAPBEXexcBad8 2 4" xfId="5895"/>
    <cellStyle name="SAPBEXexcBad8 2 5" xfId="7505"/>
    <cellStyle name="SAPBEXexcBad8 3" xfId="3160"/>
    <cellStyle name="SAPBEXexcBad8 3 2" xfId="6097"/>
    <cellStyle name="SAPBEXexcBad9" xfId="2905"/>
    <cellStyle name="SAPBEXexcBad9 2" xfId="2906"/>
    <cellStyle name="SAPBEXexcBad9 2 2" xfId="2907"/>
    <cellStyle name="SAPBEXexcBad9 2 3" xfId="3458"/>
    <cellStyle name="SAPBEXexcBad9 2 4" xfId="5896"/>
    <cellStyle name="SAPBEXexcBad9 2 5" xfId="7506"/>
    <cellStyle name="SAPBEXexcBad9 3" xfId="3161"/>
    <cellStyle name="SAPBEXexcBad9 3 2" xfId="6098"/>
    <cellStyle name="SAPBEXexcCritical4" xfId="2908"/>
    <cellStyle name="SAPBEXexcCritical4 2" xfId="2909"/>
    <cellStyle name="SAPBEXexcCritical4 2 2" xfId="2910"/>
    <cellStyle name="SAPBEXexcCritical4 2 3" xfId="3459"/>
    <cellStyle name="SAPBEXexcCritical4 2 4" xfId="5897"/>
    <cellStyle name="SAPBEXexcCritical4 2 5" xfId="7507"/>
    <cellStyle name="SAPBEXexcCritical4 3" xfId="3162"/>
    <cellStyle name="SAPBEXexcCritical4 3 2" xfId="6099"/>
    <cellStyle name="SAPBEXexcCritical5" xfId="2911"/>
    <cellStyle name="SAPBEXexcCritical5 2" xfId="2912"/>
    <cellStyle name="SAPBEXexcCritical5 2 2" xfId="2913"/>
    <cellStyle name="SAPBEXexcCritical5 2 3" xfId="3460"/>
    <cellStyle name="SAPBEXexcCritical5 2 4" xfId="5898"/>
    <cellStyle name="SAPBEXexcCritical5 2 5" xfId="7508"/>
    <cellStyle name="SAPBEXexcCritical5 3" xfId="3163"/>
    <cellStyle name="SAPBEXexcCritical5 3 2" xfId="6100"/>
    <cellStyle name="SAPBEXexcCritical6" xfId="2914"/>
    <cellStyle name="SAPBEXexcCritical6 2" xfId="2915"/>
    <cellStyle name="SAPBEXexcCritical6 2 2" xfId="2916"/>
    <cellStyle name="SAPBEXexcCritical6 2 3" xfId="3461"/>
    <cellStyle name="SAPBEXexcCritical6 2 4" xfId="5899"/>
    <cellStyle name="SAPBEXexcCritical6 2 5" xfId="7509"/>
    <cellStyle name="SAPBEXexcCritical6 3" xfId="3164"/>
    <cellStyle name="SAPBEXexcCritical6 3 2" xfId="6101"/>
    <cellStyle name="SAPBEXexcGood1" xfId="2917"/>
    <cellStyle name="SAPBEXexcGood1 2" xfId="2918"/>
    <cellStyle name="SAPBEXexcGood1 2 2" xfId="2919"/>
    <cellStyle name="SAPBEXexcGood1 2 3" xfId="3463"/>
    <cellStyle name="SAPBEXexcGood1 2 4" xfId="5900"/>
    <cellStyle name="SAPBEXexcGood1 2 5" xfId="7510"/>
    <cellStyle name="SAPBEXexcGood1 3" xfId="3165"/>
    <cellStyle name="SAPBEXexcGood1 3 2" xfId="6102"/>
    <cellStyle name="SAPBEXexcGood2" xfId="2920"/>
    <cellStyle name="SAPBEXexcGood2 2" xfId="2921"/>
    <cellStyle name="SAPBEXexcGood2 2 2" xfId="2922"/>
    <cellStyle name="SAPBEXexcGood2 2 3" xfId="3464"/>
    <cellStyle name="SAPBEXexcGood2 2 4" xfId="5901"/>
    <cellStyle name="SAPBEXexcGood2 2 5" xfId="7511"/>
    <cellStyle name="SAPBEXexcGood2 3" xfId="3166"/>
    <cellStyle name="SAPBEXexcGood2 3 2" xfId="6103"/>
    <cellStyle name="SAPBEXexcGood3" xfId="2923"/>
    <cellStyle name="SAPBEXexcGood3 2" xfId="2924"/>
    <cellStyle name="SAPBEXexcGood3 2 2" xfId="2925"/>
    <cellStyle name="SAPBEXexcGood3 2 3" xfId="3465"/>
    <cellStyle name="SAPBEXexcGood3 2 4" xfId="5902"/>
    <cellStyle name="SAPBEXexcGood3 2 5" xfId="7512"/>
    <cellStyle name="SAPBEXexcGood3 3" xfId="3167"/>
    <cellStyle name="SAPBEXexcGood3 3 2" xfId="6104"/>
    <cellStyle name="SAPBEXfilterDrill" xfId="2926"/>
    <cellStyle name="SAPBEXfilterDrill 2" xfId="2927"/>
    <cellStyle name="SAPBEXfilterDrill 2 2" xfId="2928"/>
    <cellStyle name="SAPBEXfilterDrill 2 3" xfId="3466"/>
    <cellStyle name="SAPBEXfilterDrill 2 4" xfId="5903"/>
    <cellStyle name="SAPBEXfilterDrill 2 5" xfId="7513"/>
    <cellStyle name="SAPBEXfilterDrill 3" xfId="3168"/>
    <cellStyle name="SAPBEXfilterItem" xfId="2929"/>
    <cellStyle name="SAPBEXfilterItem 2" xfId="2930"/>
    <cellStyle name="SAPBEXfilterItem 2 2" xfId="2931"/>
    <cellStyle name="SAPBEXfilterItem 2 3" xfId="3468"/>
    <cellStyle name="SAPBEXfilterItem 2 4" xfId="5904"/>
    <cellStyle name="SAPBEXfilterItem 2 5" xfId="7514"/>
    <cellStyle name="SAPBEXfilterItem 3" xfId="3169"/>
    <cellStyle name="SAPBEXfilterItem 3 2" xfId="6105"/>
    <cellStyle name="SAPBEXfilterText" xfId="2932"/>
    <cellStyle name="SAPBEXfilterText 2" xfId="2933"/>
    <cellStyle name="SAPBEXfilterText 2 2" xfId="2934"/>
    <cellStyle name="SAPBEXfilterText 2 3" xfId="3469"/>
    <cellStyle name="SAPBEXfilterText 2 4" xfId="5905"/>
    <cellStyle name="SAPBEXfilterText 2 5" xfId="7515"/>
    <cellStyle name="SAPBEXfilterText 3" xfId="3170"/>
    <cellStyle name="SAPBEXformats" xfId="2935"/>
    <cellStyle name="SAPBEXformats 2" xfId="2936"/>
    <cellStyle name="SAPBEXformats 2 2" xfId="2937"/>
    <cellStyle name="SAPBEXformats 2 3" xfId="3470"/>
    <cellStyle name="SAPBEXformats 2 4" xfId="5906"/>
    <cellStyle name="SAPBEXformats 2 5" xfId="7516"/>
    <cellStyle name="SAPBEXformats 3" xfId="3171"/>
    <cellStyle name="SAPBEXformats 3 2" xfId="6106"/>
    <cellStyle name="SAPBEXheaderItem" xfId="2938"/>
    <cellStyle name="SAPBEXheaderItem 2" xfId="2939"/>
    <cellStyle name="SAPBEXheaderItem 2 2" xfId="2940"/>
    <cellStyle name="SAPBEXheaderItem 2 2 2" xfId="5907"/>
    <cellStyle name="SAPBEXheaderItem 2 3" xfId="3472"/>
    <cellStyle name="SAPBEXheaderItem 2 4" xfId="5908"/>
    <cellStyle name="SAPBEXheaderItem 3" xfId="3172"/>
    <cellStyle name="SAPBEXheaderItem 3 2" xfId="6107"/>
    <cellStyle name="SAPBEXheaderItem 3 3" xfId="7517"/>
    <cellStyle name="SAPBEXheaderItem 4" xfId="3471"/>
    <cellStyle name="SAPBEXheaderItem_0910 GSO Capex RRP - Final (Detail) v2 220710" xfId="7518"/>
    <cellStyle name="SAPBEXheaderText" xfId="2941"/>
    <cellStyle name="SAPBEXheaderText 2" xfId="2942"/>
    <cellStyle name="SAPBEXheaderText 2 2" xfId="2943"/>
    <cellStyle name="SAPBEXheaderText 2 2 2" xfId="5909"/>
    <cellStyle name="SAPBEXheaderText 2 3" xfId="3474"/>
    <cellStyle name="SAPBEXheaderText 2 4" xfId="5910"/>
    <cellStyle name="SAPBEXheaderText 3" xfId="3173"/>
    <cellStyle name="SAPBEXheaderText 3 2" xfId="6108"/>
    <cellStyle name="SAPBEXheaderText 3 3" xfId="7519"/>
    <cellStyle name="SAPBEXheaderText 4" xfId="3473"/>
    <cellStyle name="SAPBEXheaderText_0910 GSO Capex RRP - Final (Detail) v2 220710" xfId="7520"/>
    <cellStyle name="SAPBEXHLevel0" xfId="2944"/>
    <cellStyle name="SAPBEXHLevel0 2" xfId="2945"/>
    <cellStyle name="SAPBEXHLevel0 2 2" xfId="2946"/>
    <cellStyle name="SAPBEXHLevel0 2 2 2" xfId="5912"/>
    <cellStyle name="SAPBEXHLevel0 2 3" xfId="5911"/>
    <cellStyle name="SAPBEXHLevel0 2 4" xfId="7521"/>
    <cellStyle name="SAPBEXHLevel0 3" xfId="2947"/>
    <cellStyle name="SAPBEXHLevel0 3 2" xfId="5913"/>
    <cellStyle name="SAPBEXHLevel0 3 3" xfId="7522"/>
    <cellStyle name="SAPBEXHLevel0 4" xfId="2948"/>
    <cellStyle name="SAPBEXHLevel0 4 2" xfId="5914"/>
    <cellStyle name="SAPBEXHLevel0 5" xfId="3475"/>
    <cellStyle name="SAPBEXHLevel0 5 2" xfId="6154"/>
    <cellStyle name="SAPBEXHLevel0 5 3" xfId="5915"/>
    <cellStyle name="SAPBEXHLevel0_0910 GSO Capex RRP - Final (Detail) v2 220710" xfId="7523"/>
    <cellStyle name="SAPBEXHLevel0X" xfId="2949"/>
    <cellStyle name="SAPBEXHLevel0X 2" xfId="2950"/>
    <cellStyle name="SAPBEXHLevel0X 2 2" xfId="2951"/>
    <cellStyle name="SAPBEXHLevel0X 2 2 2" xfId="5917"/>
    <cellStyle name="SAPBEXHLevel0X 2 3" xfId="5916"/>
    <cellStyle name="SAPBEXHLevel0X 2 4" xfId="7524"/>
    <cellStyle name="SAPBEXHLevel0X 3" xfId="2952"/>
    <cellStyle name="SAPBEXHLevel0X 3 2" xfId="5918"/>
    <cellStyle name="SAPBEXHLevel0X 3 2 2" xfId="7526"/>
    <cellStyle name="SAPBEXHLevel0X 3 3" xfId="7527"/>
    <cellStyle name="SAPBEXHLevel0X 3 4" xfId="7528"/>
    <cellStyle name="SAPBEXHLevel0X 3 5" xfId="7529"/>
    <cellStyle name="SAPBEXHLevel0X 3 6" xfId="7530"/>
    <cellStyle name="SAPBEXHLevel0X 3 7" xfId="7531"/>
    <cellStyle name="SAPBEXHLevel0X 3 8" xfId="7532"/>
    <cellStyle name="SAPBEXHLevel0X 3 9" xfId="7525"/>
    <cellStyle name="SAPBEXHLevel0X 4" xfId="2953"/>
    <cellStyle name="SAPBEXHLevel0X 4 2" xfId="5919"/>
    <cellStyle name="SAPBEXHLevel0X 4 3" xfId="7533"/>
    <cellStyle name="SAPBEXHLevel0X 5" xfId="3476"/>
    <cellStyle name="SAPBEXHLevel0X 5 2" xfId="6155"/>
    <cellStyle name="SAPBEXHLevel0X 5 3" xfId="5920"/>
    <cellStyle name="SAPBEXHLevel0X_0910 GSO Capex RRP - Final (Detail) v2 220710" xfId="7534"/>
    <cellStyle name="SAPBEXHLevel1" xfId="2954"/>
    <cellStyle name="SAPBEXHLevel1 2" xfId="2955"/>
    <cellStyle name="SAPBEXHLevel1 2 2" xfId="2956"/>
    <cellStyle name="SAPBEXHLevel1 2 2 2" xfId="5922"/>
    <cellStyle name="SAPBEXHLevel1 2 3" xfId="5921"/>
    <cellStyle name="SAPBEXHLevel1 2 4" xfId="7535"/>
    <cellStyle name="SAPBEXHLevel1 3" xfId="2957"/>
    <cellStyle name="SAPBEXHLevel1 3 2" xfId="5923"/>
    <cellStyle name="SAPBEXHLevel1 3 3" xfId="7536"/>
    <cellStyle name="SAPBEXHLevel1 4" xfId="2958"/>
    <cellStyle name="SAPBEXHLevel1 4 2" xfId="5924"/>
    <cellStyle name="SAPBEXHLevel1 5" xfId="3477"/>
    <cellStyle name="SAPBEXHLevel1 5 2" xfId="6156"/>
    <cellStyle name="SAPBEXHLevel1 5 3" xfId="5925"/>
    <cellStyle name="SAPBEXHLevel1_0910 GSO Capex RRP - Final (Detail) v2 220710" xfId="7537"/>
    <cellStyle name="SAPBEXHLevel1X" xfId="2959"/>
    <cellStyle name="SAPBEXHLevel1X 2" xfId="2960"/>
    <cellStyle name="SAPBEXHLevel1X 2 2" xfId="2961"/>
    <cellStyle name="SAPBEXHLevel1X 2 2 2" xfId="5927"/>
    <cellStyle name="SAPBEXHLevel1X 2 3" xfId="5926"/>
    <cellStyle name="SAPBEXHLevel1X 2 4" xfId="7538"/>
    <cellStyle name="SAPBEXHLevel1X 3" xfId="2962"/>
    <cellStyle name="SAPBEXHLevel1X 3 2" xfId="5928"/>
    <cellStyle name="SAPBEXHLevel1X 3 2 2" xfId="7540"/>
    <cellStyle name="SAPBEXHLevel1X 3 3" xfId="7541"/>
    <cellStyle name="SAPBEXHLevel1X 3 4" xfId="7542"/>
    <cellStyle name="SAPBEXHLevel1X 3 5" xfId="7543"/>
    <cellStyle name="SAPBEXHLevel1X 3 6" xfId="7544"/>
    <cellStyle name="SAPBEXHLevel1X 3 7" xfId="7545"/>
    <cellStyle name="SAPBEXHLevel1X 3 8" xfId="7546"/>
    <cellStyle name="SAPBEXHLevel1X 3 9" xfId="7539"/>
    <cellStyle name="SAPBEXHLevel1X 4" xfId="2963"/>
    <cellStyle name="SAPBEXHLevel1X 4 2" xfId="5929"/>
    <cellStyle name="SAPBEXHLevel1X 4 3" xfId="7547"/>
    <cellStyle name="SAPBEXHLevel1X 5" xfId="3478"/>
    <cellStyle name="SAPBEXHLevel1X 5 2" xfId="6157"/>
    <cellStyle name="SAPBEXHLevel1X 5 3" xfId="5930"/>
    <cellStyle name="SAPBEXHLevel1X_0910 GSO Capex RRP - Final (Detail) v2 220710" xfId="7548"/>
    <cellStyle name="SAPBEXHLevel2" xfId="2964"/>
    <cellStyle name="SAPBEXHLevel2 2" xfId="2965"/>
    <cellStyle name="SAPBEXHLevel2 2 2" xfId="2966"/>
    <cellStyle name="SAPBEXHLevel2 2 2 2" xfId="5932"/>
    <cellStyle name="SAPBEXHLevel2 2 3" xfId="5931"/>
    <cellStyle name="SAPBEXHLevel2 2 4" xfId="7549"/>
    <cellStyle name="SAPBEXHLevel2 3" xfId="2967"/>
    <cellStyle name="SAPBEXHLevel2 3 2" xfId="5933"/>
    <cellStyle name="SAPBEXHLevel2 3 3" xfId="7550"/>
    <cellStyle name="SAPBEXHLevel2 4" xfId="2968"/>
    <cellStyle name="SAPBEXHLevel2 4 2" xfId="5934"/>
    <cellStyle name="SAPBEXHLevel2 5" xfId="3479"/>
    <cellStyle name="SAPBEXHLevel2 5 2" xfId="6158"/>
    <cellStyle name="SAPBEXHLevel2 5 3" xfId="5935"/>
    <cellStyle name="SAPBEXHLevel2_0910 GSO Capex RRP - Final (Detail) v2 220710" xfId="7551"/>
    <cellStyle name="SAPBEXHLevel2X" xfId="2969"/>
    <cellStyle name="SAPBEXHLevel2X 2" xfId="2970"/>
    <cellStyle name="SAPBEXHLevel2X 2 2" xfId="2971"/>
    <cellStyle name="SAPBEXHLevel2X 2 2 2" xfId="5937"/>
    <cellStyle name="SAPBEXHLevel2X 2 3" xfId="5936"/>
    <cellStyle name="SAPBEXHLevel2X 2 4" xfId="7553"/>
    <cellStyle name="SAPBEXHLevel2X 3" xfId="2972"/>
    <cellStyle name="SAPBEXHLevel2X 3 2" xfId="5938"/>
    <cellStyle name="SAPBEXHLevel2X 3 2 2" xfId="7555"/>
    <cellStyle name="SAPBEXHLevel2X 3 3" xfId="7556"/>
    <cellStyle name="SAPBEXHLevel2X 3 4" xfId="7557"/>
    <cellStyle name="SAPBEXHLevel2X 3 5" xfId="7558"/>
    <cellStyle name="SAPBEXHLevel2X 3 6" xfId="7559"/>
    <cellStyle name="SAPBEXHLevel2X 3 7" xfId="7560"/>
    <cellStyle name="SAPBEXHLevel2X 3 8" xfId="7561"/>
    <cellStyle name="SAPBEXHLevel2X 3 9" xfId="7554"/>
    <cellStyle name="SAPBEXHLevel2X 4" xfId="2973"/>
    <cellStyle name="SAPBEXHLevel2X 4 2" xfId="5939"/>
    <cellStyle name="SAPBEXHLevel2X 4 3" xfId="7562"/>
    <cellStyle name="SAPBEXHLevel2X 5" xfId="3480"/>
    <cellStyle name="SAPBEXHLevel2X 5 2" xfId="6159"/>
    <cellStyle name="SAPBEXHLevel2X 5 3" xfId="5940"/>
    <cellStyle name="SAPBEXHLevel2X_0910 GSO Capex RRP - Final (Detail) v2 220710" xfId="7563"/>
    <cellStyle name="SAPBEXHLevel3" xfId="2974"/>
    <cellStyle name="SAPBEXHLevel3 2" xfId="2975"/>
    <cellStyle name="SAPBEXHLevel3 2 2" xfId="2976"/>
    <cellStyle name="SAPBEXHLevel3 2 2 2" xfId="5942"/>
    <cellStyle name="SAPBEXHLevel3 2 3" xfId="5941"/>
    <cellStyle name="SAPBEXHLevel3 2 4" xfId="7564"/>
    <cellStyle name="SAPBEXHLevel3 3" xfId="2977"/>
    <cellStyle name="SAPBEXHLevel3 3 2" xfId="5943"/>
    <cellStyle name="SAPBEXHLevel3 3 3" xfId="7565"/>
    <cellStyle name="SAPBEXHLevel3 4" xfId="2978"/>
    <cellStyle name="SAPBEXHLevel3 4 2" xfId="5944"/>
    <cellStyle name="SAPBEXHLevel3 5" xfId="3481"/>
    <cellStyle name="SAPBEXHLevel3 5 2" xfId="6160"/>
    <cellStyle name="SAPBEXHLevel3 5 3" xfId="5945"/>
    <cellStyle name="SAPBEXHLevel3_0910 GSO Capex RRP - Final (Detail) v2 220710" xfId="7566"/>
    <cellStyle name="SAPBEXHLevel3X" xfId="2979"/>
    <cellStyle name="SAPBEXHLevel3X 2" xfId="2980"/>
    <cellStyle name="SAPBEXHLevel3X 2 2" xfId="2981"/>
    <cellStyle name="SAPBEXHLevel3X 2 2 2" xfId="5947"/>
    <cellStyle name="SAPBEXHLevel3X 2 3" xfId="5946"/>
    <cellStyle name="SAPBEXHLevel3X 2 4" xfId="7567"/>
    <cellStyle name="SAPBEXHLevel3X 3" xfId="2982"/>
    <cellStyle name="SAPBEXHLevel3X 3 2" xfId="5948"/>
    <cellStyle name="SAPBEXHLevel3X 3 2 2" xfId="7569"/>
    <cellStyle name="SAPBEXHLevel3X 3 3" xfId="7570"/>
    <cellStyle name="SAPBEXHLevel3X 3 4" xfId="7571"/>
    <cellStyle name="SAPBEXHLevel3X 3 5" xfId="7572"/>
    <cellStyle name="SAPBEXHLevel3X 3 6" xfId="7573"/>
    <cellStyle name="SAPBEXHLevel3X 3 7" xfId="7574"/>
    <cellStyle name="SAPBEXHLevel3X 3 8" xfId="7575"/>
    <cellStyle name="SAPBEXHLevel3X 3 9" xfId="7568"/>
    <cellStyle name="SAPBEXHLevel3X 4" xfId="2983"/>
    <cellStyle name="SAPBEXHLevel3X 4 2" xfId="5949"/>
    <cellStyle name="SAPBEXHLevel3X 4 3" xfId="7576"/>
    <cellStyle name="SAPBEXHLevel3X 5" xfId="3482"/>
    <cellStyle name="SAPBEXHLevel3X 5 2" xfId="6161"/>
    <cellStyle name="SAPBEXHLevel3X 5 3" xfId="5950"/>
    <cellStyle name="SAPBEXHLevel3X_0910 GSO Capex RRP - Final (Detail) v2 220710" xfId="7577"/>
    <cellStyle name="SAPBEXinputData" xfId="2984"/>
    <cellStyle name="SAPBEXinputData 2" xfId="2985"/>
    <cellStyle name="SAPBEXinputData 2 2" xfId="2986"/>
    <cellStyle name="SAPBEXinputData 2 2 2" xfId="5952"/>
    <cellStyle name="SAPBEXinputData 2 3" xfId="5951"/>
    <cellStyle name="SAPBEXinputData 2 4" xfId="7578"/>
    <cellStyle name="SAPBEXinputData 3" xfId="2987"/>
    <cellStyle name="SAPBEXinputData 3 2" xfId="5953"/>
    <cellStyle name="SAPBEXinputData 3 2 2" xfId="7580"/>
    <cellStyle name="SAPBEXinputData 3 3" xfId="7581"/>
    <cellStyle name="SAPBEXinputData 3 4" xfId="7582"/>
    <cellStyle name="SAPBEXinputData 3 5" xfId="7583"/>
    <cellStyle name="SAPBEXinputData 3 6" xfId="7584"/>
    <cellStyle name="SAPBEXinputData 3 7" xfId="7585"/>
    <cellStyle name="SAPBEXinputData 3 8" xfId="7586"/>
    <cellStyle name="SAPBEXinputData 3 9" xfId="7579"/>
    <cellStyle name="SAPBEXinputData 4" xfId="2988"/>
    <cellStyle name="SAPBEXinputData 4 2" xfId="5954"/>
    <cellStyle name="SAPBEXinputData 4 3" xfId="7587"/>
    <cellStyle name="SAPBEXinputData 5" xfId="3483"/>
    <cellStyle name="SAPBEXinputData 5 2" xfId="6162"/>
    <cellStyle name="SAPBEXinputData 5 3" xfId="5955"/>
    <cellStyle name="SAPBEXinputData_0910 GSO Capex RRP - Final (Detail) v2 220710" xfId="7588"/>
    <cellStyle name="SAPBEXItemHeader" xfId="2989"/>
    <cellStyle name="SAPBEXItemHeader 2" xfId="7589"/>
    <cellStyle name="SAPBEXresData" xfId="2990"/>
    <cellStyle name="SAPBEXresData 2" xfId="2991"/>
    <cellStyle name="SAPBEXresData 2 2" xfId="2992"/>
    <cellStyle name="SAPBEXresData 2 3" xfId="3484"/>
    <cellStyle name="SAPBEXresData 2 4" xfId="5956"/>
    <cellStyle name="SAPBEXresData 2 5" xfId="7590"/>
    <cellStyle name="SAPBEXresData 3" xfId="3174"/>
    <cellStyle name="SAPBEXresData 3 2" xfId="6109"/>
    <cellStyle name="SAPBEXresDataEmph" xfId="2993"/>
    <cellStyle name="SAPBEXresDataEmph 2" xfId="2994"/>
    <cellStyle name="SAPBEXresDataEmph 2 2" xfId="2995"/>
    <cellStyle name="SAPBEXresDataEmph 2 3" xfId="3485"/>
    <cellStyle name="SAPBEXresDataEmph 2 4" xfId="5957"/>
    <cellStyle name="SAPBEXresDataEmph 2 5" xfId="7591"/>
    <cellStyle name="SAPBEXresDataEmph 3" xfId="3175"/>
    <cellStyle name="SAPBEXresItem" xfId="2996"/>
    <cellStyle name="SAPBEXresItem 2" xfId="2997"/>
    <cellStyle name="SAPBEXresItem 2 2" xfId="2998"/>
    <cellStyle name="SAPBEXresItem 2 3" xfId="3486"/>
    <cellStyle name="SAPBEXresItem 2 4" xfId="5958"/>
    <cellStyle name="SAPBEXresItem 2 5" xfId="7592"/>
    <cellStyle name="SAPBEXresItem 3" xfId="3176"/>
    <cellStyle name="SAPBEXresItem 3 2" xfId="6110"/>
    <cellStyle name="SAPBEXresItemX" xfId="2999"/>
    <cellStyle name="SAPBEXresItemX 2" xfId="3000"/>
    <cellStyle name="SAPBEXresItemX 2 2" xfId="3001"/>
    <cellStyle name="SAPBEXresItemX 2 2 2" xfId="5960"/>
    <cellStyle name="SAPBEXresItemX 2 3" xfId="5959"/>
    <cellStyle name="SAPBEXresItemX 2 4" xfId="7593"/>
    <cellStyle name="SAPBEXresItemX 3" xfId="3002"/>
    <cellStyle name="SAPBEXresItemX 3 2" xfId="5961"/>
    <cellStyle name="SAPBEXresItemX 4" xfId="3003"/>
    <cellStyle name="SAPBEXresItemX 4 2" xfId="5962"/>
    <cellStyle name="SAPBEXresItemX 5" xfId="3487"/>
    <cellStyle name="SAPBEXresItemX 5 2" xfId="6163"/>
    <cellStyle name="SAPBEXresItemX 5 3" xfId="5963"/>
    <cellStyle name="SAPBEXstdData" xfId="3004"/>
    <cellStyle name="SAPBEXstdData 2" xfId="3005"/>
    <cellStyle name="SAPBEXstdData 2 2" xfId="3006"/>
    <cellStyle name="SAPBEXstdData 2 3" xfId="3488"/>
    <cellStyle name="SAPBEXstdData 2 4" xfId="5964"/>
    <cellStyle name="SAPBEXstdData 2 5" xfId="7594"/>
    <cellStyle name="SAPBEXstdData 3" xfId="3177"/>
    <cellStyle name="SAPBEXstdData 3 2" xfId="6111"/>
    <cellStyle name="SAPBEXstdDataEmph" xfId="3007"/>
    <cellStyle name="SAPBEXstdDataEmph 2" xfId="3008"/>
    <cellStyle name="SAPBEXstdDataEmph 2 2" xfId="3009"/>
    <cellStyle name="SAPBEXstdDataEmph 2 3" xfId="3489"/>
    <cellStyle name="SAPBEXstdDataEmph 2 4" xfId="5965"/>
    <cellStyle name="SAPBEXstdDataEmph 2 5" xfId="7595"/>
    <cellStyle name="SAPBEXstdDataEmph 3" xfId="3178"/>
    <cellStyle name="SAPBEXstdItem" xfId="3010"/>
    <cellStyle name="SAPBEXstdItem 2" xfId="3011"/>
    <cellStyle name="SAPBEXstdItem 2 2" xfId="3012"/>
    <cellStyle name="SAPBEXstdItem 2 3" xfId="3490"/>
    <cellStyle name="SAPBEXstdItem 2 4" xfId="5966"/>
    <cellStyle name="SAPBEXstdItem 2 5" xfId="7596"/>
    <cellStyle name="SAPBEXstdItem 3" xfId="3179"/>
    <cellStyle name="SAPBEXstdItem 3 2" xfId="6112"/>
    <cellStyle name="SAPBEXstdItemX" xfId="3013"/>
    <cellStyle name="SAPBEXstdItemX 2" xfId="3014"/>
    <cellStyle name="SAPBEXstdItemX 2 2" xfId="3015"/>
    <cellStyle name="SAPBEXstdItemX 2 2 2" xfId="5968"/>
    <cellStyle name="SAPBEXstdItemX 2 3" xfId="5967"/>
    <cellStyle name="SAPBEXstdItemX 2 4" xfId="7597"/>
    <cellStyle name="SAPBEXstdItemX 3" xfId="3016"/>
    <cellStyle name="SAPBEXstdItemX 3 2" xfId="5969"/>
    <cellStyle name="SAPBEXstdItemX 4" xfId="3017"/>
    <cellStyle name="SAPBEXstdItemX 4 2" xfId="5970"/>
    <cellStyle name="SAPBEXstdItemX 5" xfId="3491"/>
    <cellStyle name="SAPBEXstdItemX 5 2" xfId="6164"/>
    <cellStyle name="SAPBEXstdItemX 5 3" xfId="5971"/>
    <cellStyle name="SAPBEXtitle" xfId="3018"/>
    <cellStyle name="SAPBEXtitle 2" xfId="3019"/>
    <cellStyle name="SAPBEXtitle 2 2" xfId="3020"/>
    <cellStyle name="SAPBEXtitle 2 3" xfId="3492"/>
    <cellStyle name="SAPBEXtitle 2 4" xfId="5972"/>
    <cellStyle name="SAPBEXtitle 2 5" xfId="7598"/>
    <cellStyle name="SAPBEXtitle 3" xfId="3180"/>
    <cellStyle name="SAPBEXunassignedItem" xfId="3021"/>
    <cellStyle name="SAPBEXunassignedItem 2" xfId="7599"/>
    <cellStyle name="SAPBEXundefined" xfId="3022"/>
    <cellStyle name="SAPBEXundefined 2" xfId="3023"/>
    <cellStyle name="SAPBEXundefined 2 2" xfId="3024"/>
    <cellStyle name="SAPBEXundefined 2 3" xfId="3493"/>
    <cellStyle name="SAPBEXundefined 2 4" xfId="5973"/>
    <cellStyle name="SAPBEXundefined 2 5" xfId="7600"/>
    <cellStyle name="SAPBEXundefined 3" xfId="3181"/>
    <cellStyle name="SAPBEXundefined 3 2" xfId="6113"/>
    <cellStyle name="Sch_name" xfId="3025"/>
    <cellStyle name="Section Head" xfId="3026"/>
    <cellStyle name="Separador de milhares_DADOS DO BALANCO" xfId="3027"/>
    <cellStyle name="Shading" xfId="3028"/>
    <cellStyle name="Sheet Header" xfId="3029"/>
    <cellStyle name="Sheet Title" xfId="3030"/>
    <cellStyle name="Sheet Title 2" xfId="7601"/>
    <cellStyle name="ShOut" xfId="3031"/>
    <cellStyle name="ShOut 2" xfId="3032"/>
    <cellStyle name="ShOut 2 2" xfId="3033"/>
    <cellStyle name="ShOut 2 2 2" xfId="5975"/>
    <cellStyle name="ShOut 2 3" xfId="5974"/>
    <cellStyle name="ShOut 3" xfId="3494"/>
    <cellStyle name="sideways" xfId="3034"/>
    <cellStyle name="sideways 2" xfId="3035"/>
    <cellStyle name="sideways 2 2" xfId="3036"/>
    <cellStyle name="SSN" xfId="3037"/>
    <cellStyle name="Standard_Anpassen der Amortisation" xfId="3038"/>
    <cellStyle name="Style 1" xfId="12"/>
    <cellStyle name="Style 1 10" xfId="7897"/>
    <cellStyle name="Style 1 10 2" xfId="8382"/>
    <cellStyle name="Style 1 11" xfId="7947"/>
    <cellStyle name="Style 1 11 2" xfId="8850"/>
    <cellStyle name="Style 1 2" xfId="14"/>
    <cellStyle name="Style 1 2 2" xfId="17"/>
    <cellStyle name="Style 1 2 2 2" xfId="27"/>
    <cellStyle name="Style 1 2 2 3" xfId="36"/>
    <cellStyle name="Style 1 2 2 4" xfId="45"/>
    <cellStyle name="Style 1 2 3" xfId="3496"/>
    <cellStyle name="Style 1 2 3 2" xfId="6165"/>
    <cellStyle name="Style 1 2 3 3" xfId="5976"/>
    <cellStyle name="Style 1 2 4" xfId="3039"/>
    <cellStyle name="Style 1 3" xfId="3040"/>
    <cellStyle name="Style 1 3 2" xfId="3041"/>
    <cellStyle name="Style 1 3 2 2" xfId="5977"/>
    <cellStyle name="Style 1 3 3" xfId="3497"/>
    <cellStyle name="Style 1 4" xfId="3042"/>
    <cellStyle name="Style 1 4 2" xfId="3043"/>
    <cellStyle name="Style 1 4 2 2" xfId="5978"/>
    <cellStyle name="Style 1 4 3" xfId="3498"/>
    <cellStyle name="Style 1 5" xfId="3495"/>
    <cellStyle name="Style 1 5 2" xfId="7602"/>
    <cellStyle name="Style 1 5 2 2" xfId="7603"/>
    <cellStyle name="Style 1 5 3" xfId="7604"/>
    <cellStyle name="Style 1 6" xfId="7605"/>
    <cellStyle name="Style 1 6 2" xfId="7606"/>
    <cellStyle name="Style 1 6 3" xfId="7607"/>
    <cellStyle name="Style 1 7" xfId="7608"/>
    <cellStyle name="Style 1 8" xfId="7609"/>
    <cellStyle name="Style 1 9" xfId="7704"/>
    <cellStyle name="Style 2" xfId="3044"/>
    <cellStyle name="Style 2 2" xfId="3045"/>
    <cellStyle name="Style 2 2 2" xfId="3046"/>
    <cellStyle name="Style 2 2 2 2" xfId="5980"/>
    <cellStyle name="Style 2 2 3" xfId="5979"/>
    <cellStyle name="Style 2 3" xfId="3499"/>
    <cellStyle name="Style 3" xfId="3047"/>
    <cellStyle name="Style 3 2" xfId="3048"/>
    <cellStyle name="Style 3 2 2" xfId="3049"/>
    <cellStyle name="Style 3 2 2 2" xfId="5982"/>
    <cellStyle name="Style 3 2 3" xfId="5981"/>
    <cellStyle name="Style 3 3" xfId="3500"/>
    <cellStyle name="subhead" xfId="3050"/>
    <cellStyle name="Subheading" xfId="3051"/>
    <cellStyle name="Subtotal" xfId="3052"/>
    <cellStyle name="Sub-total" xfId="3053"/>
    <cellStyle name="Sub-total 2" xfId="3054"/>
    <cellStyle name="Sub-total 2 2" xfId="5983"/>
    <cellStyle name="Sub-total 2 2 2" xfId="8218"/>
    <cellStyle name="Sub-total 2 3" xfId="8095"/>
    <cellStyle name="Sub-total 3" xfId="3501"/>
    <cellStyle name="Sub-total 3 2" xfId="8112"/>
    <cellStyle name="Sub-total 4" xfId="7610"/>
    <cellStyle name="swpBody01" xfId="3055"/>
    <cellStyle name="swpBody01 2" xfId="7611"/>
    <cellStyle name="Table Head" xfId="3056"/>
    <cellStyle name="Table Head Aligned" xfId="3057"/>
    <cellStyle name="Table Head Blue" xfId="3058"/>
    <cellStyle name="Table Head Green" xfId="3059"/>
    <cellStyle name="Table Head_Val_Sum_Graph" xfId="3060"/>
    <cellStyle name="Table Text" xfId="3061"/>
    <cellStyle name="Table Title" xfId="3062"/>
    <cellStyle name="Table Units" xfId="3063"/>
    <cellStyle name="Table_Header" xfId="3064"/>
    <cellStyle name="Text 1" xfId="3065"/>
    <cellStyle name="Text Head 1" xfId="3066"/>
    <cellStyle name="Title" xfId="46" builtinId="15" customBuiltin="1"/>
    <cellStyle name="Title 2" xfId="3067"/>
    <cellStyle name="Title 2 2" xfId="3068"/>
    <cellStyle name="Title 2 2 2" xfId="3069"/>
    <cellStyle name="Title 2 2 3" xfId="3503"/>
    <cellStyle name="Title 2 2 4" xfId="7612"/>
    <cellStyle name="Title 2 3" xfId="3070"/>
    <cellStyle name="Title 2 4" xfId="3071"/>
    <cellStyle name="Title 3" xfId="3072"/>
    <cellStyle name="Title 3 2" xfId="5988"/>
    <cellStyle name="Title 3 3" xfId="7613"/>
    <cellStyle name="Title 4" xfId="8432"/>
    <cellStyle name="Title 5" xfId="9277"/>
    <cellStyle name="Title Row" xfId="3073"/>
    <cellStyle name="Title Row 2" xfId="3074"/>
    <cellStyle name="tons" xfId="3075"/>
    <cellStyle name="Total" xfId="61" builtinId="25" customBuiltin="1"/>
    <cellStyle name="Total 1" xfId="3076"/>
    <cellStyle name="Total 1 2" xfId="3077"/>
    <cellStyle name="Total 1 2 2" xfId="5993"/>
    <cellStyle name="Total 1 3" xfId="3504"/>
    <cellStyle name="Total 2" xfId="3078"/>
    <cellStyle name="Total 2 2" xfId="3079"/>
    <cellStyle name="Total 2 2 2" xfId="3080"/>
    <cellStyle name="Total 2 2 2 2" xfId="5996"/>
    <cellStyle name="Total 2 2 3" xfId="3506"/>
    <cellStyle name="Total 2 2 4" xfId="7614"/>
    <cellStyle name="Total 2 3" xfId="3081"/>
    <cellStyle name="Total 2 4" xfId="3082"/>
    <cellStyle name="Total 2 5" xfId="3505"/>
    <cellStyle name="Total 3" xfId="3083"/>
    <cellStyle name="Total 3 2" xfId="5999"/>
    <cellStyle name="Total 3 3" xfId="7615"/>
    <cellStyle name="Total 4" xfId="3209"/>
    <cellStyle name="Totals" xfId="3084"/>
    <cellStyle name="Totals 2" xfId="3085"/>
    <cellStyle name="Totals 2 2" xfId="6001"/>
    <cellStyle name="Totals 2 2 2" xfId="8221"/>
    <cellStyle name="Totals 2 3" xfId="8096"/>
    <cellStyle name="Totals 3" xfId="3507"/>
    <cellStyle name="Totals 3 2" xfId="8113"/>
    <cellStyle name="Totals 4" xfId="7616"/>
    <cellStyle name="Underline_Single" xfId="3086"/>
    <cellStyle name="Unprot" xfId="3087"/>
    <cellStyle name="Unprot$" xfId="3088"/>
    <cellStyle name="Unprot$ 2" xfId="3089"/>
    <cellStyle name="Unprotect" xfId="3090"/>
    <cellStyle name="Unprotect 2" xfId="3091"/>
    <cellStyle name="UNPROTECTED" xfId="3092"/>
    <cellStyle name="UNPROTECTED 2" xfId="3093"/>
    <cellStyle name="UNPROTECTED 2 2" xfId="3094"/>
    <cellStyle name="Währung [0]_Compiling Utility Macros" xfId="3095"/>
    <cellStyle name="Währung_Compiling Utility Macros" xfId="3096"/>
    <cellStyle name="Warning" xfId="3097"/>
    <cellStyle name="Warning 2" xfId="3098"/>
    <cellStyle name="Warning 2 2" xfId="3099"/>
    <cellStyle name="Warning 2 2 2" xfId="6008"/>
    <cellStyle name="Warning 2 3" xfId="6007"/>
    <cellStyle name="Warning 3" xfId="3509"/>
    <cellStyle name="Warning Text" xfId="59" builtinId="11" customBuiltin="1"/>
    <cellStyle name="Warning Text 2" xfId="3100"/>
    <cellStyle name="Warning Text 2 2" xfId="3101"/>
    <cellStyle name="Warning Text 2 2 2" xfId="6009"/>
    <cellStyle name="Warning Text 2 2 3" xfId="7618"/>
    <cellStyle name="Warning Text 2 3" xfId="3102"/>
    <cellStyle name="Warning Text 2 4" xfId="3103"/>
    <cellStyle name="Warning Text 3" xfId="3104"/>
    <cellStyle name="Warning Text 3 2" xfId="7619"/>
    <cellStyle name="x" xfId="3105"/>
    <cellStyle name="year" xfId="3106"/>
    <cellStyle name="YEARS" xfId="3107"/>
    <cellStyle name="YEARS 2" xfId="3108"/>
    <cellStyle name="YEARS 2 2" xfId="3109"/>
    <cellStyle name="Yellow" xfId="3110"/>
    <cellStyle name="Yellow 2" xfId="3111"/>
    <cellStyle name="Yellow 2 2" xfId="3112"/>
    <cellStyle name="Yellow 2 2 2" xfId="6016"/>
    <cellStyle name="Yellow 2 2 3" xfId="7622"/>
    <cellStyle name="Yellow 2 3" xfId="6015"/>
    <cellStyle name="Yellow 2 3 2" xfId="7623"/>
    <cellStyle name="Yellow 2 4" xfId="7624"/>
    <cellStyle name="Yellow 2 5" xfId="7625"/>
    <cellStyle name="Yellow 2 6" xfId="7626"/>
    <cellStyle name="Yellow 2 7" xfId="7627"/>
    <cellStyle name="Yellow 2 8" xfId="7628"/>
    <cellStyle name="Yellow 2 9" xfId="7621"/>
    <cellStyle name="Yellow 3" xfId="6014"/>
    <cellStyle name="Yellow 4" xfId="7620"/>
  </cellStyles>
  <dxfs count="30">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theme="0" tint="-0.499984740745262"/>
      </font>
      <fill>
        <patternFill>
          <bgColor theme="6" tint="0.79998168889431442"/>
        </patternFill>
      </fill>
    </dxf>
    <dxf>
      <font>
        <color theme="0" tint="-0.499984740745262"/>
      </font>
      <fill>
        <patternFill>
          <bgColor theme="6" tint="0.79998168889431442"/>
        </patternFill>
      </fill>
    </dxf>
    <dxf>
      <fill>
        <patternFill>
          <bgColor rgb="FF92D050"/>
        </patternFill>
      </fill>
    </dxf>
    <dxf>
      <fill>
        <patternFill>
          <bgColor theme="5" tint="0.39994506668294322"/>
        </patternFill>
      </fill>
    </dxf>
    <dxf>
      <fill>
        <patternFill>
          <bgColor theme="5" tint="0.39994506668294322"/>
        </patternFill>
      </fill>
    </dxf>
    <dxf>
      <font>
        <color theme="0" tint="-0.499984740745262"/>
      </font>
      <fill>
        <patternFill>
          <fgColor auto="1"/>
          <bgColor theme="7" tint="0.79998168889431442"/>
        </patternFill>
      </fill>
    </dxf>
    <dxf>
      <font>
        <color theme="0" tint="-0.499984740745262"/>
      </font>
      <fill>
        <patternFill>
          <bgColor theme="7" tint="0.79998168889431442"/>
        </patternFill>
      </fill>
    </dxf>
    <dxf>
      <fill>
        <patternFill>
          <bgColor rgb="FF92D050"/>
        </patternFill>
      </fill>
    </dxf>
    <dxf>
      <fill>
        <patternFill>
          <bgColor theme="5" tint="0.39994506668294322"/>
        </patternFill>
      </fill>
    </dxf>
    <dxf>
      <fill>
        <patternFill>
          <bgColor theme="5" tint="0.39994506668294322"/>
        </patternFill>
      </fill>
    </dxf>
    <dxf>
      <font>
        <color theme="0" tint="-0.14996795556505021"/>
      </font>
      <fill>
        <patternFill>
          <bgColor theme="6" tint="0.79998168889431442"/>
        </patternFill>
      </fill>
    </dxf>
    <dxf>
      <font>
        <color theme="0" tint="-0.14996795556505021"/>
      </font>
      <fill>
        <patternFill patternType="none">
          <bgColor auto="1"/>
        </patternFill>
      </fill>
    </dxf>
    <dxf>
      <fill>
        <patternFill>
          <bgColor theme="5" tint="0.59996337778862885"/>
        </patternFill>
      </fill>
    </dxf>
    <dxf>
      <fill>
        <patternFill>
          <bgColor theme="5" tint="0.59996337778862885"/>
        </patternFill>
      </fill>
    </dxf>
    <dxf>
      <font>
        <color theme="0" tint="-0.14996795556505021"/>
      </font>
      <fill>
        <patternFill>
          <bgColor theme="7" tint="0.79998168889431442"/>
        </patternFill>
      </fill>
    </dxf>
    <dxf>
      <font>
        <color theme="0" tint="-0.14996795556505021"/>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theme="5" tint="0.39994506668294322"/>
        </patternFill>
      </fill>
    </dxf>
    <dxf>
      <fill>
        <patternFill>
          <bgColor theme="5" tint="0.39994506668294322"/>
        </patternFill>
      </fill>
    </dxf>
    <dxf>
      <fill>
        <patternFill>
          <bgColor rgb="FF92D050"/>
        </patternFill>
      </fill>
    </dxf>
    <dxf>
      <fill>
        <patternFill>
          <bgColor theme="5" tint="0.39994506668294322"/>
        </patternFill>
      </fill>
    </dxf>
    <dxf>
      <fill>
        <patternFill>
          <bgColor theme="5" tint="0.39994506668294322"/>
        </patternFill>
      </fill>
    </dxf>
  </dxfs>
  <tableStyles count="0" defaultTableStyle="TableStyleMedium2" defaultPivotStyle="PivotStyleMedium9"/>
  <colors>
    <mruColors>
      <color rgb="FFFFFFCC"/>
      <color rgb="FF00CC00"/>
      <color rgb="FFFFFFFF"/>
      <color rgb="FF336699"/>
      <color rgb="FFCCECFF"/>
      <color rgb="FFFF9999"/>
      <color rgb="FFCCFFCC"/>
      <color rgb="FF00CC99"/>
      <color rgb="FF6666FF"/>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'Exit Prices Summary'!$P$3</c:f>
              <c:strCache>
                <c:ptCount val="1"/>
                <c:pt idx="0">
                  <c:v>Calculated Exit Capacity Revenue (Based on Booking Scenario) (£) for 01-Oct-2020 to 30-Sep-2021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AE-4B22-B8EF-62919CF804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CAE-4B22-B8EF-62919CF804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CAE-4B22-B8EF-62919CF804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CAE-4B22-B8EF-62919CF804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CAE-4B22-B8EF-62919CF804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CAE-4B22-B8EF-62919CF8047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CAE-4B22-B8EF-62919CF8047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CAE-4B22-B8EF-62919CF8047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CAE-4B22-B8EF-62919CF8047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CAE-4B22-B8EF-62919CF8047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CAE-4B22-B8EF-62919CF8047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CAE-4B22-B8EF-62919CF804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CAE-4B22-B8EF-62919CF804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CAE-4B22-B8EF-62919CF804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CAE-4B22-B8EF-62919CF8047F}"/>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4CAE-4B22-B8EF-62919CF8047F}"/>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4CAE-4B22-B8EF-62919CF8047F}"/>
              </c:ext>
            </c:extLst>
          </c:dPt>
          <c:cat>
            <c:strRef>
              <c:f>'Exit Prices Summary'!$O$4:$O$20</c:f>
              <c:strCache>
                <c:ptCount val="17"/>
                <c:pt idx="0">
                  <c:v>GDN (EA)</c:v>
                </c:pt>
                <c:pt idx="1">
                  <c:v>GDN (EM)</c:v>
                </c:pt>
                <c:pt idx="2">
                  <c:v>GDN (NE)</c:v>
                </c:pt>
                <c:pt idx="3">
                  <c:v>GDN (NO)</c:v>
                </c:pt>
                <c:pt idx="4">
                  <c:v>GDN (NT)</c:v>
                </c:pt>
                <c:pt idx="5">
                  <c:v>GDN (NW)</c:v>
                </c:pt>
                <c:pt idx="6">
                  <c:v>GDN (SC)</c:v>
                </c:pt>
                <c:pt idx="7">
                  <c:v>GDN (SE)</c:v>
                </c:pt>
                <c:pt idx="8">
                  <c:v>GDN (SO)</c:v>
                </c:pt>
                <c:pt idx="9">
                  <c:v>GDN (SW)</c:v>
                </c:pt>
                <c:pt idx="10">
                  <c:v>GDN (WM)</c:v>
                </c:pt>
                <c:pt idx="11">
                  <c:v>GDN (WN)</c:v>
                </c:pt>
                <c:pt idx="12">
                  <c:v>GDN (WS)</c:v>
                </c:pt>
                <c:pt idx="13">
                  <c:v>POWER STATION</c:v>
                </c:pt>
                <c:pt idx="14">
                  <c:v>STORAGE SITE</c:v>
                </c:pt>
                <c:pt idx="15">
                  <c:v>INTERCONNECTOR</c:v>
                </c:pt>
                <c:pt idx="16">
                  <c:v>INDUSTRIAL</c:v>
                </c:pt>
              </c:strCache>
            </c:strRef>
          </c:cat>
          <c:val>
            <c:numRef>
              <c:f>'Exit Prices Summary'!$P$4:$P$20</c:f>
              <c:numCache>
                <c:formatCode>"£"#,##0.00</c:formatCode>
                <c:ptCount val="17"/>
                <c:pt idx="0">
                  <c:v>22562571.969121497</c:v>
                </c:pt>
                <c:pt idx="1">
                  <c:v>29477725.204937872</c:v>
                </c:pt>
                <c:pt idx="2">
                  <c:v>19859826.639987595</c:v>
                </c:pt>
                <c:pt idx="3">
                  <c:v>17197578.495501984</c:v>
                </c:pt>
                <c:pt idx="4">
                  <c:v>27883410.817993056</c:v>
                </c:pt>
                <c:pt idx="5">
                  <c:v>33043394.970675565</c:v>
                </c:pt>
                <c:pt idx="6">
                  <c:v>26823550.951660562</c:v>
                </c:pt>
                <c:pt idx="7">
                  <c:v>38509603.40665058</c:v>
                </c:pt>
                <c:pt idx="8">
                  <c:v>26165711.390712</c:v>
                </c:pt>
                <c:pt idx="9">
                  <c:v>19085427.292576198</c:v>
                </c:pt>
                <c:pt idx="10">
                  <c:v>23321545.597641271</c:v>
                </c:pt>
                <c:pt idx="11">
                  <c:v>3554679.1881858832</c:v>
                </c:pt>
                <c:pt idx="12">
                  <c:v>14938137.305859227</c:v>
                </c:pt>
                <c:pt idx="13">
                  <c:v>81805374.804584295</c:v>
                </c:pt>
                <c:pt idx="14">
                  <c:v>16065834.366187243</c:v>
                </c:pt>
                <c:pt idx="15">
                  <c:v>28718615.021407172</c:v>
                </c:pt>
                <c:pt idx="16">
                  <c:v>15271214.377137331</c:v>
                </c:pt>
              </c:numCache>
            </c:numRef>
          </c:val>
          <c:extLst>
            <c:ext xmlns:c16="http://schemas.microsoft.com/office/drawing/2014/chart" uri="{C3380CC4-5D6E-409C-BE32-E72D297353CC}">
              <c16:uniqueId val="{00000000-7DB5-426B-AA83-C6F4F520C33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18241</xdr:colOff>
      <xdr:row>41</xdr:row>
      <xdr:rowOff>94262</xdr:rowOff>
    </xdr:to>
    <xdr:pic>
      <xdr:nvPicPr>
        <xdr:cNvPr id="62" name="Picture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 cstate="print"/>
        <a:stretch>
          <a:fillRect/>
        </a:stretch>
      </xdr:blipFill>
      <xdr:spPr>
        <a:xfrm>
          <a:off x="0" y="0"/>
          <a:ext cx="6476191" cy="7904762"/>
        </a:xfrm>
        <a:prstGeom prst="rect">
          <a:avLst/>
        </a:prstGeom>
      </xdr:spPr>
    </xdr:pic>
    <xdr:clientData/>
  </xdr:twoCellAnchor>
  <xdr:twoCellAnchor editAs="oneCell">
    <xdr:from>
      <xdr:col>0</xdr:col>
      <xdr:colOff>0</xdr:colOff>
      <xdr:row>42</xdr:row>
      <xdr:rowOff>0</xdr:rowOff>
    </xdr:from>
    <xdr:to>
      <xdr:col>1</xdr:col>
      <xdr:colOff>4266405</xdr:colOff>
      <xdr:row>47</xdr:row>
      <xdr:rowOff>123691</xdr:rowOff>
    </xdr:to>
    <xdr:pic>
      <xdr:nvPicPr>
        <xdr:cNvPr id="63" name="Picture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2" cstate="print"/>
        <a:stretch>
          <a:fillRect/>
        </a:stretch>
      </xdr:blipFill>
      <xdr:spPr>
        <a:xfrm>
          <a:off x="0" y="8001000"/>
          <a:ext cx="6361905" cy="1076191"/>
        </a:xfrm>
        <a:prstGeom prst="rect">
          <a:avLst/>
        </a:prstGeom>
      </xdr:spPr>
    </xdr:pic>
    <xdr:clientData/>
  </xdr:twoCellAnchor>
  <xdr:twoCellAnchor editAs="oneCell">
    <xdr:from>
      <xdr:col>0</xdr:col>
      <xdr:colOff>0</xdr:colOff>
      <xdr:row>48</xdr:row>
      <xdr:rowOff>0</xdr:rowOff>
    </xdr:from>
    <xdr:to>
      <xdr:col>1</xdr:col>
      <xdr:colOff>4218786</xdr:colOff>
      <xdr:row>88</xdr:row>
      <xdr:rowOff>122858</xdr:rowOff>
    </xdr:to>
    <xdr:pic>
      <xdr:nvPicPr>
        <xdr:cNvPr id="64" name="Picture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3" cstate="print"/>
        <a:stretch>
          <a:fillRect/>
        </a:stretch>
      </xdr:blipFill>
      <xdr:spPr>
        <a:xfrm>
          <a:off x="0" y="9144000"/>
          <a:ext cx="6314286" cy="7742858"/>
        </a:xfrm>
        <a:prstGeom prst="rect">
          <a:avLst/>
        </a:prstGeom>
      </xdr:spPr>
    </xdr:pic>
    <xdr:clientData/>
  </xdr:twoCellAnchor>
  <xdr:twoCellAnchor editAs="oneCell">
    <xdr:from>
      <xdr:col>0</xdr:col>
      <xdr:colOff>0</xdr:colOff>
      <xdr:row>89</xdr:row>
      <xdr:rowOff>0</xdr:rowOff>
    </xdr:from>
    <xdr:to>
      <xdr:col>1</xdr:col>
      <xdr:colOff>4018786</xdr:colOff>
      <xdr:row>95</xdr:row>
      <xdr:rowOff>104619</xdr:rowOff>
    </xdr:to>
    <xdr:pic>
      <xdr:nvPicPr>
        <xdr:cNvPr id="65" name="Picture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4" cstate="print"/>
        <a:stretch>
          <a:fillRect/>
        </a:stretch>
      </xdr:blipFill>
      <xdr:spPr>
        <a:xfrm>
          <a:off x="0" y="16954500"/>
          <a:ext cx="6114286" cy="1247619"/>
        </a:xfrm>
        <a:prstGeom prst="rect">
          <a:avLst/>
        </a:prstGeom>
      </xdr:spPr>
    </xdr:pic>
    <xdr:clientData/>
  </xdr:twoCellAnchor>
  <xdr:twoCellAnchor editAs="oneCell">
    <xdr:from>
      <xdr:col>0</xdr:col>
      <xdr:colOff>0</xdr:colOff>
      <xdr:row>96</xdr:row>
      <xdr:rowOff>0</xdr:rowOff>
    </xdr:from>
    <xdr:to>
      <xdr:col>1</xdr:col>
      <xdr:colOff>4180691</xdr:colOff>
      <xdr:row>134</xdr:row>
      <xdr:rowOff>94334</xdr:rowOff>
    </xdr:to>
    <xdr:pic>
      <xdr:nvPicPr>
        <xdr:cNvPr id="66" name="Picture 65">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5" cstate="print"/>
        <a:stretch>
          <a:fillRect/>
        </a:stretch>
      </xdr:blipFill>
      <xdr:spPr>
        <a:xfrm>
          <a:off x="0" y="18288000"/>
          <a:ext cx="6276191" cy="73333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85725</xdr:colOff>
          <xdr:row>1</xdr:row>
          <xdr:rowOff>9525</xdr:rowOff>
        </xdr:from>
        <xdr:to>
          <xdr:col>4</xdr:col>
          <xdr:colOff>1466850</xdr:colOff>
          <xdr:row>1</xdr:row>
          <xdr:rowOff>790575</xdr:rowOff>
        </xdr:to>
        <xdr:sp macro="" textlink="">
          <xdr:nvSpPr>
            <xdr:cNvPr id="113670" name="Button 6" hidden="1">
              <a:extLst>
                <a:ext uri="{63B3BB69-23CF-44E3-9099-C40C66FF867C}">
                  <a14:compatExt spid="_x0000_s113670"/>
                </a:ext>
                <a:ext uri="{FF2B5EF4-FFF2-40B4-BE49-F238E27FC236}">
                  <a16:creationId xmlns:a16="http://schemas.microsoft.com/office/drawing/2014/main" id="{00000000-0008-0000-2000-000006B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Back to User Inputs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20</xdr:col>
      <xdr:colOff>148827</xdr:colOff>
      <xdr:row>3</xdr:row>
      <xdr:rowOff>59539</xdr:rowOff>
    </xdr:from>
    <xdr:to>
      <xdr:col>32</xdr:col>
      <xdr:colOff>130969</xdr:colOff>
      <xdr:row>25</xdr:row>
      <xdr:rowOff>107156</xdr:rowOff>
    </xdr:to>
    <xdr:graphicFrame macro="">
      <xdr:nvGraphicFramePr>
        <xdr:cNvPr id="2" name="Chart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581025</xdr:colOff>
          <xdr:row>2</xdr:row>
          <xdr:rowOff>104775</xdr:rowOff>
        </xdr:from>
        <xdr:to>
          <xdr:col>5</xdr:col>
          <xdr:colOff>885825</xdr:colOff>
          <xdr:row>5</xdr:row>
          <xdr:rowOff>161925</xdr:rowOff>
        </xdr:to>
        <xdr:sp macro="" textlink="">
          <xdr:nvSpPr>
            <xdr:cNvPr id="110598" name="Button 6" hidden="1">
              <a:extLst>
                <a:ext uri="{63B3BB69-23CF-44E3-9099-C40C66FF867C}">
                  <a14:compatExt spid="_x0000_s110598"/>
                </a:ext>
                <a:ext uri="{FF2B5EF4-FFF2-40B4-BE49-F238E27FC236}">
                  <a16:creationId xmlns:a16="http://schemas.microsoft.com/office/drawing/2014/main" id="{00000000-0008-0000-2300-000006B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Return to Entry Anticipated Revenue Recovery Tab</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409575</xdr:colOff>
          <xdr:row>1</xdr:row>
          <xdr:rowOff>161925</xdr:rowOff>
        </xdr:from>
        <xdr:to>
          <xdr:col>6</xdr:col>
          <xdr:colOff>447675</xdr:colOff>
          <xdr:row>5</xdr:row>
          <xdr:rowOff>76200</xdr:rowOff>
        </xdr:to>
        <xdr:sp macro="" textlink="">
          <xdr:nvSpPr>
            <xdr:cNvPr id="112644" name="Button 4" hidden="1">
              <a:extLst>
                <a:ext uri="{63B3BB69-23CF-44E3-9099-C40C66FF867C}">
                  <a14:compatExt spid="_x0000_s112644"/>
                </a:ext>
                <a:ext uri="{FF2B5EF4-FFF2-40B4-BE49-F238E27FC236}">
                  <a16:creationId xmlns:a16="http://schemas.microsoft.com/office/drawing/2014/main" id="{00000000-0008-0000-2400-000004B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Return to Exit Anticipated Revenue Recovery Tab</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48</xdr:row>
          <xdr:rowOff>85725</xdr:rowOff>
        </xdr:from>
        <xdr:to>
          <xdr:col>2</xdr:col>
          <xdr:colOff>3124200</xdr:colOff>
          <xdr:row>48</xdr:row>
          <xdr:rowOff>466725</xdr:rowOff>
        </xdr:to>
        <xdr:sp macro="" textlink="">
          <xdr:nvSpPr>
            <xdr:cNvPr id="82955" name="Button 1035" hidden="1">
              <a:extLst>
                <a:ext uri="{63B3BB69-23CF-44E3-9099-C40C66FF867C}">
                  <a14:compatExt spid="_x0000_s82955"/>
                </a:ext>
                <a:ext uri="{FF2B5EF4-FFF2-40B4-BE49-F238E27FC236}">
                  <a16:creationId xmlns:a16="http://schemas.microsoft.com/office/drawing/2014/main" id="{00000000-0008-0000-0400-00000B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Entry Capacity Split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47625</xdr:colOff>
          <xdr:row>48</xdr:row>
          <xdr:rowOff>85725</xdr:rowOff>
        </xdr:from>
        <xdr:to>
          <xdr:col>3</xdr:col>
          <xdr:colOff>3152775</xdr:colOff>
          <xdr:row>48</xdr:row>
          <xdr:rowOff>485775</xdr:rowOff>
        </xdr:to>
        <xdr:sp macro="" textlink="">
          <xdr:nvSpPr>
            <xdr:cNvPr id="82956" name="Button 1036" hidden="1">
              <a:extLst>
                <a:ext uri="{63B3BB69-23CF-44E3-9099-C40C66FF867C}">
                  <a14:compatExt spid="_x0000_s82956"/>
                </a:ext>
                <a:ext uri="{FF2B5EF4-FFF2-40B4-BE49-F238E27FC236}">
                  <a16:creationId xmlns:a16="http://schemas.microsoft.com/office/drawing/2014/main" id="{00000000-0008-0000-0400-00000C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Exit Capacity Split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114300</xdr:colOff>
          <xdr:row>3</xdr:row>
          <xdr:rowOff>57150</xdr:rowOff>
        </xdr:from>
        <xdr:to>
          <xdr:col>2</xdr:col>
          <xdr:colOff>3086100</xdr:colOff>
          <xdr:row>3</xdr:row>
          <xdr:rowOff>485775</xdr:rowOff>
        </xdr:to>
        <xdr:sp macro="" textlink="">
          <xdr:nvSpPr>
            <xdr:cNvPr id="82961" name="Button 1041" hidden="1">
              <a:extLst>
                <a:ext uri="{63B3BB69-23CF-44E3-9099-C40C66FF867C}">
                  <a14:compatExt spid="_x0000_s82961"/>
                </a:ext>
                <a:ext uri="{FF2B5EF4-FFF2-40B4-BE49-F238E27FC236}">
                  <a16:creationId xmlns:a16="http://schemas.microsoft.com/office/drawing/2014/main" id="{00000000-0008-0000-0400-000011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Reset Parameters to Modification UNC0678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123825</xdr:colOff>
          <xdr:row>41</xdr:row>
          <xdr:rowOff>47625</xdr:rowOff>
        </xdr:from>
        <xdr:to>
          <xdr:col>2</xdr:col>
          <xdr:colOff>3000375</xdr:colOff>
          <xdr:row>41</xdr:row>
          <xdr:rowOff>333375</xdr:rowOff>
        </xdr:to>
        <xdr:sp macro="" textlink="">
          <xdr:nvSpPr>
            <xdr:cNvPr id="82965" name="Button 1045" hidden="1">
              <a:extLst>
                <a:ext uri="{63B3BB69-23CF-44E3-9099-C40C66FF867C}">
                  <a14:compatExt spid="_x0000_s82965"/>
                </a:ext>
                <a:ext uri="{FF2B5EF4-FFF2-40B4-BE49-F238E27FC236}">
                  <a16:creationId xmlns:a16="http://schemas.microsoft.com/office/drawing/2014/main" id="{00000000-0008-0000-0400-000015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Entry Probabilities of Interruption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190500</xdr:colOff>
          <xdr:row>41</xdr:row>
          <xdr:rowOff>47625</xdr:rowOff>
        </xdr:from>
        <xdr:to>
          <xdr:col>3</xdr:col>
          <xdr:colOff>3076575</xdr:colOff>
          <xdr:row>41</xdr:row>
          <xdr:rowOff>333375</xdr:rowOff>
        </xdr:to>
        <xdr:sp macro="" textlink="">
          <xdr:nvSpPr>
            <xdr:cNvPr id="82966" name="Button 1046" hidden="1">
              <a:extLst>
                <a:ext uri="{63B3BB69-23CF-44E3-9099-C40C66FF867C}">
                  <a14:compatExt spid="_x0000_s82966"/>
                </a:ext>
                <a:ext uri="{FF2B5EF4-FFF2-40B4-BE49-F238E27FC236}">
                  <a16:creationId xmlns:a16="http://schemas.microsoft.com/office/drawing/2014/main" id="{00000000-0008-0000-0400-000016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Exit Probabilities of Interruption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1066800</xdr:colOff>
          <xdr:row>44</xdr:row>
          <xdr:rowOff>161925</xdr:rowOff>
        </xdr:from>
        <xdr:to>
          <xdr:col>3</xdr:col>
          <xdr:colOff>2238375</xdr:colOff>
          <xdr:row>44</xdr:row>
          <xdr:rowOff>600075</xdr:rowOff>
        </xdr:to>
        <xdr:sp macro="" textlink="">
          <xdr:nvSpPr>
            <xdr:cNvPr id="82968" name="Button 1048" hidden="1">
              <a:extLst>
                <a:ext uri="{63B3BB69-23CF-44E3-9099-C40C66FF867C}">
                  <a14:compatExt spid="_x0000_s82968"/>
                </a:ext>
                <a:ext uri="{FF2B5EF4-FFF2-40B4-BE49-F238E27FC236}">
                  <a16:creationId xmlns:a16="http://schemas.microsoft.com/office/drawing/2014/main" id="{00000000-0008-0000-0400-000018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Calculate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161925</xdr:colOff>
          <xdr:row>45</xdr:row>
          <xdr:rowOff>219075</xdr:rowOff>
        </xdr:from>
        <xdr:to>
          <xdr:col>2</xdr:col>
          <xdr:colOff>3038475</xdr:colOff>
          <xdr:row>45</xdr:row>
          <xdr:rowOff>942975</xdr:rowOff>
        </xdr:to>
        <xdr:sp macro="" textlink="">
          <xdr:nvSpPr>
            <xdr:cNvPr id="82969" name="Model_Type" hidden="1">
              <a:extLst>
                <a:ext uri="{63B3BB69-23CF-44E3-9099-C40C66FF867C}">
                  <a14:compatExt spid="_x0000_s82969"/>
                </a:ext>
                <a:ext uri="{FF2B5EF4-FFF2-40B4-BE49-F238E27FC236}">
                  <a16:creationId xmlns:a16="http://schemas.microsoft.com/office/drawing/2014/main" id="{00000000-0008-0000-0400-000019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View Entry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142875</xdr:colOff>
          <xdr:row>45</xdr:row>
          <xdr:rowOff>200025</xdr:rowOff>
        </xdr:from>
        <xdr:to>
          <xdr:col>3</xdr:col>
          <xdr:colOff>3019425</xdr:colOff>
          <xdr:row>45</xdr:row>
          <xdr:rowOff>923925</xdr:rowOff>
        </xdr:to>
        <xdr:sp macro="" textlink="">
          <xdr:nvSpPr>
            <xdr:cNvPr id="82970" name="Button 1050" hidden="1">
              <a:extLst>
                <a:ext uri="{63B3BB69-23CF-44E3-9099-C40C66FF867C}">
                  <a14:compatExt spid="_x0000_s82970"/>
                </a:ext>
                <a:ext uri="{FF2B5EF4-FFF2-40B4-BE49-F238E27FC236}">
                  <a16:creationId xmlns:a16="http://schemas.microsoft.com/office/drawing/2014/main" id="{00000000-0008-0000-0400-00001A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View Exit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67</xdr:row>
          <xdr:rowOff>76200</xdr:rowOff>
        </xdr:from>
        <xdr:to>
          <xdr:col>2</xdr:col>
          <xdr:colOff>3038475</xdr:colOff>
          <xdr:row>67</xdr:row>
          <xdr:rowOff>504825</xdr:rowOff>
        </xdr:to>
        <xdr:sp macro="" textlink="">
          <xdr:nvSpPr>
            <xdr:cNvPr id="82971" name="Button 1051" hidden="1">
              <a:extLst>
                <a:ext uri="{63B3BB69-23CF-44E3-9099-C40C66FF867C}">
                  <a14:compatExt spid="_x0000_s82971"/>
                </a:ext>
                <a:ext uri="{FF2B5EF4-FFF2-40B4-BE49-F238E27FC236}">
                  <a16:creationId xmlns:a16="http://schemas.microsoft.com/office/drawing/2014/main" id="{00000000-0008-0000-0400-00001B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View Entry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123825</xdr:colOff>
          <xdr:row>67</xdr:row>
          <xdr:rowOff>85725</xdr:rowOff>
        </xdr:from>
        <xdr:to>
          <xdr:col>3</xdr:col>
          <xdr:colOff>3095625</xdr:colOff>
          <xdr:row>67</xdr:row>
          <xdr:rowOff>495300</xdr:rowOff>
        </xdr:to>
        <xdr:sp macro="" textlink="">
          <xdr:nvSpPr>
            <xdr:cNvPr id="82972" name="Button 1052" hidden="1">
              <a:extLst>
                <a:ext uri="{63B3BB69-23CF-44E3-9099-C40C66FF867C}">
                  <a14:compatExt spid="_x0000_s82972"/>
                </a:ext>
                <a:ext uri="{FF2B5EF4-FFF2-40B4-BE49-F238E27FC236}">
                  <a16:creationId xmlns:a16="http://schemas.microsoft.com/office/drawing/2014/main" id="{00000000-0008-0000-0400-00001C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View Exit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495300</xdr:colOff>
          <xdr:row>60</xdr:row>
          <xdr:rowOff>38100</xdr:rowOff>
        </xdr:from>
        <xdr:to>
          <xdr:col>3</xdr:col>
          <xdr:colOff>2714625</xdr:colOff>
          <xdr:row>60</xdr:row>
          <xdr:rowOff>409575</xdr:rowOff>
        </xdr:to>
        <xdr:sp macro="" textlink="">
          <xdr:nvSpPr>
            <xdr:cNvPr id="82973" name="Button 1053" hidden="1">
              <a:extLst>
                <a:ext uri="{63B3BB69-23CF-44E3-9099-C40C66FF867C}">
                  <a14:compatExt spid="_x0000_s82973"/>
                </a:ext>
                <a:ext uri="{FF2B5EF4-FFF2-40B4-BE49-F238E27FC236}">
                  <a16:creationId xmlns:a16="http://schemas.microsoft.com/office/drawing/2014/main" id="{00000000-0008-0000-0400-00001D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Calculate Adjustments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142875</xdr:colOff>
          <xdr:row>71</xdr:row>
          <xdr:rowOff>85725</xdr:rowOff>
        </xdr:from>
        <xdr:to>
          <xdr:col>2</xdr:col>
          <xdr:colOff>3038475</xdr:colOff>
          <xdr:row>71</xdr:row>
          <xdr:rowOff>523875</xdr:rowOff>
        </xdr:to>
        <xdr:sp macro="" textlink="">
          <xdr:nvSpPr>
            <xdr:cNvPr id="82974" name="Button 1054" hidden="1">
              <a:extLst>
                <a:ext uri="{63B3BB69-23CF-44E3-9099-C40C66FF867C}">
                  <a14:compatExt spid="_x0000_s82974"/>
                </a:ext>
                <a:ext uri="{FF2B5EF4-FFF2-40B4-BE49-F238E27FC236}">
                  <a16:creationId xmlns:a16="http://schemas.microsoft.com/office/drawing/2014/main" id="{00000000-0008-0000-0400-00001E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Anticipated Entry Revenue Recovery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85725</xdr:colOff>
          <xdr:row>71</xdr:row>
          <xdr:rowOff>76200</xdr:rowOff>
        </xdr:from>
        <xdr:to>
          <xdr:col>3</xdr:col>
          <xdr:colOff>3171825</xdr:colOff>
          <xdr:row>71</xdr:row>
          <xdr:rowOff>504825</xdr:rowOff>
        </xdr:to>
        <xdr:sp macro="" textlink="">
          <xdr:nvSpPr>
            <xdr:cNvPr id="82975" name="Button 1055" hidden="1">
              <a:extLst>
                <a:ext uri="{63B3BB69-23CF-44E3-9099-C40C66FF867C}">
                  <a14:compatExt spid="_x0000_s82975"/>
                </a:ext>
                <a:ext uri="{FF2B5EF4-FFF2-40B4-BE49-F238E27FC236}">
                  <a16:creationId xmlns:a16="http://schemas.microsoft.com/office/drawing/2014/main" id="{00000000-0008-0000-0400-00001F4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Anticipated Exit Revenue Recovery</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0</xdr:row>
          <xdr:rowOff>180975</xdr:rowOff>
        </xdr:from>
        <xdr:to>
          <xdr:col>9</xdr:col>
          <xdr:colOff>9525</xdr:colOff>
          <xdr:row>2</xdr:row>
          <xdr:rowOff>180975</xdr:rowOff>
        </xdr:to>
        <xdr:sp macro="" textlink="">
          <xdr:nvSpPr>
            <xdr:cNvPr id="59394" name="Button 2" hidden="1">
              <a:extLst>
                <a:ext uri="{63B3BB69-23CF-44E3-9099-C40C66FF867C}">
                  <a14:compatExt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Return to User Inputs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28575</xdr:colOff>
          <xdr:row>0</xdr:row>
          <xdr:rowOff>180975</xdr:rowOff>
        </xdr:from>
        <xdr:to>
          <xdr:col>9</xdr:col>
          <xdr:colOff>28575</xdr:colOff>
          <xdr:row>2</xdr:row>
          <xdr:rowOff>180975</xdr:rowOff>
        </xdr:to>
        <xdr:sp macro="" textlink="">
          <xdr:nvSpPr>
            <xdr:cNvPr id="60418" name="Button 2" hidden="1">
              <a:extLst>
                <a:ext uri="{63B3BB69-23CF-44E3-9099-C40C66FF867C}">
                  <a14:compatExt spid="_x0000_s60418"/>
                </a:ext>
                <a:ext uri="{FF2B5EF4-FFF2-40B4-BE49-F238E27FC236}">
                  <a16:creationId xmlns:a16="http://schemas.microsoft.com/office/drawing/2014/main" id="{00000000-0008-0000-0600-000002E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Return to User Inputs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885825</xdr:colOff>
          <xdr:row>2</xdr:row>
          <xdr:rowOff>352425</xdr:rowOff>
        </xdr:from>
        <xdr:to>
          <xdr:col>0</xdr:col>
          <xdr:colOff>2867025</xdr:colOff>
          <xdr:row>5</xdr:row>
          <xdr:rowOff>104775</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B00-00000108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Back to User Inputs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419100</xdr:colOff>
          <xdr:row>2</xdr:row>
          <xdr:rowOff>19050</xdr:rowOff>
        </xdr:from>
        <xdr:to>
          <xdr:col>0</xdr:col>
          <xdr:colOff>2266950</xdr:colOff>
          <xdr:row>5</xdr:row>
          <xdr:rowOff>47625</xdr:rowOff>
        </xdr:to>
        <xdr:sp macro="" textlink="">
          <xdr:nvSpPr>
            <xdr:cNvPr id="134145" name="Button 1" hidden="1">
              <a:extLst>
                <a:ext uri="{63B3BB69-23CF-44E3-9099-C40C66FF867C}">
                  <a14:compatExt spid="_x0000_s134145"/>
                </a:ext>
                <a:ext uri="{FF2B5EF4-FFF2-40B4-BE49-F238E27FC236}">
                  <a16:creationId xmlns:a16="http://schemas.microsoft.com/office/drawing/2014/main" id="{00000000-0008-0000-1C00-0000010C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Back to User Inputs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152400</xdr:colOff>
          <xdr:row>2</xdr:row>
          <xdr:rowOff>161925</xdr:rowOff>
        </xdr:from>
        <xdr:to>
          <xdr:col>8</xdr:col>
          <xdr:colOff>1123950</xdr:colOff>
          <xdr:row>5</xdr:row>
          <xdr:rowOff>180975</xdr:rowOff>
        </xdr:to>
        <xdr:sp macro="" textlink="">
          <xdr:nvSpPr>
            <xdr:cNvPr id="134146" name="Button 2" hidden="1">
              <a:extLst>
                <a:ext uri="{63B3BB69-23CF-44E3-9099-C40C66FF867C}">
                  <a14:compatExt spid="_x0000_s134146"/>
                </a:ext>
                <a:ext uri="{FF2B5EF4-FFF2-40B4-BE49-F238E27FC236}">
                  <a16:creationId xmlns:a16="http://schemas.microsoft.com/office/drawing/2014/main" id="{00000000-0008-0000-1C00-0000020C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Back to User Inputs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647700</xdr:colOff>
          <xdr:row>3</xdr:row>
          <xdr:rowOff>38100</xdr:rowOff>
        </xdr:from>
        <xdr:to>
          <xdr:col>10</xdr:col>
          <xdr:colOff>714375</xdr:colOff>
          <xdr:row>7</xdr:row>
          <xdr:rowOff>47625</xdr:rowOff>
        </xdr:to>
        <xdr:sp macro="" textlink="">
          <xdr:nvSpPr>
            <xdr:cNvPr id="43010" name="Button 2" hidden="1">
              <a:extLst>
                <a:ext uri="{63B3BB69-23CF-44E3-9099-C40C66FF867C}">
                  <a14:compatExt spid="_x0000_s43010"/>
                </a:ext>
                <a:ext uri="{FF2B5EF4-FFF2-40B4-BE49-F238E27FC236}">
                  <a16:creationId xmlns:a16="http://schemas.microsoft.com/office/drawing/2014/main" id="{00000000-0008-0000-1D00-000002A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Back to User Inputs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228600</xdr:colOff>
          <xdr:row>230</xdr:row>
          <xdr:rowOff>38100</xdr:rowOff>
        </xdr:from>
        <xdr:to>
          <xdr:col>10</xdr:col>
          <xdr:colOff>180975</xdr:colOff>
          <xdr:row>232</xdr:row>
          <xdr:rowOff>47625</xdr:rowOff>
        </xdr:to>
        <xdr:sp macro="" textlink="">
          <xdr:nvSpPr>
            <xdr:cNvPr id="44034" name="Button 2" hidden="1">
              <a:extLst>
                <a:ext uri="{63B3BB69-23CF-44E3-9099-C40C66FF867C}">
                  <a14:compatExt spid="_x0000_s44034"/>
                </a:ext>
                <a:ext uri="{FF2B5EF4-FFF2-40B4-BE49-F238E27FC236}">
                  <a16:creationId xmlns:a16="http://schemas.microsoft.com/office/drawing/2014/main" id="{00000000-0008-0000-1E00-000002A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Back to User Inputs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xdr:row>
          <xdr:rowOff>104775</xdr:rowOff>
        </xdr:from>
        <xdr:to>
          <xdr:col>9</xdr:col>
          <xdr:colOff>828675</xdr:colOff>
          <xdr:row>7</xdr:row>
          <xdr:rowOff>114300</xdr:rowOff>
        </xdr:to>
        <xdr:sp macro="" textlink="">
          <xdr:nvSpPr>
            <xdr:cNvPr id="44035" name="Button 3" hidden="1">
              <a:extLst>
                <a:ext uri="{63B3BB69-23CF-44E3-9099-C40C66FF867C}">
                  <a14:compatExt spid="_x0000_s44035"/>
                </a:ext>
                <a:ext uri="{FF2B5EF4-FFF2-40B4-BE49-F238E27FC236}">
                  <a16:creationId xmlns:a16="http://schemas.microsoft.com/office/drawing/2014/main" id="{00000000-0008-0000-1E00-000003A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Back to User Inputs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123825</xdr:colOff>
          <xdr:row>1</xdr:row>
          <xdr:rowOff>57150</xdr:rowOff>
        </xdr:from>
        <xdr:to>
          <xdr:col>4</xdr:col>
          <xdr:colOff>2076450</xdr:colOff>
          <xdr:row>1</xdr:row>
          <xdr:rowOff>790575</xdr:rowOff>
        </xdr:to>
        <xdr:sp macro="" textlink="">
          <xdr:nvSpPr>
            <xdr:cNvPr id="111624" name="Button 8" hidden="1">
              <a:extLst>
                <a:ext uri="{63B3BB69-23CF-44E3-9099-C40C66FF867C}">
                  <a14:compatExt spid="_x0000_s111624"/>
                </a:ext>
                <a:ext uri="{FF2B5EF4-FFF2-40B4-BE49-F238E27FC236}">
                  <a16:creationId xmlns:a16="http://schemas.microsoft.com/office/drawing/2014/main" id="{00000000-0008-0000-1F00-000008B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Back to User Inputs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asgov-mst-files.s3.eu-west-1.amazonaws.com/Users/Colin.Williams/AppData/Local/Microsoft/Windows/Temporary%20Internet%20Files/Content.Outlook/K9657EMT/Transmission%20Services%20CWD%20Model%20v1.3%20capacity%20spli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Model Assumptions"/>
      <sheetName val="Tariff Network Code Calculation"/>
      <sheetName val="Drop Down Inputs"/>
      <sheetName val="User Inputs"/>
      <sheetName val="Entry Interruption Prob's"/>
      <sheetName val="Exit Interruption Prob's"/>
      <sheetName val="Revenue Input"/>
      <sheetName val="Locations &amp; Types"/>
      <sheetName val="Existing Contracts - Entry"/>
      <sheetName val="16-17 FCC - Entry"/>
      <sheetName val="17-18 FCC - Entry"/>
      <sheetName val="18-19 FCC - Entry"/>
      <sheetName val="19-20 FCC - Entry"/>
      <sheetName val="16-17 FCC - Exit"/>
      <sheetName val="17-18 FCC - Exit"/>
      <sheetName val="18-19 FCC - Exit"/>
      <sheetName val="19-20 FCC - Exit"/>
      <sheetName val="Distance Matrix"/>
      <sheetName val="Distances En-En"/>
      <sheetName val="Distances Ex-Ex"/>
      <sheetName val="Nearest Location Prices"/>
      <sheetName val="Entry Prices"/>
      <sheetName val="Exit Prices"/>
      <sheetName val="Entry Adjustment Calcs"/>
      <sheetName val="CRRC Inputs - Entry"/>
      <sheetName val="CRRC Inputs - Exit"/>
      <sheetName val="Entry Capacity Split"/>
      <sheetName val="Exit Adjustment Calcs"/>
      <sheetName val="Exit Capacity Split"/>
      <sheetName val="Entry Anticipated Rev. Recovery"/>
      <sheetName val="Anticipated Entry Bookings"/>
      <sheetName val="Adjustment Denominators - Entry"/>
      <sheetName val="Exit Anticipated Rev. Recovery"/>
      <sheetName val="Anticipated Exit Bookings"/>
      <sheetName val="Adjustment Denominators - Exit"/>
      <sheetName val="Current Entry Capacity Charges"/>
      <sheetName val="Current Exit Capacity Charges"/>
      <sheetName val="Current Commodity Charges"/>
      <sheetName val="CWD Entry Capacity prices"/>
      <sheetName val="CWD Exit Capacity prices"/>
    </sheetNames>
    <sheetDataSet>
      <sheetData sheetId="0"/>
      <sheetData sheetId="1"/>
      <sheetData sheetId="2"/>
      <sheetData sheetId="3">
        <row r="2">
          <cell r="A2" t="str">
            <v>Historical Sold Entry Capacity Levels</v>
          </cell>
          <cell r="C2" t="str">
            <v>Revenue</v>
          </cell>
          <cell r="E2" t="str">
            <v>Historical Sold Exit Capacity Levels</v>
          </cell>
          <cell r="G2" t="str">
            <v>Yes</v>
          </cell>
          <cell r="I2" t="str">
            <v>Historical Entry Flow Levels</v>
          </cell>
          <cell r="K2" t="str">
            <v>Historical Exit Flow Levels</v>
          </cell>
        </row>
        <row r="3">
          <cell r="A3" t="str">
            <v>Historical Entry Flow Levels</v>
          </cell>
          <cell r="C3" t="str">
            <v>Unit Reference Price</v>
          </cell>
          <cell r="E3" t="str">
            <v>Historical Exit Flow Levels</v>
          </cell>
          <cell r="G3" t="str">
            <v>No</v>
          </cell>
          <cell r="I3" t="str">
            <v>Forecast Entry Flow Levels</v>
          </cell>
          <cell r="K3" t="str">
            <v>Forecast Exit Flow Levels</v>
          </cell>
        </row>
        <row r="4">
          <cell r="A4" t="str">
            <v>Forecast Entry Capacity</v>
          </cell>
          <cell r="C4" t="str">
            <v>Unit Reserve Price</v>
          </cell>
          <cell r="E4" t="str">
            <v>Forecast Exit Capacity</v>
          </cell>
        </row>
        <row r="5">
          <cell r="A5" t="str">
            <v>Forecast Entry Flow Levels</v>
          </cell>
          <cell r="C5" t="str">
            <v>Scaling Factor</v>
          </cell>
          <cell r="E5" t="str">
            <v>Forecast Exit Flow Levels</v>
          </cell>
        </row>
        <row r="6">
          <cell r="C6" t="str">
            <v>CRRC</v>
          </cell>
        </row>
        <row r="15">
          <cell r="A15" t="str">
            <v>01-Oct-2016 to 30-Sep-2017</v>
          </cell>
        </row>
        <row r="16">
          <cell r="A16" t="str">
            <v>01-Oct-2017 to 30-Sep-2018</v>
          </cell>
        </row>
        <row r="17">
          <cell r="A17" t="str">
            <v>01-Oct-2018 to 30-Sep-2019</v>
          </cell>
        </row>
        <row r="18">
          <cell r="A18" t="str">
            <v>01-Oct-2019 to 30-Sep-2020</v>
          </cell>
        </row>
        <row r="23">
          <cell r="A23" t="str">
            <v>Historical Sold Entry Capacity Levels</v>
          </cell>
          <cell r="C23" t="str">
            <v>Historical Sold Exit Capacity Levels</v>
          </cell>
        </row>
        <row r="24">
          <cell r="A24" t="str">
            <v>Historical Entry Flow Levels</v>
          </cell>
          <cell r="C24" t="str">
            <v>Historical Exit Flow Levels</v>
          </cell>
        </row>
        <row r="25">
          <cell r="A25" t="str">
            <v>Anticipated Entry Capacity Bookings</v>
          </cell>
          <cell r="C25" t="str">
            <v>Anticipated Exit Capacity Bookings</v>
          </cell>
        </row>
        <row r="26">
          <cell r="A26" t="str">
            <v>Forecast Entry Flow Levels</v>
          </cell>
          <cell r="C26" t="str">
            <v>Forecast Exit Flow Levels</v>
          </cell>
        </row>
      </sheetData>
      <sheetData sheetId="4"/>
      <sheetData sheetId="5"/>
      <sheetData sheetId="6"/>
      <sheetData sheetId="7"/>
      <sheetData sheetId="8"/>
      <sheetData sheetId="9"/>
      <sheetData sheetId="10">
        <row r="1">
          <cell r="C1" t="str">
            <v>Obligated Entry Capacity</v>
          </cell>
          <cell r="D1" t="str">
            <v>Non-Incremental Obligated Entry Capacity</v>
          </cell>
          <cell r="E1" t="str">
            <v>Historical Sold Entry Capacity Levels</v>
          </cell>
          <cell r="F1" t="str">
            <v>Historical Entry Flow Levels</v>
          </cell>
        </row>
      </sheetData>
      <sheetData sheetId="11"/>
      <sheetData sheetId="12"/>
      <sheetData sheetId="13"/>
      <sheetData sheetId="14">
        <row r="1">
          <cell r="C1" t="str">
            <v>Obligated Exit Capacity</v>
          </cell>
          <cell r="D1" t="str">
            <v>Non-Incremental Obligated Exit Capacity</v>
          </cell>
          <cell r="E1" t="str">
            <v>Historical Sold Exit Capacity Levels</v>
          </cell>
          <cell r="F1" t="str">
            <v>Historical Exit Flow Levels</v>
          </cell>
        </row>
      </sheetData>
      <sheetData sheetId="15"/>
      <sheetData sheetId="16"/>
      <sheetData sheetId="17"/>
      <sheetData sheetId="18"/>
      <sheetData sheetId="19"/>
      <sheetData sheetId="20"/>
      <sheetData sheetId="21"/>
      <sheetData sheetId="22">
        <row r="2">
          <cell r="A2" t="str">
            <v>Avonmouth</v>
          </cell>
        </row>
      </sheetData>
      <sheetData sheetId="23">
        <row r="2">
          <cell r="A2" t="str">
            <v>Aberdeen</v>
          </cell>
        </row>
      </sheetData>
      <sheetData sheetId="24"/>
      <sheetData sheetId="25"/>
      <sheetData sheetId="26"/>
      <sheetData sheetId="27"/>
      <sheetData sheetId="28"/>
      <sheetData sheetId="29"/>
      <sheetData sheetId="30"/>
      <sheetData sheetId="31">
        <row r="1">
          <cell r="C1" t="str">
            <v>Obligated Entry Capacity</v>
          </cell>
          <cell r="D1" t="str">
            <v>Non-Incremental Obligated Entry Capacity</v>
          </cell>
          <cell r="E1" t="str">
            <v>Historical Sold Entry Capacity Levels</v>
          </cell>
          <cell r="F1" t="str">
            <v>Historical Entry Flow Levels</v>
          </cell>
          <cell r="G1" t="str">
            <v>User Input Capacity Levels</v>
          </cell>
        </row>
      </sheetData>
      <sheetData sheetId="32"/>
      <sheetData sheetId="33"/>
      <sheetData sheetId="34">
        <row r="1">
          <cell r="B1" t="str">
            <v>Obligated Exit Capacity</v>
          </cell>
          <cell r="C1" t="str">
            <v>Non-Incremental Obligated Exit Capacity</v>
          </cell>
          <cell r="D1" t="str">
            <v>Historical Sold Exit Capacity Levels</v>
          </cell>
          <cell r="E1" t="str">
            <v>Historical Exit Flow Levels</v>
          </cell>
          <cell r="F1" t="str">
            <v>User Input Capacity Levels</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trlProp" Target="../ctrlProps/ctrlProp1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trlProp" Target="../ctrlProps/ctrlProp1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5.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trlProp" Target="../ctrlProps/ctrlProp2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trlProp" Target="../ctrlProps/ctrlProp2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trlProp" Target="../ctrlProps/ctrlProp2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trlProp" Target="../ctrlProps/ctrlProp2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8" tint="0.79998168889431442"/>
  </sheetPr>
  <dimension ref="A1:R33"/>
  <sheetViews>
    <sheetView tabSelected="1" zoomScale="90" zoomScaleNormal="90" workbookViewId="0">
      <selection activeCell="R5" sqref="R5"/>
    </sheetView>
  </sheetViews>
  <sheetFormatPr defaultColWidth="8.85546875" defaultRowHeight="15"/>
  <cols>
    <col min="5" max="5" width="14.7109375" customWidth="1"/>
    <col min="16" max="16" width="26.85546875" customWidth="1"/>
    <col min="17" max="17" width="10.42578125" customWidth="1"/>
  </cols>
  <sheetData>
    <row r="1" spans="1:18" ht="27" thickBot="1">
      <c r="A1" s="90"/>
      <c r="B1" s="90"/>
      <c r="C1" s="90"/>
      <c r="D1" s="90"/>
      <c r="E1" s="90"/>
      <c r="F1" s="91"/>
      <c r="G1" s="91"/>
      <c r="H1" s="90"/>
      <c r="I1" s="90"/>
      <c r="J1" s="90"/>
      <c r="K1" s="90"/>
      <c r="L1" s="90"/>
      <c r="M1" s="90"/>
      <c r="N1" s="90"/>
      <c r="O1" s="90"/>
      <c r="P1" s="90"/>
      <c r="Q1" s="90"/>
      <c r="R1" s="90"/>
    </row>
    <row r="2" spans="1:18" ht="15.75">
      <c r="A2" s="92"/>
      <c r="B2" s="93"/>
      <c r="C2" s="94"/>
      <c r="D2" s="94"/>
      <c r="E2" s="94"/>
      <c r="F2" s="95"/>
      <c r="G2" s="95"/>
      <c r="H2" s="96"/>
      <c r="I2" s="96"/>
      <c r="J2" s="96"/>
      <c r="K2" s="96"/>
      <c r="L2" s="96"/>
      <c r="M2" s="96"/>
      <c r="N2" s="96"/>
      <c r="O2" s="96"/>
      <c r="P2" s="96"/>
      <c r="Q2" s="97"/>
      <c r="R2" s="90"/>
    </row>
    <row r="3" spans="1:18" ht="30">
      <c r="A3" s="98"/>
      <c r="B3" s="422" t="s">
        <v>393</v>
      </c>
      <c r="C3" s="423"/>
      <c r="D3" s="423"/>
      <c r="E3" s="423"/>
      <c r="F3" s="423"/>
      <c r="G3" s="423"/>
      <c r="H3" s="423"/>
      <c r="I3" s="423"/>
      <c r="J3" s="423"/>
      <c r="K3" s="423"/>
      <c r="L3" s="423"/>
      <c r="M3" s="423"/>
      <c r="N3" s="423"/>
      <c r="O3" s="423"/>
      <c r="P3" s="423"/>
      <c r="Q3" s="424"/>
      <c r="R3" s="90"/>
    </row>
    <row r="4" spans="1:18" ht="18">
      <c r="A4" s="99"/>
      <c r="B4" s="100"/>
      <c r="C4" s="101"/>
      <c r="D4" s="101"/>
      <c r="E4" s="101"/>
      <c r="F4" s="102"/>
      <c r="G4" s="102"/>
      <c r="H4" s="103"/>
      <c r="I4" s="104"/>
      <c r="J4" s="104"/>
      <c r="K4" s="104"/>
      <c r="L4" s="104"/>
      <c r="M4" s="104"/>
      <c r="N4" s="104"/>
      <c r="O4" s="104"/>
      <c r="P4" s="104"/>
      <c r="Q4" s="105"/>
      <c r="R4" s="90"/>
    </row>
    <row r="5" spans="1:18" ht="23.25">
      <c r="A5" s="99"/>
      <c r="B5" s="425" t="s">
        <v>399</v>
      </c>
      <c r="C5" s="426"/>
      <c r="D5" s="426"/>
      <c r="E5" s="426"/>
      <c r="F5" s="426"/>
      <c r="G5" s="426"/>
      <c r="H5" s="426"/>
      <c r="I5" s="426"/>
      <c r="J5" s="426"/>
      <c r="K5" s="426"/>
      <c r="L5" s="426"/>
      <c r="M5" s="426"/>
      <c r="N5" s="426"/>
      <c r="O5" s="426"/>
      <c r="P5" s="426"/>
      <c r="Q5" s="427"/>
      <c r="R5" s="90"/>
    </row>
    <row r="6" spans="1:18" ht="18">
      <c r="A6" s="99"/>
      <c r="B6" s="428" t="s">
        <v>400</v>
      </c>
      <c r="C6" s="429"/>
      <c r="D6" s="429"/>
      <c r="E6" s="429"/>
      <c r="F6" s="429"/>
      <c r="G6" s="429"/>
      <c r="H6" s="429"/>
      <c r="I6" s="429"/>
      <c r="J6" s="429"/>
      <c r="K6" s="429"/>
      <c r="L6" s="429"/>
      <c r="M6" s="429"/>
      <c r="N6" s="429"/>
      <c r="O6" s="429"/>
      <c r="P6" s="429"/>
      <c r="Q6" s="430"/>
      <c r="R6" s="90"/>
    </row>
    <row r="7" spans="1:18" ht="18">
      <c r="A7" s="99"/>
      <c r="B7" s="428" t="s">
        <v>552</v>
      </c>
      <c r="C7" s="429"/>
      <c r="D7" s="429"/>
      <c r="E7" s="429"/>
      <c r="F7" s="429"/>
      <c r="G7" s="429"/>
      <c r="H7" s="429"/>
      <c r="I7" s="429"/>
      <c r="J7" s="429"/>
      <c r="K7" s="429"/>
      <c r="L7" s="429"/>
      <c r="M7" s="429"/>
      <c r="N7" s="429"/>
      <c r="O7" s="429"/>
      <c r="P7" s="429"/>
      <c r="Q7" s="430"/>
      <c r="R7" s="90"/>
    </row>
    <row r="8" spans="1:18" ht="18">
      <c r="A8" s="99"/>
      <c r="B8" s="106"/>
      <c r="C8" s="107"/>
      <c r="D8" s="107"/>
      <c r="E8" s="107"/>
      <c r="F8" s="101"/>
      <c r="G8" s="102"/>
      <c r="H8" s="103"/>
      <c r="I8" s="104"/>
      <c r="J8" s="104"/>
      <c r="K8" s="104"/>
      <c r="L8" s="104"/>
      <c r="M8" s="104"/>
      <c r="N8" s="104"/>
      <c r="O8" s="104"/>
      <c r="P8" s="104"/>
      <c r="Q8" s="105"/>
      <c r="R8" s="90"/>
    </row>
    <row r="9" spans="1:18" ht="15.75" customHeight="1">
      <c r="A9" s="90"/>
      <c r="B9" s="100"/>
      <c r="C9" s="431" t="s">
        <v>394</v>
      </c>
      <c r="D9" s="432"/>
      <c r="E9" s="433"/>
      <c r="F9" s="440" t="s">
        <v>556</v>
      </c>
      <c r="G9" s="441"/>
      <c r="H9" s="441"/>
      <c r="I9" s="441"/>
      <c r="J9" s="441"/>
      <c r="K9" s="441"/>
      <c r="L9" s="441"/>
      <c r="M9" s="441"/>
      <c r="N9" s="441"/>
      <c r="O9" s="442"/>
      <c r="P9" s="104"/>
      <c r="Q9" s="105"/>
      <c r="R9" s="90"/>
    </row>
    <row r="10" spans="1:18" ht="15.75">
      <c r="A10" s="90"/>
      <c r="B10" s="100"/>
      <c r="C10" s="434"/>
      <c r="D10" s="435"/>
      <c r="E10" s="436"/>
      <c r="F10" s="443"/>
      <c r="G10" s="444"/>
      <c r="H10" s="444"/>
      <c r="I10" s="444"/>
      <c r="J10" s="444"/>
      <c r="K10" s="444"/>
      <c r="L10" s="444"/>
      <c r="M10" s="444"/>
      <c r="N10" s="444"/>
      <c r="O10" s="445"/>
      <c r="P10" s="104"/>
      <c r="Q10" s="105"/>
      <c r="R10" s="90"/>
    </row>
    <row r="11" spans="1:18" ht="15.75">
      <c r="A11" s="90"/>
      <c r="B11" s="106"/>
      <c r="C11" s="434"/>
      <c r="D11" s="435"/>
      <c r="E11" s="436"/>
      <c r="F11" s="443"/>
      <c r="G11" s="444"/>
      <c r="H11" s="444"/>
      <c r="I11" s="444"/>
      <c r="J11" s="444"/>
      <c r="K11" s="444"/>
      <c r="L11" s="444"/>
      <c r="M11" s="444"/>
      <c r="N11" s="444"/>
      <c r="O11" s="445"/>
      <c r="P11" s="104"/>
      <c r="Q11" s="105"/>
      <c r="R11" s="90"/>
    </row>
    <row r="12" spans="1:18" ht="15.75">
      <c r="A12" s="90"/>
      <c r="B12" s="106"/>
      <c r="C12" s="434"/>
      <c r="D12" s="435"/>
      <c r="E12" s="436"/>
      <c r="F12" s="443"/>
      <c r="G12" s="444"/>
      <c r="H12" s="444"/>
      <c r="I12" s="444"/>
      <c r="J12" s="444"/>
      <c r="K12" s="444"/>
      <c r="L12" s="444"/>
      <c r="M12" s="444"/>
      <c r="N12" s="444"/>
      <c r="O12" s="445"/>
      <c r="P12" s="104"/>
      <c r="Q12" s="105"/>
      <c r="R12" s="90"/>
    </row>
    <row r="13" spans="1:18" ht="39.75" customHeight="1">
      <c r="A13" s="90"/>
      <c r="B13" s="106"/>
      <c r="C13" s="437"/>
      <c r="D13" s="438"/>
      <c r="E13" s="439"/>
      <c r="F13" s="446"/>
      <c r="G13" s="447"/>
      <c r="H13" s="447"/>
      <c r="I13" s="447"/>
      <c r="J13" s="447"/>
      <c r="K13" s="447"/>
      <c r="L13" s="447"/>
      <c r="M13" s="447"/>
      <c r="N13" s="447"/>
      <c r="O13" s="448"/>
      <c r="P13" s="104"/>
      <c r="Q13" s="105"/>
      <c r="R13" s="90"/>
    </row>
    <row r="14" spans="1:18" ht="16.5" thickBot="1">
      <c r="A14" s="90"/>
      <c r="B14" s="108"/>
      <c r="C14" s="109"/>
      <c r="D14" s="110"/>
      <c r="E14" s="110"/>
      <c r="F14" s="111"/>
      <c r="G14" s="111"/>
      <c r="H14" s="112"/>
      <c r="I14" s="112"/>
      <c r="J14" s="112"/>
      <c r="K14" s="112"/>
      <c r="L14" s="112"/>
      <c r="M14" s="112"/>
      <c r="N14" s="112"/>
      <c r="O14" s="112"/>
      <c r="P14" s="112"/>
      <c r="Q14" s="113"/>
      <c r="R14" s="90"/>
    </row>
    <row r="15" spans="1:18" ht="16.5" thickBot="1">
      <c r="A15" s="114"/>
      <c r="B15" s="115"/>
      <c r="C15" s="116"/>
      <c r="D15" s="117"/>
      <c r="E15" s="117"/>
      <c r="F15" s="115"/>
      <c r="G15" s="115"/>
      <c r="H15" s="114"/>
      <c r="I15" s="114"/>
      <c r="J15" s="114"/>
      <c r="K15" s="114"/>
      <c r="L15" s="114"/>
      <c r="M15" s="114"/>
      <c r="N15" s="114"/>
      <c r="O15" s="114"/>
      <c r="P15" s="114"/>
      <c r="Q15" s="114"/>
      <c r="R15" s="114"/>
    </row>
    <row r="16" spans="1:18" ht="15.75">
      <c r="A16" s="90"/>
      <c r="B16" s="93"/>
      <c r="C16" s="118"/>
      <c r="D16" s="119"/>
      <c r="E16" s="119"/>
      <c r="F16" s="94"/>
      <c r="G16" s="94"/>
      <c r="H16" s="96"/>
      <c r="I16" s="96"/>
      <c r="J16" s="96"/>
      <c r="K16" s="96"/>
      <c r="L16" s="96"/>
      <c r="M16" s="96"/>
      <c r="N16" s="96"/>
      <c r="O16" s="96"/>
      <c r="P16" s="96"/>
      <c r="Q16" s="97"/>
      <c r="R16" s="90"/>
    </row>
    <row r="17" spans="1:18" ht="15" customHeight="1">
      <c r="A17" s="90"/>
      <c r="B17" s="170"/>
      <c r="C17" s="402" t="s">
        <v>553</v>
      </c>
      <c r="D17" s="403"/>
      <c r="E17" s="403"/>
      <c r="F17" s="403"/>
      <c r="G17" s="403"/>
      <c r="H17" s="403"/>
      <c r="I17" s="403"/>
      <c r="J17" s="403"/>
      <c r="K17" s="403"/>
      <c r="L17" s="403"/>
      <c r="M17" s="403"/>
      <c r="N17" s="403"/>
      <c r="O17" s="403"/>
      <c r="P17" s="404"/>
      <c r="Q17" s="105"/>
      <c r="R17" s="90"/>
    </row>
    <row r="18" spans="1:18" ht="15.75">
      <c r="A18" s="90"/>
      <c r="B18" s="170"/>
      <c r="C18" s="405"/>
      <c r="D18" s="405"/>
      <c r="E18" s="405"/>
      <c r="F18" s="405"/>
      <c r="G18" s="405"/>
      <c r="H18" s="405"/>
      <c r="I18" s="405"/>
      <c r="J18" s="405"/>
      <c r="K18" s="405"/>
      <c r="L18" s="405"/>
      <c r="M18" s="405"/>
      <c r="N18" s="405"/>
      <c r="O18" s="405"/>
      <c r="P18" s="406"/>
      <c r="Q18" s="105"/>
      <c r="R18" s="90"/>
    </row>
    <row r="19" spans="1:18" ht="117" customHeight="1">
      <c r="A19" s="90"/>
      <c r="B19" s="170"/>
      <c r="C19" s="407"/>
      <c r="D19" s="407"/>
      <c r="E19" s="407"/>
      <c r="F19" s="407"/>
      <c r="G19" s="407"/>
      <c r="H19" s="407"/>
      <c r="I19" s="407"/>
      <c r="J19" s="407"/>
      <c r="K19" s="407"/>
      <c r="L19" s="407"/>
      <c r="M19" s="407"/>
      <c r="N19" s="407"/>
      <c r="O19" s="407"/>
      <c r="P19" s="408"/>
      <c r="Q19" s="105"/>
      <c r="R19" s="90"/>
    </row>
    <row r="20" spans="1:18" ht="16.5" thickBot="1">
      <c r="A20" s="90"/>
      <c r="B20" s="108"/>
      <c r="C20" s="109"/>
      <c r="D20" s="110"/>
      <c r="E20" s="110"/>
      <c r="F20" s="111"/>
      <c r="G20" s="111"/>
      <c r="H20" s="112"/>
      <c r="I20" s="112"/>
      <c r="J20" s="112"/>
      <c r="K20" s="112"/>
      <c r="L20" s="112"/>
      <c r="M20" s="112"/>
      <c r="N20" s="112"/>
      <c r="O20" s="112"/>
      <c r="P20" s="112"/>
      <c r="Q20" s="113"/>
      <c r="R20" s="90"/>
    </row>
    <row r="21" spans="1:18" ht="15.75">
      <c r="A21" s="120"/>
      <c r="B21" s="120"/>
      <c r="C21" s="121"/>
      <c r="D21" s="122"/>
      <c r="E21" s="122"/>
      <c r="F21" s="120"/>
      <c r="G21" s="120"/>
      <c r="H21" s="120"/>
      <c r="I21" s="120"/>
      <c r="J21" s="120"/>
      <c r="K21" s="120"/>
      <c r="L21" s="120"/>
      <c r="M21" s="120"/>
      <c r="N21" s="120"/>
      <c r="O21" s="120"/>
      <c r="P21" s="120"/>
      <c r="Q21" s="120"/>
      <c r="R21" s="120"/>
    </row>
    <row r="22" spans="1:18" ht="16.5" thickBot="1">
      <c r="A22" s="114"/>
      <c r="B22" s="115"/>
      <c r="C22" s="116"/>
      <c r="D22" s="117"/>
      <c r="E22" s="117"/>
      <c r="F22" s="115"/>
      <c r="G22" s="115"/>
      <c r="H22" s="114"/>
      <c r="I22" s="114"/>
      <c r="J22" s="114"/>
      <c r="K22" s="114"/>
      <c r="L22" s="114"/>
      <c r="M22" s="114"/>
      <c r="N22" s="114"/>
      <c r="O22" s="114"/>
      <c r="P22" s="114"/>
      <c r="Q22" s="114"/>
      <c r="R22" s="114"/>
    </row>
    <row r="23" spans="1:18" ht="15.75">
      <c r="A23" s="114"/>
      <c r="B23" s="93"/>
      <c r="C23" s="118"/>
      <c r="D23" s="119"/>
      <c r="E23" s="119"/>
      <c r="F23" s="94"/>
      <c r="G23" s="94"/>
      <c r="H23" s="94"/>
      <c r="I23" s="94"/>
      <c r="J23" s="94"/>
      <c r="K23" s="94"/>
      <c r="L23" s="94"/>
      <c r="M23" s="94"/>
      <c r="N23" s="94"/>
      <c r="O23" s="94"/>
      <c r="P23" s="94"/>
      <c r="Q23" s="123"/>
      <c r="R23" s="114"/>
    </row>
    <row r="24" spans="1:18" ht="22.5" customHeight="1">
      <c r="A24" s="114"/>
      <c r="B24" s="418" t="s">
        <v>554</v>
      </c>
      <c r="C24" s="419"/>
      <c r="D24" s="419"/>
      <c r="E24" s="419"/>
      <c r="F24" s="419"/>
      <c r="G24" s="419"/>
      <c r="H24" s="419"/>
      <c r="I24" s="419"/>
      <c r="J24" s="419"/>
      <c r="K24" s="419"/>
      <c r="L24" s="419"/>
      <c r="M24" s="419"/>
      <c r="N24" s="419"/>
      <c r="O24" s="419"/>
      <c r="P24" s="419"/>
      <c r="Q24" s="420"/>
      <c r="R24" s="90"/>
    </row>
    <row r="25" spans="1:18" ht="15" customHeight="1">
      <c r="A25" s="114"/>
      <c r="B25" s="418"/>
      <c r="C25" s="419"/>
      <c r="D25" s="419"/>
      <c r="E25" s="419"/>
      <c r="F25" s="419"/>
      <c r="G25" s="419"/>
      <c r="H25" s="419"/>
      <c r="I25" s="419"/>
      <c r="J25" s="419"/>
      <c r="K25" s="419"/>
      <c r="L25" s="419"/>
      <c r="M25" s="419"/>
      <c r="N25" s="419"/>
      <c r="O25" s="419"/>
      <c r="P25" s="419"/>
      <c r="Q25" s="420"/>
      <c r="R25" s="90"/>
    </row>
    <row r="26" spans="1:18" ht="18">
      <c r="A26" s="114"/>
      <c r="B26" s="124"/>
      <c r="C26" s="125"/>
      <c r="D26" s="125"/>
      <c r="E26" s="125"/>
      <c r="F26" s="125"/>
      <c r="G26" s="125"/>
      <c r="H26" s="125"/>
      <c r="I26" s="125"/>
      <c r="J26" s="125"/>
      <c r="K26" s="125"/>
      <c r="L26" s="125"/>
      <c r="M26" s="125"/>
      <c r="N26" s="125"/>
      <c r="O26" s="125"/>
      <c r="P26" s="125"/>
      <c r="Q26" s="126"/>
      <c r="R26" s="90"/>
    </row>
    <row r="27" spans="1:18" ht="15.75">
      <c r="A27" s="114"/>
      <c r="B27" s="106"/>
      <c r="C27" s="107"/>
      <c r="D27" s="107"/>
      <c r="E27" s="127" t="s">
        <v>395</v>
      </c>
      <c r="F27" s="421" t="s">
        <v>396</v>
      </c>
      <c r="G27" s="410"/>
      <c r="H27" s="410"/>
      <c r="I27" s="421" t="s">
        <v>397</v>
      </c>
      <c r="J27" s="410"/>
      <c r="K27" s="415" t="s">
        <v>398</v>
      </c>
      <c r="L27" s="416"/>
      <c r="M27" s="416"/>
      <c r="N27" s="416"/>
      <c r="O27" s="416"/>
      <c r="P27" s="417"/>
      <c r="Q27" s="128"/>
      <c r="R27" s="90"/>
    </row>
    <row r="28" spans="1:18" ht="69" customHeight="1">
      <c r="A28" s="114"/>
      <c r="B28" s="106"/>
      <c r="C28" s="107"/>
      <c r="D28" s="107"/>
      <c r="E28" s="129" t="s">
        <v>423</v>
      </c>
      <c r="F28" s="409">
        <v>44071</v>
      </c>
      <c r="G28" s="410"/>
      <c r="H28" s="410"/>
      <c r="I28" s="411" t="s">
        <v>393</v>
      </c>
      <c r="J28" s="410"/>
      <c r="K28" s="412" t="s">
        <v>555</v>
      </c>
      <c r="L28" s="413"/>
      <c r="M28" s="413"/>
      <c r="N28" s="413"/>
      <c r="O28" s="413"/>
      <c r="P28" s="414"/>
      <c r="Q28" s="128"/>
      <c r="R28" s="90"/>
    </row>
    <row r="29" spans="1:18" ht="48.75" customHeight="1">
      <c r="A29" s="114"/>
      <c r="B29" s="106"/>
      <c r="C29" s="107"/>
      <c r="D29" s="107"/>
      <c r="E29" s="129"/>
      <c r="F29" s="409"/>
      <c r="G29" s="410"/>
      <c r="H29" s="410"/>
      <c r="I29" s="411"/>
      <c r="J29" s="410"/>
      <c r="K29" s="412"/>
      <c r="L29" s="413"/>
      <c r="M29" s="413"/>
      <c r="N29" s="413"/>
      <c r="O29" s="413"/>
      <c r="P29" s="414"/>
      <c r="Q29" s="128"/>
      <c r="R29" s="90"/>
    </row>
    <row r="30" spans="1:18" ht="65.25" customHeight="1">
      <c r="A30" s="114"/>
      <c r="B30" s="106"/>
      <c r="C30" s="107"/>
      <c r="D30" s="169"/>
      <c r="E30" s="129"/>
      <c r="F30" s="409"/>
      <c r="G30" s="410"/>
      <c r="H30" s="410"/>
      <c r="I30" s="411"/>
      <c r="J30" s="410"/>
      <c r="K30" s="412"/>
      <c r="L30" s="413"/>
      <c r="M30" s="413"/>
      <c r="N30" s="413"/>
      <c r="O30" s="413"/>
      <c r="P30" s="414"/>
      <c r="Q30" s="128"/>
      <c r="R30" s="90"/>
    </row>
    <row r="31" spans="1:18" ht="65.25" customHeight="1">
      <c r="A31" s="114"/>
      <c r="B31" s="106"/>
      <c r="C31" s="107"/>
      <c r="D31" s="169"/>
      <c r="E31" s="129"/>
      <c r="F31" s="409"/>
      <c r="G31" s="410"/>
      <c r="H31" s="410"/>
      <c r="I31" s="411"/>
      <c r="J31" s="410"/>
      <c r="K31" s="412"/>
      <c r="L31" s="413"/>
      <c r="M31" s="413"/>
      <c r="N31" s="413"/>
      <c r="O31" s="413"/>
      <c r="P31" s="414"/>
      <c r="Q31" s="128"/>
      <c r="R31" s="90"/>
    </row>
    <row r="32" spans="1:18" ht="65.25" customHeight="1">
      <c r="A32" s="114"/>
      <c r="B32" s="106"/>
      <c r="C32" s="107"/>
      <c r="D32" s="169"/>
      <c r="E32" s="129"/>
      <c r="F32" s="409"/>
      <c r="G32" s="410"/>
      <c r="H32" s="410"/>
      <c r="I32" s="411"/>
      <c r="J32" s="410"/>
      <c r="K32" s="412"/>
      <c r="L32" s="413"/>
      <c r="M32" s="413"/>
      <c r="N32" s="413"/>
      <c r="O32" s="413"/>
      <c r="P32" s="414"/>
      <c r="Q32" s="128"/>
      <c r="R32" s="90"/>
    </row>
    <row r="33" spans="1:18" ht="16.5" thickBot="1">
      <c r="A33" s="114"/>
      <c r="B33" s="108"/>
      <c r="C33" s="130"/>
      <c r="D33" s="130"/>
      <c r="E33" s="130"/>
      <c r="F33" s="130"/>
      <c r="G33" s="130"/>
      <c r="H33" s="130"/>
      <c r="I33" s="130"/>
      <c r="J33" s="130"/>
      <c r="K33" s="130"/>
      <c r="L33" s="130"/>
      <c r="M33" s="130"/>
      <c r="N33" s="111"/>
      <c r="O33" s="111"/>
      <c r="P33" s="111"/>
      <c r="Q33" s="131"/>
      <c r="R33" s="90"/>
    </row>
  </sheetData>
  <mergeCells count="26">
    <mergeCell ref="F32:H32"/>
    <mergeCell ref="I32:J32"/>
    <mergeCell ref="K32:P32"/>
    <mergeCell ref="K30:P30"/>
    <mergeCell ref="I30:J30"/>
    <mergeCell ref="F30:H30"/>
    <mergeCell ref="F31:H31"/>
    <mergeCell ref="I31:J31"/>
    <mergeCell ref="K31:P31"/>
    <mergeCell ref="B3:Q3"/>
    <mergeCell ref="B5:Q5"/>
    <mergeCell ref="B6:Q6"/>
    <mergeCell ref="C9:E13"/>
    <mergeCell ref="F9:O13"/>
    <mergeCell ref="B7:Q7"/>
    <mergeCell ref="C17:P19"/>
    <mergeCell ref="F29:H29"/>
    <mergeCell ref="I29:J29"/>
    <mergeCell ref="K29:P29"/>
    <mergeCell ref="K28:P28"/>
    <mergeCell ref="K27:P27"/>
    <mergeCell ref="B24:Q25"/>
    <mergeCell ref="F27:H27"/>
    <mergeCell ref="I27:J27"/>
    <mergeCell ref="F28:H28"/>
    <mergeCell ref="I28:J2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tint="0.39997558519241921"/>
  </sheetPr>
  <dimension ref="A1:C34"/>
  <sheetViews>
    <sheetView workbookViewId="0">
      <selection sqref="A1:A2"/>
    </sheetView>
  </sheetViews>
  <sheetFormatPr defaultColWidth="9.140625" defaultRowHeight="15"/>
  <cols>
    <col min="1" max="1" width="27.85546875" customWidth="1"/>
    <col min="2" max="2" width="29" bestFit="1" customWidth="1"/>
    <col min="3" max="3" width="52.42578125" bestFit="1" customWidth="1"/>
  </cols>
  <sheetData>
    <row r="1" spans="1:3" s="34" customFormat="1">
      <c r="A1" s="456" t="s">
        <v>25</v>
      </c>
      <c r="B1" s="456" t="s">
        <v>323</v>
      </c>
      <c r="C1" s="135" t="s">
        <v>516</v>
      </c>
    </row>
    <row r="2" spans="1:3" s="34" customFormat="1">
      <c r="A2" s="456"/>
      <c r="B2" s="456"/>
      <c r="C2" s="136" t="s">
        <v>338</v>
      </c>
    </row>
    <row r="3" spans="1:3">
      <c r="A3" s="15" t="s">
        <v>1</v>
      </c>
      <c r="B3" s="15" t="str">
        <f>VLOOKUP(A3,'Locations &amp; Types'!$A:$B,2,FALSE)</f>
        <v>STORAGE SITE</v>
      </c>
      <c r="C3" s="154">
        <v>0</v>
      </c>
    </row>
    <row r="4" spans="1:3">
      <c r="A4" s="14" t="s">
        <v>2</v>
      </c>
      <c r="B4" s="15" t="str">
        <f>VLOOKUP(A4,'Locations &amp; Types'!$A:$B,2,FALSE)</f>
        <v>INTERCONNECTION POINT</v>
      </c>
      <c r="C4" s="154">
        <v>242349238.06216705</v>
      </c>
    </row>
    <row r="5" spans="1:3">
      <c r="A5" s="16" t="s">
        <v>3</v>
      </c>
      <c r="B5" s="15" t="str">
        <f>VLOOKUP(A5,'Locations &amp; Types'!$A:$B,2,FALSE)</f>
        <v>BEACH TERMINAL</v>
      </c>
      <c r="C5" s="154">
        <v>674940457.27945209</v>
      </c>
    </row>
    <row r="6" spans="1:3">
      <c r="A6" s="14" t="s">
        <v>4</v>
      </c>
      <c r="B6" s="15" t="str">
        <f>VLOOKUP(A6,'Locations &amp; Types'!$A:$B,2,FALSE)</f>
        <v>ONSHORE FIELD</v>
      </c>
      <c r="C6" s="154">
        <v>31388848.347945206</v>
      </c>
    </row>
    <row r="7" spans="1:3">
      <c r="A7" s="14" t="s">
        <v>5</v>
      </c>
      <c r="B7" s="15" t="str">
        <f>VLOOKUP(A7,'Locations &amp; Types'!$A:$B,2,FALSE)</f>
        <v>BEACH TERMINAL</v>
      </c>
      <c r="C7" s="154">
        <v>83866773.671232879</v>
      </c>
    </row>
    <row r="8" spans="1:3">
      <c r="A8" s="14" t="s">
        <v>6</v>
      </c>
      <c r="B8" s="15" t="str">
        <f>VLOOKUP(A8,'Locations &amp; Types'!$A:$B,2,FALSE)</f>
        <v>STORAGE SITE</v>
      </c>
      <c r="C8" s="154">
        <v>90000000</v>
      </c>
    </row>
    <row r="9" spans="1:3">
      <c r="A9" s="14" t="s">
        <v>7</v>
      </c>
      <c r="B9" s="15" t="str">
        <f>VLOOKUP(A9,'Locations &amp; Types'!$A:$B,2,FALSE)</f>
        <v>ONSHORE FIELD</v>
      </c>
      <c r="C9" s="154">
        <v>0</v>
      </c>
    </row>
    <row r="10" spans="1:3">
      <c r="A10" s="14" t="s">
        <v>8</v>
      </c>
      <c r="B10" s="15" t="str">
        <f>VLOOKUP(A10,'Locations &amp; Types'!$A:$B,2,FALSE)</f>
        <v>STORAGE SITE</v>
      </c>
      <c r="C10" s="154">
        <v>514110000</v>
      </c>
    </row>
    <row r="11" spans="1:3">
      <c r="A11" s="14" t="s">
        <v>9</v>
      </c>
      <c r="B11" s="15" t="str">
        <f>VLOOKUP(A11,'Locations &amp; Types'!$A:$B,2,FALSE)</f>
        <v>STORAGE SITE</v>
      </c>
      <c r="C11" s="154">
        <v>90000000</v>
      </c>
    </row>
    <row r="12" spans="1:3">
      <c r="A12" s="14" t="s">
        <v>10</v>
      </c>
      <c r="B12" s="15" t="str">
        <f>VLOOKUP(A12,'Locations &amp; Types'!$A:$B,2,FALSE)</f>
        <v>STORAGE SITE</v>
      </c>
      <c r="C12" s="154">
        <v>0</v>
      </c>
    </row>
    <row r="13" spans="1:3">
      <c r="A13" s="14" t="s">
        <v>477</v>
      </c>
      <c r="B13" s="15" t="str">
        <f>VLOOKUP(A13,'Locations &amp; Types'!$A:$B,2,FALSE)</f>
        <v>BEACH TERMINAL</v>
      </c>
      <c r="C13" s="154">
        <v>923976213.16438353</v>
      </c>
    </row>
    <row r="14" spans="1:3">
      <c r="A14" s="14" t="s">
        <v>11</v>
      </c>
      <c r="B14" s="15" t="str">
        <f>VLOOKUP(A14,'Locations &amp; Types'!$A:$B,2,FALSE)</f>
        <v>STORAGE SITE</v>
      </c>
      <c r="C14" s="154">
        <v>0</v>
      </c>
    </row>
    <row r="15" spans="1:3">
      <c r="A15" s="14" t="s">
        <v>12</v>
      </c>
      <c r="B15" s="15" t="str">
        <f>VLOOKUP(A15,'Locations &amp; Types'!$A:$B,2,FALSE)</f>
        <v>STORAGE SITE</v>
      </c>
      <c r="C15" s="154">
        <v>0</v>
      </c>
    </row>
    <row r="16" spans="1:3">
      <c r="A16" s="14" t="s">
        <v>13</v>
      </c>
      <c r="B16" s="15" t="str">
        <f>VLOOKUP(A16,'Locations &amp; Types'!$A:$B,2,FALSE)</f>
        <v>STORAGE SITE</v>
      </c>
      <c r="C16" s="154">
        <v>420000000</v>
      </c>
    </row>
    <row r="17" spans="1:3">
      <c r="A17" s="14" t="s">
        <v>14</v>
      </c>
      <c r="B17" s="15" t="str">
        <f>VLOOKUP(A17,'Locations &amp; Types'!$A:$B,2,FALSE)</f>
        <v>STORAGE SITE</v>
      </c>
      <c r="C17" s="154">
        <v>283440000</v>
      </c>
    </row>
    <row r="18" spans="1:3">
      <c r="A18" s="14" t="s">
        <v>15</v>
      </c>
      <c r="B18" s="15" t="str">
        <f>VLOOKUP(A18,'Locations &amp; Types'!$A:$B,2,FALSE)</f>
        <v>ONSHORE FIELD</v>
      </c>
      <c r="C18" s="154">
        <v>0</v>
      </c>
    </row>
    <row r="19" spans="1:3">
      <c r="A19" s="14" t="s">
        <v>16</v>
      </c>
      <c r="B19" s="15" t="str">
        <f>VLOOKUP(A19,'Locations &amp; Types'!$A:$B,2,FALSE)</f>
        <v>STORAGE SITE</v>
      </c>
      <c r="C19" s="154">
        <v>108866575.34246576</v>
      </c>
    </row>
    <row r="20" spans="1:3">
      <c r="A20" s="14" t="s">
        <v>17</v>
      </c>
      <c r="B20" s="15" t="str">
        <f>VLOOKUP(A20,'Locations &amp; Types'!$A:$B,2,FALSE)</f>
        <v>STORAGE SITE</v>
      </c>
      <c r="C20" s="154">
        <v>5424657.5342465751</v>
      </c>
    </row>
    <row r="21" spans="1:3">
      <c r="A21" s="14" t="s">
        <v>18</v>
      </c>
      <c r="B21" s="15" t="str">
        <f>VLOOKUP(A21,'Locations &amp; Types'!$A:$B,2,FALSE)</f>
        <v>LNG IMPORTATION TERMINAL</v>
      </c>
      <c r="C21" s="154">
        <v>643612054.29589045</v>
      </c>
    </row>
    <row r="22" spans="1:3">
      <c r="A22" s="14" t="s">
        <v>19</v>
      </c>
      <c r="B22" s="15" t="str">
        <f>VLOOKUP(A22,'Locations &amp; Types'!$A:$B,2,FALSE)</f>
        <v>LNG IMPORTATION TERMINAL</v>
      </c>
      <c r="C22" s="154">
        <v>876298630.13698626</v>
      </c>
    </row>
    <row r="23" spans="1:3">
      <c r="A23" s="14" t="s">
        <v>20</v>
      </c>
      <c r="B23" s="15" t="str">
        <f>VLOOKUP(A23,'Locations &amp; Types'!$A:$B,2,FALSE)</f>
        <v>STORAGE SITE</v>
      </c>
      <c r="C23" s="154">
        <v>0</v>
      </c>
    </row>
    <row r="24" spans="1:3">
      <c r="A24" s="14" t="s">
        <v>155</v>
      </c>
      <c r="B24" s="15" t="str">
        <f>VLOOKUP(A24,'Locations &amp; Types'!$A:$B,2,FALSE)</f>
        <v>INTERCONNECTION POINT</v>
      </c>
      <c r="C24" s="154">
        <v>5969.0986767123304</v>
      </c>
    </row>
    <row r="25" spans="1:3">
      <c r="A25" s="14" t="s">
        <v>533</v>
      </c>
      <c r="B25" s="15" t="s">
        <v>531</v>
      </c>
      <c r="C25" s="154">
        <v>0</v>
      </c>
    </row>
    <row r="26" spans="1:3">
      <c r="A26" s="14" t="s">
        <v>21</v>
      </c>
      <c r="B26" s="15" t="str">
        <f>VLOOKUP(A26,'Locations &amp; Types'!$A:$B,2,FALSE)</f>
        <v>BEACH TERMINAL</v>
      </c>
      <c r="C26" s="154">
        <v>845897745.45205414</v>
      </c>
    </row>
    <row r="27" spans="1:3">
      <c r="A27" s="14" t="s">
        <v>22</v>
      </c>
      <c r="B27" s="15" t="str">
        <f>VLOOKUP(A27,'Locations &amp; Types'!$A:$B,2,FALSE)</f>
        <v>BEACH TERMINAL</v>
      </c>
      <c r="C27" s="154">
        <v>280182870.15175784</v>
      </c>
    </row>
    <row r="28" spans="1:3">
      <c r="A28" s="14" t="s">
        <v>23</v>
      </c>
      <c r="B28" s="15" t="str">
        <f>VLOOKUP(A28,'Locations &amp; Types'!$A:$B,2,FALSE)</f>
        <v>BEACH TERMINAL</v>
      </c>
      <c r="C28" s="154">
        <v>52721441.069499709</v>
      </c>
    </row>
    <row r="29" spans="1:3">
      <c r="A29" s="14" t="s">
        <v>24</v>
      </c>
      <c r="B29" s="15" t="str">
        <f>VLOOKUP(A29,'Locations &amp; Types'!$A:$B,2,FALSE)</f>
        <v>ONSHORE FIELD</v>
      </c>
      <c r="C29" s="154">
        <v>0</v>
      </c>
    </row>
    <row r="30" spans="1:3">
      <c r="C30" s="257"/>
    </row>
    <row r="32" spans="1:3">
      <c r="C32" s="137"/>
    </row>
    <row r="34" spans="3:3">
      <c r="C34" s="137"/>
    </row>
  </sheetData>
  <mergeCells count="2">
    <mergeCell ref="A1:A2"/>
    <mergeCell ref="B1: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tint="0.39997558519241921"/>
  </sheetPr>
  <dimension ref="A1:D34"/>
  <sheetViews>
    <sheetView workbookViewId="0">
      <selection sqref="A1:A2"/>
    </sheetView>
  </sheetViews>
  <sheetFormatPr defaultColWidth="9.140625" defaultRowHeight="15"/>
  <cols>
    <col min="1" max="1" width="27.85546875" customWidth="1"/>
    <col min="2" max="2" width="29" bestFit="1" customWidth="1"/>
    <col min="3" max="3" width="52.42578125" bestFit="1" customWidth="1"/>
    <col min="4" max="4" width="15.28515625" bestFit="1" customWidth="1"/>
  </cols>
  <sheetData>
    <row r="1" spans="1:4" s="34" customFormat="1">
      <c r="A1" s="456" t="s">
        <v>25</v>
      </c>
      <c r="B1" s="456" t="s">
        <v>323</v>
      </c>
      <c r="C1" s="135" t="s">
        <v>516</v>
      </c>
    </row>
    <row r="2" spans="1:4" s="34" customFormat="1">
      <c r="A2" s="456"/>
      <c r="B2" s="456"/>
      <c r="C2" s="136" t="s">
        <v>338</v>
      </c>
    </row>
    <row r="3" spans="1:4">
      <c r="A3" s="15" t="s">
        <v>1</v>
      </c>
      <c r="B3" s="15" t="str">
        <f>VLOOKUP(A3,'Locations &amp; Types'!$A:$B,2,FALSE)</f>
        <v>STORAGE SITE</v>
      </c>
      <c r="C3" s="154">
        <v>0</v>
      </c>
      <c r="D3" s="173"/>
    </row>
    <row r="4" spans="1:4">
      <c r="A4" s="14" t="s">
        <v>2</v>
      </c>
      <c r="B4" s="15" t="str">
        <f>VLOOKUP(A4,'Locations &amp; Types'!$A:$B,2,FALSE)</f>
        <v>INTERCONNECTION POINT</v>
      </c>
      <c r="C4" s="154">
        <v>242349238.06216705</v>
      </c>
      <c r="D4" s="173"/>
    </row>
    <row r="5" spans="1:4">
      <c r="A5" s="16" t="s">
        <v>3</v>
      </c>
      <c r="B5" s="15" t="str">
        <f>VLOOKUP(A5,'Locations &amp; Types'!$A:$B,2,FALSE)</f>
        <v>BEACH TERMINAL</v>
      </c>
      <c r="C5" s="154">
        <v>674940457.27945209</v>
      </c>
      <c r="D5" s="173"/>
    </row>
    <row r="6" spans="1:4">
      <c r="A6" s="14" t="s">
        <v>4</v>
      </c>
      <c r="B6" s="15" t="str">
        <f>VLOOKUP(A6,'Locations &amp; Types'!$A:$B,2,FALSE)</f>
        <v>ONSHORE FIELD</v>
      </c>
      <c r="C6" s="154">
        <v>31388848.347945206</v>
      </c>
      <c r="D6" s="173"/>
    </row>
    <row r="7" spans="1:4">
      <c r="A7" s="14" t="s">
        <v>5</v>
      </c>
      <c r="B7" s="15" t="str">
        <f>VLOOKUP(A7,'Locations &amp; Types'!$A:$B,2,FALSE)</f>
        <v>BEACH TERMINAL</v>
      </c>
      <c r="C7" s="154">
        <v>83866773.671232879</v>
      </c>
      <c r="D7" s="173"/>
    </row>
    <row r="8" spans="1:4">
      <c r="A8" s="14" t="s">
        <v>6</v>
      </c>
      <c r="B8" s="15" t="str">
        <f>VLOOKUP(A8,'Locations &amp; Types'!$A:$B,2,FALSE)</f>
        <v>STORAGE SITE</v>
      </c>
      <c r="C8" s="154">
        <v>90000000</v>
      </c>
      <c r="D8" s="173"/>
    </row>
    <row r="9" spans="1:4">
      <c r="A9" s="14" t="s">
        <v>7</v>
      </c>
      <c r="B9" s="15" t="str">
        <f>VLOOKUP(A9,'Locations &amp; Types'!$A:$B,2,FALSE)</f>
        <v>ONSHORE FIELD</v>
      </c>
      <c r="C9" s="154">
        <v>0</v>
      </c>
      <c r="D9" s="173"/>
    </row>
    <row r="10" spans="1:4">
      <c r="A10" s="14" t="s">
        <v>8</v>
      </c>
      <c r="B10" s="15" t="str">
        <f>VLOOKUP(A10,'Locations &amp; Types'!$A:$B,2,FALSE)</f>
        <v>STORAGE SITE</v>
      </c>
      <c r="C10" s="154">
        <v>514110000</v>
      </c>
      <c r="D10" s="173"/>
    </row>
    <row r="11" spans="1:4">
      <c r="A11" s="14" t="s">
        <v>9</v>
      </c>
      <c r="B11" s="15" t="str">
        <f>VLOOKUP(A11,'Locations &amp; Types'!$A:$B,2,FALSE)</f>
        <v>STORAGE SITE</v>
      </c>
      <c r="C11" s="154">
        <v>90000000</v>
      </c>
      <c r="D11" s="173"/>
    </row>
    <row r="12" spans="1:4">
      <c r="A12" s="14" t="s">
        <v>10</v>
      </c>
      <c r="B12" s="15" t="str">
        <f>VLOOKUP(A12,'Locations &amp; Types'!$A:$B,2,FALSE)</f>
        <v>STORAGE SITE</v>
      </c>
      <c r="C12" s="154">
        <v>0</v>
      </c>
      <c r="D12" s="173"/>
    </row>
    <row r="13" spans="1:4">
      <c r="A13" s="14" t="s">
        <v>477</v>
      </c>
      <c r="B13" s="15" t="str">
        <f>VLOOKUP(A13,'Locations &amp; Types'!$A:$B,2,FALSE)</f>
        <v>BEACH TERMINAL</v>
      </c>
      <c r="C13" s="154">
        <v>923976213.16438353</v>
      </c>
      <c r="D13" s="173"/>
    </row>
    <row r="14" spans="1:4">
      <c r="A14" s="14" t="s">
        <v>11</v>
      </c>
      <c r="B14" s="15" t="str">
        <f>VLOOKUP(A14,'Locations &amp; Types'!$A:$B,2,FALSE)</f>
        <v>STORAGE SITE</v>
      </c>
      <c r="C14" s="154">
        <v>0</v>
      </c>
      <c r="D14" s="173"/>
    </row>
    <row r="15" spans="1:4">
      <c r="A15" s="14" t="s">
        <v>12</v>
      </c>
      <c r="B15" s="15" t="str">
        <f>VLOOKUP(A15,'Locations &amp; Types'!$A:$B,2,FALSE)</f>
        <v>STORAGE SITE</v>
      </c>
      <c r="C15" s="154">
        <v>0</v>
      </c>
      <c r="D15" s="173"/>
    </row>
    <row r="16" spans="1:4">
      <c r="A16" s="14" t="s">
        <v>13</v>
      </c>
      <c r="B16" s="15" t="str">
        <f>VLOOKUP(A16,'Locations &amp; Types'!$A:$B,2,FALSE)</f>
        <v>STORAGE SITE</v>
      </c>
      <c r="C16" s="154">
        <v>420000000</v>
      </c>
      <c r="D16" s="173"/>
    </row>
    <row r="17" spans="1:4">
      <c r="A17" s="14" t="s">
        <v>14</v>
      </c>
      <c r="B17" s="15" t="str">
        <f>VLOOKUP(A17,'Locations &amp; Types'!$A:$B,2,FALSE)</f>
        <v>STORAGE SITE</v>
      </c>
      <c r="C17" s="154">
        <v>283440000</v>
      </c>
      <c r="D17" s="173"/>
    </row>
    <row r="18" spans="1:4">
      <c r="A18" s="14" t="s">
        <v>15</v>
      </c>
      <c r="B18" s="15" t="str">
        <f>VLOOKUP(A18,'Locations &amp; Types'!$A:$B,2,FALSE)</f>
        <v>ONSHORE FIELD</v>
      </c>
      <c r="C18" s="154">
        <v>0</v>
      </c>
      <c r="D18" s="173"/>
    </row>
    <row r="19" spans="1:4">
      <c r="A19" s="14" t="s">
        <v>16</v>
      </c>
      <c r="B19" s="15" t="str">
        <f>VLOOKUP(A19,'Locations &amp; Types'!$A:$B,2,FALSE)</f>
        <v>STORAGE SITE</v>
      </c>
      <c r="C19" s="154">
        <v>108866575.34246576</v>
      </c>
      <c r="D19" s="173"/>
    </row>
    <row r="20" spans="1:4">
      <c r="A20" s="14" t="s">
        <v>17</v>
      </c>
      <c r="B20" s="15" t="str">
        <f>VLOOKUP(A20,'Locations &amp; Types'!$A:$B,2,FALSE)</f>
        <v>STORAGE SITE</v>
      </c>
      <c r="C20" s="154">
        <v>5469945.3551912569</v>
      </c>
      <c r="D20" s="173"/>
    </row>
    <row r="21" spans="1:4">
      <c r="A21" s="14" t="s">
        <v>18</v>
      </c>
      <c r="B21" s="15" t="str">
        <f>VLOOKUP(A21,'Locations &amp; Types'!$A:$B,2,FALSE)</f>
        <v>LNG IMPORTATION TERMINAL</v>
      </c>
      <c r="C21" s="154">
        <v>643612054.29589045</v>
      </c>
      <c r="D21" s="173"/>
    </row>
    <row r="22" spans="1:4">
      <c r="A22" s="14" t="s">
        <v>19</v>
      </c>
      <c r="B22" s="15" t="str">
        <f>VLOOKUP(A22,'Locations &amp; Types'!$A:$B,2,FALSE)</f>
        <v>LNG IMPORTATION TERMINAL</v>
      </c>
      <c r="C22" s="154">
        <v>926500000</v>
      </c>
      <c r="D22" s="173"/>
    </row>
    <row r="23" spans="1:4">
      <c r="A23" s="14" t="s">
        <v>20</v>
      </c>
      <c r="B23" s="15" t="str">
        <f>VLOOKUP(A23,'Locations &amp; Types'!$A:$B,2,FALSE)</f>
        <v>STORAGE SITE</v>
      </c>
      <c r="C23" s="154">
        <v>0</v>
      </c>
      <c r="D23" s="173"/>
    </row>
    <row r="24" spans="1:4">
      <c r="A24" s="14" t="s">
        <v>155</v>
      </c>
      <c r="B24" s="15" t="str">
        <f>VLOOKUP(A24,'Locations &amp; Types'!$A:$B,2,FALSE)</f>
        <v>INTERCONNECTION POINT</v>
      </c>
      <c r="C24" s="154">
        <v>5969.0986767123304</v>
      </c>
      <c r="D24" s="173"/>
    </row>
    <row r="25" spans="1:4">
      <c r="A25" s="14" t="s">
        <v>533</v>
      </c>
      <c r="B25" s="15" t="s">
        <v>531</v>
      </c>
      <c r="C25" s="154">
        <v>0</v>
      </c>
      <c r="D25" s="173"/>
    </row>
    <row r="26" spans="1:4">
      <c r="A26" s="14" t="s">
        <v>21</v>
      </c>
      <c r="B26" s="15" t="str">
        <f>VLOOKUP(A26,'Locations &amp; Types'!$A:$B,2,FALSE)</f>
        <v>BEACH TERMINAL</v>
      </c>
      <c r="C26" s="154">
        <v>845897745.45205414</v>
      </c>
      <c r="D26" s="173"/>
    </row>
    <row r="27" spans="1:4">
      <c r="A27" s="14" t="s">
        <v>22</v>
      </c>
      <c r="B27" s="15" t="str">
        <f>VLOOKUP(A27,'Locations &amp; Types'!$A:$B,2,FALSE)</f>
        <v>BEACH TERMINAL</v>
      </c>
      <c r="C27" s="154">
        <v>349329733.97683126</v>
      </c>
      <c r="D27" s="173"/>
    </row>
    <row r="28" spans="1:4">
      <c r="A28" s="14" t="s">
        <v>23</v>
      </c>
      <c r="B28" s="15" t="str">
        <f>VLOOKUP(A28,'Locations &amp; Types'!$A:$B,2,FALSE)</f>
        <v>BEACH TERMINAL</v>
      </c>
      <c r="C28" s="154">
        <v>43243983.561643817</v>
      </c>
      <c r="D28" s="173"/>
    </row>
    <row r="29" spans="1:4">
      <c r="A29" s="14" t="s">
        <v>24</v>
      </c>
      <c r="B29" s="15" t="str">
        <f>VLOOKUP(A29,'Locations &amp; Types'!$A:$B,2,FALSE)</f>
        <v>ONSHORE FIELD</v>
      </c>
      <c r="C29" s="154">
        <v>0</v>
      </c>
      <c r="D29" s="173"/>
    </row>
    <row r="30" spans="1:4">
      <c r="C30" s="257"/>
    </row>
    <row r="32" spans="1:4">
      <c r="C32" s="137"/>
    </row>
    <row r="34" spans="3:3">
      <c r="C34" s="137"/>
    </row>
  </sheetData>
  <mergeCells count="2">
    <mergeCell ref="A1:A2"/>
    <mergeCell ref="B1:B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1:E34"/>
  <sheetViews>
    <sheetView workbookViewId="0">
      <selection activeCell="F31" sqref="F31"/>
    </sheetView>
  </sheetViews>
  <sheetFormatPr defaultColWidth="9.140625" defaultRowHeight="15"/>
  <cols>
    <col min="1" max="1" width="27.85546875" customWidth="1"/>
    <col min="2" max="2" width="29" customWidth="1"/>
    <col min="3" max="3" width="52.42578125" customWidth="1"/>
  </cols>
  <sheetData>
    <row r="1" spans="1:5" s="34" customFormat="1">
      <c r="A1" s="456" t="s">
        <v>25</v>
      </c>
      <c r="B1" s="456" t="s">
        <v>323</v>
      </c>
      <c r="C1" s="135" t="s">
        <v>516</v>
      </c>
    </row>
    <row r="2" spans="1:5" s="34" customFormat="1">
      <c r="A2" s="456"/>
      <c r="B2" s="456"/>
      <c r="C2" s="136" t="s">
        <v>338</v>
      </c>
    </row>
    <row r="3" spans="1:5">
      <c r="A3" s="15" t="s">
        <v>1</v>
      </c>
      <c r="B3" s="15" t="str">
        <f>VLOOKUP(A3,'Locations &amp; Types'!$A:$B,2,FALSE)</f>
        <v>STORAGE SITE</v>
      </c>
      <c r="C3" s="154">
        <v>0</v>
      </c>
    </row>
    <row r="4" spans="1:5">
      <c r="A4" s="14" t="s">
        <v>2</v>
      </c>
      <c r="B4" s="15" t="str">
        <f>VLOOKUP(A4,'Locations &amp; Types'!$A:$B,2,FALSE)</f>
        <v>INTERCONNECTION POINT</v>
      </c>
      <c r="C4" s="154">
        <v>178627069.62191781</v>
      </c>
    </row>
    <row r="5" spans="1:5">
      <c r="A5" s="16" t="s">
        <v>3</v>
      </c>
      <c r="B5" s="15" t="str">
        <f>VLOOKUP(A5,'Locations &amp; Types'!$A:$B,2,FALSE)</f>
        <v>BEACH TERMINAL</v>
      </c>
      <c r="C5" s="154">
        <v>648603335.88767123</v>
      </c>
    </row>
    <row r="6" spans="1:5">
      <c r="A6" s="14" t="s">
        <v>4</v>
      </c>
      <c r="B6" s="15" t="str">
        <f>VLOOKUP(A6,'Locations &amp; Types'!$A:$B,2,FALSE)</f>
        <v>ONSHORE FIELD</v>
      </c>
      <c r="C6" s="154">
        <v>14936970.808219178</v>
      </c>
    </row>
    <row r="7" spans="1:5">
      <c r="A7" s="14" t="s">
        <v>5</v>
      </c>
      <c r="B7" s="15" t="str">
        <f>VLOOKUP(A7,'Locations &amp; Types'!$A:$B,2,FALSE)</f>
        <v>BEACH TERMINAL</v>
      </c>
      <c r="C7" s="154">
        <v>75553005.904109582</v>
      </c>
    </row>
    <row r="8" spans="1:5">
      <c r="A8" s="14" t="s">
        <v>6</v>
      </c>
      <c r="B8" s="15" t="str">
        <f>VLOOKUP(A8,'Locations &amp; Types'!$A:$B,2,FALSE)</f>
        <v>STORAGE SITE</v>
      </c>
      <c r="C8" s="154">
        <v>80975342.465753421</v>
      </c>
    </row>
    <row r="9" spans="1:5">
      <c r="A9" s="14" t="s">
        <v>7</v>
      </c>
      <c r="B9" s="15" t="str">
        <f>VLOOKUP(A9,'Locations &amp; Types'!$A:$B,2,FALSE)</f>
        <v>ONSHORE FIELD</v>
      </c>
      <c r="C9" s="154">
        <v>0</v>
      </c>
    </row>
    <row r="10" spans="1:5">
      <c r="A10" s="14" t="s">
        <v>8</v>
      </c>
      <c r="B10" s="15" t="str">
        <f>VLOOKUP(A10,'Locations &amp; Types'!$A:$B,2,FALSE)</f>
        <v>STORAGE SITE</v>
      </c>
      <c r="C10" s="154">
        <v>541245000</v>
      </c>
    </row>
    <row r="11" spans="1:5">
      <c r="A11" s="14" t="s">
        <v>9</v>
      </c>
      <c r="B11" s="15" t="str">
        <f>VLOOKUP(A11,'Locations &amp; Types'!$A:$B,2,FALSE)</f>
        <v>STORAGE SITE</v>
      </c>
      <c r="C11" s="154">
        <v>90000000</v>
      </c>
    </row>
    <row r="12" spans="1:5">
      <c r="A12" s="14" t="s">
        <v>10</v>
      </c>
      <c r="B12" s="15" t="str">
        <f>VLOOKUP(A12,'Locations &amp; Types'!$A:$B,2,FALSE)</f>
        <v>STORAGE SITE</v>
      </c>
      <c r="C12" s="154">
        <v>0</v>
      </c>
    </row>
    <row r="13" spans="1:5">
      <c r="A13" s="14" t="s">
        <v>477</v>
      </c>
      <c r="B13" s="15" t="str">
        <f>VLOOKUP(A13,'Locations &amp; Types'!$A:$B,2,FALSE)</f>
        <v>BEACH TERMINAL</v>
      </c>
      <c r="C13" s="154">
        <v>833294279.96712327</v>
      </c>
      <c r="E13" t="s">
        <v>549</v>
      </c>
    </row>
    <row r="14" spans="1:5">
      <c r="A14" s="14" t="s">
        <v>11</v>
      </c>
      <c r="B14" s="15" t="str">
        <f>VLOOKUP(A14,'Locations &amp; Types'!$A:$B,2,FALSE)</f>
        <v>STORAGE SITE</v>
      </c>
      <c r="C14" s="154">
        <v>0</v>
      </c>
    </row>
    <row r="15" spans="1:5">
      <c r="A15" s="14" t="s">
        <v>12</v>
      </c>
      <c r="B15" s="15" t="str">
        <f>VLOOKUP(A15,'Locations &amp; Types'!$A:$B,2,FALSE)</f>
        <v>STORAGE SITE</v>
      </c>
      <c r="C15" s="154">
        <v>0</v>
      </c>
    </row>
    <row r="16" spans="1:5">
      <c r="A16" s="14" t="s">
        <v>13</v>
      </c>
      <c r="B16" s="15" t="str">
        <f>VLOOKUP(A16,'Locations &amp; Types'!$A:$B,2,FALSE)</f>
        <v>STORAGE SITE</v>
      </c>
      <c r="C16" s="154">
        <v>420000000</v>
      </c>
    </row>
    <row r="17" spans="1:3">
      <c r="A17" s="14" t="s">
        <v>14</v>
      </c>
      <c r="B17" s="15" t="str">
        <f>VLOOKUP(A17,'Locations &amp; Types'!$A:$B,2,FALSE)</f>
        <v>STORAGE SITE</v>
      </c>
      <c r="C17" s="154">
        <v>283440000</v>
      </c>
    </row>
    <row r="18" spans="1:3">
      <c r="A18" s="14" t="s">
        <v>15</v>
      </c>
      <c r="B18" s="15" t="str">
        <f>VLOOKUP(A18,'Locations &amp; Types'!$A:$B,2,FALSE)</f>
        <v>ONSHORE FIELD</v>
      </c>
      <c r="C18" s="154">
        <v>0</v>
      </c>
    </row>
    <row r="19" spans="1:3">
      <c r="A19" s="14" t="s">
        <v>16</v>
      </c>
      <c r="B19" s="15" t="str">
        <f>VLOOKUP(A19,'Locations &amp; Types'!$A:$B,2,FALSE)</f>
        <v>STORAGE SITE</v>
      </c>
      <c r="C19" s="154">
        <v>77588014.975342467</v>
      </c>
    </row>
    <row r="20" spans="1:3">
      <c r="A20" s="14" t="s">
        <v>17</v>
      </c>
      <c r="B20" s="15" t="str">
        <f>VLOOKUP(A20,'Locations &amp; Types'!$A:$B,2,FALSE)</f>
        <v>STORAGE SITE</v>
      </c>
      <c r="C20" s="154">
        <v>5424657.5342465751</v>
      </c>
    </row>
    <row r="21" spans="1:3">
      <c r="A21" s="14" t="s">
        <v>18</v>
      </c>
      <c r="B21" s="15" t="str">
        <f>VLOOKUP(A21,'Locations &amp; Types'!$A:$B,2,FALSE)</f>
        <v>LNG IMPORTATION TERMINAL</v>
      </c>
      <c r="C21" s="154">
        <v>643590136.98630142</v>
      </c>
    </row>
    <row r="22" spans="1:3">
      <c r="A22" s="14" t="s">
        <v>19</v>
      </c>
      <c r="B22" s="15" t="str">
        <f>VLOOKUP(A22,'Locations &amp; Types'!$A:$B,2,FALSE)</f>
        <v>LNG IMPORTATION TERMINAL</v>
      </c>
      <c r="C22" s="154">
        <v>649178082.19178081</v>
      </c>
    </row>
    <row r="23" spans="1:3">
      <c r="A23" s="14" t="s">
        <v>20</v>
      </c>
      <c r="B23" s="15" t="str">
        <f>VLOOKUP(A23,'Locations &amp; Types'!$A:$B,2,FALSE)</f>
        <v>STORAGE SITE</v>
      </c>
      <c r="C23" s="154">
        <v>40146.71232876712</v>
      </c>
    </row>
    <row r="24" spans="1:3">
      <c r="A24" s="14" t="s">
        <v>155</v>
      </c>
      <c r="B24" s="15" t="str">
        <f>VLOOKUP(A24,'Locations &amp; Types'!$A:$B,2,FALSE)</f>
        <v>INTERCONNECTION POINT</v>
      </c>
      <c r="C24" s="154">
        <v>0</v>
      </c>
    </row>
    <row r="25" spans="1:3">
      <c r="A25" s="14" t="s">
        <v>533</v>
      </c>
      <c r="B25" s="15" t="s">
        <v>531</v>
      </c>
      <c r="C25" s="154">
        <v>500000</v>
      </c>
    </row>
    <row r="26" spans="1:3">
      <c r="A26" s="14" t="s">
        <v>21</v>
      </c>
      <c r="B26" s="15" t="str">
        <f>VLOOKUP(A26,'Locations &amp; Types'!$A:$B,2,FALSE)</f>
        <v>BEACH TERMINAL</v>
      </c>
      <c r="C26" s="154">
        <v>786035942.57168877</v>
      </c>
    </row>
    <row r="27" spans="1:3">
      <c r="A27" s="14" t="s">
        <v>22</v>
      </c>
      <c r="B27" s="15" t="str">
        <f>VLOOKUP(A27,'Locations &amp; Types'!$A:$B,2,FALSE)</f>
        <v>BEACH TERMINAL</v>
      </c>
      <c r="C27" s="154">
        <v>293042284.44999158</v>
      </c>
    </row>
    <row r="28" spans="1:3">
      <c r="A28" s="14" t="s">
        <v>23</v>
      </c>
      <c r="B28" s="15" t="str">
        <f>VLOOKUP(A28,'Locations &amp; Types'!$A:$B,2,FALSE)</f>
        <v>BEACH TERMINAL</v>
      </c>
      <c r="C28" s="154">
        <v>10723835.616438357</v>
      </c>
    </row>
    <row r="29" spans="1:3">
      <c r="A29" s="14" t="s">
        <v>24</v>
      </c>
      <c r="B29" s="15" t="str">
        <f>VLOOKUP(A29,'Locations &amp; Types'!$A:$B,2,FALSE)</f>
        <v>ONSHORE FIELD</v>
      </c>
      <c r="C29" s="154">
        <v>0</v>
      </c>
    </row>
    <row r="30" spans="1:3">
      <c r="C30" s="257"/>
    </row>
    <row r="31" spans="1:3">
      <c r="C31" s="257"/>
    </row>
    <row r="32" spans="1:3">
      <c r="C32" s="137"/>
    </row>
    <row r="33" spans="3:3">
      <c r="C33" s="137"/>
    </row>
    <row r="34" spans="3:3">
      <c r="C34" s="369"/>
    </row>
  </sheetData>
  <mergeCells count="2">
    <mergeCell ref="A1:A2"/>
    <mergeCell ref="B1: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1:G34"/>
  <sheetViews>
    <sheetView workbookViewId="0">
      <selection activeCell="C31" sqref="C31"/>
    </sheetView>
  </sheetViews>
  <sheetFormatPr defaultColWidth="9.140625" defaultRowHeight="15"/>
  <cols>
    <col min="1" max="1" width="27.85546875" customWidth="1"/>
    <col min="2" max="2" width="29" customWidth="1"/>
    <col min="3" max="3" width="52.42578125" customWidth="1"/>
  </cols>
  <sheetData>
    <row r="1" spans="1:7" s="34" customFormat="1">
      <c r="A1" s="456" t="s">
        <v>25</v>
      </c>
      <c r="B1" s="456" t="s">
        <v>323</v>
      </c>
      <c r="C1" s="135" t="s">
        <v>516</v>
      </c>
    </row>
    <row r="2" spans="1:7" s="34" customFormat="1">
      <c r="A2" s="456"/>
      <c r="B2" s="456"/>
      <c r="C2" s="136" t="s">
        <v>338</v>
      </c>
    </row>
    <row r="3" spans="1:7">
      <c r="A3" s="15" t="s">
        <v>1</v>
      </c>
      <c r="B3" s="15" t="str">
        <f>VLOOKUP(A3,'Locations &amp; Types'!$A:$B,2,FALSE)</f>
        <v>STORAGE SITE</v>
      </c>
      <c r="C3" s="154">
        <v>0</v>
      </c>
    </row>
    <row r="4" spans="1:7">
      <c r="A4" s="14" t="s">
        <v>2</v>
      </c>
      <c r="B4" s="15" t="str">
        <f>VLOOKUP(A4,'Locations &amp; Types'!$A:$B,2,FALSE)</f>
        <v>INTERCONNECTION POINT</v>
      </c>
      <c r="C4" s="154">
        <v>178627069.62191781</v>
      </c>
    </row>
    <row r="5" spans="1:7">
      <c r="A5" s="16" t="s">
        <v>3</v>
      </c>
      <c r="B5" s="15" t="str">
        <f>VLOOKUP(A5,'Locations &amp; Types'!$A:$B,2,FALSE)</f>
        <v>BEACH TERMINAL</v>
      </c>
      <c r="C5" s="154">
        <v>648603335.88767123</v>
      </c>
    </row>
    <row r="6" spans="1:7">
      <c r="A6" s="14" t="s">
        <v>4</v>
      </c>
      <c r="B6" s="15" t="str">
        <f>VLOOKUP(A6,'Locations &amp; Types'!$A:$B,2,FALSE)</f>
        <v>ONSHORE FIELD</v>
      </c>
      <c r="C6" s="154">
        <v>14936970.808219178</v>
      </c>
    </row>
    <row r="7" spans="1:7">
      <c r="A7" s="14" t="s">
        <v>5</v>
      </c>
      <c r="B7" s="15" t="str">
        <f>VLOOKUP(A7,'Locations &amp; Types'!$A:$B,2,FALSE)</f>
        <v>BEACH TERMINAL</v>
      </c>
      <c r="C7" s="154">
        <v>75553005.904109582</v>
      </c>
    </row>
    <row r="8" spans="1:7">
      <c r="A8" s="14" t="s">
        <v>6</v>
      </c>
      <c r="B8" s="15" t="str">
        <f>VLOOKUP(A8,'Locations &amp; Types'!$A:$B,2,FALSE)</f>
        <v>STORAGE SITE</v>
      </c>
      <c r="C8" s="154">
        <v>35901369.8630137</v>
      </c>
    </row>
    <row r="9" spans="1:7">
      <c r="A9" s="14" t="s">
        <v>7</v>
      </c>
      <c r="B9" s="15" t="str">
        <f>VLOOKUP(A9,'Locations &amp; Types'!$A:$B,2,FALSE)</f>
        <v>ONSHORE FIELD</v>
      </c>
      <c r="C9" s="154">
        <v>0</v>
      </c>
    </row>
    <row r="10" spans="1:7">
      <c r="A10" s="14" t="s">
        <v>8</v>
      </c>
      <c r="B10" s="15" t="str">
        <f>VLOOKUP(A10,'Locations &amp; Types'!$A:$B,2,FALSE)</f>
        <v>STORAGE SITE</v>
      </c>
      <c r="C10" s="154">
        <v>541245000</v>
      </c>
    </row>
    <row r="11" spans="1:7">
      <c r="A11" s="14" t="s">
        <v>9</v>
      </c>
      <c r="B11" s="15" t="str">
        <f>VLOOKUP(A11,'Locations &amp; Types'!$A:$B,2,FALSE)</f>
        <v>STORAGE SITE</v>
      </c>
      <c r="C11" s="154">
        <v>90000000</v>
      </c>
    </row>
    <row r="12" spans="1:7">
      <c r="A12" s="14" t="s">
        <v>10</v>
      </c>
      <c r="B12" s="15" t="str">
        <f>VLOOKUP(A12,'Locations &amp; Types'!$A:$B,2,FALSE)</f>
        <v>STORAGE SITE</v>
      </c>
      <c r="C12" s="154">
        <v>0</v>
      </c>
    </row>
    <row r="13" spans="1:7">
      <c r="A13" s="14" t="s">
        <v>477</v>
      </c>
      <c r="B13" s="15" t="str">
        <f>VLOOKUP(A13,'Locations &amp; Types'!$A:$B,2,FALSE)</f>
        <v>BEACH TERMINAL</v>
      </c>
      <c r="C13" s="154">
        <v>833294279.96712327</v>
      </c>
    </row>
    <row r="14" spans="1:7">
      <c r="A14" s="14" t="s">
        <v>11</v>
      </c>
      <c r="B14" s="15" t="str">
        <f>VLOOKUP(A14,'Locations &amp; Types'!$A:$B,2,FALSE)</f>
        <v>STORAGE SITE</v>
      </c>
      <c r="C14" s="154">
        <v>20374657.534246575</v>
      </c>
    </row>
    <row r="15" spans="1:7">
      <c r="A15" s="14" t="s">
        <v>12</v>
      </c>
      <c r="B15" s="15" t="str">
        <f>VLOOKUP(A15,'Locations &amp; Types'!$A:$B,2,FALSE)</f>
        <v>STORAGE SITE</v>
      </c>
      <c r="C15" s="154">
        <v>0</v>
      </c>
      <c r="G15" t="s">
        <v>549</v>
      </c>
    </row>
    <row r="16" spans="1:7">
      <c r="A16" s="14" t="s">
        <v>13</v>
      </c>
      <c r="B16" s="15" t="str">
        <f>VLOOKUP(A16,'Locations &amp; Types'!$A:$B,2,FALSE)</f>
        <v>STORAGE SITE</v>
      </c>
      <c r="C16" s="154">
        <v>420000000</v>
      </c>
    </row>
    <row r="17" spans="1:3">
      <c r="A17" s="14" t="s">
        <v>14</v>
      </c>
      <c r="B17" s="15" t="str">
        <f>VLOOKUP(A17,'Locations &amp; Types'!$A:$B,2,FALSE)</f>
        <v>STORAGE SITE</v>
      </c>
      <c r="C17" s="154">
        <v>283440000</v>
      </c>
    </row>
    <row r="18" spans="1:3">
      <c r="A18" s="14" t="s">
        <v>15</v>
      </c>
      <c r="B18" s="15" t="str">
        <f>VLOOKUP(A18,'Locations &amp; Types'!$A:$B,2,FALSE)</f>
        <v>ONSHORE FIELD</v>
      </c>
      <c r="C18" s="154">
        <v>0</v>
      </c>
    </row>
    <row r="19" spans="1:3">
      <c r="A19" s="14" t="s">
        <v>16</v>
      </c>
      <c r="B19" s="15" t="str">
        <f>VLOOKUP(A19,'Locations &amp; Types'!$A:$B,2,FALSE)</f>
        <v>STORAGE SITE</v>
      </c>
      <c r="C19" s="154">
        <v>77588014.975342467</v>
      </c>
    </row>
    <row r="20" spans="1:3">
      <c r="A20" s="14" t="s">
        <v>17</v>
      </c>
      <c r="B20" s="15" t="str">
        <f>VLOOKUP(A20,'Locations &amp; Types'!$A:$B,2,FALSE)</f>
        <v>STORAGE SITE</v>
      </c>
      <c r="C20" s="154">
        <v>5424657.5342465751</v>
      </c>
    </row>
    <row r="21" spans="1:3">
      <c r="A21" s="14" t="s">
        <v>18</v>
      </c>
      <c r="B21" s="15" t="str">
        <f>VLOOKUP(A21,'Locations &amp; Types'!$A:$B,2,FALSE)</f>
        <v>LNG IMPORTATION TERMINAL</v>
      </c>
      <c r="C21" s="154">
        <v>643590136.98630142</v>
      </c>
    </row>
    <row r="22" spans="1:3">
      <c r="A22" s="14" t="s">
        <v>19</v>
      </c>
      <c r="B22" s="15" t="str">
        <f>VLOOKUP(A22,'Locations &amp; Types'!$A:$B,2,FALSE)</f>
        <v>LNG IMPORTATION TERMINAL</v>
      </c>
      <c r="C22" s="154">
        <v>601808219.17808223</v>
      </c>
    </row>
    <row r="23" spans="1:3">
      <c r="A23" s="14" t="s">
        <v>20</v>
      </c>
      <c r="B23" s="15" t="str">
        <f>VLOOKUP(A23,'Locations &amp; Types'!$A:$B,2,FALSE)</f>
        <v>STORAGE SITE</v>
      </c>
      <c r="C23" s="154">
        <v>40146.71232876712</v>
      </c>
    </row>
    <row r="24" spans="1:3">
      <c r="A24" s="14" t="s">
        <v>155</v>
      </c>
      <c r="B24" s="15" t="str">
        <f>VLOOKUP(A24,'Locations &amp; Types'!$A:$B,2,FALSE)</f>
        <v>INTERCONNECTION POINT</v>
      </c>
      <c r="C24" s="154">
        <v>0</v>
      </c>
    </row>
    <row r="25" spans="1:3">
      <c r="A25" s="14" t="s">
        <v>533</v>
      </c>
      <c r="B25" s="15" t="s">
        <v>531</v>
      </c>
      <c r="C25" s="154">
        <v>500000</v>
      </c>
    </row>
    <row r="26" spans="1:3">
      <c r="A26" s="14" t="s">
        <v>21</v>
      </c>
      <c r="B26" s="15" t="str">
        <f>VLOOKUP(A26,'Locations &amp; Types'!$A:$B,2,FALSE)</f>
        <v>BEACH TERMINAL</v>
      </c>
      <c r="C26" s="154">
        <v>746444324.65763569</v>
      </c>
    </row>
    <row r="27" spans="1:3">
      <c r="A27" s="14" t="s">
        <v>22</v>
      </c>
      <c r="B27" s="15" t="str">
        <f>VLOOKUP(A27,'Locations &amp; Types'!$A:$B,2,FALSE)</f>
        <v>BEACH TERMINAL</v>
      </c>
      <c r="C27" s="154">
        <v>327606740.72962016</v>
      </c>
    </row>
    <row r="28" spans="1:3">
      <c r="A28" s="14" t="s">
        <v>23</v>
      </c>
      <c r="B28" s="15" t="str">
        <f>VLOOKUP(A28,'Locations &amp; Types'!$A:$B,2,FALSE)</f>
        <v>BEACH TERMINAL</v>
      </c>
      <c r="C28" s="154">
        <v>10723835.616438357</v>
      </c>
    </row>
    <row r="29" spans="1:3">
      <c r="A29" s="14" t="s">
        <v>24</v>
      </c>
      <c r="B29" s="15" t="str">
        <f>VLOOKUP(A29,'Locations &amp; Types'!$A:$B,2,FALSE)</f>
        <v>ONSHORE FIELD</v>
      </c>
      <c r="C29" s="154">
        <v>0</v>
      </c>
    </row>
    <row r="30" spans="1:3">
      <c r="C30" s="257"/>
    </row>
    <row r="31" spans="1:3">
      <c r="C31" s="257"/>
    </row>
    <row r="32" spans="1:3">
      <c r="C32" s="137"/>
    </row>
    <row r="34" spans="3:3">
      <c r="C34" s="137"/>
    </row>
  </sheetData>
  <mergeCells count="2">
    <mergeCell ref="A1:A2"/>
    <mergeCell ref="B1: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5" tint="0.39997558519241921"/>
  </sheetPr>
  <dimension ref="A1:E34"/>
  <sheetViews>
    <sheetView workbookViewId="0">
      <selection activeCell="C31" sqref="C31"/>
    </sheetView>
  </sheetViews>
  <sheetFormatPr defaultColWidth="9.140625" defaultRowHeight="15"/>
  <cols>
    <col min="1" max="1" width="27.85546875" customWidth="1"/>
    <col min="2" max="2" width="29" customWidth="1"/>
    <col min="3" max="3" width="52.42578125" customWidth="1"/>
  </cols>
  <sheetData>
    <row r="1" spans="1:5" s="34" customFormat="1">
      <c r="A1" s="456" t="s">
        <v>25</v>
      </c>
      <c r="B1" s="456" t="s">
        <v>323</v>
      </c>
      <c r="C1" s="135" t="s">
        <v>516</v>
      </c>
    </row>
    <row r="2" spans="1:5" s="34" customFormat="1">
      <c r="A2" s="456"/>
      <c r="B2" s="456"/>
      <c r="C2" s="136" t="s">
        <v>338</v>
      </c>
    </row>
    <row r="3" spans="1:5">
      <c r="A3" s="15" t="s">
        <v>1</v>
      </c>
      <c r="B3" s="15" t="str">
        <f>VLOOKUP(A3,'Locations &amp; Types'!$A:$B,2,FALSE)</f>
        <v>STORAGE SITE</v>
      </c>
      <c r="C3" s="154">
        <v>0</v>
      </c>
    </row>
    <row r="4" spans="1:5">
      <c r="A4" s="14" t="s">
        <v>2</v>
      </c>
      <c r="B4" s="15" t="str">
        <f>VLOOKUP(A4,'Locations &amp; Types'!$A:$B,2,FALSE)</f>
        <v>INTERCONNECTION POINT</v>
      </c>
      <c r="C4" s="154">
        <v>178627069.62191781</v>
      </c>
    </row>
    <row r="5" spans="1:5">
      <c r="A5" s="16" t="s">
        <v>3</v>
      </c>
      <c r="B5" s="15" t="str">
        <f>VLOOKUP(A5,'Locations &amp; Types'!$A:$B,2,FALSE)</f>
        <v>BEACH TERMINAL</v>
      </c>
      <c r="C5" s="154">
        <v>648603335.88767123</v>
      </c>
    </row>
    <row r="6" spans="1:5">
      <c r="A6" s="14" t="s">
        <v>4</v>
      </c>
      <c r="B6" s="15" t="str">
        <f>VLOOKUP(A6,'Locations &amp; Types'!$A:$B,2,FALSE)</f>
        <v>ONSHORE FIELD</v>
      </c>
      <c r="C6" s="154">
        <v>14936970.808219178</v>
      </c>
    </row>
    <row r="7" spans="1:5">
      <c r="A7" s="14" t="s">
        <v>5</v>
      </c>
      <c r="B7" s="15" t="str">
        <f>VLOOKUP(A7,'Locations &amp; Types'!$A:$B,2,FALSE)</f>
        <v>BEACH TERMINAL</v>
      </c>
      <c r="C7" s="154">
        <v>75553005.904109582</v>
      </c>
    </row>
    <row r="8" spans="1:5">
      <c r="A8" s="14" t="s">
        <v>6</v>
      </c>
      <c r="B8" s="15" t="str">
        <f>VLOOKUP(A8,'Locations &amp; Types'!$A:$B,2,FALSE)</f>
        <v>STORAGE SITE</v>
      </c>
      <c r="C8" s="154">
        <v>6468967.6986301383</v>
      </c>
    </row>
    <row r="9" spans="1:5">
      <c r="A9" s="14" t="s">
        <v>7</v>
      </c>
      <c r="B9" s="15" t="str">
        <f>VLOOKUP(A9,'Locations &amp; Types'!$A:$B,2,FALSE)</f>
        <v>ONSHORE FIELD</v>
      </c>
      <c r="C9" s="154">
        <v>0</v>
      </c>
    </row>
    <row r="10" spans="1:5">
      <c r="A10" s="14" t="s">
        <v>8</v>
      </c>
      <c r="B10" s="15" t="str">
        <f>VLOOKUP(A10,'Locations &amp; Types'!$A:$B,2,FALSE)</f>
        <v>STORAGE SITE</v>
      </c>
      <c r="C10" s="154">
        <v>541245000</v>
      </c>
    </row>
    <row r="11" spans="1:5">
      <c r="A11" s="14" t="s">
        <v>9</v>
      </c>
      <c r="B11" s="15" t="str">
        <f>VLOOKUP(A11,'Locations &amp; Types'!$A:$B,2,FALSE)</f>
        <v>STORAGE SITE</v>
      </c>
      <c r="C11" s="154">
        <v>90000000</v>
      </c>
    </row>
    <row r="12" spans="1:5">
      <c r="A12" s="14" t="s">
        <v>10</v>
      </c>
      <c r="B12" s="15" t="str">
        <f>VLOOKUP(A12,'Locations &amp; Types'!$A:$B,2,FALSE)</f>
        <v>STORAGE SITE</v>
      </c>
      <c r="C12" s="154">
        <v>0</v>
      </c>
      <c r="E12" t="s">
        <v>549</v>
      </c>
    </row>
    <row r="13" spans="1:5">
      <c r="A13" s="14" t="s">
        <v>477</v>
      </c>
      <c r="B13" s="15" t="str">
        <f>VLOOKUP(A13,'Locations &amp; Types'!$A:$B,2,FALSE)</f>
        <v>BEACH TERMINAL</v>
      </c>
      <c r="C13" s="154">
        <v>833294279.96712327</v>
      </c>
    </row>
    <row r="14" spans="1:5">
      <c r="A14" s="14" t="s">
        <v>11</v>
      </c>
      <c r="B14" s="15" t="str">
        <f>VLOOKUP(A14,'Locations &amp; Types'!$A:$B,2,FALSE)</f>
        <v>STORAGE SITE</v>
      </c>
      <c r="C14" s="154">
        <v>82029863.013698637</v>
      </c>
    </row>
    <row r="15" spans="1:5">
      <c r="A15" s="14" t="s">
        <v>12</v>
      </c>
      <c r="B15" s="15" t="str">
        <f>VLOOKUP(A15,'Locations &amp; Types'!$A:$B,2,FALSE)</f>
        <v>STORAGE SITE</v>
      </c>
      <c r="C15" s="154">
        <v>0</v>
      </c>
    </row>
    <row r="16" spans="1:5">
      <c r="A16" s="14" t="s">
        <v>13</v>
      </c>
      <c r="B16" s="15" t="str">
        <f>VLOOKUP(A16,'Locations &amp; Types'!$A:$B,2,FALSE)</f>
        <v>STORAGE SITE</v>
      </c>
      <c r="C16" s="154">
        <v>420000000</v>
      </c>
    </row>
    <row r="17" spans="1:3">
      <c r="A17" s="14" t="s">
        <v>14</v>
      </c>
      <c r="B17" s="15" t="str">
        <f>VLOOKUP(A17,'Locations &amp; Types'!$A:$B,2,FALSE)</f>
        <v>STORAGE SITE</v>
      </c>
      <c r="C17" s="154">
        <v>283440000</v>
      </c>
    </row>
    <row r="18" spans="1:3">
      <c r="A18" s="14" t="s">
        <v>15</v>
      </c>
      <c r="B18" s="15" t="str">
        <f>VLOOKUP(A18,'Locations &amp; Types'!$A:$B,2,FALSE)</f>
        <v>ONSHORE FIELD</v>
      </c>
      <c r="C18" s="154">
        <v>0</v>
      </c>
    </row>
    <row r="19" spans="1:3">
      <c r="A19" s="14" t="s">
        <v>16</v>
      </c>
      <c r="B19" s="15" t="str">
        <f>VLOOKUP(A19,'Locations &amp; Types'!$A:$B,2,FALSE)</f>
        <v>STORAGE SITE</v>
      </c>
      <c r="C19" s="154">
        <v>77588014.975342467</v>
      </c>
    </row>
    <row r="20" spans="1:3">
      <c r="A20" s="14" t="s">
        <v>17</v>
      </c>
      <c r="B20" s="15" t="str">
        <f>VLOOKUP(A20,'Locations &amp; Types'!$A:$B,2,FALSE)</f>
        <v>STORAGE SITE</v>
      </c>
      <c r="C20" s="154">
        <v>5424657.5342465751</v>
      </c>
    </row>
    <row r="21" spans="1:3">
      <c r="A21" s="14" t="s">
        <v>18</v>
      </c>
      <c r="B21" s="15" t="str">
        <f>VLOOKUP(A21,'Locations &amp; Types'!$A:$B,2,FALSE)</f>
        <v>LNG IMPORTATION TERMINAL</v>
      </c>
      <c r="C21" s="154">
        <v>643590136.98630142</v>
      </c>
    </row>
    <row r="22" spans="1:3">
      <c r="A22" s="14" t="s">
        <v>19</v>
      </c>
      <c r="B22" s="15" t="str">
        <f>VLOOKUP(A22,'Locations &amp; Types'!$A:$B,2,FALSE)</f>
        <v>LNG IMPORTATION TERMINAL</v>
      </c>
      <c r="C22" s="154">
        <v>473835616.43835616</v>
      </c>
    </row>
    <row r="23" spans="1:3">
      <c r="A23" s="14" t="s">
        <v>20</v>
      </c>
      <c r="B23" s="15" t="str">
        <f>VLOOKUP(A23,'Locations &amp; Types'!$A:$B,2,FALSE)</f>
        <v>STORAGE SITE</v>
      </c>
      <c r="C23" s="154">
        <v>40146.71232876712</v>
      </c>
    </row>
    <row r="24" spans="1:3">
      <c r="A24" s="14" t="s">
        <v>155</v>
      </c>
      <c r="B24" s="15" t="str">
        <f>VLOOKUP(A24,'Locations &amp; Types'!$A:$B,2,FALSE)</f>
        <v>INTERCONNECTION POINT</v>
      </c>
      <c r="C24" s="154">
        <v>0</v>
      </c>
    </row>
    <row r="25" spans="1:3">
      <c r="A25" s="14" t="s">
        <v>533</v>
      </c>
      <c r="B25" s="15" t="s">
        <v>531</v>
      </c>
      <c r="C25" s="154">
        <v>500000</v>
      </c>
    </row>
    <row r="26" spans="1:3">
      <c r="A26" s="14" t="s">
        <v>21</v>
      </c>
      <c r="B26" s="15" t="str">
        <f>VLOOKUP(A26,'Locations &amp; Types'!$A:$B,2,FALSE)</f>
        <v>BEACH TERMINAL</v>
      </c>
      <c r="C26" s="154">
        <v>741582703.86869538</v>
      </c>
    </row>
    <row r="27" spans="1:3">
      <c r="A27" s="14" t="s">
        <v>22</v>
      </c>
      <c r="B27" s="15" t="str">
        <f>VLOOKUP(A27,'Locations &amp; Types'!$A:$B,2,FALSE)</f>
        <v>BEACH TERMINAL</v>
      </c>
      <c r="C27" s="154">
        <v>311032885.83064198</v>
      </c>
    </row>
    <row r="28" spans="1:3">
      <c r="A28" s="14" t="s">
        <v>23</v>
      </c>
      <c r="B28" s="15" t="str">
        <f>VLOOKUP(A28,'Locations &amp; Types'!$A:$B,2,FALSE)</f>
        <v>BEACH TERMINAL</v>
      </c>
      <c r="C28" s="154">
        <v>10723835.616438357</v>
      </c>
    </row>
    <row r="29" spans="1:3">
      <c r="A29" s="14" t="s">
        <v>24</v>
      </c>
      <c r="B29" s="15" t="str">
        <f>VLOOKUP(A29,'Locations &amp; Types'!$A:$B,2,FALSE)</f>
        <v>ONSHORE FIELD</v>
      </c>
      <c r="C29" s="154">
        <v>0</v>
      </c>
    </row>
    <row r="30" spans="1:3">
      <c r="C30" s="257"/>
    </row>
    <row r="31" spans="1:3">
      <c r="C31" s="257"/>
    </row>
    <row r="32" spans="1:3">
      <c r="C32" s="137"/>
    </row>
    <row r="34" spans="3:3">
      <c r="C34" s="137"/>
    </row>
  </sheetData>
  <mergeCells count="2">
    <mergeCell ref="A1:A2"/>
    <mergeCell ref="B1:B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39997558519241921"/>
  </sheetPr>
  <dimension ref="A1:C231"/>
  <sheetViews>
    <sheetView topLeftCell="A152" workbookViewId="0">
      <selection activeCell="A153" sqref="A153"/>
    </sheetView>
  </sheetViews>
  <sheetFormatPr defaultColWidth="9.140625" defaultRowHeight="15"/>
  <cols>
    <col min="1" max="1" width="57" bestFit="1" customWidth="1"/>
    <col min="2" max="2" width="28.140625" customWidth="1"/>
    <col min="3" max="3" width="45" customWidth="1"/>
  </cols>
  <sheetData>
    <row r="1" spans="1:3">
      <c r="A1" s="457" t="s">
        <v>242</v>
      </c>
      <c r="B1" s="457" t="s">
        <v>329</v>
      </c>
      <c r="C1" s="37" t="s">
        <v>516</v>
      </c>
    </row>
    <row r="2" spans="1:3" ht="15.75" thickBot="1">
      <c r="A2" s="458"/>
      <c r="B2" s="458"/>
      <c r="C2" s="38" t="s">
        <v>338</v>
      </c>
    </row>
    <row r="3" spans="1:3">
      <c r="A3" s="2" t="s">
        <v>26</v>
      </c>
      <c r="B3" s="12" t="str">
        <f>VLOOKUP(A3,'Locations &amp; Types'!$E:$F,2,FALSE)</f>
        <v>GDN (SC)</v>
      </c>
      <c r="C3" s="89">
        <v>21639348</v>
      </c>
    </row>
    <row r="4" spans="1:3">
      <c r="A4" s="2" t="s">
        <v>27</v>
      </c>
      <c r="B4" s="12" t="str">
        <f>VLOOKUP(A4,'Locations &amp; Types'!$E:$F,2,FALSE)</f>
        <v>DC</v>
      </c>
      <c r="C4" s="89">
        <v>27843799.794520549</v>
      </c>
    </row>
    <row r="5" spans="1:3">
      <c r="A5" s="2" t="s">
        <v>28</v>
      </c>
      <c r="B5" s="12" t="str">
        <f>VLOOKUP(A5,'Locations &amp; Types'!$E:$F,2,FALSE)</f>
        <v>GDN (EM)</v>
      </c>
      <c r="C5" s="89">
        <v>59229584</v>
      </c>
    </row>
    <row r="6" spans="1:3">
      <c r="A6" s="2" t="s">
        <v>29</v>
      </c>
      <c r="B6" s="12" t="str">
        <f>VLOOKUP(A6,'Locations &amp; Types'!$E:$F,2,FALSE)</f>
        <v>GDN (WM)</v>
      </c>
      <c r="C6" s="89">
        <v>72462290</v>
      </c>
    </row>
    <row r="7" spans="1:3">
      <c r="A7" s="2" t="s">
        <v>240</v>
      </c>
      <c r="B7" s="12" t="str">
        <f>VLOOKUP(A7,'Locations &amp; Types'!$E:$F,2,FALSE)</f>
        <v>DC</v>
      </c>
      <c r="C7" s="89">
        <v>9073.673972602739</v>
      </c>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661.20547945205476</v>
      </c>
    </row>
    <row r="15" spans="1:3">
      <c r="A15" s="2" t="s">
        <v>37</v>
      </c>
      <c r="B15" s="12" t="str">
        <f>VLOOKUP(A15,'Locations &amp; Types'!$E:$F,2,FALSE)</f>
        <v>GDN (SW)</v>
      </c>
      <c r="C15" s="89">
        <v>19128874</v>
      </c>
    </row>
    <row r="16" spans="1:3">
      <c r="A16" s="2" t="s">
        <v>38</v>
      </c>
      <c r="B16" s="12" t="str">
        <f>VLOOKUP(A16,'Locations &amp; Types'!$E:$F,2,FALSE)</f>
        <v>GDN (EA)</v>
      </c>
      <c r="C16" s="89">
        <v>2844268</v>
      </c>
    </row>
    <row r="17" spans="1:3">
      <c r="A17" s="2" t="s">
        <v>39</v>
      </c>
      <c r="B17" s="12" t="str">
        <f>VLOOKUP(A17,'Locations &amp; Types'!$E:$F,2,FALSE)</f>
        <v>STORAGE SITE</v>
      </c>
      <c r="C17" s="89">
        <v>0</v>
      </c>
    </row>
    <row r="18" spans="1:3">
      <c r="A18" s="2" t="s">
        <v>40</v>
      </c>
      <c r="B18" s="12" t="str">
        <f>VLOOKUP(A18,'Locations &amp; Types'!$E:$F,2,FALSE)</f>
        <v>INTERCONNECTOR</v>
      </c>
      <c r="C18" s="89">
        <v>0</v>
      </c>
    </row>
    <row r="19" spans="1:3">
      <c r="A19" s="2" t="s">
        <v>41</v>
      </c>
      <c r="B19" s="12" t="str">
        <f>VLOOKUP(A19,'Locations &amp; Types'!$E:$F,2,FALSE)</f>
        <v>DC</v>
      </c>
      <c r="C19" s="89">
        <v>20000000</v>
      </c>
    </row>
    <row r="20" spans="1:3">
      <c r="A20" s="2" t="s">
        <v>42</v>
      </c>
      <c r="B20" s="12" t="str">
        <f>VLOOKUP(A20,'Locations &amp; Types'!$E:$F,2,FALSE)</f>
        <v>INTERCONNECTOR</v>
      </c>
      <c r="C20" s="89">
        <v>185430316.28493151</v>
      </c>
    </row>
    <row r="21" spans="1:3">
      <c r="A21" s="2" t="s">
        <v>43</v>
      </c>
      <c r="B21" s="12" t="str">
        <f>VLOOKUP(A21,'Locations &amp; Types'!$E:$F,2,FALSE)</f>
        <v>GDN (NE)</v>
      </c>
      <c r="C21" s="89">
        <v>1126642</v>
      </c>
    </row>
    <row r="22" spans="1:3">
      <c r="A22" s="2" t="s">
        <v>44</v>
      </c>
      <c r="B22" s="12" t="str">
        <f>VLOOKUP(A22,'Locations &amp; Types'!$E:$F,2,FALSE)</f>
        <v>GDN (SC)</v>
      </c>
      <c r="C22" s="89">
        <v>15057981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1001369.8630136986</v>
      </c>
    </row>
    <row r="26" spans="1:3">
      <c r="A26" s="2" t="s">
        <v>48</v>
      </c>
      <c r="B26" s="12" t="str">
        <f>VLOOKUP(A26,'Locations &amp; Types'!$E:$F,2,FALSE)</f>
        <v>STORAGE SITE</v>
      </c>
      <c r="C26" s="89">
        <v>0</v>
      </c>
    </row>
    <row r="27" spans="1:3">
      <c r="A27" s="2" t="s">
        <v>49</v>
      </c>
      <c r="B27" s="12" t="str">
        <f>VLOOKUP(A27,'Locations &amp; Types'!$E:$F,2,FALSE)</f>
        <v>STORAGE SITE</v>
      </c>
      <c r="C27" s="89">
        <v>10181399.89041096</v>
      </c>
    </row>
    <row r="28" spans="1:3">
      <c r="A28" s="2" t="s">
        <v>50</v>
      </c>
      <c r="B28" s="12" t="str">
        <f>VLOOKUP(A28,'Locations &amp; Types'!$E:$F,2,FALSE)</f>
        <v>GDN (SC)</v>
      </c>
      <c r="C28" s="89">
        <v>21081766</v>
      </c>
    </row>
    <row r="29" spans="1:3">
      <c r="A29" s="2" t="s">
        <v>51</v>
      </c>
      <c r="B29" s="12" t="str">
        <f>VLOOKUP(A29,'Locations &amp; Types'!$E:$F,2,FALSE)</f>
        <v>DC</v>
      </c>
      <c r="C29" s="89">
        <v>33644543</v>
      </c>
    </row>
    <row r="30" spans="1:3">
      <c r="A30" s="2" t="s">
        <v>52</v>
      </c>
      <c r="B30" s="12" t="str">
        <f>VLOOKUP(A30,'Locations &amp; Types'!$E:$F,2,FALSE)</f>
        <v>GDN (NO)</v>
      </c>
      <c r="C30" s="89">
        <v>56287977</v>
      </c>
    </row>
    <row r="31" spans="1:3">
      <c r="A31" s="2" t="s">
        <v>53</v>
      </c>
      <c r="B31" s="12" t="str">
        <f>VLOOKUP(A31,'Locations &amp; Types'!$E:$F,2,FALSE)</f>
        <v>DC</v>
      </c>
      <c r="C31" s="89">
        <v>781914.3561643837</v>
      </c>
    </row>
    <row r="32" spans="1:3">
      <c r="A32" s="2" t="s">
        <v>54</v>
      </c>
      <c r="B32" s="12" t="str">
        <f>VLOOKUP(A32,'Locations &amp; Types'!$E:$F,2,FALSE)</f>
        <v>GDN (EM)</v>
      </c>
      <c r="C32" s="89">
        <v>9867513</v>
      </c>
    </row>
    <row r="33" spans="1:3">
      <c r="A33" s="2" t="s">
        <v>55</v>
      </c>
      <c r="B33" s="12" t="str">
        <f>VLOOKUP(A33,'Locations &amp; Types'!$E:$F,2,FALSE)</f>
        <v>DC</v>
      </c>
      <c r="C33" s="89">
        <v>27290000</v>
      </c>
    </row>
    <row r="34" spans="1:3">
      <c r="A34" s="2" t="s">
        <v>56</v>
      </c>
      <c r="B34" s="12" t="str">
        <f>VLOOKUP(A34,'Locations &amp; Types'!$E:$F,2,FALSE)</f>
        <v>GDN (NW)</v>
      </c>
      <c r="C34" s="89">
        <v>123939267</v>
      </c>
    </row>
    <row r="35" spans="1:3">
      <c r="A35" s="2" t="s">
        <v>57</v>
      </c>
      <c r="B35" s="12" t="str">
        <f>VLOOKUP(A35,'Locations &amp; Types'!$E:$F,2,FALSE)</f>
        <v>GDN (EM)</v>
      </c>
      <c r="C35" s="89">
        <v>55825856</v>
      </c>
    </row>
    <row r="36" spans="1:3">
      <c r="A36" s="2" t="s">
        <v>58</v>
      </c>
      <c r="B36" s="12" t="str">
        <f>VLOOKUP(A36,'Locations &amp; Types'!$E:$F,2,FALSE)</f>
        <v>DC</v>
      </c>
      <c r="C36" s="89">
        <v>1600000</v>
      </c>
    </row>
    <row r="37" spans="1:3">
      <c r="A37" s="2" t="s">
        <v>59</v>
      </c>
      <c r="B37" s="12" t="str">
        <f>VLOOKUP(A37,'Locations &amp; Types'!$E:$F,2,FALSE)</f>
        <v>DC</v>
      </c>
      <c r="C37" s="89">
        <v>12767838.630136991</v>
      </c>
    </row>
    <row r="38" spans="1:3">
      <c r="A38" s="2" t="s">
        <v>60</v>
      </c>
      <c r="B38" s="12" t="str">
        <f>VLOOKUP(A38,'Locations &amp; Types'!$E:$F,2,FALSE)</f>
        <v>GDN (SO)</v>
      </c>
      <c r="C38" s="89">
        <v>84161130</v>
      </c>
    </row>
    <row r="39" spans="1:3">
      <c r="A39" s="2" t="s">
        <v>61</v>
      </c>
      <c r="B39" s="12" t="str">
        <f>VLOOKUP(A39,'Locations &amp; Types'!$E:$F,2,FALSE)</f>
        <v>GDN (SO)</v>
      </c>
      <c r="C39" s="89">
        <v>64947171</v>
      </c>
    </row>
    <row r="40" spans="1:3">
      <c r="A40" s="2" t="s">
        <v>62</v>
      </c>
      <c r="B40" s="12" t="str">
        <f>VLOOKUP(A40,'Locations &amp; Types'!$E:$F,2,FALSE)</f>
        <v>DC</v>
      </c>
      <c r="C40" s="89">
        <v>50816.986301369856</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22372861</v>
      </c>
    </row>
    <row r="45" spans="1:3">
      <c r="A45" s="2" t="s">
        <v>67</v>
      </c>
      <c r="B45" s="12" t="str">
        <f>VLOOKUP(A45,'Locations &amp; Types'!$E:$F,2,FALSE)</f>
        <v>DC</v>
      </c>
      <c r="C45" s="89">
        <v>13734651.613150684</v>
      </c>
    </row>
    <row r="46" spans="1:3">
      <c r="A46" s="2" t="s">
        <v>68</v>
      </c>
      <c r="B46" s="12" t="str">
        <f>VLOOKUP(A46,'Locations &amp; Types'!$E:$F,2,FALSE)</f>
        <v>GDN (EM)</v>
      </c>
      <c r="C46" s="89">
        <v>8977861</v>
      </c>
    </row>
    <row r="47" spans="1:3">
      <c r="A47" s="2" t="s">
        <v>69</v>
      </c>
      <c r="B47" s="12" t="str">
        <f>VLOOKUP(A47,'Locations &amp; Types'!$E:$F,2,FALSE)</f>
        <v>DC</v>
      </c>
      <c r="C47" s="89">
        <v>663937.09589041106</v>
      </c>
    </row>
    <row r="48" spans="1:3">
      <c r="A48" s="2" t="s">
        <v>70</v>
      </c>
      <c r="B48" s="12" t="str">
        <f>VLOOKUP(A48,'Locations &amp; Types'!$E:$F,2,FALSE)</f>
        <v>GDN (EA)</v>
      </c>
      <c r="C48" s="89">
        <v>0</v>
      </c>
    </row>
    <row r="49" spans="1:3">
      <c r="A49" s="2" t="s">
        <v>71</v>
      </c>
      <c r="B49" s="12" t="str">
        <f>VLOOKUP(A49,'Locations &amp; Types'!$E:$F,2,FALSE)</f>
        <v>GDN (SC)</v>
      </c>
      <c r="C49" s="89">
        <v>4112924</v>
      </c>
    </row>
    <row r="50" spans="1:3">
      <c r="A50" s="2" t="s">
        <v>72</v>
      </c>
      <c r="B50" s="12" t="str">
        <f>VLOOKUP(A50,'Locations &amp; Types'!$E:$F,2,FALSE)</f>
        <v>DC</v>
      </c>
      <c r="C50" s="89">
        <v>28568650.534246575</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7417140</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38498554</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4448282.1643835614</v>
      </c>
    </row>
    <row r="63" spans="1:3">
      <c r="A63" s="2" t="s">
        <v>84</v>
      </c>
      <c r="B63" s="12" t="str">
        <f>VLOOKUP(A63,'Locations &amp; Types'!$E:$F,2,FALSE)</f>
        <v>DC</v>
      </c>
      <c r="C63" s="89">
        <v>33674184.273972601</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54670979</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1457215</v>
      </c>
    </row>
    <row r="71" spans="1:3">
      <c r="A71" s="2" t="s">
        <v>92</v>
      </c>
      <c r="B71" s="12" t="str">
        <f>VLOOKUP(A71,'Locations &amp; Types'!$E:$F,2,FALSE)</f>
        <v>DC</v>
      </c>
      <c r="C71" s="89">
        <v>16099880.27397261</v>
      </c>
    </row>
    <row r="72" spans="1:3">
      <c r="A72" s="2" t="s">
        <v>93</v>
      </c>
      <c r="B72" s="12" t="str">
        <f>VLOOKUP(A72,'Locations &amp; Types'!$E:$F,2,FALSE)</f>
        <v>GDN (SW)</v>
      </c>
      <c r="C72" s="89">
        <v>27391725</v>
      </c>
    </row>
    <row r="73" spans="1:3">
      <c r="A73" s="2" t="s">
        <v>94</v>
      </c>
      <c r="B73" s="12" t="str">
        <f>VLOOKUP(A73,'Locations &amp; Types'!$E:$F,2,FALSE)</f>
        <v>GDN (NW)</v>
      </c>
      <c r="C73" s="89">
        <v>16370887</v>
      </c>
    </row>
    <row r="74" spans="1:3">
      <c r="A74" s="2" t="s">
        <v>95</v>
      </c>
      <c r="B74" s="12" t="str">
        <f>VLOOKUP(A74,'Locations &amp; Types'!$E:$F,2,FALSE)</f>
        <v>GDN (NO)</v>
      </c>
      <c r="C74" s="89">
        <v>52818145</v>
      </c>
    </row>
    <row r="75" spans="1:3">
      <c r="A75" s="2" t="s">
        <v>96</v>
      </c>
      <c r="B75" s="12" t="str">
        <f>VLOOKUP(A75,'Locations &amp; Types'!$E:$F,2,FALSE)</f>
        <v>DC</v>
      </c>
      <c r="C75" s="89">
        <v>0</v>
      </c>
    </row>
    <row r="76" spans="1:3">
      <c r="A76" s="2" t="s">
        <v>97</v>
      </c>
      <c r="B76" s="12" t="str">
        <f>VLOOKUP(A76,'Locations &amp; Types'!$E:$F,2,FALSE)</f>
        <v>DC</v>
      </c>
      <c r="C76" s="89">
        <v>9323287.6712328773</v>
      </c>
    </row>
    <row r="77" spans="1:3">
      <c r="A77" s="2" t="s">
        <v>98</v>
      </c>
      <c r="B77" s="12" t="str">
        <f>VLOOKUP(A77,'Locations &amp; Types'!$E:$F,2,FALSE)</f>
        <v>GDN (SW)</v>
      </c>
      <c r="C77" s="89">
        <v>6441859</v>
      </c>
    </row>
    <row r="78" spans="1:3">
      <c r="A78" s="2" t="s">
        <v>99</v>
      </c>
      <c r="B78" s="12" t="str">
        <f>VLOOKUP(A78,'Locations &amp; Types'!$E:$F,2,FALSE)</f>
        <v>GDN (SE)</v>
      </c>
      <c r="C78" s="89">
        <v>89921069</v>
      </c>
    </row>
    <row r="79" spans="1:3">
      <c r="A79" s="2" t="s">
        <v>100</v>
      </c>
      <c r="B79" s="12" t="str">
        <f>VLOOKUP(A79,'Locations &amp; Types'!$E:$F,2,FALSE)</f>
        <v>GDN (SE)</v>
      </c>
      <c r="C79" s="89">
        <v>94634400</v>
      </c>
    </row>
    <row r="80" spans="1:3">
      <c r="A80" s="2" t="s">
        <v>101</v>
      </c>
      <c r="B80" s="12" t="str">
        <f>VLOOKUP(A80,'Locations &amp; Types'!$E:$F,2,FALSE)</f>
        <v>DC</v>
      </c>
      <c r="C80" s="89">
        <v>0</v>
      </c>
    </row>
    <row r="81" spans="1:3">
      <c r="A81" s="2" t="s">
        <v>102</v>
      </c>
      <c r="B81" s="12" t="str">
        <f>VLOOKUP(A81,'Locations &amp; Types'!$E:$F,2,FALSE)</f>
        <v>GDN (SW)</v>
      </c>
      <c r="C81" s="89">
        <v>21293234</v>
      </c>
    </row>
    <row r="82" spans="1:3">
      <c r="A82" s="2" t="s">
        <v>103</v>
      </c>
      <c r="B82" s="12" t="str">
        <f>VLOOKUP(A82,'Locations &amp; Types'!$E:$F,2,FALSE)</f>
        <v>GDN (NE)</v>
      </c>
      <c r="C82" s="89">
        <v>16610330</v>
      </c>
    </row>
    <row r="83" spans="1:3">
      <c r="A83" s="2" t="s">
        <v>104</v>
      </c>
      <c r="B83" s="12" t="str">
        <f>VLOOKUP(A83,'Locations &amp; Types'!$E:$F,2,FALSE)</f>
        <v>STORAGE SITE</v>
      </c>
      <c r="C83" s="89">
        <v>325510000</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1700000</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52305854.594520546</v>
      </c>
    </row>
    <row r="91" spans="1:3">
      <c r="A91" s="2" t="s">
        <v>111</v>
      </c>
      <c r="B91" s="12" t="str">
        <f>VLOOKUP(A91,'Locations &amp; Types'!$E:$F,2,FALSE)</f>
        <v>GDN (EA)</v>
      </c>
      <c r="C91" s="89">
        <v>23677521</v>
      </c>
    </row>
    <row r="92" spans="1:3">
      <c r="A92" s="2" t="s">
        <v>112</v>
      </c>
      <c r="B92" s="12" t="str">
        <f>VLOOKUP(A92,'Locations &amp; Types'!$E:$F,2,FALSE)</f>
        <v>GDN (NO)</v>
      </c>
      <c r="C92" s="89">
        <v>1806988</v>
      </c>
    </row>
    <row r="93" spans="1:3">
      <c r="A93" s="2" t="s">
        <v>113</v>
      </c>
      <c r="B93" s="12" t="str">
        <f>VLOOKUP(A93,'Locations &amp; Types'!$E:$F,2,FALSE)</f>
        <v>GDN (SO)</v>
      </c>
      <c r="C93" s="89">
        <v>103540577</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4588175.3424657527</v>
      </c>
    </row>
    <row r="98" spans="1:3">
      <c r="A98" s="2" t="s">
        <v>118</v>
      </c>
      <c r="B98" s="12" t="str">
        <f>VLOOKUP(A98,'Locations &amp; Types'!$E:$F,2,FALSE)</f>
        <v>STORAGE SITE</v>
      </c>
      <c r="C98" s="89">
        <v>684999.23287671246</v>
      </c>
    </row>
    <row r="99" spans="1:3">
      <c r="A99" s="2" t="s">
        <v>119</v>
      </c>
      <c r="B99" s="12" t="str">
        <f>VLOOKUP(A99,'Locations &amp; Types'!$E:$F,2,FALSE)</f>
        <v>STORAGE SITE</v>
      </c>
      <c r="C99" s="89">
        <v>41731254.821917832</v>
      </c>
    </row>
    <row r="100" spans="1:3">
      <c r="A100" s="2" t="s">
        <v>120</v>
      </c>
      <c r="B100" s="12" t="str">
        <f>VLOOKUP(A100,'Locations &amp; Types'!$E:$F,2,FALSE)</f>
        <v>DC</v>
      </c>
      <c r="C100" s="89">
        <v>555000</v>
      </c>
    </row>
    <row r="101" spans="1:3">
      <c r="A101" s="2" t="s">
        <v>121</v>
      </c>
      <c r="B101" s="12" t="str">
        <f>VLOOKUP(A101,'Locations &amp; Types'!$E:$F,2,FALSE)</f>
        <v>GDN (NW)</v>
      </c>
      <c r="C101" s="89">
        <v>21678773</v>
      </c>
    </row>
    <row r="102" spans="1:3">
      <c r="A102" s="2" t="s">
        <v>122</v>
      </c>
      <c r="B102" s="12" t="str">
        <f>VLOOKUP(A102,'Locations &amp; Types'!$E:$F,2,FALSE)</f>
        <v>GDN (NT)</v>
      </c>
      <c r="C102" s="89">
        <v>33307669</v>
      </c>
    </row>
    <row r="103" spans="1:3">
      <c r="A103" s="2" t="s">
        <v>123</v>
      </c>
      <c r="B103" s="12" t="str">
        <f>VLOOKUP(A103,'Locations &amp; Types'!$E:$F,2,FALSE)</f>
        <v>STORAGE SITE</v>
      </c>
      <c r="C103" s="89">
        <v>40337921.032876715</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31408565</v>
      </c>
    </row>
    <row r="107" spans="1:3">
      <c r="A107" s="2" t="s">
        <v>127</v>
      </c>
      <c r="B107" s="12" t="str">
        <f>VLOOKUP(A107,'Locations &amp; Types'!$E:$F,2,FALSE)</f>
        <v>GDN (SO)</v>
      </c>
      <c r="C107" s="89">
        <v>5760836.0356164379</v>
      </c>
    </row>
    <row r="108" spans="1:3">
      <c r="A108" s="2" t="s">
        <v>128</v>
      </c>
      <c r="B108" s="12" t="str">
        <f>VLOOKUP(A108,'Locations &amp; Types'!$E:$F,2,FALSE)</f>
        <v>GDN (SO)</v>
      </c>
      <c r="C108" s="89">
        <v>7429155.3452054793</v>
      </c>
    </row>
    <row r="109" spans="1:3">
      <c r="A109" s="2" t="s">
        <v>129</v>
      </c>
      <c r="B109" s="12" t="str">
        <f>VLOOKUP(A109,'Locations &amp; Types'!$E:$F,2,FALSE)</f>
        <v>GDN (NO)</v>
      </c>
      <c r="C109" s="89">
        <v>1424555</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31708219.17808219</v>
      </c>
    </row>
    <row r="114" spans="1:3">
      <c r="A114" s="2" t="s">
        <v>134</v>
      </c>
      <c r="B114" s="12" t="str">
        <f>VLOOKUP(A114,'Locations &amp; Types'!$E:$F,2,FALSE)</f>
        <v>GDN (SC)</v>
      </c>
      <c r="C114" s="89">
        <v>255319</v>
      </c>
    </row>
    <row r="115" spans="1:3">
      <c r="A115" s="2" t="s">
        <v>135</v>
      </c>
      <c r="B115" s="12" t="str">
        <f>VLOOKUP(A115,'Locations &amp; Types'!$E:$F,2,FALSE)</f>
        <v>GDN (SC)</v>
      </c>
      <c r="C115" s="89">
        <v>0</v>
      </c>
    </row>
    <row r="116" spans="1:3">
      <c r="A116" s="2" t="s">
        <v>136</v>
      </c>
      <c r="B116" s="12" t="str">
        <f>VLOOKUP(A116,'Locations &amp; Types'!$E:$F,2,FALSE)</f>
        <v>GDN (WM)</v>
      </c>
      <c r="C116" s="89">
        <v>3634748</v>
      </c>
    </row>
    <row r="117" spans="1:3">
      <c r="A117" s="2" t="s">
        <v>137</v>
      </c>
      <c r="B117" s="12" t="str">
        <f>VLOOKUP(A117,'Locations &amp; Types'!$E:$F,2,FALSE)</f>
        <v>GDN (NO)</v>
      </c>
      <c r="C117" s="89">
        <v>20919521</v>
      </c>
    </row>
    <row r="118" spans="1:3">
      <c r="A118" s="2" t="s">
        <v>138</v>
      </c>
      <c r="B118" s="12" t="str">
        <f>VLOOKUP(A118,'Locations &amp; Types'!$E:$F,2,FALSE)</f>
        <v>GDN (SW)</v>
      </c>
      <c r="C118" s="89">
        <v>2299463</v>
      </c>
    </row>
    <row r="119" spans="1:3">
      <c r="A119" s="2" t="s">
        <v>139</v>
      </c>
      <c r="B119" s="12" t="str">
        <f>VLOOKUP(A119,'Locations &amp; Types'!$E:$F,2,FALSE)</f>
        <v>GDN (SC)</v>
      </c>
      <c r="C119" s="89">
        <v>7131838</v>
      </c>
    </row>
    <row r="120" spans="1:3">
      <c r="A120" s="2" t="s">
        <v>140</v>
      </c>
      <c r="B120" s="12" t="str">
        <f>VLOOKUP(A120,'Locations &amp; Types'!$E:$F,2,FALSE)</f>
        <v>GDN (WM)</v>
      </c>
      <c r="C120" s="89">
        <v>29910000</v>
      </c>
    </row>
    <row r="121" spans="1:3">
      <c r="A121" s="2" t="s">
        <v>141</v>
      </c>
      <c r="B121" s="12" t="str">
        <f>VLOOKUP(A121,'Locations &amp; Types'!$E:$F,2,FALSE)</f>
        <v>GDN (NW)</v>
      </c>
      <c r="C121" s="89">
        <v>19815980</v>
      </c>
    </row>
    <row r="122" spans="1:3">
      <c r="A122" s="2" t="s">
        <v>142</v>
      </c>
      <c r="B122" s="12" t="str">
        <f>VLOOKUP(A122,'Locations &amp; Types'!$E:$F,2,FALSE)</f>
        <v>GDN (NT)</v>
      </c>
      <c r="C122" s="89">
        <v>76147689</v>
      </c>
    </row>
    <row r="123" spans="1:3">
      <c r="A123" s="2" t="s">
        <v>143</v>
      </c>
      <c r="B123" s="12" t="str">
        <f>VLOOKUP(A123,'Locations &amp; Types'!$E:$F,2,FALSE)</f>
        <v>GDN (SW)</v>
      </c>
      <c r="C123" s="89">
        <v>40420636</v>
      </c>
    </row>
    <row r="124" spans="1:3">
      <c r="A124" s="2" t="s">
        <v>144</v>
      </c>
      <c r="B124" s="12" t="str">
        <f>VLOOKUP(A124,'Locations &amp; Types'!$E:$F,2,FALSE)</f>
        <v>GDN (WN)</v>
      </c>
      <c r="C124" s="89">
        <v>49258990</v>
      </c>
    </row>
    <row r="125" spans="1:3">
      <c r="A125" s="2" t="s">
        <v>145</v>
      </c>
      <c r="B125" s="12" t="str">
        <f>VLOOKUP(A125,'Locations &amp; Types'!$E:$F,2,FALSE)</f>
        <v>GDN (NW)</v>
      </c>
      <c r="C125" s="89">
        <v>685222</v>
      </c>
    </row>
    <row r="126" spans="1:3">
      <c r="A126" s="2" t="s">
        <v>146</v>
      </c>
      <c r="B126" s="12" t="str">
        <f>VLOOKUP(A126,'Locations &amp; Types'!$E:$F,2,FALSE)</f>
        <v>GDN (SO)</v>
      </c>
      <c r="C126" s="89">
        <v>23569309.043835618</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2432914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212920231.01917809</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43675148</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2800000</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23885892</v>
      </c>
    </row>
    <row r="151" spans="1:3">
      <c r="A151" s="2" t="s">
        <v>170</v>
      </c>
      <c r="B151" s="12" t="str">
        <f>VLOOKUP(A151,'Locations &amp; Types'!$E:$F,2,FALSE)</f>
        <v>GDN (NE)</v>
      </c>
      <c r="C151" s="89">
        <v>3229202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20129094</v>
      </c>
    </row>
    <row r="158" spans="1:3">
      <c r="A158" s="2" t="s">
        <v>177</v>
      </c>
      <c r="B158" s="12" t="str">
        <f>VLOOKUP(A158,'Locations &amp; Types'!$E:$F,2,FALSE)</f>
        <v>GDN (EA)</v>
      </c>
      <c r="C158" s="89">
        <v>2367780</v>
      </c>
    </row>
    <row r="159" spans="1:3">
      <c r="A159" s="2" t="s">
        <v>178</v>
      </c>
      <c r="B159" s="12" t="str">
        <f>VLOOKUP(A159,'Locations &amp; Types'!$E:$F,2,FALSE)</f>
        <v>GDN (WM)</v>
      </c>
      <c r="C159" s="89">
        <v>60380901</v>
      </c>
    </row>
    <row r="160" spans="1:3">
      <c r="A160" s="2" t="s">
        <v>179</v>
      </c>
      <c r="B160" s="12" t="str">
        <f>VLOOKUP(A160,'Locations &amp; Types'!$E:$F,2,FALSE)</f>
        <v>DC</v>
      </c>
      <c r="C160" s="89">
        <v>38660000</v>
      </c>
    </row>
    <row r="161" spans="1:3">
      <c r="A161" s="2" t="s">
        <v>180</v>
      </c>
      <c r="B161" s="12" t="str">
        <f>VLOOKUP(A161,'Locations &amp; Types'!$E:$F,2,FALSE)</f>
        <v>DC</v>
      </c>
      <c r="C161" s="89">
        <v>14500000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40011158</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50365514</v>
      </c>
    </row>
    <row r="169" spans="1:3">
      <c r="A169" s="2" t="s">
        <v>188</v>
      </c>
      <c r="B169" s="12" t="str">
        <f>VLOOKUP(A169,'Locations &amp; Types'!$E:$F,2,FALSE)</f>
        <v>DC</v>
      </c>
      <c r="C169" s="89">
        <v>18316938</v>
      </c>
    </row>
    <row r="170" spans="1:3">
      <c r="A170" s="2" t="s">
        <v>241</v>
      </c>
      <c r="B170" s="12" t="str">
        <f>VLOOKUP(A170,'Locations &amp; Types'!$E:$F,2,FALSE)</f>
        <v>DC</v>
      </c>
      <c r="C170" s="89">
        <v>46571.430967123291</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19826107</v>
      </c>
    </row>
    <row r="174" spans="1:3">
      <c r="A174" s="2" t="s">
        <v>192</v>
      </c>
      <c r="B174" s="12" t="str">
        <f>VLOOKUP(A174,'Locations &amp; Types'!$E:$F,2,FALSE)</f>
        <v>DC</v>
      </c>
      <c r="C174" s="89">
        <v>310479.45205479453</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0</v>
      </c>
    </row>
    <row r="179" spans="1:3">
      <c r="A179" s="2" t="s">
        <v>21</v>
      </c>
      <c r="B179" s="12" t="str">
        <f>VLOOKUP(A179,'Locations &amp; Types'!$E:$F,2,FALSE)</f>
        <v>GDN (SC)</v>
      </c>
      <c r="C179" s="89">
        <v>1267112</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26775065.041095894</v>
      </c>
    </row>
    <row r="183" spans="1:3">
      <c r="A183" s="2" t="s">
        <v>200</v>
      </c>
      <c r="B183" s="12" t="str">
        <f>VLOOKUP(A183,'Locations &amp; Types'!$E:$F,2,FALSE)</f>
        <v>DC</v>
      </c>
      <c r="C183" s="89">
        <v>52700000</v>
      </c>
    </row>
    <row r="184" spans="1:3">
      <c r="A184" s="2" t="s">
        <v>201</v>
      </c>
      <c r="B184" s="12" t="str">
        <f>VLOOKUP(A184,'Locations &amp; Types'!$E:$F,2,FALSE)</f>
        <v>DC</v>
      </c>
      <c r="C184" s="89">
        <v>8267935.7260273984</v>
      </c>
    </row>
    <row r="185" spans="1:3">
      <c r="A185" s="2" t="s">
        <v>202</v>
      </c>
      <c r="B185" s="12" t="str">
        <f>VLOOKUP(A185,'Locations &amp; Types'!$E:$F,2,FALSE)</f>
        <v>DC</v>
      </c>
      <c r="C185" s="89">
        <v>42949104.605479456</v>
      </c>
    </row>
    <row r="186" spans="1:3">
      <c r="A186" s="2" t="s">
        <v>203</v>
      </c>
      <c r="B186" s="12" t="str">
        <f>VLOOKUP(A186,'Locations &amp; Types'!$E:$F,2,FALSE)</f>
        <v>GDN (SC)</v>
      </c>
      <c r="C186" s="89">
        <v>886809</v>
      </c>
    </row>
    <row r="187" spans="1:3">
      <c r="A187" s="2" t="s">
        <v>204</v>
      </c>
      <c r="B187" s="12" t="str">
        <f>VLOOKUP(A187,'Locations &amp; Types'!$E:$F,2,FALSE)</f>
        <v>GDN (WM)</v>
      </c>
      <c r="C187" s="89">
        <v>3735040</v>
      </c>
    </row>
    <row r="188" spans="1:3">
      <c r="A188" s="2" t="s">
        <v>205</v>
      </c>
      <c r="B188" s="12" t="str">
        <f>VLOOKUP(A188,'Locations &amp; Types'!$E:$F,2,FALSE)</f>
        <v>STORAGE SITE</v>
      </c>
      <c r="C188" s="89">
        <v>30343940</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213058400</v>
      </c>
    </row>
    <row r="192" spans="1:3">
      <c r="A192" s="2" t="s">
        <v>209</v>
      </c>
      <c r="B192" s="12" t="str">
        <f>VLOOKUP(A192,'Locations &amp; Types'!$E:$F,2,FALSE)</f>
        <v>DC</v>
      </c>
      <c r="C192" s="89">
        <v>9750000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48268493.15068493</v>
      </c>
    </row>
    <row r="198" spans="1:3">
      <c r="A198" s="2" t="s">
        <v>215</v>
      </c>
      <c r="B198" s="12" t="str">
        <f>VLOOKUP(A198,'Locations &amp; Types'!$E:$F,2,FALSE)</f>
        <v>GDN (NO)</v>
      </c>
      <c r="C198" s="89">
        <v>6921484</v>
      </c>
    </row>
    <row r="199" spans="1:3">
      <c r="A199" s="2" t="s">
        <v>216</v>
      </c>
      <c r="B199" s="12" t="str">
        <f>VLOOKUP(A199,'Locations &amp; Types'!$E:$F,2,FALSE)</f>
        <v>DC</v>
      </c>
      <c r="C199" s="89">
        <v>0</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0</v>
      </c>
    </row>
    <row r="204" spans="1:3">
      <c r="A204" s="2" t="s">
        <v>220</v>
      </c>
      <c r="B204" s="12" t="str">
        <f>VLOOKUP(A204,'Locations &amp; Types'!$E:$F,2,FALSE)</f>
        <v>GDN (EM)</v>
      </c>
      <c r="C204" s="89">
        <v>69970779</v>
      </c>
    </row>
    <row r="205" spans="1:3">
      <c r="A205" s="2" t="s">
        <v>221</v>
      </c>
      <c r="B205" s="12" t="str">
        <f>VLOOKUP(A205,'Locations &amp; Types'!$E:$F,2,FALSE)</f>
        <v>DC</v>
      </c>
      <c r="C205" s="89">
        <v>8300000</v>
      </c>
    </row>
    <row r="206" spans="1:3">
      <c r="A206" s="2" t="s">
        <v>222</v>
      </c>
      <c r="B206" s="12" t="str">
        <f>VLOOKUP(A206,'Locations &amp; Types'!$E:$F,2,FALSE)</f>
        <v>GDN (EM)</v>
      </c>
      <c r="C206" s="89">
        <v>652640</v>
      </c>
    </row>
    <row r="207" spans="1:3">
      <c r="A207" s="2" t="s">
        <v>223</v>
      </c>
      <c r="B207" s="12" t="str">
        <f>VLOOKUP(A207,'Locations &amp; Types'!$E:$F,2,FALSE)</f>
        <v>GDN (NW)</v>
      </c>
      <c r="C207" s="89">
        <v>96138093</v>
      </c>
    </row>
    <row r="208" spans="1:3">
      <c r="A208" s="2" t="s">
        <v>224</v>
      </c>
      <c r="B208" s="12" t="str">
        <f>VLOOKUP(A208,'Locations &amp; Types'!$E:$F,2,FALSE)</f>
        <v>DC</v>
      </c>
      <c r="C208" s="89">
        <v>37864775.917808212</v>
      </c>
    </row>
    <row r="209" spans="1:3">
      <c r="A209" s="2" t="s">
        <v>225</v>
      </c>
      <c r="B209" s="12" t="str">
        <f>VLOOKUP(A209,'Locations &amp; Types'!$E:$F,2,FALSE)</f>
        <v>GDN (EA)</v>
      </c>
      <c r="C209" s="89">
        <v>10086940</v>
      </c>
    </row>
    <row r="210" spans="1:3">
      <c r="A210" s="2" t="s">
        <v>226</v>
      </c>
      <c r="B210" s="12" t="str">
        <f>VLOOKUP(A210,'Locations &amp; Types'!$E:$F,2,FALSE)</f>
        <v>GDN (NW)</v>
      </c>
      <c r="C210" s="89">
        <v>6156504</v>
      </c>
    </row>
    <row r="211" spans="1:3">
      <c r="A211" s="2" t="s">
        <v>227</v>
      </c>
      <c r="B211" s="12" t="str">
        <f>VLOOKUP(A211,'Locations &amp; Types'!$E:$F,2,FALSE)</f>
        <v>DC</v>
      </c>
      <c r="C211" s="89">
        <v>698750.04687671235</v>
      </c>
    </row>
    <row r="212" spans="1:3">
      <c r="A212" s="2" t="s">
        <v>228</v>
      </c>
      <c r="B212" s="12" t="str">
        <f>VLOOKUP(A212,'Locations &amp; Types'!$E:$F,2,FALSE)</f>
        <v>DC</v>
      </c>
      <c r="C212" s="89">
        <v>21372126.771780819</v>
      </c>
    </row>
    <row r="213" spans="1:3">
      <c r="A213" s="2" t="s">
        <v>229</v>
      </c>
      <c r="B213" s="12" t="str">
        <f>VLOOKUP(A213,'Locations &amp; Types'!$E:$F,2,FALSE)</f>
        <v>GDN (NO)</v>
      </c>
      <c r="C213" s="89">
        <v>15724001</v>
      </c>
    </row>
    <row r="214" spans="1:3">
      <c r="A214" s="2" t="s">
        <v>230</v>
      </c>
      <c r="B214" s="12" t="str">
        <f>VLOOKUP(A214,'Locations &amp; Types'!$E:$F,2,FALSE)</f>
        <v>GDN (EA)</v>
      </c>
      <c r="C214" s="89">
        <v>106647786</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44856640</v>
      </c>
    </row>
    <row r="218" spans="1:3">
      <c r="A218" s="2" t="s">
        <v>234</v>
      </c>
      <c r="B218" s="12" t="str">
        <f>VLOOKUP(A218,'Locations &amp; Types'!$E:$F,2,FALSE)</f>
        <v>GDN (SO)</v>
      </c>
      <c r="C218" s="89">
        <v>36499431</v>
      </c>
    </row>
    <row r="219" spans="1:3">
      <c r="A219" s="2" t="s">
        <v>235</v>
      </c>
      <c r="B219" s="12" t="str">
        <f>VLOOKUP(A219,'Locations &amp; Types'!$E:$F,2,FALSE)</f>
        <v>DC</v>
      </c>
      <c r="C219" s="89">
        <v>23353607.561643843</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189812.09206575342</v>
      </c>
    </row>
    <row r="223" spans="1:3">
      <c r="A223" s="2" t="s">
        <v>534</v>
      </c>
      <c r="B223" s="12" t="str">
        <f>VLOOKUP(A223,'Locations &amp; Types'!$E:$F,2,FALSE)</f>
        <v>DC</v>
      </c>
      <c r="C223" s="89">
        <v>0</v>
      </c>
    </row>
    <row r="224" spans="1:3">
      <c r="A224" s="2" t="s">
        <v>535</v>
      </c>
      <c r="B224" s="12" t="str">
        <f>VLOOKUP(A224,'Locations &amp; Types'!$E:$F,2,FALSE)</f>
        <v>DC</v>
      </c>
      <c r="C224" s="89">
        <v>400000</v>
      </c>
    </row>
    <row r="225" spans="1:3">
      <c r="A225" s="2" t="s">
        <v>536</v>
      </c>
      <c r="B225" s="12" t="str">
        <f>VLOOKUP(A225,'Locations &amp; Types'!$E:$F,2,FALSE)</f>
        <v>DC</v>
      </c>
      <c r="C225" s="89">
        <v>3225401.578356164</v>
      </c>
    </row>
    <row r="226" spans="1:3">
      <c r="A226" s="2" t="s">
        <v>537</v>
      </c>
      <c r="B226" s="12" t="str">
        <f>VLOOKUP(A226,'Locations &amp; Types'!$E:$F,2,FALSE)</f>
        <v>DC</v>
      </c>
      <c r="C226" s="89">
        <v>0</v>
      </c>
    </row>
    <row r="227" spans="1:3">
      <c r="A227" s="2" t="s">
        <v>538</v>
      </c>
      <c r="B227" s="12" t="str">
        <f>VLOOKUP(A227,'Locations &amp; Types'!$E:$F,2,FALSE)</f>
        <v>DC</v>
      </c>
      <c r="C227" s="89">
        <v>0</v>
      </c>
    </row>
    <row r="228" spans="1:3">
      <c r="A228" s="2" t="s">
        <v>545</v>
      </c>
      <c r="B228" s="12" t="str">
        <f>VLOOKUP(A228,'Locations &amp; Types'!$E:$F,2,FALSE)</f>
        <v>DC</v>
      </c>
      <c r="C228" s="89">
        <v>0</v>
      </c>
    </row>
    <row r="229" spans="1:3">
      <c r="A229" s="2" t="s">
        <v>539</v>
      </c>
      <c r="B229" s="12" t="str">
        <f>VLOOKUP(A229,'Locations &amp; Types'!$E:$F,2,FALSE)</f>
        <v>DC</v>
      </c>
      <c r="C229" s="89">
        <v>0</v>
      </c>
    </row>
    <row r="230" spans="1:3">
      <c r="A230" s="2" t="s">
        <v>540</v>
      </c>
      <c r="B230" s="12" t="str">
        <f>VLOOKUP(A230,'Locations &amp; Types'!$E:$F,2,FALSE)</f>
        <v>DC</v>
      </c>
      <c r="C230" s="89">
        <v>0</v>
      </c>
    </row>
    <row r="231" spans="1:3">
      <c r="A231" s="2" t="s">
        <v>176</v>
      </c>
      <c r="B231" s="12" t="str">
        <f>VLOOKUP(A231,'Locations &amp; Types'!$E:$F,2,FALSE)</f>
        <v>STORAGE SITE</v>
      </c>
      <c r="C231" s="89">
        <v>6566818.7123287674</v>
      </c>
    </row>
  </sheetData>
  <mergeCells count="2">
    <mergeCell ref="A1:A2"/>
    <mergeCell ref="B1:B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39997558519241921"/>
  </sheetPr>
  <dimension ref="A1:C231"/>
  <sheetViews>
    <sheetView topLeftCell="A152" workbookViewId="0">
      <selection activeCell="A153" sqref="A153"/>
    </sheetView>
  </sheetViews>
  <sheetFormatPr defaultColWidth="9.140625" defaultRowHeight="15"/>
  <cols>
    <col min="1" max="1" width="57" bestFit="1" customWidth="1"/>
    <col min="2" max="2" width="23.140625" customWidth="1"/>
    <col min="3" max="3" width="41.140625" customWidth="1"/>
  </cols>
  <sheetData>
    <row r="1" spans="1:3">
      <c r="A1" s="457" t="s">
        <v>242</v>
      </c>
      <c r="B1" s="457" t="s">
        <v>329</v>
      </c>
      <c r="C1" s="37" t="s">
        <v>516</v>
      </c>
    </row>
    <row r="2" spans="1:3" ht="15.75" thickBot="1">
      <c r="A2" s="458"/>
      <c r="B2" s="458"/>
      <c r="C2" s="38" t="s">
        <v>338</v>
      </c>
    </row>
    <row r="3" spans="1:3">
      <c r="A3" s="2" t="s">
        <v>26</v>
      </c>
      <c r="B3" s="12" t="str">
        <f>VLOOKUP(A3,'Locations &amp; Types'!$E:$F,2,FALSE)</f>
        <v>GDN (SC)</v>
      </c>
      <c r="C3" s="89">
        <v>21639348</v>
      </c>
    </row>
    <row r="4" spans="1:3">
      <c r="A4" s="2" t="s">
        <v>27</v>
      </c>
      <c r="B4" s="12" t="str">
        <f>VLOOKUP(A4,'Locations &amp; Types'!$E:$F,2,FALSE)</f>
        <v>DC</v>
      </c>
      <c r="C4" s="89">
        <v>27843799.794520549</v>
      </c>
    </row>
    <row r="5" spans="1:3">
      <c r="A5" s="2" t="s">
        <v>28</v>
      </c>
      <c r="B5" s="12" t="str">
        <f>VLOOKUP(A5,'Locations &amp; Types'!$E:$F,2,FALSE)</f>
        <v>GDN (EM)</v>
      </c>
      <c r="C5" s="89">
        <v>59229584</v>
      </c>
    </row>
    <row r="6" spans="1:3">
      <c r="A6" s="2" t="s">
        <v>29</v>
      </c>
      <c r="B6" s="12" t="str">
        <f>VLOOKUP(A6,'Locations &amp; Types'!$E:$F,2,FALSE)</f>
        <v>GDN (WM)</v>
      </c>
      <c r="C6" s="89">
        <v>72462290</v>
      </c>
    </row>
    <row r="7" spans="1:3">
      <c r="A7" s="2" t="s">
        <v>240</v>
      </c>
      <c r="B7" s="12" t="str">
        <f>VLOOKUP(A7,'Locations &amp; Types'!$E:$F,2,FALSE)</f>
        <v>DC</v>
      </c>
      <c r="C7" s="89">
        <v>9073.673972602739</v>
      </c>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661.20547945205476</v>
      </c>
    </row>
    <row r="15" spans="1:3">
      <c r="A15" s="2" t="s">
        <v>37</v>
      </c>
      <c r="B15" s="12" t="str">
        <f>VLOOKUP(A15,'Locations &amp; Types'!$E:$F,2,FALSE)</f>
        <v>GDN (SW)</v>
      </c>
      <c r="C15" s="89">
        <v>19128874</v>
      </c>
    </row>
    <row r="16" spans="1:3">
      <c r="A16" s="2" t="s">
        <v>38</v>
      </c>
      <c r="B16" s="12" t="str">
        <f>VLOOKUP(A16,'Locations &amp; Types'!$E:$F,2,FALSE)</f>
        <v>GDN (EA)</v>
      </c>
      <c r="C16" s="89">
        <v>2844268</v>
      </c>
    </row>
    <row r="17" spans="1:3">
      <c r="A17" s="2" t="s">
        <v>39</v>
      </c>
      <c r="B17" s="12" t="str">
        <f>VLOOKUP(A17,'Locations &amp; Types'!$E:$F,2,FALSE)</f>
        <v>STORAGE SITE</v>
      </c>
      <c r="C17" s="89">
        <v>0</v>
      </c>
    </row>
    <row r="18" spans="1:3">
      <c r="A18" s="2" t="s">
        <v>40</v>
      </c>
      <c r="B18" s="12" t="str">
        <f>VLOOKUP(A18,'Locations &amp; Types'!$E:$F,2,FALSE)</f>
        <v>INTERCONNECTOR</v>
      </c>
      <c r="C18" s="89">
        <v>0</v>
      </c>
    </row>
    <row r="19" spans="1:3">
      <c r="A19" s="2" t="s">
        <v>41</v>
      </c>
      <c r="B19" s="12" t="str">
        <f>VLOOKUP(A19,'Locations &amp; Types'!$E:$F,2,FALSE)</f>
        <v>DC</v>
      </c>
      <c r="C19" s="89">
        <v>20000000</v>
      </c>
    </row>
    <row r="20" spans="1:3">
      <c r="A20" s="2" t="s">
        <v>42</v>
      </c>
      <c r="B20" s="12" t="str">
        <f>VLOOKUP(A20,'Locations &amp; Types'!$E:$F,2,FALSE)</f>
        <v>INTERCONNECTOR</v>
      </c>
      <c r="C20" s="89">
        <v>185430316.28493151</v>
      </c>
    </row>
    <row r="21" spans="1:3">
      <c r="A21" s="2" t="s">
        <v>43</v>
      </c>
      <c r="B21" s="12" t="str">
        <f>VLOOKUP(A21,'Locations &amp; Types'!$E:$F,2,FALSE)</f>
        <v>GDN (NE)</v>
      </c>
      <c r="C21" s="89">
        <v>1126642</v>
      </c>
    </row>
    <row r="22" spans="1:3">
      <c r="A22" s="2" t="s">
        <v>44</v>
      </c>
      <c r="B22" s="12" t="str">
        <f>VLOOKUP(A22,'Locations &amp; Types'!$E:$F,2,FALSE)</f>
        <v>GDN (SC)</v>
      </c>
      <c r="C22" s="89">
        <v>15057981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1001369.8630136986</v>
      </c>
    </row>
    <row r="26" spans="1:3">
      <c r="A26" s="2" t="s">
        <v>48</v>
      </c>
      <c r="B26" s="12" t="str">
        <f>VLOOKUP(A26,'Locations &amp; Types'!$E:$F,2,FALSE)</f>
        <v>STORAGE SITE</v>
      </c>
      <c r="C26" s="89">
        <v>0</v>
      </c>
    </row>
    <row r="27" spans="1:3">
      <c r="A27" s="2" t="s">
        <v>49</v>
      </c>
      <c r="B27" s="12" t="str">
        <f>VLOOKUP(A27,'Locations &amp; Types'!$E:$F,2,FALSE)</f>
        <v>STORAGE SITE</v>
      </c>
      <c r="C27" s="89">
        <v>10181399.89041096</v>
      </c>
    </row>
    <row r="28" spans="1:3">
      <c r="A28" s="2" t="s">
        <v>50</v>
      </c>
      <c r="B28" s="12" t="str">
        <f>VLOOKUP(A28,'Locations &amp; Types'!$E:$F,2,FALSE)</f>
        <v>GDN (SC)</v>
      </c>
      <c r="C28" s="89">
        <v>21081766</v>
      </c>
    </row>
    <row r="29" spans="1:3">
      <c r="A29" s="2" t="s">
        <v>51</v>
      </c>
      <c r="B29" s="12" t="str">
        <f>VLOOKUP(A29,'Locations &amp; Types'!$E:$F,2,FALSE)</f>
        <v>DC</v>
      </c>
      <c r="C29" s="89">
        <v>33644543</v>
      </c>
    </row>
    <row r="30" spans="1:3">
      <c r="A30" s="2" t="s">
        <v>52</v>
      </c>
      <c r="B30" s="12" t="str">
        <f>VLOOKUP(A30,'Locations &amp; Types'!$E:$F,2,FALSE)</f>
        <v>GDN (NO)</v>
      </c>
      <c r="C30" s="89">
        <v>56287977</v>
      </c>
    </row>
    <row r="31" spans="1:3">
      <c r="A31" s="2" t="s">
        <v>53</v>
      </c>
      <c r="B31" s="12" t="str">
        <f>VLOOKUP(A31,'Locations &amp; Types'!$E:$F,2,FALSE)</f>
        <v>DC</v>
      </c>
      <c r="C31" s="89">
        <v>781914.3561643837</v>
      </c>
    </row>
    <row r="32" spans="1:3">
      <c r="A32" s="2" t="s">
        <v>54</v>
      </c>
      <c r="B32" s="12" t="str">
        <f>VLOOKUP(A32,'Locations &amp; Types'!$E:$F,2,FALSE)</f>
        <v>GDN (EM)</v>
      </c>
      <c r="C32" s="89">
        <v>9867513</v>
      </c>
    </row>
    <row r="33" spans="1:3">
      <c r="A33" s="2" t="s">
        <v>55</v>
      </c>
      <c r="B33" s="12" t="str">
        <f>VLOOKUP(A33,'Locations &amp; Types'!$E:$F,2,FALSE)</f>
        <v>DC</v>
      </c>
      <c r="C33" s="89">
        <v>27290000</v>
      </c>
    </row>
    <row r="34" spans="1:3">
      <c r="A34" s="2" t="s">
        <v>56</v>
      </c>
      <c r="B34" s="12" t="str">
        <f>VLOOKUP(A34,'Locations &amp; Types'!$E:$F,2,FALSE)</f>
        <v>GDN (NW)</v>
      </c>
      <c r="C34" s="89">
        <v>123939267</v>
      </c>
    </row>
    <row r="35" spans="1:3">
      <c r="A35" s="2" t="s">
        <v>57</v>
      </c>
      <c r="B35" s="12" t="str">
        <f>VLOOKUP(A35,'Locations &amp; Types'!$E:$F,2,FALSE)</f>
        <v>GDN (EM)</v>
      </c>
      <c r="C35" s="89">
        <v>55825856</v>
      </c>
    </row>
    <row r="36" spans="1:3">
      <c r="A36" s="2" t="s">
        <v>58</v>
      </c>
      <c r="B36" s="12" t="str">
        <f>VLOOKUP(A36,'Locations &amp; Types'!$E:$F,2,FALSE)</f>
        <v>DC</v>
      </c>
      <c r="C36" s="89">
        <v>1600000</v>
      </c>
    </row>
    <row r="37" spans="1:3">
      <c r="A37" s="2" t="s">
        <v>59</v>
      </c>
      <c r="B37" s="12" t="str">
        <f>VLOOKUP(A37,'Locations &amp; Types'!$E:$F,2,FALSE)</f>
        <v>DC</v>
      </c>
      <c r="C37" s="89">
        <v>12767838.630136991</v>
      </c>
    </row>
    <row r="38" spans="1:3">
      <c r="A38" s="2" t="s">
        <v>60</v>
      </c>
      <c r="B38" s="12" t="str">
        <f>VLOOKUP(A38,'Locations &amp; Types'!$E:$F,2,FALSE)</f>
        <v>GDN (SO)</v>
      </c>
      <c r="C38" s="89">
        <v>84161130</v>
      </c>
    </row>
    <row r="39" spans="1:3">
      <c r="A39" s="2" t="s">
        <v>61</v>
      </c>
      <c r="B39" s="12" t="str">
        <f>VLOOKUP(A39,'Locations &amp; Types'!$E:$F,2,FALSE)</f>
        <v>GDN (SO)</v>
      </c>
      <c r="C39" s="89">
        <v>64947171</v>
      </c>
    </row>
    <row r="40" spans="1:3">
      <c r="A40" s="2" t="s">
        <v>62</v>
      </c>
      <c r="B40" s="12" t="str">
        <f>VLOOKUP(A40,'Locations &amp; Types'!$E:$F,2,FALSE)</f>
        <v>DC</v>
      </c>
      <c r="C40" s="89">
        <v>50816.986301369856</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22372861</v>
      </c>
    </row>
    <row r="45" spans="1:3">
      <c r="A45" s="2" t="s">
        <v>67</v>
      </c>
      <c r="B45" s="12" t="str">
        <f>VLOOKUP(A45,'Locations &amp; Types'!$E:$F,2,FALSE)</f>
        <v>DC</v>
      </c>
      <c r="C45" s="89">
        <v>12329187.432240436</v>
      </c>
    </row>
    <row r="46" spans="1:3">
      <c r="A46" s="2" t="s">
        <v>68</v>
      </c>
      <c r="B46" s="12" t="str">
        <f>VLOOKUP(A46,'Locations &amp; Types'!$E:$F,2,FALSE)</f>
        <v>GDN (EM)</v>
      </c>
      <c r="C46" s="89">
        <v>8977861</v>
      </c>
    </row>
    <row r="47" spans="1:3">
      <c r="A47" s="2" t="s">
        <v>69</v>
      </c>
      <c r="B47" s="12" t="str">
        <f>VLOOKUP(A47,'Locations &amp; Types'!$E:$F,2,FALSE)</f>
        <v>DC</v>
      </c>
      <c r="C47" s="89">
        <v>663937.09589041106</v>
      </c>
    </row>
    <row r="48" spans="1:3">
      <c r="A48" s="2" t="s">
        <v>70</v>
      </c>
      <c r="B48" s="12" t="str">
        <f>VLOOKUP(A48,'Locations &amp; Types'!$E:$F,2,FALSE)</f>
        <v>GDN (EA)</v>
      </c>
      <c r="C48" s="89">
        <v>0</v>
      </c>
    </row>
    <row r="49" spans="1:3">
      <c r="A49" s="2" t="s">
        <v>71</v>
      </c>
      <c r="B49" s="12" t="str">
        <f>VLOOKUP(A49,'Locations &amp; Types'!$E:$F,2,FALSE)</f>
        <v>GDN (SC)</v>
      </c>
      <c r="C49" s="89">
        <v>4112924</v>
      </c>
    </row>
    <row r="50" spans="1:3">
      <c r="A50" s="2" t="s">
        <v>72</v>
      </c>
      <c r="B50" s="12" t="str">
        <f>VLOOKUP(A50,'Locations &amp; Types'!$E:$F,2,FALSE)</f>
        <v>DC</v>
      </c>
      <c r="C50" s="89">
        <v>26438120.575342476</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7417140</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38498554</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4448282.1643835614</v>
      </c>
    </row>
    <row r="63" spans="1:3">
      <c r="A63" s="2" t="s">
        <v>84</v>
      </c>
      <c r="B63" s="12" t="str">
        <f>VLOOKUP(A63,'Locations &amp; Types'!$E:$F,2,FALSE)</f>
        <v>DC</v>
      </c>
      <c r="C63" s="89">
        <v>33674184.273972601</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54670979</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1457215</v>
      </c>
    </row>
    <row r="71" spans="1:3">
      <c r="A71" s="2" t="s">
        <v>92</v>
      </c>
      <c r="B71" s="12" t="str">
        <f>VLOOKUP(A71,'Locations &amp; Types'!$E:$F,2,FALSE)</f>
        <v>DC</v>
      </c>
      <c r="C71" s="89">
        <v>16099880.27397261</v>
      </c>
    </row>
    <row r="72" spans="1:3">
      <c r="A72" s="2" t="s">
        <v>93</v>
      </c>
      <c r="B72" s="12" t="str">
        <f>VLOOKUP(A72,'Locations &amp; Types'!$E:$F,2,FALSE)</f>
        <v>GDN (SW)</v>
      </c>
      <c r="C72" s="89">
        <v>27391725</v>
      </c>
    </row>
    <row r="73" spans="1:3">
      <c r="A73" s="2" t="s">
        <v>94</v>
      </c>
      <c r="B73" s="12" t="str">
        <f>VLOOKUP(A73,'Locations &amp; Types'!$E:$F,2,FALSE)</f>
        <v>GDN (NW)</v>
      </c>
      <c r="C73" s="89">
        <v>16370887</v>
      </c>
    </row>
    <row r="74" spans="1:3">
      <c r="A74" s="2" t="s">
        <v>95</v>
      </c>
      <c r="B74" s="12" t="str">
        <f>VLOOKUP(A74,'Locations &amp; Types'!$E:$F,2,FALSE)</f>
        <v>GDN (NO)</v>
      </c>
      <c r="C74" s="89">
        <v>52818145</v>
      </c>
    </row>
    <row r="75" spans="1:3">
      <c r="A75" s="2" t="s">
        <v>96</v>
      </c>
      <c r="B75" s="12" t="str">
        <f>VLOOKUP(A75,'Locations &amp; Types'!$E:$F,2,FALSE)</f>
        <v>DC</v>
      </c>
      <c r="C75" s="89">
        <v>0</v>
      </c>
    </row>
    <row r="76" spans="1:3">
      <c r="A76" s="2" t="s">
        <v>97</v>
      </c>
      <c r="B76" s="12" t="str">
        <f>VLOOKUP(A76,'Locations &amp; Types'!$E:$F,2,FALSE)</f>
        <v>DC</v>
      </c>
      <c r="C76" s="89">
        <v>9323287.6712328773</v>
      </c>
    </row>
    <row r="77" spans="1:3">
      <c r="A77" s="2" t="s">
        <v>98</v>
      </c>
      <c r="B77" s="12" t="str">
        <f>VLOOKUP(A77,'Locations &amp; Types'!$E:$F,2,FALSE)</f>
        <v>GDN (SW)</v>
      </c>
      <c r="C77" s="89">
        <v>6441859</v>
      </c>
    </row>
    <row r="78" spans="1:3">
      <c r="A78" s="2" t="s">
        <v>99</v>
      </c>
      <c r="B78" s="12" t="str">
        <f>VLOOKUP(A78,'Locations &amp; Types'!$E:$F,2,FALSE)</f>
        <v>GDN (SE)</v>
      </c>
      <c r="C78" s="89">
        <v>89921069</v>
      </c>
    </row>
    <row r="79" spans="1:3">
      <c r="A79" s="2" t="s">
        <v>100</v>
      </c>
      <c r="B79" s="12" t="str">
        <f>VLOOKUP(A79,'Locations &amp; Types'!$E:$F,2,FALSE)</f>
        <v>GDN (SE)</v>
      </c>
      <c r="C79" s="89">
        <v>94634400</v>
      </c>
    </row>
    <row r="80" spans="1:3">
      <c r="A80" s="2" t="s">
        <v>101</v>
      </c>
      <c r="B80" s="12" t="str">
        <f>VLOOKUP(A80,'Locations &amp; Types'!$E:$F,2,FALSE)</f>
        <v>DC</v>
      </c>
      <c r="C80" s="89">
        <v>0</v>
      </c>
    </row>
    <row r="81" spans="1:3">
      <c r="A81" s="2" t="s">
        <v>102</v>
      </c>
      <c r="B81" s="12" t="str">
        <f>VLOOKUP(A81,'Locations &amp; Types'!$E:$F,2,FALSE)</f>
        <v>GDN (SW)</v>
      </c>
      <c r="C81" s="89">
        <v>21293234</v>
      </c>
    </row>
    <row r="82" spans="1:3">
      <c r="A82" s="2" t="s">
        <v>103</v>
      </c>
      <c r="B82" s="12" t="str">
        <f>VLOOKUP(A82,'Locations &amp; Types'!$E:$F,2,FALSE)</f>
        <v>GDN (NE)</v>
      </c>
      <c r="C82" s="89">
        <v>16610330</v>
      </c>
    </row>
    <row r="83" spans="1:3">
      <c r="A83" s="2" t="s">
        <v>104</v>
      </c>
      <c r="B83" s="12" t="str">
        <f>VLOOKUP(A83,'Locations &amp; Types'!$E:$F,2,FALSE)</f>
        <v>STORAGE SITE</v>
      </c>
      <c r="C83" s="89">
        <v>325510000</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1700000</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48815174.448087424</v>
      </c>
    </row>
    <row r="91" spans="1:3">
      <c r="A91" s="2" t="s">
        <v>111</v>
      </c>
      <c r="B91" s="12" t="str">
        <f>VLOOKUP(A91,'Locations &amp; Types'!$E:$F,2,FALSE)</f>
        <v>GDN (EA)</v>
      </c>
      <c r="C91" s="89">
        <v>23677521</v>
      </c>
    </row>
    <row r="92" spans="1:3">
      <c r="A92" s="2" t="s">
        <v>112</v>
      </c>
      <c r="B92" s="12" t="str">
        <f>VLOOKUP(A92,'Locations &amp; Types'!$E:$F,2,FALSE)</f>
        <v>GDN (NO)</v>
      </c>
      <c r="C92" s="89">
        <v>1806988</v>
      </c>
    </row>
    <row r="93" spans="1:3">
      <c r="A93" s="2" t="s">
        <v>113</v>
      </c>
      <c r="B93" s="12" t="str">
        <f>VLOOKUP(A93,'Locations &amp; Types'!$E:$F,2,FALSE)</f>
        <v>GDN (SO)</v>
      </c>
      <c r="C93" s="89">
        <v>103540577</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4588175.3424657527</v>
      </c>
    </row>
    <row r="98" spans="1:3">
      <c r="A98" s="2" t="s">
        <v>118</v>
      </c>
      <c r="B98" s="12" t="str">
        <f>VLOOKUP(A98,'Locations &amp; Types'!$E:$F,2,FALSE)</f>
        <v>STORAGE SITE</v>
      </c>
      <c r="C98" s="89">
        <v>684999.23287671246</v>
      </c>
    </row>
    <row r="99" spans="1:3">
      <c r="A99" s="2" t="s">
        <v>119</v>
      </c>
      <c r="B99" s="12" t="str">
        <f>VLOOKUP(A99,'Locations &amp; Types'!$E:$F,2,FALSE)</f>
        <v>STORAGE SITE</v>
      </c>
      <c r="C99" s="89">
        <v>41731254.821917832</v>
      </c>
    </row>
    <row r="100" spans="1:3">
      <c r="A100" s="2" t="s">
        <v>120</v>
      </c>
      <c r="B100" s="12" t="str">
        <f>VLOOKUP(A100,'Locations &amp; Types'!$E:$F,2,FALSE)</f>
        <v>DC</v>
      </c>
      <c r="C100" s="89">
        <v>555000</v>
      </c>
    </row>
    <row r="101" spans="1:3">
      <c r="A101" s="2" t="s">
        <v>121</v>
      </c>
      <c r="B101" s="12" t="str">
        <f>VLOOKUP(A101,'Locations &amp; Types'!$E:$F,2,FALSE)</f>
        <v>GDN (NW)</v>
      </c>
      <c r="C101" s="89">
        <v>21678773</v>
      </c>
    </row>
    <row r="102" spans="1:3">
      <c r="A102" s="2" t="s">
        <v>122</v>
      </c>
      <c r="B102" s="12" t="str">
        <f>VLOOKUP(A102,'Locations &amp; Types'!$E:$F,2,FALSE)</f>
        <v>GDN (NT)</v>
      </c>
      <c r="C102" s="89">
        <v>33307669</v>
      </c>
    </row>
    <row r="103" spans="1:3">
      <c r="A103" s="2" t="s">
        <v>123</v>
      </c>
      <c r="B103" s="12" t="str">
        <f>VLOOKUP(A103,'Locations &amp; Types'!$E:$F,2,FALSE)</f>
        <v>STORAGE SITE</v>
      </c>
      <c r="C103" s="89">
        <v>40337921.032876715</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31408565</v>
      </c>
    </row>
    <row r="107" spans="1:3">
      <c r="A107" s="2" t="s">
        <v>127</v>
      </c>
      <c r="B107" s="12" t="str">
        <f>VLOOKUP(A107,'Locations &amp; Types'!$E:$F,2,FALSE)</f>
        <v>GDN (SO)</v>
      </c>
      <c r="C107" s="89">
        <v>5760836.0356164379</v>
      </c>
    </row>
    <row r="108" spans="1:3">
      <c r="A108" s="2" t="s">
        <v>128</v>
      </c>
      <c r="B108" s="12" t="str">
        <f>VLOOKUP(A108,'Locations &amp; Types'!$E:$F,2,FALSE)</f>
        <v>GDN (SO)</v>
      </c>
      <c r="C108" s="89">
        <v>7429155.3452054793</v>
      </c>
    </row>
    <row r="109" spans="1:3">
      <c r="A109" s="2" t="s">
        <v>129</v>
      </c>
      <c r="B109" s="12" t="str">
        <f>VLOOKUP(A109,'Locations &amp; Types'!$E:$F,2,FALSE)</f>
        <v>GDN (NO)</v>
      </c>
      <c r="C109" s="89">
        <v>1424555</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31708219.17808219</v>
      </c>
    </row>
    <row r="114" spans="1:3">
      <c r="A114" s="2" t="s">
        <v>134</v>
      </c>
      <c r="B114" s="12" t="str">
        <f>VLOOKUP(A114,'Locations &amp; Types'!$E:$F,2,FALSE)</f>
        <v>GDN (SC)</v>
      </c>
      <c r="C114" s="89">
        <v>255319</v>
      </c>
    </row>
    <row r="115" spans="1:3">
      <c r="A115" s="2" t="s">
        <v>135</v>
      </c>
      <c r="B115" s="12" t="str">
        <f>VLOOKUP(A115,'Locations &amp; Types'!$E:$F,2,FALSE)</f>
        <v>GDN (SC)</v>
      </c>
      <c r="C115" s="89">
        <v>0</v>
      </c>
    </row>
    <row r="116" spans="1:3">
      <c r="A116" s="2" t="s">
        <v>136</v>
      </c>
      <c r="B116" s="12" t="str">
        <f>VLOOKUP(A116,'Locations &amp; Types'!$E:$F,2,FALSE)</f>
        <v>GDN (WM)</v>
      </c>
      <c r="C116" s="89">
        <v>3634748</v>
      </c>
    </row>
    <row r="117" spans="1:3">
      <c r="A117" s="2" t="s">
        <v>137</v>
      </c>
      <c r="B117" s="12" t="str">
        <f>VLOOKUP(A117,'Locations &amp; Types'!$E:$F,2,FALSE)</f>
        <v>GDN (NO)</v>
      </c>
      <c r="C117" s="89">
        <v>20919521</v>
      </c>
    </row>
    <row r="118" spans="1:3">
      <c r="A118" s="2" t="s">
        <v>138</v>
      </c>
      <c r="B118" s="12" t="str">
        <f>VLOOKUP(A118,'Locations &amp; Types'!$E:$F,2,FALSE)</f>
        <v>GDN (SW)</v>
      </c>
      <c r="C118" s="89">
        <v>2299463</v>
      </c>
    </row>
    <row r="119" spans="1:3">
      <c r="A119" s="2" t="s">
        <v>139</v>
      </c>
      <c r="B119" s="12" t="str">
        <f>VLOOKUP(A119,'Locations &amp; Types'!$E:$F,2,FALSE)</f>
        <v>GDN (SC)</v>
      </c>
      <c r="C119" s="89">
        <v>7131838</v>
      </c>
    </row>
    <row r="120" spans="1:3">
      <c r="A120" s="2" t="s">
        <v>140</v>
      </c>
      <c r="B120" s="12" t="str">
        <f>VLOOKUP(A120,'Locations &amp; Types'!$E:$F,2,FALSE)</f>
        <v>GDN (WM)</v>
      </c>
      <c r="C120" s="89">
        <v>29910000</v>
      </c>
    </row>
    <row r="121" spans="1:3">
      <c r="A121" s="2" t="s">
        <v>141</v>
      </c>
      <c r="B121" s="12" t="str">
        <f>VLOOKUP(A121,'Locations &amp; Types'!$E:$F,2,FALSE)</f>
        <v>GDN (NW)</v>
      </c>
      <c r="C121" s="89">
        <v>19815980</v>
      </c>
    </row>
    <row r="122" spans="1:3">
      <c r="A122" s="2" t="s">
        <v>142</v>
      </c>
      <c r="B122" s="12" t="str">
        <f>VLOOKUP(A122,'Locations &amp; Types'!$E:$F,2,FALSE)</f>
        <v>GDN (NT)</v>
      </c>
      <c r="C122" s="89">
        <v>76147689</v>
      </c>
    </row>
    <row r="123" spans="1:3">
      <c r="A123" s="2" t="s">
        <v>143</v>
      </c>
      <c r="B123" s="12" t="str">
        <f>VLOOKUP(A123,'Locations &amp; Types'!$E:$F,2,FALSE)</f>
        <v>GDN (SW)</v>
      </c>
      <c r="C123" s="89">
        <v>40420636</v>
      </c>
    </row>
    <row r="124" spans="1:3">
      <c r="A124" s="2" t="s">
        <v>144</v>
      </c>
      <c r="B124" s="12" t="str">
        <f>VLOOKUP(A124,'Locations &amp; Types'!$E:$F,2,FALSE)</f>
        <v>GDN (WN)</v>
      </c>
      <c r="C124" s="89">
        <v>49258990</v>
      </c>
    </row>
    <row r="125" spans="1:3">
      <c r="A125" s="2" t="s">
        <v>145</v>
      </c>
      <c r="B125" s="12" t="str">
        <f>VLOOKUP(A125,'Locations &amp; Types'!$E:$F,2,FALSE)</f>
        <v>GDN (NW)</v>
      </c>
      <c r="C125" s="89">
        <v>685222</v>
      </c>
    </row>
    <row r="126" spans="1:3">
      <c r="A126" s="2" t="s">
        <v>146</v>
      </c>
      <c r="B126" s="12" t="str">
        <f>VLOOKUP(A126,'Locations &amp; Types'!$E:$F,2,FALSE)</f>
        <v>GDN (SO)</v>
      </c>
      <c r="C126" s="89">
        <v>23569309.043835618</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2432914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212920231.01917809</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43675148</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2800000</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23885892</v>
      </c>
    </row>
    <row r="151" spans="1:3">
      <c r="A151" s="2" t="s">
        <v>170</v>
      </c>
      <c r="B151" s="12" t="str">
        <f>VLOOKUP(A151,'Locations &amp; Types'!$E:$F,2,FALSE)</f>
        <v>GDN (NE)</v>
      </c>
      <c r="C151" s="89">
        <v>3229202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20129094</v>
      </c>
    </row>
    <row r="158" spans="1:3">
      <c r="A158" s="2" t="s">
        <v>177</v>
      </c>
      <c r="B158" s="12" t="str">
        <f>VLOOKUP(A158,'Locations &amp; Types'!$E:$F,2,FALSE)</f>
        <v>GDN (EA)</v>
      </c>
      <c r="C158" s="89">
        <v>2367780</v>
      </c>
    </row>
    <row r="159" spans="1:3">
      <c r="A159" s="2" t="s">
        <v>178</v>
      </c>
      <c r="B159" s="12" t="str">
        <f>VLOOKUP(A159,'Locations &amp; Types'!$E:$F,2,FALSE)</f>
        <v>GDN (WM)</v>
      </c>
      <c r="C159" s="89">
        <v>60380901</v>
      </c>
    </row>
    <row r="160" spans="1:3">
      <c r="A160" s="2" t="s">
        <v>179</v>
      </c>
      <c r="B160" s="12" t="str">
        <f>VLOOKUP(A160,'Locations &amp; Types'!$E:$F,2,FALSE)</f>
        <v>DC</v>
      </c>
      <c r="C160" s="89">
        <v>38660000</v>
      </c>
    </row>
    <row r="161" spans="1:3">
      <c r="A161" s="2" t="s">
        <v>180</v>
      </c>
      <c r="B161" s="12" t="str">
        <f>VLOOKUP(A161,'Locations &amp; Types'!$E:$F,2,FALSE)</f>
        <v>DC</v>
      </c>
      <c r="C161" s="89">
        <v>14500000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40011158</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50365514</v>
      </c>
    </row>
    <row r="169" spans="1:3">
      <c r="A169" s="2" t="s">
        <v>188</v>
      </c>
      <c r="B169" s="12" t="str">
        <f>VLOOKUP(A169,'Locations &amp; Types'!$E:$F,2,FALSE)</f>
        <v>DC</v>
      </c>
      <c r="C169" s="89">
        <v>18316938</v>
      </c>
    </row>
    <row r="170" spans="1:3">
      <c r="A170" s="2" t="s">
        <v>241</v>
      </c>
      <c r="B170" s="12" t="str">
        <f>VLOOKUP(A170,'Locations &amp; Types'!$E:$F,2,FALSE)</f>
        <v>DC</v>
      </c>
      <c r="C170" s="89">
        <v>46487.952442622955</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19826107</v>
      </c>
    </row>
    <row r="174" spans="1:3">
      <c r="A174" s="2" t="s">
        <v>192</v>
      </c>
      <c r="B174" s="12" t="str">
        <f>VLOOKUP(A174,'Locations &amp; Types'!$E:$F,2,FALSE)</f>
        <v>DC</v>
      </c>
      <c r="C174" s="89">
        <v>310479.45205479453</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0</v>
      </c>
    </row>
    <row r="179" spans="1:3">
      <c r="A179" s="2" t="s">
        <v>21</v>
      </c>
      <c r="B179" s="12" t="str">
        <f>VLOOKUP(A179,'Locations &amp; Types'!$E:$F,2,FALSE)</f>
        <v>GDN (SC)</v>
      </c>
      <c r="C179" s="89">
        <v>1267112</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26775065.041095894</v>
      </c>
    </row>
    <row r="183" spans="1:3">
      <c r="A183" s="2" t="s">
        <v>200</v>
      </c>
      <c r="B183" s="12" t="str">
        <f>VLOOKUP(A183,'Locations &amp; Types'!$E:$F,2,FALSE)</f>
        <v>DC</v>
      </c>
      <c r="C183" s="89">
        <v>52700000</v>
      </c>
    </row>
    <row r="184" spans="1:3">
      <c r="A184" s="2" t="s">
        <v>201</v>
      </c>
      <c r="B184" s="12" t="str">
        <f>VLOOKUP(A184,'Locations &amp; Types'!$E:$F,2,FALSE)</f>
        <v>DC</v>
      </c>
      <c r="C184" s="89">
        <v>8267935.7260273984</v>
      </c>
    </row>
    <row r="185" spans="1:3">
      <c r="A185" s="2" t="s">
        <v>202</v>
      </c>
      <c r="B185" s="12" t="str">
        <f>VLOOKUP(A185,'Locations &amp; Types'!$E:$F,2,FALSE)</f>
        <v>DC</v>
      </c>
      <c r="C185" s="89">
        <v>41505935.342465766</v>
      </c>
    </row>
    <row r="186" spans="1:3">
      <c r="A186" s="2" t="s">
        <v>203</v>
      </c>
      <c r="B186" s="12" t="str">
        <f>VLOOKUP(A186,'Locations &amp; Types'!$E:$F,2,FALSE)</f>
        <v>GDN (SC)</v>
      </c>
      <c r="C186" s="89">
        <v>886809</v>
      </c>
    </row>
    <row r="187" spans="1:3">
      <c r="A187" s="2" t="s">
        <v>204</v>
      </c>
      <c r="B187" s="12" t="str">
        <f>VLOOKUP(A187,'Locations &amp; Types'!$E:$F,2,FALSE)</f>
        <v>GDN (WM)</v>
      </c>
      <c r="C187" s="89">
        <v>3735040</v>
      </c>
    </row>
    <row r="188" spans="1:3">
      <c r="A188" s="2" t="s">
        <v>205</v>
      </c>
      <c r="B188" s="12" t="str">
        <f>VLOOKUP(A188,'Locations &amp; Types'!$E:$F,2,FALSE)</f>
        <v>STORAGE SITE</v>
      </c>
      <c r="C188" s="89">
        <v>30343940</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213058400</v>
      </c>
    </row>
    <row r="192" spans="1:3">
      <c r="A192" s="2" t="s">
        <v>209</v>
      </c>
      <c r="B192" s="12" t="str">
        <f>VLOOKUP(A192,'Locations &amp; Types'!$E:$F,2,FALSE)</f>
        <v>DC</v>
      </c>
      <c r="C192" s="89">
        <v>9750000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48268493.15068493</v>
      </c>
    </row>
    <row r="198" spans="1:3">
      <c r="A198" s="2" t="s">
        <v>215</v>
      </c>
      <c r="B198" s="12" t="str">
        <f>VLOOKUP(A198,'Locations &amp; Types'!$E:$F,2,FALSE)</f>
        <v>GDN (NO)</v>
      </c>
      <c r="C198" s="89">
        <v>6921484</v>
      </c>
    </row>
    <row r="199" spans="1:3">
      <c r="A199" s="2" t="s">
        <v>216</v>
      </c>
      <c r="B199" s="12" t="str">
        <f>VLOOKUP(A199,'Locations &amp; Types'!$E:$F,2,FALSE)</f>
        <v>DC</v>
      </c>
      <c r="C199" s="89">
        <v>0</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0</v>
      </c>
    </row>
    <row r="204" spans="1:3">
      <c r="A204" s="2" t="s">
        <v>220</v>
      </c>
      <c r="B204" s="12" t="str">
        <f>VLOOKUP(A204,'Locations &amp; Types'!$E:$F,2,FALSE)</f>
        <v>GDN (EM)</v>
      </c>
      <c r="C204" s="89">
        <v>69970779</v>
      </c>
    </row>
    <row r="205" spans="1:3">
      <c r="A205" s="2" t="s">
        <v>221</v>
      </c>
      <c r="B205" s="12" t="str">
        <f>VLOOKUP(A205,'Locations &amp; Types'!$E:$F,2,FALSE)</f>
        <v>DC</v>
      </c>
      <c r="C205" s="89">
        <v>8300000</v>
      </c>
    </row>
    <row r="206" spans="1:3">
      <c r="A206" s="2" t="s">
        <v>222</v>
      </c>
      <c r="B206" s="12" t="str">
        <f>VLOOKUP(A206,'Locations &amp; Types'!$E:$F,2,FALSE)</f>
        <v>GDN (EM)</v>
      </c>
      <c r="C206" s="89">
        <v>652640</v>
      </c>
    </row>
    <row r="207" spans="1:3">
      <c r="A207" s="2" t="s">
        <v>223</v>
      </c>
      <c r="B207" s="12" t="str">
        <f>VLOOKUP(A207,'Locations &amp; Types'!$E:$F,2,FALSE)</f>
        <v>GDN (NW)</v>
      </c>
      <c r="C207" s="89">
        <v>96138093</v>
      </c>
    </row>
    <row r="208" spans="1:3">
      <c r="A208" s="2" t="s">
        <v>224</v>
      </c>
      <c r="B208" s="12" t="str">
        <f>VLOOKUP(A208,'Locations &amp; Types'!$E:$F,2,FALSE)</f>
        <v>DC</v>
      </c>
      <c r="C208" s="89">
        <v>37864775.917808212</v>
      </c>
    </row>
    <row r="209" spans="1:3">
      <c r="A209" s="2" t="s">
        <v>225</v>
      </c>
      <c r="B209" s="12" t="str">
        <f>VLOOKUP(A209,'Locations &amp; Types'!$E:$F,2,FALSE)</f>
        <v>GDN (EA)</v>
      </c>
      <c r="C209" s="89">
        <v>10086940</v>
      </c>
    </row>
    <row r="210" spans="1:3">
      <c r="A210" s="2" t="s">
        <v>226</v>
      </c>
      <c r="B210" s="12" t="str">
        <f>VLOOKUP(A210,'Locations &amp; Types'!$E:$F,2,FALSE)</f>
        <v>GDN (NW)</v>
      </c>
      <c r="C210" s="89">
        <v>6156504</v>
      </c>
    </row>
    <row r="211" spans="1:3">
      <c r="A211" s="2" t="s">
        <v>227</v>
      </c>
      <c r="B211" s="12" t="str">
        <f>VLOOKUP(A211,'Locations &amp; Types'!$E:$F,2,FALSE)</f>
        <v>DC</v>
      </c>
      <c r="C211" s="89">
        <v>690135.79617486347</v>
      </c>
    </row>
    <row r="212" spans="1:3">
      <c r="A212" s="2" t="s">
        <v>228</v>
      </c>
      <c r="B212" s="12" t="str">
        <f>VLOOKUP(A212,'Locations &amp; Types'!$E:$F,2,FALSE)</f>
        <v>DC</v>
      </c>
      <c r="C212" s="89">
        <v>18770159.379781418</v>
      </c>
    </row>
    <row r="213" spans="1:3">
      <c r="A213" s="2" t="s">
        <v>229</v>
      </c>
      <c r="B213" s="12" t="str">
        <f>VLOOKUP(A213,'Locations &amp; Types'!$E:$F,2,FALSE)</f>
        <v>GDN (NO)</v>
      </c>
      <c r="C213" s="89">
        <v>15724001</v>
      </c>
    </row>
    <row r="214" spans="1:3">
      <c r="A214" s="2" t="s">
        <v>230</v>
      </c>
      <c r="B214" s="12" t="str">
        <f>VLOOKUP(A214,'Locations &amp; Types'!$E:$F,2,FALSE)</f>
        <v>GDN (EA)</v>
      </c>
      <c r="C214" s="89">
        <v>106647786</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44856640</v>
      </c>
    </row>
    <row r="218" spans="1:3">
      <c r="A218" s="2" t="s">
        <v>234</v>
      </c>
      <c r="B218" s="12" t="str">
        <f>VLOOKUP(A218,'Locations &amp; Types'!$E:$F,2,FALSE)</f>
        <v>GDN (SO)</v>
      </c>
      <c r="C218" s="89">
        <v>36499431</v>
      </c>
    </row>
    <row r="219" spans="1:3">
      <c r="A219" s="2" t="s">
        <v>235</v>
      </c>
      <c r="B219" s="12" t="str">
        <f>VLOOKUP(A219,'Locations &amp; Types'!$E:$F,2,FALSE)</f>
        <v>DC</v>
      </c>
      <c r="C219" s="89">
        <v>23353607.561643843</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188701.45095081968</v>
      </c>
    </row>
    <row r="223" spans="1:3">
      <c r="A223" s="2" t="s">
        <v>534</v>
      </c>
      <c r="B223" s="12" t="str">
        <f>VLOOKUP(A223,'Locations &amp; Types'!$E:$F,2,FALSE)</f>
        <v>DC</v>
      </c>
      <c r="C223" s="89">
        <v>0</v>
      </c>
    </row>
    <row r="224" spans="1:3">
      <c r="A224" s="2" t="s">
        <v>535</v>
      </c>
      <c r="B224" s="12" t="str">
        <f>VLOOKUP(A224,'Locations &amp; Types'!$E:$F,2,FALSE)</f>
        <v>DC</v>
      </c>
      <c r="C224" s="89">
        <v>400000</v>
      </c>
    </row>
    <row r="225" spans="1:3">
      <c r="A225" s="2" t="s">
        <v>536</v>
      </c>
      <c r="B225" s="12" t="str">
        <f>VLOOKUP(A225,'Locations &amp; Types'!$E:$F,2,FALSE)</f>
        <v>DC</v>
      </c>
      <c r="C225" s="89">
        <v>3835258.1024590163</v>
      </c>
    </row>
    <row r="226" spans="1:3">
      <c r="A226" s="2" t="s">
        <v>537</v>
      </c>
      <c r="B226" s="12" t="str">
        <f>VLOOKUP(A226,'Locations &amp; Types'!$E:$F,2,FALSE)</f>
        <v>DC</v>
      </c>
      <c r="C226" s="89">
        <v>0</v>
      </c>
    </row>
    <row r="227" spans="1:3">
      <c r="A227" s="2" t="s">
        <v>538</v>
      </c>
      <c r="B227" s="12" t="str">
        <f>VLOOKUP(A227,'Locations &amp; Types'!$E:$F,2,FALSE)</f>
        <v>DC</v>
      </c>
      <c r="C227" s="89">
        <v>0</v>
      </c>
    </row>
    <row r="228" spans="1:3">
      <c r="A228" s="2" t="s">
        <v>545</v>
      </c>
      <c r="B228" s="12" t="str">
        <f>VLOOKUP(A228,'Locations &amp; Types'!$E:$F,2,FALSE)</f>
        <v>DC</v>
      </c>
      <c r="C228" s="89">
        <v>0</v>
      </c>
    </row>
    <row r="229" spans="1:3">
      <c r="A229" s="2" t="s">
        <v>539</v>
      </c>
      <c r="B229" s="12" t="str">
        <f>VLOOKUP(A229,'Locations &amp; Types'!$E:$F,2,FALSE)</f>
        <v>DC</v>
      </c>
      <c r="C229" s="89">
        <v>0</v>
      </c>
    </row>
    <row r="230" spans="1:3">
      <c r="A230" s="2" t="s">
        <v>540</v>
      </c>
      <c r="B230" s="12" t="str">
        <f>VLOOKUP(A230,'Locations &amp; Types'!$E:$F,2,FALSE)</f>
        <v>DC</v>
      </c>
      <c r="C230" s="89">
        <v>19888074.5</v>
      </c>
    </row>
    <row r="231" spans="1:3">
      <c r="A231" s="2" t="s">
        <v>176</v>
      </c>
      <c r="B231" s="12" t="str">
        <f>VLOOKUP(A231,'Locations &amp; Types'!$E:$F,2,FALSE)</f>
        <v>STORAGE SITE</v>
      </c>
      <c r="C231" s="89">
        <v>6566818.7123287674</v>
      </c>
    </row>
  </sheetData>
  <mergeCells count="2">
    <mergeCell ref="A1:A2"/>
    <mergeCell ref="B1:B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39997558519241921"/>
  </sheetPr>
  <dimension ref="A1:E34"/>
  <sheetViews>
    <sheetView workbookViewId="0">
      <selection activeCell="C31" sqref="C31"/>
    </sheetView>
  </sheetViews>
  <sheetFormatPr defaultRowHeight="15"/>
  <cols>
    <col min="1" max="1" width="27.85546875" customWidth="1"/>
    <col min="2" max="2" width="29" customWidth="1"/>
    <col min="3" max="3" width="52.42578125" customWidth="1"/>
  </cols>
  <sheetData>
    <row r="1" spans="1:5">
      <c r="A1" s="456" t="s">
        <v>25</v>
      </c>
      <c r="B1" s="456" t="s">
        <v>323</v>
      </c>
      <c r="C1" s="135" t="s">
        <v>516</v>
      </c>
    </row>
    <row r="2" spans="1:5">
      <c r="A2" s="456"/>
      <c r="B2" s="456"/>
      <c r="C2" s="136" t="s">
        <v>338</v>
      </c>
    </row>
    <row r="3" spans="1:5">
      <c r="A3" s="15" t="s">
        <v>1</v>
      </c>
      <c r="B3" s="15" t="str">
        <f>VLOOKUP(A3,'Locations &amp; Types'!$A:$B,2,FALSE)</f>
        <v>STORAGE SITE</v>
      </c>
      <c r="C3" s="154">
        <v>0</v>
      </c>
    </row>
    <row r="4" spans="1:5">
      <c r="A4" s="14" t="s">
        <v>2</v>
      </c>
      <c r="B4" s="15" t="str">
        <f>VLOOKUP(A4,'Locations &amp; Types'!$A:$B,2,FALSE)</f>
        <v>INTERCONNECTION POINT</v>
      </c>
      <c r="C4" s="154">
        <v>178627069.62191781</v>
      </c>
    </row>
    <row r="5" spans="1:5">
      <c r="A5" s="16" t="s">
        <v>3</v>
      </c>
      <c r="B5" s="15" t="str">
        <f>VLOOKUP(A5,'Locations &amp; Types'!$A:$B,2,FALSE)</f>
        <v>BEACH TERMINAL</v>
      </c>
      <c r="C5" s="154">
        <v>648603335.88767123</v>
      </c>
    </row>
    <row r="6" spans="1:5">
      <c r="A6" s="14" t="s">
        <v>4</v>
      </c>
      <c r="B6" s="15" t="str">
        <f>VLOOKUP(A6,'Locations &amp; Types'!$A:$B,2,FALSE)</f>
        <v>ONSHORE FIELD</v>
      </c>
      <c r="C6" s="154">
        <v>14936970.808219178</v>
      </c>
    </row>
    <row r="7" spans="1:5">
      <c r="A7" s="14" t="s">
        <v>5</v>
      </c>
      <c r="B7" s="15" t="str">
        <f>VLOOKUP(A7,'Locations &amp; Types'!$A:$B,2,FALSE)</f>
        <v>BEACH TERMINAL</v>
      </c>
      <c r="C7" s="154">
        <v>75553005.904109582</v>
      </c>
    </row>
    <row r="8" spans="1:5">
      <c r="A8" s="14" t="s">
        <v>6</v>
      </c>
      <c r="B8" s="15" t="str">
        <f>VLOOKUP(A8,'Locations &amp; Types'!$A:$B,2,FALSE)</f>
        <v>STORAGE SITE</v>
      </c>
      <c r="C8" s="154">
        <v>6468967.6986301383</v>
      </c>
    </row>
    <row r="9" spans="1:5">
      <c r="A9" s="14" t="s">
        <v>7</v>
      </c>
      <c r="B9" s="15" t="str">
        <f>VLOOKUP(A9,'Locations &amp; Types'!$A:$B,2,FALSE)</f>
        <v>ONSHORE FIELD</v>
      </c>
      <c r="C9" s="154">
        <v>0</v>
      </c>
    </row>
    <row r="10" spans="1:5">
      <c r="A10" s="14" t="s">
        <v>8</v>
      </c>
      <c r="B10" s="15" t="str">
        <f>VLOOKUP(A10,'Locations &amp; Types'!$A:$B,2,FALSE)</f>
        <v>STORAGE SITE</v>
      </c>
      <c r="C10" s="154">
        <v>541245000</v>
      </c>
    </row>
    <row r="11" spans="1:5">
      <c r="A11" s="14" t="s">
        <v>9</v>
      </c>
      <c r="B11" s="15" t="str">
        <f>VLOOKUP(A11,'Locations &amp; Types'!$A:$B,2,FALSE)</f>
        <v>STORAGE SITE</v>
      </c>
      <c r="C11" s="154">
        <v>90000000</v>
      </c>
    </row>
    <row r="12" spans="1:5">
      <c r="A12" s="14" t="s">
        <v>10</v>
      </c>
      <c r="B12" s="15" t="str">
        <f>VLOOKUP(A12,'Locations &amp; Types'!$A:$B,2,FALSE)</f>
        <v>STORAGE SITE</v>
      </c>
      <c r="C12" s="154">
        <v>0</v>
      </c>
    </row>
    <row r="13" spans="1:5">
      <c r="A13" s="14" t="s">
        <v>477</v>
      </c>
      <c r="B13" s="15" t="str">
        <f>VLOOKUP(A13,'Locations &amp; Types'!$A:$B,2,FALSE)</f>
        <v>BEACH TERMINAL</v>
      </c>
      <c r="C13" s="154">
        <v>833294279.96712327</v>
      </c>
      <c r="E13" t="s">
        <v>549</v>
      </c>
    </row>
    <row r="14" spans="1:5">
      <c r="A14" s="14" t="s">
        <v>11</v>
      </c>
      <c r="B14" s="15" t="str">
        <f>VLOOKUP(A14,'Locations &amp; Types'!$A:$B,2,FALSE)</f>
        <v>STORAGE SITE</v>
      </c>
      <c r="C14" s="154">
        <v>99525000</v>
      </c>
    </row>
    <row r="15" spans="1:5">
      <c r="A15" s="14" t="s">
        <v>12</v>
      </c>
      <c r="B15" s="15" t="str">
        <f>VLOOKUP(A15,'Locations &amp; Types'!$A:$B,2,FALSE)</f>
        <v>STORAGE SITE</v>
      </c>
      <c r="C15" s="154">
        <v>0</v>
      </c>
    </row>
    <row r="16" spans="1:5">
      <c r="A16" s="14" t="s">
        <v>13</v>
      </c>
      <c r="B16" s="15" t="str">
        <f>VLOOKUP(A16,'Locations &amp; Types'!$A:$B,2,FALSE)</f>
        <v>STORAGE SITE</v>
      </c>
      <c r="C16" s="154">
        <v>420000000</v>
      </c>
    </row>
    <row r="17" spans="1:3">
      <c r="A17" s="14" t="s">
        <v>14</v>
      </c>
      <c r="B17" s="15" t="str">
        <f>VLOOKUP(A17,'Locations &amp; Types'!$A:$B,2,FALSE)</f>
        <v>STORAGE SITE</v>
      </c>
      <c r="C17" s="154">
        <v>283440000</v>
      </c>
    </row>
    <row r="18" spans="1:3">
      <c r="A18" s="14" t="s">
        <v>15</v>
      </c>
      <c r="B18" s="15" t="str">
        <f>VLOOKUP(A18,'Locations &amp; Types'!$A:$B,2,FALSE)</f>
        <v>ONSHORE FIELD</v>
      </c>
      <c r="C18" s="154">
        <v>0</v>
      </c>
    </row>
    <row r="19" spans="1:3">
      <c r="A19" s="14" t="s">
        <v>16</v>
      </c>
      <c r="B19" s="15" t="str">
        <f>VLOOKUP(A19,'Locations &amp; Types'!$A:$B,2,FALSE)</f>
        <v>STORAGE SITE</v>
      </c>
      <c r="C19" s="154">
        <v>77588014.975342467</v>
      </c>
    </row>
    <row r="20" spans="1:3">
      <c r="A20" s="14" t="s">
        <v>17</v>
      </c>
      <c r="B20" s="15" t="str">
        <f>VLOOKUP(A20,'Locations &amp; Types'!$A:$B,2,FALSE)</f>
        <v>STORAGE SITE</v>
      </c>
      <c r="C20" s="154">
        <v>5469945.3551912569</v>
      </c>
    </row>
    <row r="21" spans="1:3">
      <c r="A21" s="14" t="s">
        <v>18</v>
      </c>
      <c r="B21" s="15" t="str">
        <f>VLOOKUP(A21,'Locations &amp; Types'!$A:$B,2,FALSE)</f>
        <v>LNG IMPORTATION TERMINAL</v>
      </c>
      <c r="C21" s="154">
        <v>643590136.98630142</v>
      </c>
    </row>
    <row r="22" spans="1:3">
      <c r="A22" s="14" t="s">
        <v>19</v>
      </c>
      <c r="B22" s="15" t="str">
        <f>VLOOKUP(A22,'Locations &amp; Types'!$A:$B,2,FALSE)</f>
        <v>LNG IMPORTATION TERMINAL</v>
      </c>
      <c r="C22" s="154">
        <v>473835616.43835616</v>
      </c>
    </row>
    <row r="23" spans="1:3">
      <c r="A23" s="14" t="s">
        <v>20</v>
      </c>
      <c r="B23" s="15" t="str">
        <f>VLOOKUP(A23,'Locations &amp; Types'!$A:$B,2,FALSE)</f>
        <v>STORAGE SITE</v>
      </c>
      <c r="C23" s="154">
        <v>40146.71232876712</v>
      </c>
    </row>
    <row r="24" spans="1:3">
      <c r="A24" s="14" t="s">
        <v>155</v>
      </c>
      <c r="B24" s="15" t="str">
        <f>VLOOKUP(A24,'Locations &amp; Types'!$A:$B,2,FALSE)</f>
        <v>INTERCONNECTION POINT</v>
      </c>
      <c r="C24" s="154">
        <v>0</v>
      </c>
    </row>
    <row r="25" spans="1:3">
      <c r="A25" s="14" t="s">
        <v>533</v>
      </c>
      <c r="B25" s="15" t="s">
        <v>531</v>
      </c>
      <c r="C25" s="154">
        <v>500000</v>
      </c>
    </row>
    <row r="26" spans="1:3">
      <c r="A26" s="14" t="s">
        <v>21</v>
      </c>
      <c r="B26" s="15" t="str">
        <f>VLOOKUP(A26,'Locations &amp; Types'!$A:$B,2,FALSE)</f>
        <v>BEACH TERMINAL</v>
      </c>
      <c r="C26" s="154">
        <v>724840561.57297361</v>
      </c>
    </row>
    <row r="27" spans="1:3">
      <c r="A27" s="14" t="s">
        <v>22</v>
      </c>
      <c r="B27" s="15" t="str">
        <f>VLOOKUP(A27,'Locations &amp; Types'!$A:$B,2,FALSE)</f>
        <v>BEACH TERMINAL</v>
      </c>
      <c r="C27" s="154">
        <v>317839424.57359123</v>
      </c>
    </row>
    <row r="28" spans="1:3">
      <c r="A28" s="14" t="s">
        <v>23</v>
      </c>
      <c r="B28" s="15" t="str">
        <f>VLOOKUP(A28,'Locations &amp; Types'!$A:$B,2,FALSE)</f>
        <v>BEACH TERMINAL</v>
      </c>
      <c r="C28" s="154">
        <v>10723835.616438357</v>
      </c>
    </row>
    <row r="29" spans="1:3">
      <c r="A29" s="14" t="s">
        <v>24</v>
      </c>
      <c r="B29" s="15" t="str">
        <f>VLOOKUP(A29,'Locations &amp; Types'!$A:$B,2,FALSE)</f>
        <v>ONSHORE FIELD</v>
      </c>
      <c r="C29" s="154">
        <v>0</v>
      </c>
    </row>
    <row r="30" spans="1:3">
      <c r="C30" s="257"/>
    </row>
    <row r="31" spans="1:3">
      <c r="C31" s="257"/>
    </row>
    <row r="32" spans="1:3">
      <c r="C32" s="137"/>
    </row>
    <row r="34" spans="3:3">
      <c r="C34" s="137"/>
    </row>
  </sheetData>
  <mergeCells count="2">
    <mergeCell ref="A1:A2"/>
    <mergeCell ref="B1:B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39997558519241921"/>
  </sheetPr>
  <dimension ref="A1:F34"/>
  <sheetViews>
    <sheetView workbookViewId="0">
      <selection activeCell="C31" sqref="C31"/>
    </sheetView>
  </sheetViews>
  <sheetFormatPr defaultRowHeight="15"/>
  <cols>
    <col min="1" max="1" width="27.85546875" customWidth="1"/>
    <col min="2" max="2" width="29" customWidth="1"/>
    <col min="3" max="3" width="52.42578125" customWidth="1"/>
  </cols>
  <sheetData>
    <row r="1" spans="1:3">
      <c r="A1" s="456" t="s">
        <v>25</v>
      </c>
      <c r="B1" s="456" t="s">
        <v>323</v>
      </c>
      <c r="C1" s="135" t="s">
        <v>516</v>
      </c>
    </row>
    <row r="2" spans="1:3">
      <c r="A2" s="456"/>
      <c r="B2" s="456"/>
      <c r="C2" s="136" t="s">
        <v>338</v>
      </c>
    </row>
    <row r="3" spans="1:3">
      <c r="A3" s="15" t="s">
        <v>1</v>
      </c>
      <c r="B3" s="15" t="str">
        <f>VLOOKUP(A3,'Locations &amp; Types'!$A:$B,2,FALSE)</f>
        <v>STORAGE SITE</v>
      </c>
      <c r="C3" s="154">
        <v>0</v>
      </c>
    </row>
    <row r="4" spans="1:3">
      <c r="A4" s="14" t="s">
        <v>2</v>
      </c>
      <c r="B4" s="15" t="str">
        <f>VLOOKUP(A4,'Locations &amp; Types'!$A:$B,2,FALSE)</f>
        <v>INTERCONNECTION POINT</v>
      </c>
      <c r="C4" s="154">
        <v>178627069.62191781</v>
      </c>
    </row>
    <row r="5" spans="1:3">
      <c r="A5" s="16" t="s">
        <v>3</v>
      </c>
      <c r="B5" s="15" t="str">
        <f>VLOOKUP(A5,'Locations &amp; Types'!$A:$B,2,FALSE)</f>
        <v>BEACH TERMINAL</v>
      </c>
      <c r="C5" s="154">
        <v>648603335.88767123</v>
      </c>
    </row>
    <row r="6" spans="1:3">
      <c r="A6" s="14" t="s">
        <v>4</v>
      </c>
      <c r="B6" s="15" t="str">
        <f>VLOOKUP(A6,'Locations &amp; Types'!$A:$B,2,FALSE)</f>
        <v>ONSHORE FIELD</v>
      </c>
      <c r="C6" s="154">
        <v>14936970.808219178</v>
      </c>
    </row>
    <row r="7" spans="1:3">
      <c r="A7" s="14" t="s">
        <v>5</v>
      </c>
      <c r="B7" s="15" t="str">
        <f>VLOOKUP(A7,'Locations &amp; Types'!$A:$B,2,FALSE)</f>
        <v>BEACH TERMINAL</v>
      </c>
      <c r="C7" s="154">
        <v>75553005.904109582</v>
      </c>
    </row>
    <row r="8" spans="1:3">
      <c r="A8" s="14" t="s">
        <v>6</v>
      </c>
      <c r="B8" s="15" t="str">
        <f>VLOOKUP(A8,'Locations &amp; Types'!$A:$B,2,FALSE)</f>
        <v>STORAGE SITE</v>
      </c>
      <c r="C8" s="154">
        <v>6468967.6986301383</v>
      </c>
    </row>
    <row r="9" spans="1:3">
      <c r="A9" s="14" t="s">
        <v>7</v>
      </c>
      <c r="B9" s="15" t="str">
        <f>VLOOKUP(A9,'Locations &amp; Types'!$A:$B,2,FALSE)</f>
        <v>ONSHORE FIELD</v>
      </c>
      <c r="C9" s="154">
        <v>0</v>
      </c>
    </row>
    <row r="10" spans="1:3">
      <c r="A10" s="14" t="s">
        <v>8</v>
      </c>
      <c r="B10" s="15" t="str">
        <f>VLOOKUP(A10,'Locations &amp; Types'!$A:$B,2,FALSE)</f>
        <v>STORAGE SITE</v>
      </c>
      <c r="C10" s="154">
        <v>541245000</v>
      </c>
    </row>
    <row r="11" spans="1:3">
      <c r="A11" s="14" t="s">
        <v>9</v>
      </c>
      <c r="B11" s="15" t="str">
        <f>VLOOKUP(A11,'Locations &amp; Types'!$A:$B,2,FALSE)</f>
        <v>STORAGE SITE</v>
      </c>
      <c r="C11" s="154">
        <v>44876712.328767121</v>
      </c>
    </row>
    <row r="12" spans="1:3">
      <c r="A12" s="14" t="s">
        <v>10</v>
      </c>
      <c r="B12" s="15" t="str">
        <f>VLOOKUP(A12,'Locations &amp; Types'!$A:$B,2,FALSE)</f>
        <v>STORAGE SITE</v>
      </c>
      <c r="C12" s="154">
        <v>0</v>
      </c>
    </row>
    <row r="13" spans="1:3">
      <c r="A13" s="14" t="s">
        <v>477</v>
      </c>
      <c r="B13" s="15" t="str">
        <f>VLOOKUP(A13,'Locations &amp; Types'!$A:$B,2,FALSE)</f>
        <v>BEACH TERMINAL</v>
      </c>
      <c r="C13" s="154">
        <v>833294279.96712327</v>
      </c>
    </row>
    <row r="14" spans="1:3">
      <c r="A14" s="14" t="s">
        <v>11</v>
      </c>
      <c r="B14" s="15" t="str">
        <f>VLOOKUP(A14,'Locations &amp; Types'!$A:$B,2,FALSE)</f>
        <v>STORAGE SITE</v>
      </c>
      <c r="C14" s="154">
        <v>162752547.94520548</v>
      </c>
    </row>
    <row r="15" spans="1:3">
      <c r="A15" s="14" t="s">
        <v>12</v>
      </c>
      <c r="B15" s="15" t="str">
        <f>VLOOKUP(A15,'Locations &amp; Types'!$A:$B,2,FALSE)</f>
        <v>STORAGE SITE</v>
      </c>
      <c r="C15" s="154">
        <v>0</v>
      </c>
    </row>
    <row r="16" spans="1:3">
      <c r="A16" s="14" t="s">
        <v>13</v>
      </c>
      <c r="B16" s="15" t="str">
        <f>VLOOKUP(A16,'Locations &amp; Types'!$A:$B,2,FALSE)</f>
        <v>STORAGE SITE</v>
      </c>
      <c r="C16" s="154">
        <v>420000000</v>
      </c>
    </row>
    <row r="17" spans="1:6">
      <c r="A17" s="14" t="s">
        <v>14</v>
      </c>
      <c r="B17" s="15" t="str">
        <f>VLOOKUP(A17,'Locations &amp; Types'!$A:$B,2,FALSE)</f>
        <v>STORAGE SITE</v>
      </c>
      <c r="C17" s="154">
        <v>283440000</v>
      </c>
      <c r="F17" t="s">
        <v>549</v>
      </c>
    </row>
    <row r="18" spans="1:6">
      <c r="A18" s="14" t="s">
        <v>15</v>
      </c>
      <c r="B18" s="15" t="str">
        <f>VLOOKUP(A18,'Locations &amp; Types'!$A:$B,2,FALSE)</f>
        <v>ONSHORE FIELD</v>
      </c>
      <c r="C18" s="154">
        <v>0</v>
      </c>
    </row>
    <row r="19" spans="1:6">
      <c r="A19" s="14" t="s">
        <v>16</v>
      </c>
      <c r="B19" s="15" t="str">
        <f>VLOOKUP(A19,'Locations &amp; Types'!$A:$B,2,FALSE)</f>
        <v>STORAGE SITE</v>
      </c>
      <c r="C19" s="154">
        <v>77588014.975342467</v>
      </c>
    </row>
    <row r="20" spans="1:6">
      <c r="A20" s="14" t="s">
        <v>17</v>
      </c>
      <c r="B20" s="15" t="str">
        <f>VLOOKUP(A20,'Locations &amp; Types'!$A:$B,2,FALSE)</f>
        <v>STORAGE SITE</v>
      </c>
      <c r="C20" s="154">
        <v>5424657.5342465751</v>
      </c>
    </row>
    <row r="21" spans="1:6">
      <c r="A21" s="14" t="s">
        <v>18</v>
      </c>
      <c r="B21" s="15" t="str">
        <f>VLOOKUP(A21,'Locations &amp; Types'!$A:$B,2,FALSE)</f>
        <v>LNG IMPORTATION TERMINAL</v>
      </c>
      <c r="C21" s="154">
        <v>643590136.98630142</v>
      </c>
    </row>
    <row r="22" spans="1:6">
      <c r="A22" s="14" t="s">
        <v>19</v>
      </c>
      <c r="B22" s="15" t="str">
        <f>VLOOKUP(A22,'Locations &amp; Types'!$A:$B,2,FALSE)</f>
        <v>LNG IMPORTATION TERMINAL</v>
      </c>
      <c r="C22" s="154">
        <v>473835616.43835616</v>
      </c>
    </row>
    <row r="23" spans="1:6">
      <c r="A23" s="14" t="s">
        <v>20</v>
      </c>
      <c r="B23" s="15" t="str">
        <f>VLOOKUP(A23,'Locations &amp; Types'!$A:$B,2,FALSE)</f>
        <v>STORAGE SITE</v>
      </c>
      <c r="C23" s="154">
        <v>40146.71232876712</v>
      </c>
    </row>
    <row r="24" spans="1:6">
      <c r="A24" s="14" t="s">
        <v>155</v>
      </c>
      <c r="B24" s="15" t="str">
        <f>VLOOKUP(A24,'Locations &amp; Types'!$A:$B,2,FALSE)</f>
        <v>INTERCONNECTION POINT</v>
      </c>
      <c r="C24" s="154">
        <v>0</v>
      </c>
    </row>
    <row r="25" spans="1:6">
      <c r="A25" s="14" t="s">
        <v>533</v>
      </c>
      <c r="B25" s="15" t="s">
        <v>531</v>
      </c>
      <c r="C25" s="154">
        <v>500000</v>
      </c>
    </row>
    <row r="26" spans="1:6">
      <c r="A26" s="14" t="s">
        <v>21</v>
      </c>
      <c r="B26" s="15" t="str">
        <f>VLOOKUP(A26,'Locations &amp; Types'!$A:$B,2,FALSE)</f>
        <v>BEACH TERMINAL</v>
      </c>
      <c r="C26" s="154">
        <v>700156970.02902257</v>
      </c>
    </row>
    <row r="27" spans="1:6">
      <c r="A27" s="14" t="s">
        <v>22</v>
      </c>
      <c r="B27" s="15" t="str">
        <f>VLOOKUP(A27,'Locations &amp; Types'!$A:$B,2,FALSE)</f>
        <v>BEACH TERMINAL</v>
      </c>
      <c r="C27" s="154">
        <v>355246543.86318278</v>
      </c>
    </row>
    <row r="28" spans="1:6">
      <c r="A28" s="14" t="s">
        <v>23</v>
      </c>
      <c r="B28" s="15" t="str">
        <f>VLOOKUP(A28,'Locations &amp; Types'!$A:$B,2,FALSE)</f>
        <v>BEACH TERMINAL</v>
      </c>
      <c r="C28" s="154">
        <v>10723835.616438357</v>
      </c>
    </row>
    <row r="29" spans="1:6">
      <c r="A29" s="14" t="s">
        <v>24</v>
      </c>
      <c r="B29" s="15" t="str">
        <f>VLOOKUP(A29,'Locations &amp; Types'!$A:$B,2,FALSE)</f>
        <v>ONSHORE FIELD</v>
      </c>
      <c r="C29" s="154">
        <v>0</v>
      </c>
    </row>
    <row r="30" spans="1:6">
      <c r="C30" s="257"/>
    </row>
    <row r="31" spans="1:6">
      <c r="C31" s="257"/>
    </row>
    <row r="32" spans="1:6">
      <c r="C32" s="137"/>
    </row>
    <row r="34" spans="3:3">
      <c r="C34" s="137"/>
    </row>
  </sheetData>
  <mergeCells count="2">
    <mergeCell ref="A1:A2"/>
    <mergeCell ref="B1: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1:C240"/>
  <sheetViews>
    <sheetView workbookViewId="0">
      <selection activeCell="G10" sqref="G10"/>
    </sheetView>
  </sheetViews>
  <sheetFormatPr defaultColWidth="9.140625" defaultRowHeight="15"/>
  <cols>
    <col min="1" max="1" width="57" customWidth="1"/>
    <col min="2" max="2" width="23.140625" customWidth="1"/>
    <col min="3" max="3" width="41.140625" customWidth="1"/>
  </cols>
  <sheetData>
    <row r="1" spans="1:3">
      <c r="A1" s="457" t="s">
        <v>242</v>
      </c>
      <c r="B1" s="457" t="s">
        <v>329</v>
      </c>
      <c r="C1" s="37" t="s">
        <v>516</v>
      </c>
    </row>
    <row r="2" spans="1:3" ht="15.75" thickBot="1">
      <c r="A2" s="458"/>
      <c r="B2" s="458"/>
      <c r="C2" s="38" t="s">
        <v>338</v>
      </c>
    </row>
    <row r="3" spans="1:3">
      <c r="A3" s="2" t="s">
        <v>26</v>
      </c>
      <c r="B3" s="12" t="str">
        <f>VLOOKUP(A3,'Locations &amp; Types'!$E:$F,2,FALSE)</f>
        <v>GDN (SC)</v>
      </c>
      <c r="C3" s="89">
        <v>21639348</v>
      </c>
    </row>
    <row r="4" spans="1:3">
      <c r="A4" s="2" t="s">
        <v>27</v>
      </c>
      <c r="B4" s="12" t="str">
        <f>VLOOKUP(A4,'Locations &amp; Types'!$E:$F,2,FALSE)</f>
        <v>DC</v>
      </c>
      <c r="C4" s="89">
        <v>27992295.175342467</v>
      </c>
    </row>
    <row r="5" spans="1:3">
      <c r="A5" s="2" t="s">
        <v>28</v>
      </c>
      <c r="B5" s="12" t="str">
        <f>VLOOKUP(A5,'Locations &amp; Types'!$E:$F,2,FALSE)</f>
        <v>GDN (EM)</v>
      </c>
      <c r="C5" s="89">
        <v>64721087</v>
      </c>
    </row>
    <row r="6" spans="1:3">
      <c r="A6" s="2" t="s">
        <v>29</v>
      </c>
      <c r="B6" s="12" t="str">
        <f>VLOOKUP(A6,'Locations &amp; Types'!$E:$F,2,FALSE)</f>
        <v>GDN (WM)</v>
      </c>
      <c r="C6" s="89">
        <v>72462290</v>
      </c>
    </row>
    <row r="7" spans="1:3">
      <c r="A7" s="2" t="s">
        <v>240</v>
      </c>
      <c r="B7" s="12" t="str">
        <f>VLOOKUP(A7,'Locations &amp; Types'!$E:$F,2,FALSE)</f>
        <v>DC</v>
      </c>
      <c r="C7" s="89"/>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0</v>
      </c>
    </row>
    <row r="15" spans="1:3">
      <c r="A15" s="2" t="s">
        <v>37</v>
      </c>
      <c r="B15" s="12" t="str">
        <f>VLOOKUP(A15,'Locations &amp; Types'!$E:$F,2,FALSE)</f>
        <v>GDN (SW)</v>
      </c>
      <c r="C15" s="89">
        <v>19275940</v>
      </c>
    </row>
    <row r="16" spans="1:3">
      <c r="A16" s="2" t="s">
        <v>38</v>
      </c>
      <c r="B16" s="12" t="str">
        <f>VLOOKUP(A16,'Locations &amp; Types'!$E:$F,2,FALSE)</f>
        <v>GDN (EA)</v>
      </c>
      <c r="C16" s="89">
        <v>2844268</v>
      </c>
    </row>
    <row r="17" spans="1:3">
      <c r="A17" s="2" t="s">
        <v>39</v>
      </c>
      <c r="B17" s="12" t="str">
        <f>VLOOKUP(A17,'Locations &amp; Types'!$E:$F,2,FALSE)</f>
        <v>STORAGE SITE</v>
      </c>
      <c r="C17" s="89">
        <v>0</v>
      </c>
    </row>
    <row r="18" spans="1:3">
      <c r="A18" s="2" t="s">
        <v>40</v>
      </c>
      <c r="B18" s="12" t="str">
        <f>VLOOKUP(A18,'Locations &amp; Types'!$E:$F,2,FALSE)</f>
        <v>INTERCONNECTOR</v>
      </c>
      <c r="C18" s="89">
        <v>281930.30136986304</v>
      </c>
    </row>
    <row r="19" spans="1:3">
      <c r="A19" s="2" t="s">
        <v>41</v>
      </c>
      <c r="B19" s="12" t="str">
        <f>VLOOKUP(A19,'Locations &amp; Types'!$E:$F,2,FALSE)</f>
        <v>DC</v>
      </c>
      <c r="C19" s="89">
        <v>20000000</v>
      </c>
    </row>
    <row r="20" spans="1:3">
      <c r="A20" s="2" t="s">
        <v>42</v>
      </c>
      <c r="B20" s="12" t="str">
        <f>VLOOKUP(A20,'Locations &amp; Types'!$E:$F,2,FALSE)</f>
        <v>INTERCONNECTOR</v>
      </c>
      <c r="C20" s="89">
        <v>174391001.25205481</v>
      </c>
    </row>
    <row r="21" spans="1:3">
      <c r="A21" s="2" t="s">
        <v>43</v>
      </c>
      <c r="B21" s="12" t="str">
        <f>VLOOKUP(A21,'Locations &amp; Types'!$E:$F,2,FALSE)</f>
        <v>GDN (NE)</v>
      </c>
      <c r="C21" s="89">
        <v>1126642</v>
      </c>
    </row>
    <row r="22" spans="1:3">
      <c r="A22" s="2" t="s">
        <v>44</v>
      </c>
      <c r="B22" s="12" t="str">
        <f>VLOOKUP(A22,'Locations &amp; Types'!$E:$F,2,FALSE)</f>
        <v>GDN (SC)</v>
      </c>
      <c r="C22" s="89">
        <v>14957981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1000000</v>
      </c>
    </row>
    <row r="26" spans="1:3">
      <c r="A26" s="2" t="s">
        <v>48</v>
      </c>
      <c r="B26" s="12" t="str">
        <f>VLOOKUP(A26,'Locations &amp; Types'!$E:$F,2,FALSE)</f>
        <v>STORAGE SITE</v>
      </c>
      <c r="C26" s="89">
        <v>0</v>
      </c>
    </row>
    <row r="27" spans="1:3">
      <c r="A27" s="2" t="s">
        <v>49</v>
      </c>
      <c r="B27" s="12" t="str">
        <f>VLOOKUP(A27,'Locations &amp; Types'!$E:$F,2,FALSE)</f>
        <v>STORAGE SITE</v>
      </c>
      <c r="C27" s="89">
        <v>6270352.3013698645</v>
      </c>
    </row>
    <row r="28" spans="1:3">
      <c r="A28" s="2" t="s">
        <v>50</v>
      </c>
      <c r="B28" s="12" t="str">
        <f>VLOOKUP(A28,'Locations &amp; Types'!$E:$F,2,FALSE)</f>
        <v>GDN (SC)</v>
      </c>
      <c r="C28" s="89">
        <v>24494907</v>
      </c>
    </row>
    <row r="29" spans="1:3">
      <c r="A29" s="2" t="s">
        <v>51</v>
      </c>
      <c r="B29" s="12" t="str">
        <f>VLOOKUP(A29,'Locations &amp; Types'!$E:$F,2,FALSE)</f>
        <v>DC</v>
      </c>
      <c r="C29" s="89">
        <v>43231850</v>
      </c>
    </row>
    <row r="30" spans="1:3">
      <c r="A30" s="2" t="s">
        <v>52</v>
      </c>
      <c r="B30" s="12" t="str">
        <f>VLOOKUP(A30,'Locations &amp; Types'!$E:$F,2,FALSE)</f>
        <v>GDN (NO)</v>
      </c>
      <c r="C30" s="89">
        <v>55604210</v>
      </c>
    </row>
    <row r="31" spans="1:3">
      <c r="A31" s="2" t="s">
        <v>53</v>
      </c>
      <c r="B31" s="12" t="str">
        <f>VLOOKUP(A31,'Locations &amp; Types'!$E:$F,2,FALSE)</f>
        <v>DC</v>
      </c>
      <c r="C31" s="89">
        <v>1151040</v>
      </c>
    </row>
    <row r="32" spans="1:3">
      <c r="A32" s="2" t="s">
        <v>54</v>
      </c>
      <c r="B32" s="12" t="str">
        <f>VLOOKUP(A32,'Locations &amp; Types'!$E:$F,2,FALSE)</f>
        <v>GDN (EM)</v>
      </c>
      <c r="C32" s="89">
        <v>9867513</v>
      </c>
    </row>
    <row r="33" spans="1:3">
      <c r="A33" s="2" t="s">
        <v>55</v>
      </c>
      <c r="B33" s="12" t="str">
        <f>VLOOKUP(A33,'Locations &amp; Types'!$E:$F,2,FALSE)</f>
        <v>DC</v>
      </c>
      <c r="C33" s="89">
        <v>27291369.8630137</v>
      </c>
    </row>
    <row r="34" spans="1:3">
      <c r="A34" s="2" t="s">
        <v>56</v>
      </c>
      <c r="B34" s="12" t="str">
        <f>VLOOKUP(A34,'Locations &amp; Types'!$E:$F,2,FALSE)</f>
        <v>GDN (NW)</v>
      </c>
      <c r="C34" s="89">
        <v>126130731</v>
      </c>
    </row>
    <row r="35" spans="1:3">
      <c r="A35" s="2" t="s">
        <v>57</v>
      </c>
      <c r="B35" s="12" t="str">
        <f>VLOOKUP(A35,'Locations &amp; Types'!$E:$F,2,FALSE)</f>
        <v>GDN (EM)</v>
      </c>
      <c r="C35" s="89">
        <v>63346076</v>
      </c>
    </row>
    <row r="36" spans="1:3">
      <c r="A36" s="2" t="s">
        <v>58</v>
      </c>
      <c r="B36" s="12" t="str">
        <f>VLOOKUP(A36,'Locations &amp; Types'!$E:$F,2,FALSE)</f>
        <v>DC</v>
      </c>
      <c r="C36" s="89">
        <v>1605479.4520547944</v>
      </c>
    </row>
    <row r="37" spans="1:3">
      <c r="A37" s="2" t="s">
        <v>59</v>
      </c>
      <c r="B37" s="12" t="str">
        <f>VLOOKUP(A37,'Locations &amp; Types'!$E:$F,2,FALSE)</f>
        <v>DC</v>
      </c>
      <c r="C37" s="89">
        <v>13982362.493150691</v>
      </c>
    </row>
    <row r="38" spans="1:3">
      <c r="A38" s="2" t="s">
        <v>60</v>
      </c>
      <c r="B38" s="12" t="str">
        <f>VLOOKUP(A38,'Locations &amp; Types'!$E:$F,2,FALSE)</f>
        <v>GDN (SO)</v>
      </c>
      <c r="C38" s="89">
        <v>94132349</v>
      </c>
    </row>
    <row r="39" spans="1:3">
      <c r="A39" s="2" t="s">
        <v>61</v>
      </c>
      <c r="B39" s="12" t="str">
        <f>VLOOKUP(A39,'Locations &amp; Types'!$E:$F,2,FALSE)</f>
        <v>GDN (SO)</v>
      </c>
      <c r="C39" s="89">
        <v>65767083</v>
      </c>
    </row>
    <row r="40" spans="1:3">
      <c r="A40" s="2" t="s">
        <v>62</v>
      </c>
      <c r="B40" s="12" t="str">
        <f>VLOOKUP(A40,'Locations &amp; Types'!$E:$F,2,FALSE)</f>
        <v>DC</v>
      </c>
      <c r="C40" s="89">
        <v>105652.43835616432</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20624435</v>
      </c>
    </row>
    <row r="45" spans="1:3">
      <c r="A45" s="2" t="s">
        <v>67</v>
      </c>
      <c r="B45" s="12" t="str">
        <f>VLOOKUP(A45,'Locations &amp; Types'!$E:$F,2,FALSE)</f>
        <v>DC</v>
      </c>
      <c r="C45" s="89">
        <v>13827622.451506849</v>
      </c>
    </row>
    <row r="46" spans="1:3">
      <c r="A46" s="2" t="s">
        <v>68</v>
      </c>
      <c r="B46" s="12" t="str">
        <f>VLOOKUP(A46,'Locations &amp; Types'!$E:$F,2,FALSE)</f>
        <v>GDN (EM)</v>
      </c>
      <c r="C46" s="89">
        <v>8977861</v>
      </c>
    </row>
    <row r="47" spans="1:3">
      <c r="A47" s="2" t="s">
        <v>69</v>
      </c>
      <c r="B47" s="12" t="str">
        <f>VLOOKUP(A47,'Locations &amp; Types'!$E:$F,2,FALSE)</f>
        <v>DC</v>
      </c>
      <c r="C47" s="89">
        <v>343312.71232876705</v>
      </c>
    </row>
    <row r="48" spans="1:3">
      <c r="A48" s="2" t="s">
        <v>70</v>
      </c>
      <c r="B48" s="12" t="str">
        <f>VLOOKUP(A48,'Locations &amp; Types'!$E:$F,2,FALSE)</f>
        <v>GDN (EA)</v>
      </c>
      <c r="C48" s="89">
        <v>0</v>
      </c>
    </row>
    <row r="49" spans="1:3">
      <c r="A49" s="2" t="s">
        <v>71</v>
      </c>
      <c r="B49" s="12" t="str">
        <f>VLOOKUP(A49,'Locations &amp; Types'!$E:$F,2,FALSE)</f>
        <v>GDN (SC)</v>
      </c>
      <c r="C49" s="89">
        <v>4137186</v>
      </c>
    </row>
    <row r="50" spans="1:3">
      <c r="A50" s="2" t="s">
        <v>72</v>
      </c>
      <c r="B50" s="12" t="str">
        <f>VLOOKUP(A50,'Locations &amp; Types'!$E:$F,2,FALSE)</f>
        <v>DC</v>
      </c>
      <c r="C50" s="89">
        <v>22847239.890410975</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7417140</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40002877</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0</v>
      </c>
    </row>
    <row r="63" spans="1:3">
      <c r="A63" s="2" t="s">
        <v>84</v>
      </c>
      <c r="B63" s="12" t="str">
        <f>VLOOKUP(A63,'Locations &amp; Types'!$E:$F,2,FALSE)</f>
        <v>DC</v>
      </c>
      <c r="C63" s="89">
        <v>37798322.958904102</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54670979</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1457215</v>
      </c>
    </row>
    <row r="71" spans="1:3">
      <c r="A71" s="2" t="s">
        <v>92</v>
      </c>
      <c r="B71" s="12" t="str">
        <f>VLOOKUP(A71,'Locations &amp; Types'!$E:$F,2,FALSE)</f>
        <v>DC</v>
      </c>
      <c r="C71" s="89">
        <v>36060000</v>
      </c>
    </row>
    <row r="72" spans="1:3">
      <c r="A72" s="2" t="s">
        <v>93</v>
      </c>
      <c r="B72" s="12" t="str">
        <f>VLOOKUP(A72,'Locations &amp; Types'!$E:$F,2,FALSE)</f>
        <v>GDN (SW)</v>
      </c>
      <c r="C72" s="89">
        <v>27391725</v>
      </c>
    </row>
    <row r="73" spans="1:3">
      <c r="A73" s="2" t="s">
        <v>94</v>
      </c>
      <c r="B73" s="12" t="str">
        <f>VLOOKUP(A73,'Locations &amp; Types'!$E:$F,2,FALSE)</f>
        <v>GDN (NW)</v>
      </c>
      <c r="C73" s="89">
        <v>16370887</v>
      </c>
    </row>
    <row r="74" spans="1:3">
      <c r="A74" s="2" t="s">
        <v>95</v>
      </c>
      <c r="B74" s="12" t="str">
        <f>VLOOKUP(A74,'Locations &amp; Types'!$E:$F,2,FALSE)</f>
        <v>GDN (NO)</v>
      </c>
      <c r="C74" s="89">
        <v>56000000</v>
      </c>
    </row>
    <row r="75" spans="1:3">
      <c r="A75" s="2" t="s">
        <v>96</v>
      </c>
      <c r="B75" s="12" t="str">
        <f>VLOOKUP(A75,'Locations &amp; Types'!$E:$F,2,FALSE)</f>
        <v>DC</v>
      </c>
      <c r="C75" s="89">
        <v>0</v>
      </c>
    </row>
    <row r="76" spans="1:3">
      <c r="A76" s="2" t="s">
        <v>97</v>
      </c>
      <c r="B76" s="12" t="str">
        <f>VLOOKUP(A76,'Locations &amp; Types'!$E:$F,2,FALSE)</f>
        <v>DC</v>
      </c>
      <c r="C76" s="89">
        <v>12313242.342465753</v>
      </c>
    </row>
    <row r="77" spans="1:3">
      <c r="A77" s="2" t="s">
        <v>98</v>
      </c>
      <c r="B77" s="12" t="str">
        <f>VLOOKUP(A77,'Locations &amp; Types'!$E:$F,2,FALSE)</f>
        <v>GDN (SW)</v>
      </c>
      <c r="C77" s="89">
        <v>6523465</v>
      </c>
    </row>
    <row r="78" spans="1:3">
      <c r="A78" s="2" t="s">
        <v>99</v>
      </c>
      <c r="B78" s="12" t="str">
        <f>VLOOKUP(A78,'Locations &amp; Types'!$E:$F,2,FALSE)</f>
        <v>GDN (SE)</v>
      </c>
      <c r="C78" s="89">
        <v>91587931</v>
      </c>
    </row>
    <row r="79" spans="1:3">
      <c r="A79" s="2" t="s">
        <v>100</v>
      </c>
      <c r="B79" s="12" t="str">
        <f>VLOOKUP(A79,'Locations &amp; Types'!$E:$F,2,FALSE)</f>
        <v>GDN (SE)</v>
      </c>
      <c r="C79" s="89">
        <v>98294599</v>
      </c>
    </row>
    <row r="80" spans="1:3">
      <c r="A80" s="2" t="s">
        <v>101</v>
      </c>
      <c r="B80" s="12" t="str">
        <f>VLOOKUP(A80,'Locations &amp; Types'!$E:$F,2,FALSE)</f>
        <v>DC</v>
      </c>
      <c r="C80" s="89">
        <v>0</v>
      </c>
    </row>
    <row r="81" spans="1:3">
      <c r="A81" s="2" t="s">
        <v>102</v>
      </c>
      <c r="B81" s="12" t="str">
        <f>VLOOKUP(A81,'Locations &amp; Types'!$E:$F,2,FALSE)</f>
        <v>GDN (SW)</v>
      </c>
      <c r="C81" s="89">
        <v>21741989</v>
      </c>
    </row>
    <row r="82" spans="1:3">
      <c r="A82" s="2" t="s">
        <v>103</v>
      </c>
      <c r="B82" s="12" t="str">
        <f>VLOOKUP(A82,'Locations &amp; Types'!$E:$F,2,FALSE)</f>
        <v>GDN (NE)</v>
      </c>
      <c r="C82" s="89">
        <v>16610330</v>
      </c>
    </row>
    <row r="83" spans="1:3">
      <c r="A83" s="2" t="s">
        <v>104</v>
      </c>
      <c r="B83" s="12" t="str">
        <f>VLOOKUP(A83,'Locations &amp; Types'!$E:$F,2,FALSE)</f>
        <v>STORAGE SITE</v>
      </c>
      <c r="C83" s="89">
        <v>326003150.68493152</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1700273.9726027397</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42000640.991780818</v>
      </c>
    </row>
    <row r="91" spans="1:3">
      <c r="A91" s="2" t="s">
        <v>111</v>
      </c>
      <c r="B91" s="12" t="str">
        <f>VLOOKUP(A91,'Locations &amp; Types'!$E:$F,2,FALSE)</f>
        <v>GDN (EA)</v>
      </c>
      <c r="C91" s="89">
        <v>23677521</v>
      </c>
    </row>
    <row r="92" spans="1:3">
      <c r="A92" s="2" t="s">
        <v>112</v>
      </c>
      <c r="B92" s="12" t="str">
        <f>VLOOKUP(A92,'Locations &amp; Types'!$E:$F,2,FALSE)</f>
        <v>GDN (NO)</v>
      </c>
      <c r="C92" s="89">
        <v>1806988</v>
      </c>
    </row>
    <row r="93" spans="1:3">
      <c r="A93" s="2" t="s">
        <v>113</v>
      </c>
      <c r="B93" s="12" t="str">
        <f>VLOOKUP(A93,'Locations &amp; Types'!$E:$F,2,FALSE)</f>
        <v>GDN (SO)</v>
      </c>
      <c r="C93" s="89">
        <v>106654165</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6017436.6849315045</v>
      </c>
    </row>
    <row r="98" spans="1:3">
      <c r="A98" s="2" t="s">
        <v>118</v>
      </c>
      <c r="B98" s="12" t="str">
        <f>VLOOKUP(A98,'Locations &amp; Types'!$E:$F,2,FALSE)</f>
        <v>STORAGE SITE</v>
      </c>
      <c r="C98" s="89">
        <v>584777.4794520546</v>
      </c>
    </row>
    <row r="99" spans="1:3">
      <c r="A99" s="2" t="s">
        <v>119</v>
      </c>
      <c r="B99" s="12" t="str">
        <f>VLOOKUP(A99,'Locations &amp; Types'!$E:$F,2,FALSE)</f>
        <v>STORAGE SITE</v>
      </c>
      <c r="C99" s="89">
        <v>31829848.328767125</v>
      </c>
    </row>
    <row r="100" spans="1:3">
      <c r="A100" s="2" t="s">
        <v>120</v>
      </c>
      <c r="B100" s="12" t="str">
        <f>VLOOKUP(A100,'Locations &amp; Types'!$E:$F,2,FALSE)</f>
        <v>DC</v>
      </c>
      <c r="C100" s="89">
        <v>454343.19515068491</v>
      </c>
    </row>
    <row r="101" spans="1:3">
      <c r="A101" s="2" t="s">
        <v>121</v>
      </c>
      <c r="B101" s="12" t="str">
        <f>VLOOKUP(A101,'Locations &amp; Types'!$E:$F,2,FALSE)</f>
        <v>GDN (NW)</v>
      </c>
      <c r="C101" s="89">
        <v>21678773</v>
      </c>
    </row>
    <row r="102" spans="1:3">
      <c r="A102" s="2" t="s">
        <v>122</v>
      </c>
      <c r="B102" s="12" t="str">
        <f>VLOOKUP(A102,'Locations &amp; Types'!$E:$F,2,FALSE)</f>
        <v>GDN (NT)</v>
      </c>
      <c r="C102" s="89">
        <v>33307669</v>
      </c>
    </row>
    <row r="103" spans="1:3">
      <c r="A103" s="2" t="s">
        <v>123</v>
      </c>
      <c r="B103" s="12" t="str">
        <f>VLOOKUP(A103,'Locations &amp; Types'!$E:$F,2,FALSE)</f>
        <v>STORAGE SITE</v>
      </c>
      <c r="C103" s="89">
        <v>41511502.97260274</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32494518</v>
      </c>
    </row>
    <row r="107" spans="1:3">
      <c r="A107" s="2" t="s">
        <v>127</v>
      </c>
      <c r="B107" s="12" t="str">
        <f>VLOOKUP(A107,'Locations &amp; Types'!$E:$F,2,FALSE)</f>
        <v>GDN (SO)</v>
      </c>
      <c r="C107" s="89">
        <v>8915734</v>
      </c>
    </row>
    <row r="108" spans="1:3">
      <c r="A108" s="2" t="s">
        <v>128</v>
      </c>
      <c r="B108" s="12" t="str">
        <f>VLOOKUP(A108,'Locations &amp; Types'!$E:$F,2,FALSE)</f>
        <v>GDN (SO)</v>
      </c>
      <c r="C108" s="89">
        <v>12083873</v>
      </c>
    </row>
    <row r="109" spans="1:3">
      <c r="A109" s="2" t="s">
        <v>129</v>
      </c>
      <c r="B109" s="12" t="str">
        <f>VLOOKUP(A109,'Locations &amp; Types'!$E:$F,2,FALSE)</f>
        <v>GDN (NO)</v>
      </c>
      <c r="C109" s="89">
        <v>1156178</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31700000</v>
      </c>
    </row>
    <row r="114" spans="1:3">
      <c r="A114" s="2" t="s">
        <v>134</v>
      </c>
      <c r="B114" s="12" t="str">
        <f>VLOOKUP(A114,'Locations &amp; Types'!$E:$F,2,FALSE)</f>
        <v>GDN (SC)</v>
      </c>
      <c r="C114" s="89">
        <v>155319</v>
      </c>
    </row>
    <row r="115" spans="1:3">
      <c r="A115" s="2" t="s">
        <v>135</v>
      </c>
      <c r="B115" s="12" t="str">
        <f>VLOOKUP(A115,'Locations &amp; Types'!$E:$F,2,FALSE)</f>
        <v>GDN (SC)</v>
      </c>
      <c r="C115" s="89">
        <v>0</v>
      </c>
    </row>
    <row r="116" spans="1:3">
      <c r="A116" s="2" t="s">
        <v>136</v>
      </c>
      <c r="B116" s="12" t="str">
        <f>VLOOKUP(A116,'Locations &amp; Types'!$E:$F,2,FALSE)</f>
        <v>GDN (WM)</v>
      </c>
      <c r="C116" s="89">
        <v>3634748</v>
      </c>
    </row>
    <row r="117" spans="1:3">
      <c r="A117" s="2" t="s">
        <v>137</v>
      </c>
      <c r="B117" s="12" t="str">
        <f>VLOOKUP(A117,'Locations &amp; Types'!$E:$F,2,FALSE)</f>
        <v>GDN (NO)</v>
      </c>
      <c r="C117" s="89">
        <v>14089321</v>
      </c>
    </row>
    <row r="118" spans="1:3">
      <c r="A118" s="2" t="s">
        <v>138</v>
      </c>
      <c r="B118" s="12" t="str">
        <f>VLOOKUP(A118,'Locations &amp; Types'!$E:$F,2,FALSE)</f>
        <v>GDN (SW)</v>
      </c>
      <c r="C118" s="89">
        <v>2299463</v>
      </c>
    </row>
    <row r="119" spans="1:3">
      <c r="A119" s="2" t="s">
        <v>139</v>
      </c>
      <c r="B119" s="12" t="str">
        <f>VLOOKUP(A119,'Locations &amp; Types'!$E:$F,2,FALSE)</f>
        <v>GDN (SC)</v>
      </c>
      <c r="C119" s="89">
        <v>6757111</v>
      </c>
    </row>
    <row r="120" spans="1:3">
      <c r="A120" s="2" t="s">
        <v>140</v>
      </c>
      <c r="B120" s="12" t="str">
        <f>VLOOKUP(A120,'Locations &amp; Types'!$E:$F,2,FALSE)</f>
        <v>GDN (WM)</v>
      </c>
      <c r="C120" s="89">
        <v>29910000</v>
      </c>
    </row>
    <row r="121" spans="1:3">
      <c r="A121" s="2" t="s">
        <v>141</v>
      </c>
      <c r="B121" s="12" t="str">
        <f>VLOOKUP(A121,'Locations &amp; Types'!$E:$F,2,FALSE)</f>
        <v>GDN (NW)</v>
      </c>
      <c r="C121" s="89">
        <v>19815980</v>
      </c>
    </row>
    <row r="122" spans="1:3">
      <c r="A122" s="2" t="s">
        <v>142</v>
      </c>
      <c r="B122" s="12" t="str">
        <f>VLOOKUP(A122,'Locations &amp; Types'!$E:$F,2,FALSE)</f>
        <v>GDN (NT)</v>
      </c>
      <c r="C122" s="89">
        <v>76147689</v>
      </c>
    </row>
    <row r="123" spans="1:3">
      <c r="A123" s="2" t="s">
        <v>143</v>
      </c>
      <c r="B123" s="12" t="str">
        <f>VLOOKUP(A123,'Locations &amp; Types'!$E:$F,2,FALSE)</f>
        <v>GDN (SW)</v>
      </c>
      <c r="C123" s="89">
        <v>45817300</v>
      </c>
    </row>
    <row r="124" spans="1:3">
      <c r="A124" s="2" t="s">
        <v>144</v>
      </c>
      <c r="B124" s="12" t="str">
        <f>VLOOKUP(A124,'Locations &amp; Types'!$E:$F,2,FALSE)</f>
        <v>GDN (WN)</v>
      </c>
      <c r="C124" s="89">
        <v>49258990</v>
      </c>
    </row>
    <row r="125" spans="1:3">
      <c r="A125" s="2" t="s">
        <v>145</v>
      </c>
      <c r="B125" s="12" t="str">
        <f>VLOOKUP(A125,'Locations &amp; Types'!$E:$F,2,FALSE)</f>
        <v>GDN (NW)</v>
      </c>
      <c r="C125" s="89">
        <v>685222</v>
      </c>
    </row>
    <row r="126" spans="1:3">
      <c r="A126" s="2" t="s">
        <v>146</v>
      </c>
      <c r="B126" s="12" t="str">
        <f>VLOOKUP(A126,'Locations &amp; Types'!$E:$F,2,FALSE)</f>
        <v>GDN (SO)</v>
      </c>
      <c r="C126" s="89">
        <v>38538881</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949364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243649428.46575344</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39994219</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2805479.4520547944</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25023750</v>
      </c>
    </row>
    <row r="151" spans="1:3">
      <c r="A151" s="2" t="s">
        <v>170</v>
      </c>
      <c r="B151" s="12" t="str">
        <f>VLOOKUP(A151,'Locations &amp; Types'!$E:$F,2,FALSE)</f>
        <v>GDN (NE)</v>
      </c>
      <c r="C151" s="89">
        <v>5080452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20129094</v>
      </c>
    </row>
    <row r="158" spans="1:3">
      <c r="A158" s="2" t="s">
        <v>177</v>
      </c>
      <c r="B158" s="12" t="str">
        <f>VLOOKUP(A158,'Locations &amp; Types'!$E:$F,2,FALSE)</f>
        <v>GDN (EA)</v>
      </c>
      <c r="C158" s="89">
        <v>2367780</v>
      </c>
    </row>
    <row r="159" spans="1:3">
      <c r="A159" s="2" t="s">
        <v>178</v>
      </c>
      <c r="B159" s="12" t="str">
        <f>VLOOKUP(A159,'Locations &amp; Types'!$E:$F,2,FALSE)</f>
        <v>GDN (WM)</v>
      </c>
      <c r="C159" s="89">
        <v>60380901</v>
      </c>
    </row>
    <row r="160" spans="1:3">
      <c r="A160" s="2" t="s">
        <v>179</v>
      </c>
      <c r="B160" s="12" t="str">
        <f>VLOOKUP(A160,'Locations &amp; Types'!$E:$F,2,FALSE)</f>
        <v>DC</v>
      </c>
      <c r="C160" s="89">
        <v>38660000</v>
      </c>
    </row>
    <row r="161" spans="1:3">
      <c r="A161" s="2" t="s">
        <v>180</v>
      </c>
      <c r="B161" s="12" t="str">
        <f>VLOOKUP(A161,'Locations &amp; Types'!$E:$F,2,FALSE)</f>
        <v>DC</v>
      </c>
      <c r="C161" s="89">
        <v>17980000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39506950</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53316903</v>
      </c>
    </row>
    <row r="169" spans="1:3">
      <c r="A169" s="2" t="s">
        <v>188</v>
      </c>
      <c r="B169" s="12" t="str">
        <f>VLOOKUP(A169,'Locations &amp; Types'!$E:$F,2,FALSE)</f>
        <v>DC</v>
      </c>
      <c r="C169" s="89">
        <v>18316938</v>
      </c>
    </row>
    <row r="170" spans="1:3">
      <c r="A170" s="2" t="s">
        <v>241</v>
      </c>
      <c r="B170" s="12" t="str">
        <f>VLOOKUP(A170,'Locations &amp; Types'!$E:$F,2,FALSE)</f>
        <v>DC</v>
      </c>
      <c r="C170" s="89">
        <v>49277.068991780827</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29781236</v>
      </c>
    </row>
    <row r="174" spans="1:3">
      <c r="A174" s="2" t="s">
        <v>192</v>
      </c>
      <c r="B174" s="12" t="str">
        <f>VLOOKUP(A174,'Locations &amp; Types'!$E:$F,2,FALSE)</f>
        <v>DC</v>
      </c>
      <c r="C174" s="89">
        <v>247671.23287671234</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178806.35616438361</v>
      </c>
    </row>
    <row r="179" spans="1:3">
      <c r="A179" s="2" t="s">
        <v>21</v>
      </c>
      <c r="B179" s="12" t="str">
        <f>VLOOKUP(A179,'Locations &amp; Types'!$E:$F,2,FALSE)</f>
        <v>GDN (SC)</v>
      </c>
      <c r="C179" s="89">
        <v>1316850</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17811878.082191776</v>
      </c>
    </row>
    <row r="183" spans="1:3">
      <c r="A183" s="2" t="s">
        <v>200</v>
      </c>
      <c r="B183" s="12" t="str">
        <f>VLOOKUP(A183,'Locations &amp; Types'!$E:$F,2,FALSE)</f>
        <v>DC</v>
      </c>
      <c r="C183" s="89">
        <v>52700000</v>
      </c>
    </row>
    <row r="184" spans="1:3">
      <c r="A184" s="2" t="s">
        <v>201</v>
      </c>
      <c r="B184" s="12" t="str">
        <f>VLOOKUP(A184,'Locations &amp; Types'!$E:$F,2,FALSE)</f>
        <v>DC</v>
      </c>
      <c r="C184" s="89">
        <v>11676634.109589024</v>
      </c>
    </row>
    <row r="185" spans="1:3">
      <c r="A185" s="2" t="s">
        <v>202</v>
      </c>
      <c r="B185" s="12" t="str">
        <f>VLOOKUP(A185,'Locations &amp; Types'!$E:$F,2,FALSE)</f>
        <v>DC</v>
      </c>
      <c r="C185" s="89">
        <v>61331506.84931507</v>
      </c>
    </row>
    <row r="186" spans="1:3">
      <c r="A186" s="2" t="s">
        <v>203</v>
      </c>
      <c r="B186" s="12" t="str">
        <f>VLOOKUP(A186,'Locations &amp; Types'!$E:$F,2,FALSE)</f>
        <v>GDN (SC)</v>
      </c>
      <c r="C186" s="89">
        <v>917516</v>
      </c>
    </row>
    <row r="187" spans="1:3">
      <c r="A187" s="2" t="s">
        <v>204</v>
      </c>
      <c r="B187" s="12" t="str">
        <f>VLOOKUP(A187,'Locations &amp; Types'!$E:$F,2,FALSE)</f>
        <v>GDN (WM)</v>
      </c>
      <c r="C187" s="89">
        <v>3735040</v>
      </c>
    </row>
    <row r="188" spans="1:3">
      <c r="A188" s="2" t="s">
        <v>205</v>
      </c>
      <c r="B188" s="12" t="str">
        <f>VLOOKUP(A188,'Locations &amp; Types'!$E:$F,2,FALSE)</f>
        <v>STORAGE SITE</v>
      </c>
      <c r="C188" s="89">
        <v>29584634.410958912</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207723314</v>
      </c>
    </row>
    <row r="192" spans="1:3">
      <c r="A192" s="2" t="s">
        <v>209</v>
      </c>
      <c r="B192" s="12" t="str">
        <f>VLOOKUP(A192,'Locations &amp; Types'!$E:$F,2,FALSE)</f>
        <v>DC</v>
      </c>
      <c r="C192" s="89">
        <v>8369000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40032876.712328769</v>
      </c>
    </row>
    <row r="198" spans="1:3">
      <c r="A198" s="2" t="s">
        <v>215</v>
      </c>
      <c r="B198" s="12" t="str">
        <f>VLOOKUP(A198,'Locations &amp; Types'!$E:$F,2,FALSE)</f>
        <v>GDN (NO)</v>
      </c>
      <c r="C198" s="89">
        <v>4490616</v>
      </c>
    </row>
    <row r="199" spans="1:3">
      <c r="A199" s="2" t="s">
        <v>216</v>
      </c>
      <c r="B199" s="12" t="str">
        <f>VLOOKUP(A199,'Locations &amp; Types'!$E:$F,2,FALSE)</f>
        <v>DC</v>
      </c>
      <c r="C199" s="89">
        <v>0</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0</v>
      </c>
    </row>
    <row r="204" spans="1:3">
      <c r="A204" s="2" t="s">
        <v>220</v>
      </c>
      <c r="B204" s="12" t="str">
        <f>VLOOKUP(A204,'Locations &amp; Types'!$E:$F,2,FALSE)</f>
        <v>GDN (EM)</v>
      </c>
      <c r="C204" s="89">
        <v>64479276</v>
      </c>
    </row>
    <row r="205" spans="1:3">
      <c r="A205" s="2" t="s">
        <v>221</v>
      </c>
      <c r="B205" s="12" t="str">
        <f>VLOOKUP(A205,'Locations &amp; Types'!$E:$F,2,FALSE)</f>
        <v>DC</v>
      </c>
      <c r="C205" s="89">
        <v>8300000</v>
      </c>
    </row>
    <row r="206" spans="1:3">
      <c r="A206" s="2" t="s">
        <v>222</v>
      </c>
      <c r="B206" s="12" t="str">
        <f>VLOOKUP(A206,'Locations &amp; Types'!$E:$F,2,FALSE)</f>
        <v>GDN (EM)</v>
      </c>
      <c r="C206" s="89">
        <v>806402</v>
      </c>
    </row>
    <row r="207" spans="1:3">
      <c r="A207" s="2" t="s">
        <v>223</v>
      </c>
      <c r="B207" s="12" t="str">
        <f>VLOOKUP(A207,'Locations &amp; Types'!$E:$F,2,FALSE)</f>
        <v>GDN (NW)</v>
      </c>
      <c r="C207" s="89">
        <v>92041489</v>
      </c>
    </row>
    <row r="208" spans="1:3">
      <c r="A208" s="2" t="s">
        <v>224</v>
      </c>
      <c r="B208" s="12" t="str">
        <f>VLOOKUP(A208,'Locations &amp; Types'!$E:$F,2,FALSE)</f>
        <v>DC</v>
      </c>
      <c r="C208" s="89">
        <v>37530627.863013692</v>
      </c>
    </row>
    <row r="209" spans="1:3">
      <c r="A209" s="2" t="s">
        <v>225</v>
      </c>
      <c r="B209" s="12" t="str">
        <f>VLOOKUP(A209,'Locations &amp; Types'!$E:$F,2,FALSE)</f>
        <v>GDN (EA)</v>
      </c>
      <c r="C209" s="89">
        <v>10086940</v>
      </c>
    </row>
    <row r="210" spans="1:3">
      <c r="A210" s="2" t="s">
        <v>226</v>
      </c>
      <c r="B210" s="12" t="str">
        <f>VLOOKUP(A210,'Locations &amp; Types'!$E:$F,2,FALSE)</f>
        <v>GDN (NW)</v>
      </c>
      <c r="C210" s="89">
        <v>4076123</v>
      </c>
    </row>
    <row r="211" spans="1:3">
      <c r="A211" s="2" t="s">
        <v>227</v>
      </c>
      <c r="B211" s="12" t="str">
        <f>VLOOKUP(A211,'Locations &amp; Types'!$E:$F,2,FALSE)</f>
        <v>DC</v>
      </c>
      <c r="C211" s="89">
        <v>472084.46416438359</v>
      </c>
    </row>
    <row r="212" spans="1:3">
      <c r="A212" s="2" t="s">
        <v>228</v>
      </c>
      <c r="B212" s="12" t="str">
        <f>VLOOKUP(A212,'Locations &amp; Types'!$E:$F,2,FALSE)</f>
        <v>DC</v>
      </c>
      <c r="C212" s="89">
        <v>20599801.260273974</v>
      </c>
    </row>
    <row r="213" spans="1:3">
      <c r="A213" s="2" t="s">
        <v>229</v>
      </c>
      <c r="B213" s="12" t="str">
        <f>VLOOKUP(A213,'Locations &amp; Types'!$E:$F,2,FALSE)</f>
        <v>GDN (NO)</v>
      </c>
      <c r="C213" s="89">
        <v>21081755</v>
      </c>
    </row>
    <row r="214" spans="1:3">
      <c r="A214" s="2" t="s">
        <v>230</v>
      </c>
      <c r="B214" s="12" t="str">
        <f>VLOOKUP(A214,'Locations &amp; Types'!$E:$F,2,FALSE)</f>
        <v>GDN (EA)</v>
      </c>
      <c r="C214" s="89">
        <v>107742621</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106260000</v>
      </c>
    </row>
    <row r="218" spans="1:3">
      <c r="A218" s="2" t="s">
        <v>234</v>
      </c>
      <c r="B218" s="12" t="str">
        <f>VLOOKUP(A218,'Locations &amp; Types'!$E:$F,2,FALSE)</f>
        <v>GDN (SO)</v>
      </c>
      <c r="C218" s="89">
        <v>36499431</v>
      </c>
    </row>
    <row r="219" spans="1:3">
      <c r="A219" s="2" t="s">
        <v>235</v>
      </c>
      <c r="B219" s="12" t="str">
        <f>VLOOKUP(A219,'Locations &amp; Types'!$E:$F,2,FALSE)</f>
        <v>DC</v>
      </c>
      <c r="C219" s="89">
        <v>19188380.10958904</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278415.38161643839</v>
      </c>
    </row>
    <row r="223" spans="1:3">
      <c r="A223" s="2" t="s">
        <v>534</v>
      </c>
      <c r="B223" s="12" t="str">
        <f>VLOOKUP(A223,'Locations &amp; Types'!$E:$F,2,FALSE)</f>
        <v>DC</v>
      </c>
      <c r="C223" s="89">
        <v>0</v>
      </c>
    </row>
    <row r="224" spans="1:3">
      <c r="A224" s="2" t="s">
        <v>535</v>
      </c>
      <c r="B224" s="12" t="str">
        <f>VLOOKUP(A224,'Locations &amp; Types'!$E:$F,2,FALSE)</f>
        <v>DC</v>
      </c>
      <c r="C224" s="89">
        <v>1173840</v>
      </c>
    </row>
    <row r="225" spans="1:3">
      <c r="A225" s="2" t="s">
        <v>536</v>
      </c>
      <c r="B225" s="12" t="str">
        <f>VLOOKUP(A225,'Locations &amp; Types'!$E:$F,2,FALSE)</f>
        <v>DC</v>
      </c>
      <c r="C225" s="89">
        <v>4200000</v>
      </c>
    </row>
    <row r="226" spans="1:3">
      <c r="A226" s="2" t="s">
        <v>537</v>
      </c>
      <c r="B226" s="12" t="str">
        <f>VLOOKUP(A226,'Locations &amp; Types'!$E:$F,2,FALSE)</f>
        <v>DC</v>
      </c>
      <c r="C226" s="89">
        <v>3779832.6575342491</v>
      </c>
    </row>
    <row r="227" spans="1:3">
      <c r="A227" s="2" t="s">
        <v>538</v>
      </c>
      <c r="B227" s="12" t="str">
        <f>VLOOKUP(A227,'Locations &amp; Types'!$E:$F,2,FALSE)</f>
        <v>DC</v>
      </c>
      <c r="C227" s="89">
        <v>0</v>
      </c>
    </row>
    <row r="228" spans="1:3">
      <c r="A228" s="2" t="s">
        <v>545</v>
      </c>
      <c r="B228" s="12" t="str">
        <f>VLOOKUP(A228,'Locations &amp; Types'!$E:$F,2,FALSE)</f>
        <v>DC</v>
      </c>
      <c r="C228" s="89">
        <v>7310160</v>
      </c>
    </row>
    <row r="229" spans="1:3">
      <c r="A229" s="2" t="s">
        <v>539</v>
      </c>
      <c r="B229" s="12" t="str">
        <f>VLOOKUP(A229,'Locations &amp; Types'!$E:$F,2,FALSE)</f>
        <v>DC</v>
      </c>
      <c r="C229" s="89">
        <v>0</v>
      </c>
    </row>
    <row r="230" spans="1:3">
      <c r="A230" s="2" t="s">
        <v>540</v>
      </c>
      <c r="B230" s="12" t="str">
        <f>VLOOKUP(A230,'Locations &amp; Types'!$E:$F,2,FALSE)</f>
        <v>DC</v>
      </c>
      <c r="C230" s="89">
        <v>33128628.208219178</v>
      </c>
    </row>
    <row r="231" spans="1:3">
      <c r="A231" s="2" t="s">
        <v>176</v>
      </c>
      <c r="B231" s="12" t="str">
        <f>VLOOKUP(A231,'Locations &amp; Types'!$E:$F,2,FALSE)</f>
        <v>STORAGE SITE</v>
      </c>
      <c r="C231" s="89">
        <v>6538325.5616438352</v>
      </c>
    </row>
    <row r="233" spans="1:3">
      <c r="C233" s="164"/>
    </row>
    <row r="234" spans="1:3">
      <c r="C234" s="368"/>
    </row>
    <row r="235" spans="1:3">
      <c r="C235" s="164"/>
    </row>
    <row r="236" spans="1:3">
      <c r="C236" s="369"/>
    </row>
    <row r="240" spans="1:3">
      <c r="C240" t="s">
        <v>549</v>
      </c>
    </row>
  </sheetData>
  <autoFilter ref="A2:C231"/>
  <mergeCells count="2">
    <mergeCell ref="A1:A2"/>
    <mergeCell ref="B1:B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79998168889431442"/>
  </sheetPr>
  <dimension ref="A1"/>
  <sheetViews>
    <sheetView workbookViewId="0">
      <selection activeCell="Z35" sqref="Z35"/>
    </sheetView>
  </sheetViews>
  <sheetFormatPr defaultColWidth="8.85546875" defaultRowHeight="15"/>
  <cols>
    <col min="1" max="1" width="31.42578125" bestFit="1" customWidth="1"/>
    <col min="2" max="2" width="65.42578125" customWidth="1"/>
    <col min="3" max="3" width="10.85546875" bestFit="1" customWidth="1"/>
  </cols>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5" tint="0.39997558519241921"/>
  </sheetPr>
  <dimension ref="A1:C237"/>
  <sheetViews>
    <sheetView workbookViewId="0">
      <selection activeCell="C234" sqref="C234"/>
    </sheetView>
  </sheetViews>
  <sheetFormatPr defaultColWidth="9.140625" defaultRowHeight="15"/>
  <cols>
    <col min="1" max="1" width="57" customWidth="1"/>
    <col min="2" max="2" width="23.140625" customWidth="1"/>
    <col min="3" max="3" width="41.140625" customWidth="1"/>
  </cols>
  <sheetData>
    <row r="1" spans="1:3">
      <c r="A1" s="457" t="s">
        <v>242</v>
      </c>
      <c r="B1" s="457" t="s">
        <v>329</v>
      </c>
      <c r="C1" s="37" t="s">
        <v>516</v>
      </c>
    </row>
    <row r="2" spans="1:3" ht="15.75" thickBot="1">
      <c r="A2" s="458"/>
      <c r="B2" s="458"/>
      <c r="C2" s="38" t="s">
        <v>338</v>
      </c>
    </row>
    <row r="3" spans="1:3">
      <c r="A3" s="2" t="s">
        <v>26</v>
      </c>
      <c r="B3" s="12" t="str">
        <f>VLOOKUP(A3,'Locations &amp; Types'!$E:$F,2,FALSE)</f>
        <v>GDN (SC)</v>
      </c>
      <c r="C3" s="89">
        <v>21639348</v>
      </c>
    </row>
    <row r="4" spans="1:3">
      <c r="A4" s="2" t="s">
        <v>27</v>
      </c>
      <c r="B4" s="12" t="str">
        <f>VLOOKUP(A4,'Locations &amp; Types'!$E:$F,2,FALSE)</f>
        <v>DC</v>
      </c>
      <c r="C4" s="89">
        <v>27992295.175342467</v>
      </c>
    </row>
    <row r="5" spans="1:3">
      <c r="A5" s="2" t="s">
        <v>28</v>
      </c>
      <c r="B5" s="12" t="str">
        <f>VLOOKUP(A5,'Locations &amp; Types'!$E:$F,2,FALSE)</f>
        <v>GDN (EM)</v>
      </c>
      <c r="C5" s="89">
        <v>59229584</v>
      </c>
    </row>
    <row r="6" spans="1:3">
      <c r="A6" s="2" t="s">
        <v>29</v>
      </c>
      <c r="B6" s="12" t="str">
        <f>VLOOKUP(A6,'Locations &amp; Types'!$E:$F,2,FALSE)</f>
        <v>GDN (WM)</v>
      </c>
      <c r="C6" s="89">
        <v>72462290</v>
      </c>
    </row>
    <row r="7" spans="1:3">
      <c r="A7" s="2" t="s">
        <v>240</v>
      </c>
      <c r="B7" s="12" t="str">
        <f>VLOOKUP(A7,'Locations &amp; Types'!$E:$F,2,FALSE)</f>
        <v>DC</v>
      </c>
      <c r="C7" s="89"/>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0</v>
      </c>
    </row>
    <row r="15" spans="1:3">
      <c r="A15" s="2" t="s">
        <v>37</v>
      </c>
      <c r="B15" s="12" t="str">
        <f>VLOOKUP(A15,'Locations &amp; Types'!$E:$F,2,FALSE)</f>
        <v>GDN (SW)</v>
      </c>
      <c r="C15" s="89">
        <v>19411359</v>
      </c>
    </row>
    <row r="16" spans="1:3">
      <c r="A16" s="2" t="s">
        <v>38</v>
      </c>
      <c r="B16" s="12" t="str">
        <f>VLOOKUP(A16,'Locations &amp; Types'!$E:$F,2,FALSE)</f>
        <v>GDN (EA)</v>
      </c>
      <c r="C16" s="89">
        <v>2472724</v>
      </c>
    </row>
    <row r="17" spans="1:3">
      <c r="A17" s="2" t="s">
        <v>39</v>
      </c>
      <c r="B17" s="12" t="str">
        <f>VLOOKUP(A17,'Locations &amp; Types'!$E:$F,2,FALSE)</f>
        <v>STORAGE SITE</v>
      </c>
      <c r="C17" s="89">
        <v>0</v>
      </c>
    </row>
    <row r="18" spans="1:3">
      <c r="A18" s="2" t="s">
        <v>40</v>
      </c>
      <c r="B18" s="12" t="str">
        <f>VLOOKUP(A18,'Locations &amp; Types'!$E:$F,2,FALSE)</f>
        <v>INTERCONNECTOR</v>
      </c>
      <c r="C18" s="89">
        <v>281930.30136986304</v>
      </c>
    </row>
    <row r="19" spans="1:3">
      <c r="A19" s="2" t="s">
        <v>41</v>
      </c>
      <c r="B19" s="12" t="str">
        <f>VLOOKUP(A19,'Locations &amp; Types'!$E:$F,2,FALSE)</f>
        <v>DC</v>
      </c>
      <c r="C19" s="89">
        <v>20000000</v>
      </c>
    </row>
    <row r="20" spans="1:3">
      <c r="A20" s="2" t="s">
        <v>42</v>
      </c>
      <c r="B20" s="12" t="str">
        <f>VLOOKUP(A20,'Locations &amp; Types'!$E:$F,2,FALSE)</f>
        <v>INTERCONNECTOR</v>
      </c>
      <c r="C20" s="89">
        <v>174391001.25205481</v>
      </c>
    </row>
    <row r="21" spans="1:3">
      <c r="A21" s="2" t="s">
        <v>43</v>
      </c>
      <c r="B21" s="12" t="str">
        <f>VLOOKUP(A21,'Locations &amp; Types'!$E:$F,2,FALSE)</f>
        <v>GDN (NE)</v>
      </c>
      <c r="C21" s="89">
        <v>1126642</v>
      </c>
    </row>
    <row r="22" spans="1:3">
      <c r="A22" s="2" t="s">
        <v>44</v>
      </c>
      <c r="B22" s="12" t="str">
        <f>VLOOKUP(A22,'Locations &amp; Types'!$E:$F,2,FALSE)</f>
        <v>GDN (SC)</v>
      </c>
      <c r="C22" s="89">
        <v>14957981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1000000</v>
      </c>
    </row>
    <row r="26" spans="1:3">
      <c r="A26" s="2" t="s">
        <v>48</v>
      </c>
      <c r="B26" s="12" t="str">
        <f>VLOOKUP(A26,'Locations &amp; Types'!$E:$F,2,FALSE)</f>
        <v>STORAGE SITE</v>
      </c>
      <c r="C26" s="89">
        <v>0</v>
      </c>
    </row>
    <row r="27" spans="1:3">
      <c r="A27" s="2" t="s">
        <v>49</v>
      </c>
      <c r="B27" s="12" t="str">
        <f>VLOOKUP(A27,'Locations &amp; Types'!$E:$F,2,FALSE)</f>
        <v>STORAGE SITE</v>
      </c>
      <c r="C27" s="89">
        <v>6270352.3013698645</v>
      </c>
    </row>
    <row r="28" spans="1:3">
      <c r="A28" s="2" t="s">
        <v>50</v>
      </c>
      <c r="B28" s="12" t="str">
        <f>VLOOKUP(A28,'Locations &amp; Types'!$E:$F,2,FALSE)</f>
        <v>GDN (SC)</v>
      </c>
      <c r="C28" s="89">
        <v>21081766</v>
      </c>
    </row>
    <row r="29" spans="1:3">
      <c r="A29" s="2" t="s">
        <v>51</v>
      </c>
      <c r="B29" s="12" t="str">
        <f>VLOOKUP(A29,'Locations &amp; Types'!$E:$F,2,FALSE)</f>
        <v>DC</v>
      </c>
      <c r="C29" s="89">
        <v>43231850</v>
      </c>
    </row>
    <row r="30" spans="1:3">
      <c r="A30" s="2" t="s">
        <v>52</v>
      </c>
      <c r="B30" s="12" t="str">
        <f>VLOOKUP(A30,'Locations &amp; Types'!$E:$F,2,FALSE)</f>
        <v>GDN (NO)</v>
      </c>
      <c r="C30" s="89">
        <v>55604210</v>
      </c>
    </row>
    <row r="31" spans="1:3">
      <c r="A31" s="2" t="s">
        <v>53</v>
      </c>
      <c r="B31" s="12" t="str">
        <f>VLOOKUP(A31,'Locations &amp; Types'!$E:$F,2,FALSE)</f>
        <v>DC</v>
      </c>
      <c r="C31" s="89">
        <v>1151040</v>
      </c>
    </row>
    <row r="32" spans="1:3">
      <c r="A32" s="2" t="s">
        <v>54</v>
      </c>
      <c r="B32" s="12" t="str">
        <f>VLOOKUP(A32,'Locations &amp; Types'!$E:$F,2,FALSE)</f>
        <v>GDN (EM)</v>
      </c>
      <c r="C32" s="89">
        <v>9867513</v>
      </c>
    </row>
    <row r="33" spans="1:3">
      <c r="A33" s="2" t="s">
        <v>55</v>
      </c>
      <c r="B33" s="12" t="str">
        <f>VLOOKUP(A33,'Locations &amp; Types'!$E:$F,2,FALSE)</f>
        <v>DC</v>
      </c>
      <c r="C33" s="89">
        <v>27291369.8630137</v>
      </c>
    </row>
    <row r="34" spans="1:3">
      <c r="A34" s="2" t="s">
        <v>56</v>
      </c>
      <c r="B34" s="12" t="str">
        <f>VLOOKUP(A34,'Locations &amp; Types'!$E:$F,2,FALSE)</f>
        <v>GDN (NW)</v>
      </c>
      <c r="C34" s="89">
        <v>123939267</v>
      </c>
    </row>
    <row r="35" spans="1:3">
      <c r="A35" s="2" t="s">
        <v>57</v>
      </c>
      <c r="B35" s="12" t="str">
        <f>VLOOKUP(A35,'Locations &amp; Types'!$E:$F,2,FALSE)</f>
        <v>GDN (EM)</v>
      </c>
      <c r="C35" s="89">
        <v>55825856</v>
      </c>
    </row>
    <row r="36" spans="1:3">
      <c r="A36" s="2" t="s">
        <v>58</v>
      </c>
      <c r="B36" s="12" t="str">
        <f>VLOOKUP(A36,'Locations &amp; Types'!$E:$F,2,FALSE)</f>
        <v>DC</v>
      </c>
      <c r="C36" s="89">
        <v>1605479.4520547944</v>
      </c>
    </row>
    <row r="37" spans="1:3">
      <c r="A37" s="2" t="s">
        <v>59</v>
      </c>
      <c r="B37" s="12" t="str">
        <f>VLOOKUP(A37,'Locations &amp; Types'!$E:$F,2,FALSE)</f>
        <v>DC</v>
      </c>
      <c r="C37" s="89">
        <v>13982362.493150691</v>
      </c>
    </row>
    <row r="38" spans="1:3">
      <c r="A38" s="2" t="s">
        <v>60</v>
      </c>
      <c r="B38" s="12" t="str">
        <f>VLOOKUP(A38,'Locations &amp; Types'!$E:$F,2,FALSE)</f>
        <v>GDN (SO)</v>
      </c>
      <c r="C38" s="89">
        <v>102837744</v>
      </c>
    </row>
    <row r="39" spans="1:3">
      <c r="A39" s="2" t="s">
        <v>61</v>
      </c>
      <c r="B39" s="12" t="str">
        <f>VLOOKUP(A39,'Locations &amp; Types'!$E:$F,2,FALSE)</f>
        <v>GDN (SO)</v>
      </c>
      <c r="C39" s="89">
        <v>58866000</v>
      </c>
    </row>
    <row r="40" spans="1:3">
      <c r="A40" s="2" t="s">
        <v>62</v>
      </c>
      <c r="B40" s="12" t="str">
        <f>VLOOKUP(A40,'Locations &amp; Types'!$E:$F,2,FALSE)</f>
        <v>DC</v>
      </c>
      <c r="C40" s="89">
        <v>105652.43835616432</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20624435</v>
      </c>
    </row>
    <row r="45" spans="1:3">
      <c r="A45" s="2" t="s">
        <v>67</v>
      </c>
      <c r="B45" s="12" t="str">
        <f>VLOOKUP(A45,'Locations &amp; Types'!$E:$F,2,FALSE)</f>
        <v>DC</v>
      </c>
      <c r="C45" s="89">
        <v>13583891.260273984</v>
      </c>
    </row>
    <row r="46" spans="1:3">
      <c r="A46" s="2" t="s">
        <v>68</v>
      </c>
      <c r="B46" s="12" t="str">
        <f>VLOOKUP(A46,'Locations &amp; Types'!$E:$F,2,FALSE)</f>
        <v>GDN (EM)</v>
      </c>
      <c r="C46" s="89">
        <v>8977861</v>
      </c>
    </row>
    <row r="47" spans="1:3">
      <c r="A47" s="2" t="s">
        <v>69</v>
      </c>
      <c r="B47" s="12" t="str">
        <f>VLOOKUP(A47,'Locations &amp; Types'!$E:$F,2,FALSE)</f>
        <v>DC</v>
      </c>
      <c r="C47" s="89">
        <v>343312.71232876705</v>
      </c>
    </row>
    <row r="48" spans="1:3">
      <c r="A48" s="2" t="s">
        <v>70</v>
      </c>
      <c r="B48" s="12" t="str">
        <f>VLOOKUP(A48,'Locations &amp; Types'!$E:$F,2,FALSE)</f>
        <v>GDN (EA)</v>
      </c>
      <c r="C48" s="89">
        <v>0</v>
      </c>
    </row>
    <row r="49" spans="1:3">
      <c r="A49" s="2" t="s">
        <v>71</v>
      </c>
      <c r="B49" s="12" t="str">
        <f>VLOOKUP(A49,'Locations &amp; Types'!$E:$F,2,FALSE)</f>
        <v>GDN (SC)</v>
      </c>
      <c r="C49" s="89">
        <v>3576724</v>
      </c>
    </row>
    <row r="50" spans="1:3">
      <c r="A50" s="2" t="s">
        <v>72</v>
      </c>
      <c r="B50" s="12" t="str">
        <f>VLOOKUP(A50,'Locations &amp; Types'!$E:$F,2,FALSE)</f>
        <v>DC</v>
      </c>
      <c r="C50" s="89">
        <v>22847239.890410975</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7417140</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40002877</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0</v>
      </c>
    </row>
    <row r="63" spans="1:3">
      <c r="A63" s="2" t="s">
        <v>84</v>
      </c>
      <c r="B63" s="12" t="str">
        <f>VLOOKUP(A63,'Locations &amp; Types'!$E:$F,2,FALSE)</f>
        <v>DC</v>
      </c>
      <c r="C63" s="89">
        <v>37798322.958904102</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47516641</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14982377.935890412</v>
      </c>
    </row>
    <row r="71" spans="1:3">
      <c r="A71" s="2" t="s">
        <v>92</v>
      </c>
      <c r="B71" s="12" t="str">
        <f>VLOOKUP(A71,'Locations &amp; Types'!$E:$F,2,FALSE)</f>
        <v>DC</v>
      </c>
      <c r="C71" s="89">
        <v>36060000</v>
      </c>
    </row>
    <row r="72" spans="1:3">
      <c r="A72" s="2" t="s">
        <v>93</v>
      </c>
      <c r="B72" s="12" t="str">
        <f>VLOOKUP(A72,'Locations &amp; Types'!$E:$F,2,FALSE)</f>
        <v>GDN (SW)</v>
      </c>
      <c r="C72" s="89">
        <v>27391725</v>
      </c>
    </row>
    <row r="73" spans="1:3">
      <c r="A73" s="2" t="s">
        <v>94</v>
      </c>
      <c r="B73" s="12" t="str">
        <f>VLOOKUP(A73,'Locations &amp; Types'!$E:$F,2,FALSE)</f>
        <v>GDN (NW)</v>
      </c>
      <c r="C73" s="89">
        <v>16370887</v>
      </c>
    </row>
    <row r="74" spans="1:3">
      <c r="A74" s="2" t="s">
        <v>95</v>
      </c>
      <c r="B74" s="12" t="str">
        <f>VLOOKUP(A74,'Locations &amp; Types'!$E:$F,2,FALSE)</f>
        <v>GDN (NO)</v>
      </c>
      <c r="C74" s="89">
        <v>56000000</v>
      </c>
    </row>
    <row r="75" spans="1:3">
      <c r="A75" s="2" t="s">
        <v>96</v>
      </c>
      <c r="B75" s="12" t="str">
        <f>VLOOKUP(A75,'Locations &amp; Types'!$E:$F,2,FALSE)</f>
        <v>DC</v>
      </c>
      <c r="C75" s="89">
        <v>0</v>
      </c>
    </row>
    <row r="76" spans="1:3">
      <c r="A76" s="2" t="s">
        <v>97</v>
      </c>
      <c r="B76" s="12" t="str">
        <f>VLOOKUP(A76,'Locations &amp; Types'!$E:$F,2,FALSE)</f>
        <v>DC</v>
      </c>
      <c r="C76" s="89">
        <v>12313242.342465753</v>
      </c>
    </row>
    <row r="77" spans="1:3">
      <c r="A77" s="2" t="s">
        <v>98</v>
      </c>
      <c r="B77" s="12" t="str">
        <f>VLOOKUP(A77,'Locations &amp; Types'!$E:$F,2,FALSE)</f>
        <v>GDN (SW)</v>
      </c>
      <c r="C77" s="89">
        <v>6570000</v>
      </c>
    </row>
    <row r="78" spans="1:3">
      <c r="A78" s="2" t="s">
        <v>99</v>
      </c>
      <c r="B78" s="12" t="str">
        <f>VLOOKUP(A78,'Locations &amp; Types'!$E:$F,2,FALSE)</f>
        <v>GDN (SE)</v>
      </c>
      <c r="C78" s="89">
        <v>86623407</v>
      </c>
    </row>
    <row r="79" spans="1:3">
      <c r="A79" s="2" t="s">
        <v>100</v>
      </c>
      <c r="B79" s="12" t="str">
        <f>VLOOKUP(A79,'Locations &amp; Types'!$E:$F,2,FALSE)</f>
        <v>GDN (SE)</v>
      </c>
      <c r="C79" s="89">
        <v>80373971</v>
      </c>
    </row>
    <row r="80" spans="1:3">
      <c r="A80" s="2" t="s">
        <v>101</v>
      </c>
      <c r="B80" s="12" t="str">
        <f>VLOOKUP(A80,'Locations &amp; Types'!$E:$F,2,FALSE)</f>
        <v>DC</v>
      </c>
      <c r="C80" s="89">
        <v>0</v>
      </c>
    </row>
    <row r="81" spans="1:3">
      <c r="A81" s="2" t="s">
        <v>102</v>
      </c>
      <c r="B81" s="12" t="str">
        <f>VLOOKUP(A81,'Locations &amp; Types'!$E:$F,2,FALSE)</f>
        <v>GDN (SW)</v>
      </c>
      <c r="C81" s="89">
        <v>21964044</v>
      </c>
    </row>
    <row r="82" spans="1:3">
      <c r="A82" s="2" t="s">
        <v>103</v>
      </c>
      <c r="B82" s="12" t="str">
        <f>VLOOKUP(A82,'Locations &amp; Types'!$E:$F,2,FALSE)</f>
        <v>GDN (NE)</v>
      </c>
      <c r="C82" s="89">
        <v>16610330</v>
      </c>
    </row>
    <row r="83" spans="1:3">
      <c r="A83" s="2" t="s">
        <v>104</v>
      </c>
      <c r="B83" s="12" t="str">
        <f>VLOOKUP(A83,'Locations &amp; Types'!$E:$F,2,FALSE)</f>
        <v>STORAGE SITE</v>
      </c>
      <c r="C83" s="89">
        <v>326003150.68493152</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1700273.9726027397</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39049407.205479443</v>
      </c>
    </row>
    <row r="91" spans="1:3">
      <c r="A91" s="2" t="s">
        <v>111</v>
      </c>
      <c r="B91" s="12" t="str">
        <f>VLOOKUP(A91,'Locations &amp; Types'!$E:$F,2,FALSE)</f>
        <v>GDN (EA)</v>
      </c>
      <c r="C91" s="89">
        <v>20622606</v>
      </c>
    </row>
    <row r="92" spans="1:3">
      <c r="A92" s="2" t="s">
        <v>112</v>
      </c>
      <c r="B92" s="12" t="str">
        <f>VLOOKUP(A92,'Locations &amp; Types'!$E:$F,2,FALSE)</f>
        <v>GDN (NO)</v>
      </c>
      <c r="C92" s="89">
        <v>1806988</v>
      </c>
    </row>
    <row r="93" spans="1:3">
      <c r="A93" s="2" t="s">
        <v>113</v>
      </c>
      <c r="B93" s="12" t="str">
        <f>VLOOKUP(A93,'Locations &amp; Types'!$E:$F,2,FALSE)</f>
        <v>GDN (SO)</v>
      </c>
      <c r="C93" s="89">
        <v>106654165</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6017436.6849315045</v>
      </c>
    </row>
    <row r="98" spans="1:3">
      <c r="A98" s="2" t="s">
        <v>118</v>
      </c>
      <c r="B98" s="12" t="str">
        <f>VLOOKUP(A98,'Locations &amp; Types'!$E:$F,2,FALSE)</f>
        <v>STORAGE SITE</v>
      </c>
      <c r="C98" s="89">
        <v>584777.4794520546</v>
      </c>
    </row>
    <row r="99" spans="1:3">
      <c r="A99" s="2" t="s">
        <v>119</v>
      </c>
      <c r="B99" s="12" t="str">
        <f>VLOOKUP(A99,'Locations &amp; Types'!$E:$F,2,FALSE)</f>
        <v>STORAGE SITE</v>
      </c>
      <c r="C99" s="89">
        <v>31829848.328767125</v>
      </c>
    </row>
    <row r="100" spans="1:3">
      <c r="A100" s="2" t="s">
        <v>120</v>
      </c>
      <c r="B100" s="12" t="str">
        <f>VLOOKUP(A100,'Locations &amp; Types'!$E:$F,2,FALSE)</f>
        <v>DC</v>
      </c>
      <c r="C100" s="89">
        <v>446590.95890410902</v>
      </c>
    </row>
    <row r="101" spans="1:3">
      <c r="A101" s="2" t="s">
        <v>121</v>
      </c>
      <c r="B101" s="12" t="str">
        <f>VLOOKUP(A101,'Locations &amp; Types'!$E:$F,2,FALSE)</f>
        <v>GDN (NW)</v>
      </c>
      <c r="C101" s="89">
        <v>18387106</v>
      </c>
    </row>
    <row r="102" spans="1:3">
      <c r="A102" s="2" t="s">
        <v>122</v>
      </c>
      <c r="B102" s="12" t="str">
        <f>VLOOKUP(A102,'Locations &amp; Types'!$E:$F,2,FALSE)</f>
        <v>GDN (NT)</v>
      </c>
      <c r="C102" s="89">
        <v>33307669</v>
      </c>
    </row>
    <row r="103" spans="1:3">
      <c r="A103" s="2" t="s">
        <v>123</v>
      </c>
      <c r="B103" s="12" t="str">
        <f>VLOOKUP(A103,'Locations &amp; Types'!$E:$F,2,FALSE)</f>
        <v>STORAGE SITE</v>
      </c>
      <c r="C103" s="89">
        <v>41511502.97260274</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32714223</v>
      </c>
    </row>
    <row r="107" spans="1:3">
      <c r="A107" s="2" t="s">
        <v>127</v>
      </c>
      <c r="B107" s="12" t="str">
        <f>VLOOKUP(A107,'Locations &amp; Types'!$E:$F,2,FALSE)</f>
        <v>GDN (SO)</v>
      </c>
      <c r="C107" s="89">
        <v>8410345</v>
      </c>
    </row>
    <row r="108" spans="1:3">
      <c r="A108" s="2" t="s">
        <v>128</v>
      </c>
      <c r="B108" s="12" t="str">
        <f>VLOOKUP(A108,'Locations &amp; Types'!$E:$F,2,FALSE)</f>
        <v>GDN (SO)</v>
      </c>
      <c r="C108" s="89">
        <v>12083873</v>
      </c>
    </row>
    <row r="109" spans="1:3">
      <c r="A109" s="2" t="s">
        <v>129</v>
      </c>
      <c r="B109" s="12" t="str">
        <f>VLOOKUP(A109,'Locations &amp; Types'!$E:$F,2,FALSE)</f>
        <v>GDN (NO)</v>
      </c>
      <c r="C109" s="89">
        <v>1156178</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31700000</v>
      </c>
    </row>
    <row r="114" spans="1:3">
      <c r="A114" s="2" t="s">
        <v>134</v>
      </c>
      <c r="B114" s="12" t="str">
        <f>VLOOKUP(A114,'Locations &amp; Types'!$E:$F,2,FALSE)</f>
        <v>GDN (SC)</v>
      </c>
      <c r="C114" s="89">
        <v>155319</v>
      </c>
    </row>
    <row r="115" spans="1:3">
      <c r="A115" s="2" t="s">
        <v>135</v>
      </c>
      <c r="B115" s="12" t="str">
        <f>VLOOKUP(A115,'Locations &amp; Types'!$E:$F,2,FALSE)</f>
        <v>GDN (SC)</v>
      </c>
      <c r="C115" s="89">
        <v>0</v>
      </c>
    </row>
    <row r="116" spans="1:3">
      <c r="A116" s="2" t="s">
        <v>136</v>
      </c>
      <c r="B116" s="12" t="str">
        <f>VLOOKUP(A116,'Locations &amp; Types'!$E:$F,2,FALSE)</f>
        <v>GDN (WM)</v>
      </c>
      <c r="C116" s="89">
        <v>2586215</v>
      </c>
    </row>
    <row r="117" spans="1:3">
      <c r="A117" s="2" t="s">
        <v>137</v>
      </c>
      <c r="B117" s="12" t="str">
        <f>VLOOKUP(A117,'Locations &amp; Types'!$E:$F,2,FALSE)</f>
        <v>GDN (NO)</v>
      </c>
      <c r="C117" s="89">
        <v>14089321</v>
      </c>
    </row>
    <row r="118" spans="1:3">
      <c r="A118" s="2" t="s">
        <v>138</v>
      </c>
      <c r="B118" s="12" t="str">
        <f>VLOOKUP(A118,'Locations &amp; Types'!$E:$F,2,FALSE)</f>
        <v>GDN (SW)</v>
      </c>
      <c r="C118" s="89">
        <v>2299463</v>
      </c>
    </row>
    <row r="119" spans="1:3">
      <c r="A119" s="2" t="s">
        <v>139</v>
      </c>
      <c r="B119" s="12" t="str">
        <f>VLOOKUP(A119,'Locations &amp; Types'!$E:$F,2,FALSE)</f>
        <v>GDN (SC)</v>
      </c>
      <c r="C119" s="89">
        <v>6757111</v>
      </c>
    </row>
    <row r="120" spans="1:3">
      <c r="A120" s="2" t="s">
        <v>140</v>
      </c>
      <c r="B120" s="12" t="str">
        <f>VLOOKUP(A120,'Locations &amp; Types'!$E:$F,2,FALSE)</f>
        <v>GDN (WM)</v>
      </c>
      <c r="C120" s="89">
        <v>26684207</v>
      </c>
    </row>
    <row r="121" spans="1:3">
      <c r="A121" s="2" t="s">
        <v>141</v>
      </c>
      <c r="B121" s="12" t="str">
        <f>VLOOKUP(A121,'Locations &amp; Types'!$E:$F,2,FALSE)</f>
        <v>GDN (NW)</v>
      </c>
      <c r="C121" s="89">
        <v>15464650</v>
      </c>
    </row>
    <row r="122" spans="1:3">
      <c r="A122" s="2" t="s">
        <v>142</v>
      </c>
      <c r="B122" s="12" t="str">
        <f>VLOOKUP(A122,'Locations &amp; Types'!$E:$F,2,FALSE)</f>
        <v>GDN (NT)</v>
      </c>
      <c r="C122" s="89">
        <v>76147689</v>
      </c>
    </row>
    <row r="123" spans="1:3">
      <c r="A123" s="2" t="s">
        <v>143</v>
      </c>
      <c r="B123" s="12" t="str">
        <f>VLOOKUP(A123,'Locations &amp; Types'!$E:$F,2,FALSE)</f>
        <v>GDN (SW)</v>
      </c>
      <c r="C123" s="89">
        <v>46264107</v>
      </c>
    </row>
    <row r="124" spans="1:3">
      <c r="A124" s="2" t="s">
        <v>144</v>
      </c>
      <c r="B124" s="12" t="str">
        <f>VLOOKUP(A124,'Locations &amp; Types'!$E:$F,2,FALSE)</f>
        <v>GDN (WN)</v>
      </c>
      <c r="C124" s="89">
        <v>49258990</v>
      </c>
    </row>
    <row r="125" spans="1:3">
      <c r="A125" s="2" t="s">
        <v>145</v>
      </c>
      <c r="B125" s="12" t="str">
        <f>VLOOKUP(A125,'Locations &amp; Types'!$E:$F,2,FALSE)</f>
        <v>GDN (NW)</v>
      </c>
      <c r="C125" s="89">
        <v>685222</v>
      </c>
    </row>
    <row r="126" spans="1:3">
      <c r="A126" s="2" t="s">
        <v>146</v>
      </c>
      <c r="B126" s="12" t="str">
        <f>VLOOKUP(A126,'Locations &amp; Types'!$E:$F,2,FALSE)</f>
        <v>GDN (SO)</v>
      </c>
      <c r="C126" s="89">
        <v>38538881</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949364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243649428.46575344</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39994219</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2805479.4520547944</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25189843</v>
      </c>
    </row>
    <row r="151" spans="1:3">
      <c r="A151" s="2" t="s">
        <v>170</v>
      </c>
      <c r="B151" s="12" t="str">
        <f>VLOOKUP(A151,'Locations &amp; Types'!$E:$F,2,FALSE)</f>
        <v>GDN (NE)</v>
      </c>
      <c r="C151" s="89">
        <v>5080452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16281005</v>
      </c>
    </row>
    <row r="158" spans="1:3">
      <c r="A158" s="2" t="s">
        <v>177</v>
      </c>
      <c r="B158" s="12" t="str">
        <f>VLOOKUP(A158,'Locations &amp; Types'!$E:$F,2,FALSE)</f>
        <v>GDN (EA)</v>
      </c>
      <c r="C158" s="89">
        <v>2367780</v>
      </c>
    </row>
    <row r="159" spans="1:3">
      <c r="A159" s="2" t="s">
        <v>178</v>
      </c>
      <c r="B159" s="12" t="str">
        <f>VLOOKUP(A159,'Locations &amp; Types'!$E:$F,2,FALSE)</f>
        <v>GDN (WM)</v>
      </c>
      <c r="C159" s="89">
        <v>59670957</v>
      </c>
    </row>
    <row r="160" spans="1:3">
      <c r="A160" s="2" t="s">
        <v>179</v>
      </c>
      <c r="B160" s="12" t="str">
        <f>VLOOKUP(A160,'Locations &amp; Types'!$E:$F,2,FALSE)</f>
        <v>DC</v>
      </c>
      <c r="C160" s="89">
        <v>38660000</v>
      </c>
    </row>
    <row r="161" spans="1:3">
      <c r="A161" s="2" t="s">
        <v>180</v>
      </c>
      <c r="B161" s="12" t="str">
        <f>VLOOKUP(A161,'Locations &amp; Types'!$E:$F,2,FALSE)</f>
        <v>DC</v>
      </c>
      <c r="C161" s="89">
        <v>17980000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39506950</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53671473</v>
      </c>
    </row>
    <row r="169" spans="1:3">
      <c r="A169" s="2" t="s">
        <v>188</v>
      </c>
      <c r="B169" s="12" t="str">
        <f>VLOOKUP(A169,'Locations &amp; Types'!$E:$F,2,FALSE)</f>
        <v>DC</v>
      </c>
      <c r="C169" s="89">
        <v>18316938</v>
      </c>
    </row>
    <row r="170" spans="1:3">
      <c r="A170" s="2" t="s">
        <v>241</v>
      </c>
      <c r="B170" s="12" t="str">
        <f>VLOOKUP(A170,'Locations &amp; Types'!$E:$F,2,FALSE)</f>
        <v>DC</v>
      </c>
      <c r="C170" s="89">
        <v>49315.068493150684</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19826107</v>
      </c>
    </row>
    <row r="174" spans="1:3">
      <c r="A174" s="2" t="s">
        <v>192</v>
      </c>
      <c r="B174" s="12" t="str">
        <f>VLOOKUP(A174,'Locations &amp; Types'!$E:$F,2,FALSE)</f>
        <v>DC</v>
      </c>
      <c r="C174" s="89">
        <v>247671.23287671234</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178806.35616438361</v>
      </c>
    </row>
    <row r="179" spans="1:3">
      <c r="A179" s="2" t="s">
        <v>21</v>
      </c>
      <c r="B179" s="12" t="str">
        <f>VLOOKUP(A179,'Locations &amp; Types'!$E:$F,2,FALSE)</f>
        <v>GDN (SC)</v>
      </c>
      <c r="C179" s="89">
        <v>1055917</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17811878.082191776</v>
      </c>
    </row>
    <row r="183" spans="1:3">
      <c r="A183" s="2" t="s">
        <v>200</v>
      </c>
      <c r="B183" s="12" t="str">
        <f>VLOOKUP(A183,'Locations &amp; Types'!$E:$F,2,FALSE)</f>
        <v>DC</v>
      </c>
      <c r="C183" s="89">
        <v>52700000</v>
      </c>
    </row>
    <row r="184" spans="1:3">
      <c r="A184" s="2" t="s">
        <v>201</v>
      </c>
      <c r="B184" s="12" t="str">
        <f>VLOOKUP(A184,'Locations &amp; Types'!$E:$F,2,FALSE)</f>
        <v>DC</v>
      </c>
      <c r="C184" s="89">
        <v>11676634.109589024</v>
      </c>
    </row>
    <row r="185" spans="1:3">
      <c r="A185" s="2" t="s">
        <v>202</v>
      </c>
      <c r="B185" s="12" t="str">
        <f>VLOOKUP(A185,'Locations &amp; Types'!$E:$F,2,FALSE)</f>
        <v>DC</v>
      </c>
      <c r="C185" s="89">
        <v>82000000</v>
      </c>
    </row>
    <row r="186" spans="1:3">
      <c r="A186" s="2" t="s">
        <v>203</v>
      </c>
      <c r="B186" s="12" t="str">
        <f>VLOOKUP(A186,'Locations &amp; Types'!$E:$F,2,FALSE)</f>
        <v>GDN (SC)</v>
      </c>
      <c r="C186" s="89">
        <v>742435</v>
      </c>
    </row>
    <row r="187" spans="1:3">
      <c r="A187" s="2" t="s">
        <v>204</v>
      </c>
      <c r="B187" s="12" t="str">
        <f>VLOOKUP(A187,'Locations &amp; Types'!$E:$F,2,FALSE)</f>
        <v>GDN (WM)</v>
      </c>
      <c r="C187" s="89">
        <v>3735040</v>
      </c>
    </row>
    <row r="188" spans="1:3">
      <c r="A188" s="2" t="s">
        <v>205</v>
      </c>
      <c r="B188" s="12" t="str">
        <f>VLOOKUP(A188,'Locations &amp; Types'!$E:$F,2,FALSE)</f>
        <v>STORAGE SITE</v>
      </c>
      <c r="C188" s="89">
        <v>29584634.410958912</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192774633</v>
      </c>
    </row>
    <row r="192" spans="1:3">
      <c r="A192" s="2" t="s">
        <v>209</v>
      </c>
      <c r="B192" s="12" t="str">
        <f>VLOOKUP(A192,'Locations &amp; Types'!$E:$F,2,FALSE)</f>
        <v>DC</v>
      </c>
      <c r="C192" s="89">
        <v>8369000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40032876.712328769</v>
      </c>
    </row>
    <row r="198" spans="1:3">
      <c r="A198" s="2" t="s">
        <v>215</v>
      </c>
      <c r="B198" s="12" t="str">
        <f>VLOOKUP(A198,'Locations &amp; Types'!$E:$F,2,FALSE)</f>
        <v>GDN (NO)</v>
      </c>
      <c r="C198" s="89">
        <v>4490616</v>
      </c>
    </row>
    <row r="199" spans="1:3">
      <c r="A199" s="2" t="s">
        <v>216</v>
      </c>
      <c r="B199" s="12" t="str">
        <f>VLOOKUP(A199,'Locations &amp; Types'!$E:$F,2,FALSE)</f>
        <v>DC</v>
      </c>
      <c r="C199" s="89">
        <v>0</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0</v>
      </c>
    </row>
    <row r="204" spans="1:3">
      <c r="A204" s="2" t="s">
        <v>220</v>
      </c>
      <c r="B204" s="12" t="str">
        <f>VLOOKUP(A204,'Locations &amp; Types'!$E:$F,2,FALSE)</f>
        <v>GDN (EM)</v>
      </c>
      <c r="C204" s="89">
        <v>56364567</v>
      </c>
    </row>
    <row r="205" spans="1:3">
      <c r="A205" s="2" t="s">
        <v>221</v>
      </c>
      <c r="B205" s="12" t="str">
        <f>VLOOKUP(A205,'Locations &amp; Types'!$E:$F,2,FALSE)</f>
        <v>DC</v>
      </c>
      <c r="C205" s="89">
        <v>8300000</v>
      </c>
    </row>
    <row r="206" spans="1:3">
      <c r="A206" s="2" t="s">
        <v>222</v>
      </c>
      <c r="B206" s="12" t="str">
        <f>VLOOKUP(A206,'Locations &amp; Types'!$E:$F,2,FALSE)</f>
        <v>GDN (EM)</v>
      </c>
      <c r="C206" s="89">
        <v>529635</v>
      </c>
    </row>
    <row r="207" spans="1:3">
      <c r="A207" s="2" t="s">
        <v>223</v>
      </c>
      <c r="B207" s="12" t="str">
        <f>VLOOKUP(A207,'Locations &amp; Types'!$E:$F,2,FALSE)</f>
        <v>GDN (NW)</v>
      </c>
      <c r="C207" s="89">
        <v>92041489</v>
      </c>
    </row>
    <row r="208" spans="1:3">
      <c r="A208" s="2" t="s">
        <v>224</v>
      </c>
      <c r="B208" s="12" t="str">
        <f>VLOOKUP(A208,'Locations &amp; Types'!$E:$F,2,FALSE)</f>
        <v>DC</v>
      </c>
      <c r="C208" s="89">
        <v>37530627.863013692</v>
      </c>
    </row>
    <row r="209" spans="1:3">
      <c r="A209" s="2" t="s">
        <v>225</v>
      </c>
      <c r="B209" s="12" t="str">
        <f>VLOOKUP(A209,'Locations &amp; Types'!$E:$F,2,FALSE)</f>
        <v>GDN (EA)</v>
      </c>
      <c r="C209" s="89">
        <v>10086940</v>
      </c>
    </row>
    <row r="210" spans="1:3">
      <c r="A210" s="2" t="s">
        <v>226</v>
      </c>
      <c r="B210" s="12" t="str">
        <f>VLOOKUP(A210,'Locations &amp; Types'!$E:$F,2,FALSE)</f>
        <v>GDN (NW)</v>
      </c>
      <c r="C210" s="89">
        <v>4076123</v>
      </c>
    </row>
    <row r="211" spans="1:3">
      <c r="A211" s="2" t="s">
        <v>227</v>
      </c>
      <c r="B211" s="12" t="str">
        <f>VLOOKUP(A211,'Locations &amp; Types'!$E:$F,2,FALSE)</f>
        <v>DC</v>
      </c>
      <c r="C211" s="89">
        <v>474011.8458630137</v>
      </c>
    </row>
    <row r="212" spans="1:3">
      <c r="A212" s="2" t="s">
        <v>228</v>
      </c>
      <c r="B212" s="12" t="str">
        <f>VLOOKUP(A212,'Locations &amp; Types'!$E:$F,2,FALSE)</f>
        <v>DC</v>
      </c>
      <c r="C212" s="89">
        <v>20599801.260273974</v>
      </c>
    </row>
    <row r="213" spans="1:3">
      <c r="A213" s="2" t="s">
        <v>229</v>
      </c>
      <c r="B213" s="12" t="str">
        <f>VLOOKUP(A213,'Locations &amp; Types'!$E:$F,2,FALSE)</f>
        <v>GDN (NO)</v>
      </c>
      <c r="C213" s="89">
        <v>21081755</v>
      </c>
    </row>
    <row r="214" spans="1:3">
      <c r="A214" s="2" t="s">
        <v>230</v>
      </c>
      <c r="B214" s="12" t="str">
        <f>VLOOKUP(A214,'Locations &amp; Types'!$E:$F,2,FALSE)</f>
        <v>GDN (EA)</v>
      </c>
      <c r="C214" s="89">
        <v>104462230</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106260000</v>
      </c>
    </row>
    <row r="218" spans="1:3">
      <c r="A218" s="2" t="s">
        <v>234</v>
      </c>
      <c r="B218" s="12" t="str">
        <f>VLOOKUP(A218,'Locations &amp; Types'!$E:$F,2,FALSE)</f>
        <v>GDN (SO)</v>
      </c>
      <c r="C218" s="89">
        <v>36499431</v>
      </c>
    </row>
    <row r="219" spans="1:3">
      <c r="A219" s="2" t="s">
        <v>235</v>
      </c>
      <c r="B219" s="12" t="str">
        <f>VLOOKUP(A219,'Locations &amp; Types'!$E:$F,2,FALSE)</f>
        <v>DC</v>
      </c>
      <c r="C219" s="89">
        <v>19188380.10958904</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279489.88671232876</v>
      </c>
    </row>
    <row r="223" spans="1:3">
      <c r="A223" s="2" t="s">
        <v>534</v>
      </c>
      <c r="B223" s="12" t="str">
        <f>VLOOKUP(A223,'Locations &amp; Types'!$E:$F,2,FALSE)</f>
        <v>DC</v>
      </c>
      <c r="C223" s="89">
        <v>0</v>
      </c>
    </row>
    <row r="224" spans="1:3">
      <c r="A224" s="2" t="s">
        <v>535</v>
      </c>
      <c r="B224" s="12" t="str">
        <f>VLOOKUP(A224,'Locations &amp; Types'!$E:$F,2,FALSE)</f>
        <v>DC</v>
      </c>
      <c r="C224" s="89">
        <v>1173840</v>
      </c>
    </row>
    <row r="225" spans="1:3">
      <c r="A225" s="2" t="s">
        <v>536</v>
      </c>
      <c r="B225" s="12" t="str">
        <f>VLOOKUP(A225,'Locations &amp; Types'!$E:$F,2,FALSE)</f>
        <v>DC</v>
      </c>
      <c r="C225" s="89">
        <v>4200000</v>
      </c>
    </row>
    <row r="226" spans="1:3">
      <c r="A226" s="2" t="s">
        <v>537</v>
      </c>
      <c r="B226" s="12" t="str">
        <f>VLOOKUP(A226,'Locations &amp; Types'!$E:$F,2,FALSE)</f>
        <v>DC</v>
      </c>
      <c r="C226" s="89">
        <v>3779832.6575342491</v>
      </c>
    </row>
    <row r="227" spans="1:3">
      <c r="A227" s="2" t="s">
        <v>538</v>
      </c>
      <c r="B227" s="12" t="str">
        <f>VLOOKUP(A227,'Locations &amp; Types'!$E:$F,2,FALSE)</f>
        <v>DC</v>
      </c>
      <c r="C227" s="89">
        <v>0</v>
      </c>
    </row>
    <row r="228" spans="1:3">
      <c r="A228" s="2" t="s">
        <v>545</v>
      </c>
      <c r="B228" s="12" t="str">
        <f>VLOOKUP(A228,'Locations &amp; Types'!$E:$F,2,FALSE)</f>
        <v>DC</v>
      </c>
      <c r="C228" s="89">
        <v>7310160</v>
      </c>
    </row>
    <row r="229" spans="1:3">
      <c r="A229" s="2" t="s">
        <v>539</v>
      </c>
      <c r="B229" s="12" t="str">
        <f>VLOOKUP(A229,'Locations &amp; Types'!$E:$F,2,FALSE)</f>
        <v>DC</v>
      </c>
      <c r="C229" s="89">
        <v>0</v>
      </c>
    </row>
    <row r="230" spans="1:3">
      <c r="A230" s="2" t="s">
        <v>540</v>
      </c>
      <c r="B230" s="12" t="str">
        <f>VLOOKUP(A230,'Locations &amp; Types'!$E:$F,2,FALSE)</f>
        <v>DC</v>
      </c>
      <c r="C230" s="89">
        <v>39776149</v>
      </c>
    </row>
    <row r="231" spans="1:3">
      <c r="A231" s="2" t="s">
        <v>176</v>
      </c>
      <c r="B231" s="12" t="str">
        <f>VLOOKUP(A231,'Locations &amp; Types'!$E:$F,2,FALSE)</f>
        <v>STORAGE SITE</v>
      </c>
      <c r="C231" s="89">
        <v>6538325.5616438352</v>
      </c>
    </row>
    <row r="234" spans="1:3">
      <c r="C234" s="164"/>
    </row>
    <row r="237" spans="1:3">
      <c r="C237" t="s">
        <v>549</v>
      </c>
    </row>
  </sheetData>
  <mergeCells count="2">
    <mergeCell ref="A1:A2"/>
    <mergeCell ref="B1:B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5" tint="0.39997558519241921"/>
  </sheetPr>
  <dimension ref="A1:C239"/>
  <sheetViews>
    <sheetView workbookViewId="0">
      <selection activeCell="C233" sqref="C233"/>
    </sheetView>
  </sheetViews>
  <sheetFormatPr defaultColWidth="9.140625" defaultRowHeight="15"/>
  <cols>
    <col min="1" max="1" width="57" customWidth="1"/>
    <col min="2" max="2" width="23.140625" customWidth="1"/>
    <col min="3" max="3" width="41.140625" customWidth="1"/>
  </cols>
  <sheetData>
    <row r="1" spans="1:3">
      <c r="A1" s="457" t="s">
        <v>242</v>
      </c>
      <c r="B1" s="457" t="s">
        <v>329</v>
      </c>
      <c r="C1" s="37" t="s">
        <v>516</v>
      </c>
    </row>
    <row r="2" spans="1:3" ht="15.75" thickBot="1">
      <c r="A2" s="458"/>
      <c r="B2" s="458"/>
      <c r="C2" s="38" t="s">
        <v>338</v>
      </c>
    </row>
    <row r="3" spans="1:3">
      <c r="A3" s="2" t="s">
        <v>26</v>
      </c>
      <c r="B3" s="12" t="str">
        <f>VLOOKUP(A3,'Locations &amp; Types'!$E:$F,2,FALSE)</f>
        <v>GDN (SC)</v>
      </c>
      <c r="C3" s="89">
        <v>21639348</v>
      </c>
    </row>
    <row r="4" spans="1:3">
      <c r="A4" s="2" t="s">
        <v>27</v>
      </c>
      <c r="B4" s="12" t="str">
        <f>VLOOKUP(A4,'Locations &amp; Types'!$E:$F,2,FALSE)</f>
        <v>DC</v>
      </c>
      <c r="C4" s="89">
        <v>27992295.175342467</v>
      </c>
    </row>
    <row r="5" spans="1:3">
      <c r="A5" s="2" t="s">
        <v>28</v>
      </c>
      <c r="B5" s="12" t="str">
        <f>VLOOKUP(A5,'Locations &amp; Types'!$E:$F,2,FALSE)</f>
        <v>GDN (EM)</v>
      </c>
      <c r="C5" s="89">
        <v>59229584</v>
      </c>
    </row>
    <row r="6" spans="1:3">
      <c r="A6" s="2" t="s">
        <v>29</v>
      </c>
      <c r="B6" s="12" t="str">
        <f>VLOOKUP(A6,'Locations &amp; Types'!$E:$F,2,FALSE)</f>
        <v>GDN (WM)</v>
      </c>
      <c r="C6" s="89">
        <v>72462290</v>
      </c>
    </row>
    <row r="7" spans="1:3">
      <c r="A7" s="2" t="s">
        <v>240</v>
      </c>
      <c r="B7" s="12" t="str">
        <f>VLOOKUP(A7,'Locations &amp; Types'!$E:$F,2,FALSE)</f>
        <v>DC</v>
      </c>
      <c r="C7" s="89"/>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0</v>
      </c>
    </row>
    <row r="15" spans="1:3">
      <c r="A15" s="2" t="s">
        <v>37</v>
      </c>
      <c r="B15" s="12" t="str">
        <f>VLOOKUP(A15,'Locations &amp; Types'!$E:$F,2,FALSE)</f>
        <v>GDN (SW)</v>
      </c>
      <c r="C15" s="89">
        <v>19557396</v>
      </c>
    </row>
    <row r="16" spans="1:3">
      <c r="A16" s="2" t="s">
        <v>38</v>
      </c>
      <c r="B16" s="12" t="str">
        <f>VLOOKUP(A16,'Locations &amp; Types'!$E:$F,2,FALSE)</f>
        <v>GDN (EA)</v>
      </c>
      <c r="C16" s="89">
        <v>2472724</v>
      </c>
    </row>
    <row r="17" spans="1:3">
      <c r="A17" s="2" t="s">
        <v>39</v>
      </c>
      <c r="B17" s="12" t="str">
        <f>VLOOKUP(A17,'Locations &amp; Types'!$E:$F,2,FALSE)</f>
        <v>STORAGE SITE</v>
      </c>
      <c r="C17" s="89">
        <v>0</v>
      </c>
    </row>
    <row r="18" spans="1:3">
      <c r="A18" s="2" t="s">
        <v>40</v>
      </c>
      <c r="B18" s="12" t="str">
        <f>VLOOKUP(A18,'Locations &amp; Types'!$E:$F,2,FALSE)</f>
        <v>INTERCONNECTOR</v>
      </c>
      <c r="C18" s="89">
        <v>281930.30136986304</v>
      </c>
    </row>
    <row r="19" spans="1:3">
      <c r="A19" s="2" t="s">
        <v>41</v>
      </c>
      <c r="B19" s="12" t="str">
        <f>VLOOKUP(A19,'Locations &amp; Types'!$E:$F,2,FALSE)</f>
        <v>DC</v>
      </c>
      <c r="C19" s="89">
        <v>20000000</v>
      </c>
    </row>
    <row r="20" spans="1:3">
      <c r="A20" s="2" t="s">
        <v>42</v>
      </c>
      <c r="B20" s="12" t="str">
        <f>VLOOKUP(A20,'Locations &amp; Types'!$E:$F,2,FALSE)</f>
        <v>INTERCONNECTOR</v>
      </c>
      <c r="C20" s="89">
        <v>174391001.25205481</v>
      </c>
    </row>
    <row r="21" spans="1:3">
      <c r="A21" s="2" t="s">
        <v>43</v>
      </c>
      <c r="B21" s="12" t="str">
        <f>VLOOKUP(A21,'Locations &amp; Types'!$E:$F,2,FALSE)</f>
        <v>GDN (NE)</v>
      </c>
      <c r="C21" s="89">
        <v>1126642</v>
      </c>
    </row>
    <row r="22" spans="1:3">
      <c r="A22" s="2" t="s">
        <v>44</v>
      </c>
      <c r="B22" s="12" t="str">
        <f>VLOOKUP(A22,'Locations &amp; Types'!$E:$F,2,FALSE)</f>
        <v>GDN (SC)</v>
      </c>
      <c r="C22" s="89">
        <v>14957981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1000000</v>
      </c>
    </row>
    <row r="26" spans="1:3">
      <c r="A26" s="2" t="s">
        <v>48</v>
      </c>
      <c r="B26" s="12" t="str">
        <f>VLOOKUP(A26,'Locations &amp; Types'!$E:$F,2,FALSE)</f>
        <v>STORAGE SITE</v>
      </c>
      <c r="C26" s="89">
        <v>0</v>
      </c>
    </row>
    <row r="27" spans="1:3">
      <c r="A27" s="2" t="s">
        <v>49</v>
      </c>
      <c r="B27" s="12" t="str">
        <f>VLOOKUP(A27,'Locations &amp; Types'!$E:$F,2,FALSE)</f>
        <v>STORAGE SITE</v>
      </c>
      <c r="C27" s="89">
        <v>6270352.3013698645</v>
      </c>
    </row>
    <row r="28" spans="1:3">
      <c r="A28" s="2" t="s">
        <v>50</v>
      </c>
      <c r="B28" s="12" t="str">
        <f>VLOOKUP(A28,'Locations &amp; Types'!$E:$F,2,FALSE)</f>
        <v>GDN (SC)</v>
      </c>
      <c r="C28" s="89">
        <v>21081766</v>
      </c>
    </row>
    <row r="29" spans="1:3">
      <c r="A29" s="2" t="s">
        <v>51</v>
      </c>
      <c r="B29" s="12" t="str">
        <f>VLOOKUP(A29,'Locations &amp; Types'!$E:$F,2,FALSE)</f>
        <v>DC</v>
      </c>
      <c r="C29" s="89">
        <v>33644543</v>
      </c>
    </row>
    <row r="30" spans="1:3">
      <c r="A30" s="2" t="s">
        <v>52</v>
      </c>
      <c r="B30" s="12" t="str">
        <f>VLOOKUP(A30,'Locations &amp; Types'!$E:$F,2,FALSE)</f>
        <v>GDN (NO)</v>
      </c>
      <c r="C30" s="89">
        <v>55604210</v>
      </c>
    </row>
    <row r="31" spans="1:3">
      <c r="A31" s="2" t="s">
        <v>53</v>
      </c>
      <c r="B31" s="12" t="str">
        <f>VLOOKUP(A31,'Locations &amp; Types'!$E:$F,2,FALSE)</f>
        <v>DC</v>
      </c>
      <c r="C31" s="89">
        <v>1151040</v>
      </c>
    </row>
    <row r="32" spans="1:3">
      <c r="A32" s="2" t="s">
        <v>54</v>
      </c>
      <c r="B32" s="12" t="str">
        <f>VLOOKUP(A32,'Locations &amp; Types'!$E:$F,2,FALSE)</f>
        <v>GDN (EM)</v>
      </c>
      <c r="C32" s="89">
        <v>9867513</v>
      </c>
    </row>
    <row r="33" spans="1:3">
      <c r="A33" s="2" t="s">
        <v>55</v>
      </c>
      <c r="B33" s="12" t="str">
        <f>VLOOKUP(A33,'Locations &amp; Types'!$E:$F,2,FALSE)</f>
        <v>DC</v>
      </c>
      <c r="C33" s="89">
        <v>27291369.8630137</v>
      </c>
    </row>
    <row r="34" spans="1:3">
      <c r="A34" s="2" t="s">
        <v>56</v>
      </c>
      <c r="B34" s="12" t="str">
        <f>VLOOKUP(A34,'Locations &amp; Types'!$E:$F,2,FALSE)</f>
        <v>GDN (NW)</v>
      </c>
      <c r="C34" s="89">
        <v>123939267</v>
      </c>
    </row>
    <row r="35" spans="1:3">
      <c r="A35" s="2" t="s">
        <v>57</v>
      </c>
      <c r="B35" s="12" t="str">
        <f>VLOOKUP(A35,'Locations &amp; Types'!$E:$F,2,FALSE)</f>
        <v>GDN (EM)</v>
      </c>
      <c r="C35" s="89">
        <v>55825856</v>
      </c>
    </row>
    <row r="36" spans="1:3">
      <c r="A36" s="2" t="s">
        <v>58</v>
      </c>
      <c r="B36" s="12" t="str">
        <f>VLOOKUP(A36,'Locations &amp; Types'!$E:$F,2,FALSE)</f>
        <v>DC</v>
      </c>
      <c r="C36" s="89">
        <v>1605479.4520547944</v>
      </c>
    </row>
    <row r="37" spans="1:3">
      <c r="A37" s="2" t="s">
        <v>59</v>
      </c>
      <c r="B37" s="12" t="str">
        <f>VLOOKUP(A37,'Locations &amp; Types'!$E:$F,2,FALSE)</f>
        <v>DC</v>
      </c>
      <c r="C37" s="89">
        <v>13982362.493150691</v>
      </c>
    </row>
    <row r="38" spans="1:3">
      <c r="A38" s="2" t="s">
        <v>60</v>
      </c>
      <c r="B38" s="12" t="str">
        <f>VLOOKUP(A38,'Locations &amp; Types'!$E:$F,2,FALSE)</f>
        <v>GDN (SO)</v>
      </c>
      <c r="C38" s="89">
        <v>102837744</v>
      </c>
    </row>
    <row r="39" spans="1:3">
      <c r="A39" s="2" t="s">
        <v>61</v>
      </c>
      <c r="B39" s="12" t="str">
        <f>VLOOKUP(A39,'Locations &amp; Types'!$E:$F,2,FALSE)</f>
        <v>GDN (SO)</v>
      </c>
      <c r="C39" s="89">
        <v>58866000</v>
      </c>
    </row>
    <row r="40" spans="1:3">
      <c r="A40" s="2" t="s">
        <v>62</v>
      </c>
      <c r="B40" s="12" t="str">
        <f>VLOOKUP(A40,'Locations &amp; Types'!$E:$F,2,FALSE)</f>
        <v>DC</v>
      </c>
      <c r="C40" s="89">
        <v>105652.43835616432</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20624435</v>
      </c>
    </row>
    <row r="45" spans="1:3">
      <c r="A45" s="2" t="s">
        <v>67</v>
      </c>
      <c r="B45" s="12" t="str">
        <f>VLOOKUP(A45,'Locations &amp; Types'!$E:$F,2,FALSE)</f>
        <v>DC</v>
      </c>
      <c r="C45" s="89">
        <v>13583891.260273984</v>
      </c>
    </row>
    <row r="46" spans="1:3">
      <c r="A46" s="2" t="s">
        <v>68</v>
      </c>
      <c r="B46" s="12" t="str">
        <f>VLOOKUP(A46,'Locations &amp; Types'!$E:$F,2,FALSE)</f>
        <v>GDN (EM)</v>
      </c>
      <c r="C46" s="89">
        <v>8977861</v>
      </c>
    </row>
    <row r="47" spans="1:3">
      <c r="A47" s="2" t="s">
        <v>69</v>
      </c>
      <c r="B47" s="12" t="str">
        <f>VLOOKUP(A47,'Locations &amp; Types'!$E:$F,2,FALSE)</f>
        <v>DC</v>
      </c>
      <c r="C47" s="89">
        <v>343312.71232876705</v>
      </c>
    </row>
    <row r="48" spans="1:3">
      <c r="A48" s="2" t="s">
        <v>70</v>
      </c>
      <c r="B48" s="12" t="str">
        <f>VLOOKUP(A48,'Locations &amp; Types'!$E:$F,2,FALSE)</f>
        <v>GDN (EA)</v>
      </c>
      <c r="C48" s="89">
        <v>0</v>
      </c>
    </row>
    <row r="49" spans="1:3">
      <c r="A49" s="2" t="s">
        <v>71</v>
      </c>
      <c r="B49" s="12" t="str">
        <f>VLOOKUP(A49,'Locations &amp; Types'!$E:$F,2,FALSE)</f>
        <v>GDN (SC)</v>
      </c>
      <c r="C49" s="89">
        <v>3576724</v>
      </c>
    </row>
    <row r="50" spans="1:3">
      <c r="A50" s="2" t="s">
        <v>72</v>
      </c>
      <c r="B50" s="12" t="str">
        <f>VLOOKUP(A50,'Locations &amp; Types'!$E:$F,2,FALSE)</f>
        <v>DC</v>
      </c>
      <c r="C50" s="89">
        <v>22847239.890410975</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7417140</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40002877</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0</v>
      </c>
    </row>
    <row r="63" spans="1:3">
      <c r="A63" s="2" t="s">
        <v>84</v>
      </c>
      <c r="B63" s="12" t="str">
        <f>VLOOKUP(A63,'Locations &amp; Types'!$E:$F,2,FALSE)</f>
        <v>DC</v>
      </c>
      <c r="C63" s="89">
        <v>37798322.958904102</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47516641</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19845022.523835618</v>
      </c>
    </row>
    <row r="71" spans="1:3">
      <c r="A71" s="2" t="s">
        <v>92</v>
      </c>
      <c r="B71" s="12" t="str">
        <f>VLOOKUP(A71,'Locations &amp; Types'!$E:$F,2,FALSE)</f>
        <v>DC</v>
      </c>
      <c r="C71" s="89">
        <v>36060000</v>
      </c>
    </row>
    <row r="72" spans="1:3">
      <c r="A72" s="2" t="s">
        <v>93</v>
      </c>
      <c r="B72" s="12" t="str">
        <f>VLOOKUP(A72,'Locations &amp; Types'!$E:$F,2,FALSE)</f>
        <v>GDN (SW)</v>
      </c>
      <c r="C72" s="89">
        <v>27391725</v>
      </c>
    </row>
    <row r="73" spans="1:3">
      <c r="A73" s="2" t="s">
        <v>94</v>
      </c>
      <c r="B73" s="12" t="str">
        <f>VLOOKUP(A73,'Locations &amp; Types'!$E:$F,2,FALSE)</f>
        <v>GDN (NW)</v>
      </c>
      <c r="C73" s="89">
        <v>16370887</v>
      </c>
    </row>
    <row r="74" spans="1:3">
      <c r="A74" s="2" t="s">
        <v>95</v>
      </c>
      <c r="B74" s="12" t="str">
        <f>VLOOKUP(A74,'Locations &amp; Types'!$E:$F,2,FALSE)</f>
        <v>GDN (NO)</v>
      </c>
      <c r="C74" s="89">
        <v>56000000</v>
      </c>
    </row>
    <row r="75" spans="1:3">
      <c r="A75" s="2" t="s">
        <v>96</v>
      </c>
      <c r="B75" s="12" t="str">
        <f>VLOOKUP(A75,'Locations &amp; Types'!$E:$F,2,FALSE)</f>
        <v>DC</v>
      </c>
      <c r="C75" s="89">
        <v>0</v>
      </c>
    </row>
    <row r="76" spans="1:3">
      <c r="A76" s="2" t="s">
        <v>97</v>
      </c>
      <c r="B76" s="12" t="str">
        <f>VLOOKUP(A76,'Locations &amp; Types'!$E:$F,2,FALSE)</f>
        <v>DC</v>
      </c>
      <c r="C76" s="89">
        <v>12313242.342465753</v>
      </c>
    </row>
    <row r="77" spans="1:3">
      <c r="A77" s="2" t="s">
        <v>98</v>
      </c>
      <c r="B77" s="12" t="str">
        <f>VLOOKUP(A77,'Locations &amp; Types'!$E:$F,2,FALSE)</f>
        <v>GDN (SW)</v>
      </c>
      <c r="C77" s="89">
        <v>6570000</v>
      </c>
    </row>
    <row r="78" spans="1:3">
      <c r="A78" s="2" t="s">
        <v>99</v>
      </c>
      <c r="B78" s="12" t="str">
        <f>VLOOKUP(A78,'Locations &amp; Types'!$E:$F,2,FALSE)</f>
        <v>GDN (SE)</v>
      </c>
      <c r="C78" s="89">
        <v>86623407</v>
      </c>
    </row>
    <row r="79" spans="1:3">
      <c r="A79" s="2" t="s">
        <v>100</v>
      </c>
      <c r="B79" s="12" t="str">
        <f>VLOOKUP(A79,'Locations &amp; Types'!$E:$F,2,FALSE)</f>
        <v>GDN (SE)</v>
      </c>
      <c r="C79" s="89">
        <v>80373971</v>
      </c>
    </row>
    <row r="80" spans="1:3">
      <c r="A80" s="2" t="s">
        <v>101</v>
      </c>
      <c r="B80" s="12" t="str">
        <f>VLOOKUP(A80,'Locations &amp; Types'!$E:$F,2,FALSE)</f>
        <v>DC</v>
      </c>
      <c r="C80" s="89">
        <v>0</v>
      </c>
    </row>
    <row r="81" spans="1:3">
      <c r="A81" s="2" t="s">
        <v>102</v>
      </c>
      <c r="B81" s="12" t="str">
        <f>VLOOKUP(A81,'Locations &amp; Types'!$E:$F,2,FALSE)</f>
        <v>GDN (SW)</v>
      </c>
      <c r="C81" s="89">
        <v>22252226</v>
      </c>
    </row>
    <row r="82" spans="1:3">
      <c r="A82" s="2" t="s">
        <v>103</v>
      </c>
      <c r="B82" s="12" t="str">
        <f>VLOOKUP(A82,'Locations &amp; Types'!$E:$F,2,FALSE)</f>
        <v>GDN (NE)</v>
      </c>
      <c r="C82" s="89">
        <v>16610330</v>
      </c>
    </row>
    <row r="83" spans="1:3">
      <c r="A83" s="2" t="s">
        <v>104</v>
      </c>
      <c r="B83" s="12" t="str">
        <f>VLOOKUP(A83,'Locations &amp; Types'!$E:$F,2,FALSE)</f>
        <v>STORAGE SITE</v>
      </c>
      <c r="C83" s="89">
        <v>326003150.68493152</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1700273.9726027397</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39049407.205479443</v>
      </c>
    </row>
    <row r="91" spans="1:3">
      <c r="A91" s="2" t="s">
        <v>111</v>
      </c>
      <c r="B91" s="12" t="str">
        <f>VLOOKUP(A91,'Locations &amp; Types'!$E:$F,2,FALSE)</f>
        <v>GDN (EA)</v>
      </c>
      <c r="C91" s="89">
        <v>20622606</v>
      </c>
    </row>
    <row r="92" spans="1:3">
      <c r="A92" s="2" t="s">
        <v>112</v>
      </c>
      <c r="B92" s="12" t="str">
        <f>VLOOKUP(A92,'Locations &amp; Types'!$E:$F,2,FALSE)</f>
        <v>GDN (NO)</v>
      </c>
      <c r="C92" s="89">
        <v>1806988</v>
      </c>
    </row>
    <row r="93" spans="1:3">
      <c r="A93" s="2" t="s">
        <v>113</v>
      </c>
      <c r="B93" s="12" t="str">
        <f>VLOOKUP(A93,'Locations &amp; Types'!$E:$F,2,FALSE)</f>
        <v>GDN (SO)</v>
      </c>
      <c r="C93" s="89">
        <v>106654165</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6017436.6849315045</v>
      </c>
    </row>
    <row r="98" spans="1:3">
      <c r="A98" s="2" t="s">
        <v>118</v>
      </c>
      <c r="B98" s="12" t="str">
        <f>VLOOKUP(A98,'Locations &amp; Types'!$E:$F,2,FALSE)</f>
        <v>STORAGE SITE</v>
      </c>
      <c r="C98" s="89">
        <v>584777.4794520546</v>
      </c>
    </row>
    <row r="99" spans="1:3">
      <c r="A99" s="2" t="s">
        <v>119</v>
      </c>
      <c r="B99" s="12" t="str">
        <f>VLOOKUP(A99,'Locations &amp; Types'!$E:$F,2,FALSE)</f>
        <v>STORAGE SITE</v>
      </c>
      <c r="C99" s="89">
        <v>31829848.328767125</v>
      </c>
    </row>
    <row r="100" spans="1:3">
      <c r="A100" s="2" t="s">
        <v>120</v>
      </c>
      <c r="B100" s="12" t="str">
        <f>VLOOKUP(A100,'Locations &amp; Types'!$E:$F,2,FALSE)</f>
        <v>DC</v>
      </c>
      <c r="C100" s="89">
        <v>446590.95890410902</v>
      </c>
    </row>
    <row r="101" spans="1:3">
      <c r="A101" s="2" t="s">
        <v>121</v>
      </c>
      <c r="B101" s="12" t="str">
        <f>VLOOKUP(A101,'Locations &amp; Types'!$E:$F,2,FALSE)</f>
        <v>GDN (NW)</v>
      </c>
      <c r="C101" s="89">
        <v>18387106</v>
      </c>
    </row>
    <row r="102" spans="1:3">
      <c r="A102" s="2" t="s">
        <v>122</v>
      </c>
      <c r="B102" s="12" t="str">
        <f>VLOOKUP(A102,'Locations &amp; Types'!$E:$F,2,FALSE)</f>
        <v>GDN (NT)</v>
      </c>
      <c r="C102" s="89">
        <v>33307669</v>
      </c>
    </row>
    <row r="103" spans="1:3">
      <c r="A103" s="2" t="s">
        <v>123</v>
      </c>
      <c r="B103" s="12" t="str">
        <f>VLOOKUP(A103,'Locations &amp; Types'!$E:$F,2,FALSE)</f>
        <v>STORAGE SITE</v>
      </c>
      <c r="C103" s="89">
        <v>41511502.97260274</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32951155</v>
      </c>
    </row>
    <row r="107" spans="1:3">
      <c r="A107" s="2" t="s">
        <v>127</v>
      </c>
      <c r="B107" s="12" t="str">
        <f>VLOOKUP(A107,'Locations &amp; Types'!$E:$F,2,FALSE)</f>
        <v>GDN (SO)</v>
      </c>
      <c r="C107" s="89">
        <v>8410345</v>
      </c>
    </row>
    <row r="108" spans="1:3">
      <c r="A108" s="2" t="s">
        <v>128</v>
      </c>
      <c r="B108" s="12" t="str">
        <f>VLOOKUP(A108,'Locations &amp; Types'!$E:$F,2,FALSE)</f>
        <v>GDN (SO)</v>
      </c>
      <c r="C108" s="89">
        <v>12083873</v>
      </c>
    </row>
    <row r="109" spans="1:3">
      <c r="A109" s="2" t="s">
        <v>129</v>
      </c>
      <c r="B109" s="12" t="str">
        <f>VLOOKUP(A109,'Locations &amp; Types'!$E:$F,2,FALSE)</f>
        <v>GDN (NO)</v>
      </c>
      <c r="C109" s="89">
        <v>1156178</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31700000</v>
      </c>
    </row>
    <row r="114" spans="1:3">
      <c r="A114" s="2" t="s">
        <v>134</v>
      </c>
      <c r="B114" s="12" t="str">
        <f>VLOOKUP(A114,'Locations &amp; Types'!$E:$F,2,FALSE)</f>
        <v>GDN (SC)</v>
      </c>
      <c r="C114" s="89">
        <v>155319</v>
      </c>
    </row>
    <row r="115" spans="1:3">
      <c r="A115" s="2" t="s">
        <v>135</v>
      </c>
      <c r="B115" s="12" t="str">
        <f>VLOOKUP(A115,'Locations &amp; Types'!$E:$F,2,FALSE)</f>
        <v>GDN (SC)</v>
      </c>
      <c r="C115" s="89">
        <v>0</v>
      </c>
    </row>
    <row r="116" spans="1:3">
      <c r="A116" s="2" t="s">
        <v>136</v>
      </c>
      <c r="B116" s="12" t="str">
        <f>VLOOKUP(A116,'Locations &amp; Types'!$E:$F,2,FALSE)</f>
        <v>GDN (WM)</v>
      </c>
      <c r="C116" s="89">
        <v>2586215</v>
      </c>
    </row>
    <row r="117" spans="1:3">
      <c r="A117" s="2" t="s">
        <v>137</v>
      </c>
      <c r="B117" s="12" t="str">
        <f>VLOOKUP(A117,'Locations &amp; Types'!$E:$F,2,FALSE)</f>
        <v>GDN (NO)</v>
      </c>
      <c r="C117" s="89">
        <v>14089321</v>
      </c>
    </row>
    <row r="118" spans="1:3">
      <c r="A118" s="2" t="s">
        <v>138</v>
      </c>
      <c r="B118" s="12" t="str">
        <f>VLOOKUP(A118,'Locations &amp; Types'!$E:$F,2,FALSE)</f>
        <v>GDN (SW)</v>
      </c>
      <c r="C118" s="89">
        <v>2299463</v>
      </c>
    </row>
    <row r="119" spans="1:3">
      <c r="A119" s="2" t="s">
        <v>139</v>
      </c>
      <c r="B119" s="12" t="str">
        <f>VLOOKUP(A119,'Locations &amp; Types'!$E:$F,2,FALSE)</f>
        <v>GDN (SC)</v>
      </c>
      <c r="C119" s="89">
        <v>6757111</v>
      </c>
    </row>
    <row r="120" spans="1:3">
      <c r="A120" s="2" t="s">
        <v>140</v>
      </c>
      <c r="B120" s="12" t="str">
        <f>VLOOKUP(A120,'Locations &amp; Types'!$E:$F,2,FALSE)</f>
        <v>GDN (WM)</v>
      </c>
      <c r="C120" s="89">
        <v>26684207</v>
      </c>
    </row>
    <row r="121" spans="1:3">
      <c r="A121" s="2" t="s">
        <v>141</v>
      </c>
      <c r="B121" s="12" t="str">
        <f>VLOOKUP(A121,'Locations &amp; Types'!$E:$F,2,FALSE)</f>
        <v>GDN (NW)</v>
      </c>
      <c r="C121" s="89">
        <v>15464650</v>
      </c>
    </row>
    <row r="122" spans="1:3">
      <c r="A122" s="2" t="s">
        <v>142</v>
      </c>
      <c r="B122" s="12" t="str">
        <f>VLOOKUP(A122,'Locations &amp; Types'!$E:$F,2,FALSE)</f>
        <v>GDN (NT)</v>
      </c>
      <c r="C122" s="89">
        <v>76147689</v>
      </c>
    </row>
    <row r="123" spans="1:3">
      <c r="A123" s="2" t="s">
        <v>143</v>
      </c>
      <c r="B123" s="12" t="str">
        <f>VLOOKUP(A123,'Locations &amp; Types'!$E:$F,2,FALSE)</f>
        <v>GDN (SW)</v>
      </c>
      <c r="C123" s="89">
        <v>46745947</v>
      </c>
    </row>
    <row r="124" spans="1:3">
      <c r="A124" s="2" t="s">
        <v>144</v>
      </c>
      <c r="B124" s="12" t="str">
        <f>VLOOKUP(A124,'Locations &amp; Types'!$E:$F,2,FALSE)</f>
        <v>GDN (WN)</v>
      </c>
      <c r="C124" s="89">
        <v>49258990</v>
      </c>
    </row>
    <row r="125" spans="1:3">
      <c r="A125" s="2" t="s">
        <v>145</v>
      </c>
      <c r="B125" s="12" t="str">
        <f>VLOOKUP(A125,'Locations &amp; Types'!$E:$F,2,FALSE)</f>
        <v>GDN (NW)</v>
      </c>
      <c r="C125" s="89">
        <v>685222</v>
      </c>
    </row>
    <row r="126" spans="1:3">
      <c r="A126" s="2" t="s">
        <v>146</v>
      </c>
      <c r="B126" s="12" t="str">
        <f>VLOOKUP(A126,'Locations &amp; Types'!$E:$F,2,FALSE)</f>
        <v>GDN (SO)</v>
      </c>
      <c r="C126" s="89">
        <v>38538881</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949364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243649428.46575344</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39994219</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2805479.4520547944</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25368959</v>
      </c>
    </row>
    <row r="151" spans="1:3">
      <c r="A151" s="2" t="s">
        <v>170</v>
      </c>
      <c r="B151" s="12" t="str">
        <f>VLOOKUP(A151,'Locations &amp; Types'!$E:$F,2,FALSE)</f>
        <v>GDN (NE)</v>
      </c>
      <c r="C151" s="89">
        <v>5080452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16281005</v>
      </c>
    </row>
    <row r="158" spans="1:3">
      <c r="A158" s="2" t="s">
        <v>177</v>
      </c>
      <c r="B158" s="12" t="str">
        <f>VLOOKUP(A158,'Locations &amp; Types'!$E:$F,2,FALSE)</f>
        <v>GDN (EA)</v>
      </c>
      <c r="C158" s="89">
        <v>2367780</v>
      </c>
    </row>
    <row r="159" spans="1:3">
      <c r="A159" s="2" t="s">
        <v>178</v>
      </c>
      <c r="B159" s="12" t="str">
        <f>VLOOKUP(A159,'Locations &amp; Types'!$E:$F,2,FALSE)</f>
        <v>GDN (WM)</v>
      </c>
      <c r="C159" s="89">
        <v>59670957</v>
      </c>
    </row>
    <row r="160" spans="1:3">
      <c r="A160" s="2" t="s">
        <v>179</v>
      </c>
      <c r="B160" s="12" t="str">
        <f>VLOOKUP(A160,'Locations &amp; Types'!$E:$F,2,FALSE)</f>
        <v>DC</v>
      </c>
      <c r="C160" s="89">
        <v>38660000</v>
      </c>
    </row>
    <row r="161" spans="1:3">
      <c r="A161" s="2" t="s">
        <v>180</v>
      </c>
      <c r="B161" s="12" t="str">
        <f>VLOOKUP(A161,'Locations &amp; Types'!$E:$F,2,FALSE)</f>
        <v>DC</v>
      </c>
      <c r="C161" s="89">
        <v>17980000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39506950</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54053845</v>
      </c>
    </row>
    <row r="169" spans="1:3">
      <c r="A169" s="2" t="s">
        <v>188</v>
      </c>
      <c r="B169" s="12" t="str">
        <f>VLOOKUP(A169,'Locations &amp; Types'!$E:$F,2,FALSE)</f>
        <v>DC</v>
      </c>
      <c r="C169" s="89">
        <v>18316938</v>
      </c>
    </row>
    <row r="170" spans="1:3">
      <c r="A170" s="2" t="s">
        <v>241</v>
      </c>
      <c r="B170" s="12" t="str">
        <f>VLOOKUP(A170,'Locations &amp; Types'!$E:$F,2,FALSE)</f>
        <v>DC</v>
      </c>
      <c r="C170" s="89">
        <v>49310.926906849316</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19826107</v>
      </c>
    </row>
    <row r="174" spans="1:3">
      <c r="A174" s="2" t="s">
        <v>192</v>
      </c>
      <c r="B174" s="12" t="str">
        <f>VLOOKUP(A174,'Locations &amp; Types'!$E:$F,2,FALSE)</f>
        <v>DC</v>
      </c>
      <c r="C174" s="89">
        <v>247671.23287671234</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178806.35616438361</v>
      </c>
    </row>
    <row r="179" spans="1:3">
      <c r="A179" s="2" t="s">
        <v>21</v>
      </c>
      <c r="B179" s="12" t="str">
        <f>VLOOKUP(A179,'Locations &amp; Types'!$E:$F,2,FALSE)</f>
        <v>GDN (SC)</v>
      </c>
      <c r="C179" s="89">
        <v>1055917</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17811878.082191776</v>
      </c>
    </row>
    <row r="183" spans="1:3">
      <c r="A183" s="2" t="s">
        <v>200</v>
      </c>
      <c r="B183" s="12" t="str">
        <f>VLOOKUP(A183,'Locations &amp; Types'!$E:$F,2,FALSE)</f>
        <v>DC</v>
      </c>
      <c r="C183" s="89">
        <v>52700000</v>
      </c>
    </row>
    <row r="184" spans="1:3">
      <c r="A184" s="2" t="s">
        <v>201</v>
      </c>
      <c r="B184" s="12" t="str">
        <f>VLOOKUP(A184,'Locations &amp; Types'!$E:$F,2,FALSE)</f>
        <v>DC</v>
      </c>
      <c r="C184" s="89">
        <v>11676634.109589024</v>
      </c>
    </row>
    <row r="185" spans="1:3">
      <c r="A185" s="2" t="s">
        <v>202</v>
      </c>
      <c r="B185" s="12" t="str">
        <f>VLOOKUP(A185,'Locations &amp; Types'!$E:$F,2,FALSE)</f>
        <v>DC</v>
      </c>
      <c r="C185" s="89">
        <v>82000000</v>
      </c>
    </row>
    <row r="186" spans="1:3">
      <c r="A186" s="2" t="s">
        <v>203</v>
      </c>
      <c r="B186" s="12" t="str">
        <f>VLOOKUP(A186,'Locations &amp; Types'!$E:$F,2,FALSE)</f>
        <v>GDN (SC)</v>
      </c>
      <c r="C186" s="89">
        <v>742435</v>
      </c>
    </row>
    <row r="187" spans="1:3">
      <c r="A187" s="2" t="s">
        <v>204</v>
      </c>
      <c r="B187" s="12" t="str">
        <f>VLOOKUP(A187,'Locations &amp; Types'!$E:$F,2,FALSE)</f>
        <v>GDN (WM)</v>
      </c>
      <c r="C187" s="89">
        <v>3735040</v>
      </c>
    </row>
    <row r="188" spans="1:3">
      <c r="A188" s="2" t="s">
        <v>205</v>
      </c>
      <c r="B188" s="12" t="str">
        <f>VLOOKUP(A188,'Locations &amp; Types'!$E:$F,2,FALSE)</f>
        <v>STORAGE SITE</v>
      </c>
      <c r="C188" s="89">
        <v>29584634.410958912</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192774633</v>
      </c>
    </row>
    <row r="192" spans="1:3">
      <c r="A192" s="2" t="s">
        <v>209</v>
      </c>
      <c r="B192" s="12" t="str">
        <f>VLOOKUP(A192,'Locations &amp; Types'!$E:$F,2,FALSE)</f>
        <v>DC</v>
      </c>
      <c r="C192" s="89">
        <v>8369000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40032876.712328769</v>
      </c>
    </row>
    <row r="198" spans="1:3">
      <c r="A198" s="2" t="s">
        <v>215</v>
      </c>
      <c r="B198" s="12" t="str">
        <f>VLOOKUP(A198,'Locations &amp; Types'!$E:$F,2,FALSE)</f>
        <v>GDN (NO)</v>
      </c>
      <c r="C198" s="89">
        <v>4490616</v>
      </c>
    </row>
    <row r="199" spans="1:3">
      <c r="A199" s="2" t="s">
        <v>216</v>
      </c>
      <c r="B199" s="12" t="str">
        <f>VLOOKUP(A199,'Locations &amp; Types'!$E:$F,2,FALSE)</f>
        <v>DC</v>
      </c>
      <c r="C199" s="89">
        <v>21146822</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0</v>
      </c>
    </row>
    <row r="204" spans="1:3">
      <c r="A204" s="2" t="s">
        <v>220</v>
      </c>
      <c r="B204" s="12" t="str">
        <f>VLOOKUP(A204,'Locations &amp; Types'!$E:$F,2,FALSE)</f>
        <v>GDN (EM)</v>
      </c>
      <c r="C204" s="89">
        <v>56364567</v>
      </c>
    </row>
    <row r="205" spans="1:3">
      <c r="A205" s="2" t="s">
        <v>221</v>
      </c>
      <c r="B205" s="12" t="str">
        <f>VLOOKUP(A205,'Locations &amp; Types'!$E:$F,2,FALSE)</f>
        <v>DC</v>
      </c>
      <c r="C205" s="89">
        <v>8300000</v>
      </c>
    </row>
    <row r="206" spans="1:3">
      <c r="A206" s="2" t="s">
        <v>222</v>
      </c>
      <c r="B206" s="12" t="str">
        <f>VLOOKUP(A206,'Locations &amp; Types'!$E:$F,2,FALSE)</f>
        <v>GDN (EM)</v>
      </c>
      <c r="C206" s="89">
        <v>529635</v>
      </c>
    </row>
    <row r="207" spans="1:3">
      <c r="A207" s="2" t="s">
        <v>223</v>
      </c>
      <c r="B207" s="12" t="str">
        <f>VLOOKUP(A207,'Locations &amp; Types'!$E:$F,2,FALSE)</f>
        <v>GDN (NW)</v>
      </c>
      <c r="C207" s="89">
        <v>92041489</v>
      </c>
    </row>
    <row r="208" spans="1:3">
      <c r="A208" s="2" t="s">
        <v>224</v>
      </c>
      <c r="B208" s="12" t="str">
        <f>VLOOKUP(A208,'Locations &amp; Types'!$E:$F,2,FALSE)</f>
        <v>DC</v>
      </c>
      <c r="C208" s="89">
        <v>37530627.863013692</v>
      </c>
    </row>
    <row r="209" spans="1:3">
      <c r="A209" s="2" t="s">
        <v>225</v>
      </c>
      <c r="B209" s="12" t="str">
        <f>VLOOKUP(A209,'Locations &amp; Types'!$E:$F,2,FALSE)</f>
        <v>GDN (EA)</v>
      </c>
      <c r="C209" s="89">
        <v>10086940</v>
      </c>
    </row>
    <row r="210" spans="1:3">
      <c r="A210" s="2" t="s">
        <v>226</v>
      </c>
      <c r="B210" s="12" t="str">
        <f>VLOOKUP(A210,'Locations &amp; Types'!$E:$F,2,FALSE)</f>
        <v>GDN (NW)</v>
      </c>
      <c r="C210" s="89">
        <v>4076123</v>
      </c>
    </row>
    <row r="211" spans="1:3">
      <c r="A211" s="2" t="s">
        <v>227</v>
      </c>
      <c r="B211" s="12" t="str">
        <f>VLOOKUP(A211,'Locations &amp; Types'!$E:$F,2,FALSE)</f>
        <v>DC</v>
      </c>
      <c r="C211" s="89">
        <v>473660.07821917807</v>
      </c>
    </row>
    <row r="212" spans="1:3">
      <c r="A212" s="2" t="s">
        <v>228</v>
      </c>
      <c r="B212" s="12" t="str">
        <f>VLOOKUP(A212,'Locations &amp; Types'!$E:$F,2,FALSE)</f>
        <v>DC</v>
      </c>
      <c r="C212" s="89">
        <v>20599801.260273974</v>
      </c>
    </row>
    <row r="213" spans="1:3">
      <c r="A213" s="2" t="s">
        <v>229</v>
      </c>
      <c r="B213" s="12" t="str">
        <f>VLOOKUP(A213,'Locations &amp; Types'!$E:$F,2,FALSE)</f>
        <v>GDN (NO)</v>
      </c>
      <c r="C213" s="89">
        <v>21081755</v>
      </c>
    </row>
    <row r="214" spans="1:3">
      <c r="A214" s="2" t="s">
        <v>230</v>
      </c>
      <c r="B214" s="12" t="str">
        <f>VLOOKUP(A214,'Locations &amp; Types'!$E:$F,2,FALSE)</f>
        <v>GDN (EA)</v>
      </c>
      <c r="C214" s="89">
        <v>104462230</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106260000</v>
      </c>
    </row>
    <row r="218" spans="1:3">
      <c r="A218" s="2" t="s">
        <v>234</v>
      </c>
      <c r="B218" s="12" t="str">
        <f>VLOOKUP(A218,'Locations &amp; Types'!$E:$F,2,FALSE)</f>
        <v>GDN (SO)</v>
      </c>
      <c r="C218" s="89">
        <v>36499431</v>
      </c>
    </row>
    <row r="219" spans="1:3">
      <c r="A219" s="2" t="s">
        <v>235</v>
      </c>
      <c r="B219" s="12" t="str">
        <f>VLOOKUP(A219,'Locations &amp; Types'!$E:$F,2,FALSE)</f>
        <v>DC</v>
      </c>
      <c r="C219" s="89">
        <v>19188380.10958904</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279228.47232876712</v>
      </c>
    </row>
    <row r="223" spans="1:3">
      <c r="A223" s="2" t="s">
        <v>534</v>
      </c>
      <c r="B223" s="12" t="str">
        <f>VLOOKUP(A223,'Locations &amp; Types'!$E:$F,2,FALSE)</f>
        <v>DC</v>
      </c>
      <c r="C223" s="89">
        <v>0</v>
      </c>
    </row>
    <row r="224" spans="1:3">
      <c r="A224" s="2" t="s">
        <v>535</v>
      </c>
      <c r="B224" s="12" t="str">
        <f>VLOOKUP(A224,'Locations &amp; Types'!$E:$F,2,FALSE)</f>
        <v>DC</v>
      </c>
      <c r="C224" s="89">
        <v>800000</v>
      </c>
    </row>
    <row r="225" spans="1:3">
      <c r="A225" s="2" t="s">
        <v>536</v>
      </c>
      <c r="B225" s="12" t="str">
        <f>VLOOKUP(A225,'Locations &amp; Types'!$E:$F,2,FALSE)</f>
        <v>DC</v>
      </c>
      <c r="C225" s="89">
        <v>4200000</v>
      </c>
    </row>
    <row r="226" spans="1:3">
      <c r="A226" s="2" t="s">
        <v>537</v>
      </c>
      <c r="B226" s="12" t="str">
        <f>VLOOKUP(A226,'Locations &amp; Types'!$E:$F,2,FALSE)</f>
        <v>DC</v>
      </c>
      <c r="C226" s="89">
        <v>3779832.6575342491</v>
      </c>
    </row>
    <row r="227" spans="1:3">
      <c r="A227" s="2" t="s">
        <v>538</v>
      </c>
      <c r="B227" s="12" t="str">
        <f>VLOOKUP(A227,'Locations &amp; Types'!$E:$F,2,FALSE)</f>
        <v>DC</v>
      </c>
      <c r="C227" s="89">
        <v>0</v>
      </c>
    </row>
    <row r="228" spans="1:3">
      <c r="A228" s="2" t="s">
        <v>545</v>
      </c>
      <c r="B228" s="12" t="str">
        <f>VLOOKUP(A228,'Locations &amp; Types'!$E:$F,2,FALSE)</f>
        <v>DC</v>
      </c>
      <c r="C228" s="89">
        <v>7310160</v>
      </c>
    </row>
    <row r="229" spans="1:3">
      <c r="A229" s="2" t="s">
        <v>539</v>
      </c>
      <c r="B229" s="12" t="str">
        <f>VLOOKUP(A229,'Locations &amp; Types'!$E:$F,2,FALSE)</f>
        <v>DC</v>
      </c>
      <c r="C229" s="89">
        <v>0</v>
      </c>
    </row>
    <row r="230" spans="1:3">
      <c r="A230" s="2" t="s">
        <v>540</v>
      </c>
      <c r="B230" s="12" t="str">
        <f>VLOOKUP(A230,'Locations &amp; Types'!$E:$F,2,FALSE)</f>
        <v>DC</v>
      </c>
      <c r="C230" s="89">
        <v>39776149</v>
      </c>
    </row>
    <row r="231" spans="1:3">
      <c r="A231" s="2" t="s">
        <v>176</v>
      </c>
      <c r="B231" s="12" t="str">
        <f>VLOOKUP(A231,'Locations &amp; Types'!$E:$F,2,FALSE)</f>
        <v>STORAGE SITE</v>
      </c>
      <c r="C231" s="89">
        <v>6538325.5616438352</v>
      </c>
    </row>
    <row r="233" spans="1:3">
      <c r="C233" s="164"/>
    </row>
    <row r="239" spans="1:3">
      <c r="C239" t="s">
        <v>549</v>
      </c>
    </row>
  </sheetData>
  <mergeCells count="2">
    <mergeCell ref="A1:A2"/>
    <mergeCell ref="B1:B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39997558519241921"/>
  </sheetPr>
  <dimension ref="A1:C235"/>
  <sheetViews>
    <sheetView workbookViewId="0">
      <selection activeCell="C233" sqref="C233"/>
    </sheetView>
  </sheetViews>
  <sheetFormatPr defaultRowHeight="15"/>
  <cols>
    <col min="1" max="1" width="57" customWidth="1"/>
    <col min="2" max="2" width="28.140625" customWidth="1"/>
    <col min="3" max="3" width="45" customWidth="1"/>
  </cols>
  <sheetData>
    <row r="1" spans="1:3">
      <c r="A1" s="457" t="s">
        <v>242</v>
      </c>
      <c r="B1" s="457" t="s">
        <v>329</v>
      </c>
      <c r="C1" s="37" t="s">
        <v>516</v>
      </c>
    </row>
    <row r="2" spans="1:3" ht="15.75" thickBot="1">
      <c r="A2" s="458"/>
      <c r="B2" s="458"/>
      <c r="C2" s="38" t="s">
        <v>338</v>
      </c>
    </row>
    <row r="3" spans="1:3">
      <c r="A3" s="2" t="s">
        <v>26</v>
      </c>
      <c r="B3" s="12" t="str">
        <f>VLOOKUP(A3,'Locations &amp; Types'!$E:$F,2,FALSE)</f>
        <v>GDN (SC)</v>
      </c>
      <c r="C3" s="89">
        <v>21639348</v>
      </c>
    </row>
    <row r="4" spans="1:3">
      <c r="A4" s="2" t="s">
        <v>27</v>
      </c>
      <c r="B4" s="12" t="str">
        <f>VLOOKUP(A4,'Locations &amp; Types'!$E:$F,2,FALSE)</f>
        <v>DC</v>
      </c>
      <c r="C4" s="89">
        <v>27992295.175342467</v>
      </c>
    </row>
    <row r="5" spans="1:3">
      <c r="A5" s="2" t="s">
        <v>28</v>
      </c>
      <c r="B5" s="12" t="str">
        <f>VLOOKUP(A5,'Locations &amp; Types'!$E:$F,2,FALSE)</f>
        <v>GDN (EM)</v>
      </c>
      <c r="C5" s="89">
        <v>59229584</v>
      </c>
    </row>
    <row r="6" spans="1:3">
      <c r="A6" s="2" t="s">
        <v>29</v>
      </c>
      <c r="B6" s="12" t="str">
        <f>VLOOKUP(A6,'Locations &amp; Types'!$E:$F,2,FALSE)</f>
        <v>GDN (WM)</v>
      </c>
      <c r="C6" s="89">
        <v>72462290</v>
      </c>
    </row>
    <row r="7" spans="1:3">
      <c r="A7" s="2" t="s">
        <v>240</v>
      </c>
      <c r="B7" s="12" t="str">
        <f>VLOOKUP(A7,'Locations &amp; Types'!$E:$F,2,FALSE)</f>
        <v>DC</v>
      </c>
      <c r="C7" s="89"/>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0</v>
      </c>
    </row>
    <row r="15" spans="1:3">
      <c r="A15" s="2" t="s">
        <v>37</v>
      </c>
      <c r="B15" s="12" t="str">
        <f>VLOOKUP(A15,'Locations &amp; Types'!$E:$F,2,FALSE)</f>
        <v>GDN (SW)</v>
      </c>
      <c r="C15" s="89">
        <v>20502107</v>
      </c>
    </row>
    <row r="16" spans="1:3">
      <c r="A16" s="2" t="s">
        <v>38</v>
      </c>
      <c r="B16" s="12" t="str">
        <f>VLOOKUP(A16,'Locations &amp; Types'!$E:$F,2,FALSE)</f>
        <v>GDN (EA)</v>
      </c>
      <c r="C16" s="89">
        <v>2472724</v>
      </c>
    </row>
    <row r="17" spans="1:3">
      <c r="A17" s="2" t="s">
        <v>39</v>
      </c>
      <c r="B17" s="12" t="str">
        <f>VLOOKUP(A17,'Locations &amp; Types'!$E:$F,2,FALSE)</f>
        <v>STORAGE SITE</v>
      </c>
      <c r="C17" s="89">
        <v>0</v>
      </c>
    </row>
    <row r="18" spans="1:3">
      <c r="A18" s="2" t="s">
        <v>40</v>
      </c>
      <c r="B18" s="12" t="str">
        <f>VLOOKUP(A18,'Locations &amp; Types'!$E:$F,2,FALSE)</f>
        <v>INTERCONNECTOR</v>
      </c>
      <c r="C18" s="89">
        <v>281930.30136986304</v>
      </c>
    </row>
    <row r="19" spans="1:3">
      <c r="A19" s="2" t="s">
        <v>41</v>
      </c>
      <c r="B19" s="12" t="str">
        <f>VLOOKUP(A19,'Locations &amp; Types'!$E:$F,2,FALSE)</f>
        <v>DC</v>
      </c>
      <c r="C19" s="89">
        <v>20000000</v>
      </c>
    </row>
    <row r="20" spans="1:3">
      <c r="A20" s="2" t="s">
        <v>42</v>
      </c>
      <c r="B20" s="12" t="str">
        <f>VLOOKUP(A20,'Locations &amp; Types'!$E:$F,2,FALSE)</f>
        <v>INTERCONNECTOR</v>
      </c>
      <c r="C20" s="89">
        <v>174391001.25205481</v>
      </c>
    </row>
    <row r="21" spans="1:3">
      <c r="A21" s="2" t="s">
        <v>43</v>
      </c>
      <c r="B21" s="12" t="str">
        <f>VLOOKUP(A21,'Locations &amp; Types'!$E:$F,2,FALSE)</f>
        <v>GDN (NE)</v>
      </c>
      <c r="C21" s="89">
        <v>1126642</v>
      </c>
    </row>
    <row r="22" spans="1:3">
      <c r="A22" s="2" t="s">
        <v>44</v>
      </c>
      <c r="B22" s="12" t="str">
        <f>VLOOKUP(A22,'Locations &amp; Types'!$E:$F,2,FALSE)</f>
        <v>GDN (SC)</v>
      </c>
      <c r="C22" s="89">
        <v>14957981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1000000</v>
      </c>
    </row>
    <row r="26" spans="1:3">
      <c r="A26" s="2" t="s">
        <v>48</v>
      </c>
      <c r="B26" s="12" t="str">
        <f>VLOOKUP(A26,'Locations &amp; Types'!$E:$F,2,FALSE)</f>
        <v>STORAGE SITE</v>
      </c>
      <c r="C26" s="89">
        <v>0</v>
      </c>
    </row>
    <row r="27" spans="1:3">
      <c r="A27" s="2" t="s">
        <v>49</v>
      </c>
      <c r="B27" s="12" t="str">
        <f>VLOOKUP(A27,'Locations &amp; Types'!$E:$F,2,FALSE)</f>
        <v>STORAGE SITE</v>
      </c>
      <c r="C27" s="89">
        <v>6270352.3013698645</v>
      </c>
    </row>
    <row r="28" spans="1:3">
      <c r="A28" s="2" t="s">
        <v>50</v>
      </c>
      <c r="B28" s="12" t="str">
        <f>VLOOKUP(A28,'Locations &amp; Types'!$E:$F,2,FALSE)</f>
        <v>GDN (SC)</v>
      </c>
      <c r="C28" s="89">
        <v>21081766</v>
      </c>
    </row>
    <row r="29" spans="1:3">
      <c r="A29" s="2" t="s">
        <v>51</v>
      </c>
      <c r="B29" s="12" t="str">
        <f>VLOOKUP(A29,'Locations &amp; Types'!$E:$F,2,FALSE)</f>
        <v>DC</v>
      </c>
      <c r="C29" s="89">
        <v>33644543</v>
      </c>
    </row>
    <row r="30" spans="1:3">
      <c r="A30" s="2" t="s">
        <v>52</v>
      </c>
      <c r="B30" s="12" t="str">
        <f>VLOOKUP(A30,'Locations &amp; Types'!$E:$F,2,FALSE)</f>
        <v>GDN (NO)</v>
      </c>
      <c r="C30" s="89">
        <v>55604210</v>
      </c>
    </row>
    <row r="31" spans="1:3">
      <c r="A31" s="2" t="s">
        <v>53</v>
      </c>
      <c r="B31" s="12" t="str">
        <f>VLOOKUP(A31,'Locations &amp; Types'!$E:$F,2,FALSE)</f>
        <v>DC</v>
      </c>
      <c r="C31" s="89">
        <v>1151040</v>
      </c>
    </row>
    <row r="32" spans="1:3">
      <c r="A32" s="2" t="s">
        <v>54</v>
      </c>
      <c r="B32" s="12" t="str">
        <f>VLOOKUP(A32,'Locations &amp; Types'!$E:$F,2,FALSE)</f>
        <v>GDN (EM)</v>
      </c>
      <c r="C32" s="89">
        <v>9867513</v>
      </c>
    </row>
    <row r="33" spans="1:3">
      <c r="A33" s="2" t="s">
        <v>55</v>
      </c>
      <c r="B33" s="12" t="str">
        <f>VLOOKUP(A33,'Locations &amp; Types'!$E:$F,2,FALSE)</f>
        <v>DC</v>
      </c>
      <c r="C33" s="89">
        <v>27291369.8630137</v>
      </c>
    </row>
    <row r="34" spans="1:3">
      <c r="A34" s="2" t="s">
        <v>56</v>
      </c>
      <c r="B34" s="12" t="str">
        <f>VLOOKUP(A34,'Locations &amp; Types'!$E:$F,2,FALSE)</f>
        <v>GDN (NW)</v>
      </c>
      <c r="C34" s="89">
        <v>123939267</v>
      </c>
    </row>
    <row r="35" spans="1:3">
      <c r="A35" s="2" t="s">
        <v>57</v>
      </c>
      <c r="B35" s="12" t="str">
        <f>VLOOKUP(A35,'Locations &amp; Types'!$E:$F,2,FALSE)</f>
        <v>GDN (EM)</v>
      </c>
      <c r="C35" s="89">
        <v>55825856</v>
      </c>
    </row>
    <row r="36" spans="1:3">
      <c r="A36" s="2" t="s">
        <v>58</v>
      </c>
      <c r="B36" s="12" t="str">
        <f>VLOOKUP(A36,'Locations &amp; Types'!$E:$F,2,FALSE)</f>
        <v>DC</v>
      </c>
      <c r="C36" s="89">
        <v>1605479.4520547944</v>
      </c>
    </row>
    <row r="37" spans="1:3">
      <c r="A37" s="2" t="s">
        <v>59</v>
      </c>
      <c r="B37" s="12" t="str">
        <f>VLOOKUP(A37,'Locations &amp; Types'!$E:$F,2,FALSE)</f>
        <v>DC</v>
      </c>
      <c r="C37" s="89">
        <v>13982362.493150691</v>
      </c>
    </row>
    <row r="38" spans="1:3">
      <c r="A38" s="2" t="s">
        <v>60</v>
      </c>
      <c r="B38" s="12" t="str">
        <f>VLOOKUP(A38,'Locations &amp; Types'!$E:$F,2,FALSE)</f>
        <v>GDN (SO)</v>
      </c>
      <c r="C38" s="89">
        <v>102837744</v>
      </c>
    </row>
    <row r="39" spans="1:3">
      <c r="A39" s="2" t="s">
        <v>61</v>
      </c>
      <c r="B39" s="12" t="str">
        <f>VLOOKUP(A39,'Locations &amp; Types'!$E:$F,2,FALSE)</f>
        <v>GDN (SO)</v>
      </c>
      <c r="C39" s="89">
        <v>58866000</v>
      </c>
    </row>
    <row r="40" spans="1:3">
      <c r="A40" s="2" t="s">
        <v>62</v>
      </c>
      <c r="B40" s="12" t="str">
        <f>VLOOKUP(A40,'Locations &amp; Types'!$E:$F,2,FALSE)</f>
        <v>DC</v>
      </c>
      <c r="C40" s="89">
        <v>105652.43835616432</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20624435</v>
      </c>
    </row>
    <row r="45" spans="1:3">
      <c r="A45" s="2" t="s">
        <v>67</v>
      </c>
      <c r="B45" s="12" t="str">
        <f>VLOOKUP(A45,'Locations &amp; Types'!$E:$F,2,FALSE)</f>
        <v>DC</v>
      </c>
      <c r="C45" s="89">
        <v>13583891.260273984</v>
      </c>
    </row>
    <row r="46" spans="1:3">
      <c r="A46" s="2" t="s">
        <v>68</v>
      </c>
      <c r="B46" s="12" t="str">
        <f>VLOOKUP(A46,'Locations &amp; Types'!$E:$F,2,FALSE)</f>
        <v>GDN (EM)</v>
      </c>
      <c r="C46" s="89">
        <v>8977861</v>
      </c>
    </row>
    <row r="47" spans="1:3">
      <c r="A47" s="2" t="s">
        <v>69</v>
      </c>
      <c r="B47" s="12" t="str">
        <f>VLOOKUP(A47,'Locations &amp; Types'!$E:$F,2,FALSE)</f>
        <v>DC</v>
      </c>
      <c r="C47" s="89">
        <v>343312.71232876705</v>
      </c>
    </row>
    <row r="48" spans="1:3">
      <c r="A48" s="2" t="s">
        <v>70</v>
      </c>
      <c r="B48" s="12" t="str">
        <f>VLOOKUP(A48,'Locations &amp; Types'!$E:$F,2,FALSE)</f>
        <v>GDN (EA)</v>
      </c>
      <c r="C48" s="89">
        <v>0</v>
      </c>
    </row>
    <row r="49" spans="1:3">
      <c r="A49" s="2" t="s">
        <v>71</v>
      </c>
      <c r="B49" s="12" t="str">
        <f>VLOOKUP(A49,'Locations &amp; Types'!$E:$F,2,FALSE)</f>
        <v>GDN (SC)</v>
      </c>
      <c r="C49" s="89">
        <v>3576724</v>
      </c>
    </row>
    <row r="50" spans="1:3">
      <c r="A50" s="2" t="s">
        <v>72</v>
      </c>
      <c r="B50" s="12" t="str">
        <f>VLOOKUP(A50,'Locations &amp; Types'!$E:$F,2,FALSE)</f>
        <v>DC</v>
      </c>
      <c r="C50" s="89">
        <v>22847239.890410975</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7878731</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40002877</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0</v>
      </c>
    </row>
    <row r="63" spans="1:3">
      <c r="A63" s="2" t="s">
        <v>84</v>
      </c>
      <c r="B63" s="12" t="str">
        <f>VLOOKUP(A63,'Locations &amp; Types'!$E:$F,2,FALSE)</f>
        <v>DC</v>
      </c>
      <c r="C63" s="89">
        <v>37798322.958904102</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47516641</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18838377.295081966</v>
      </c>
    </row>
    <row r="71" spans="1:3">
      <c r="A71" s="2" t="s">
        <v>92</v>
      </c>
      <c r="B71" s="12" t="str">
        <f>VLOOKUP(A71,'Locations &amp; Types'!$E:$F,2,FALSE)</f>
        <v>DC</v>
      </c>
      <c r="C71" s="89">
        <v>36060000</v>
      </c>
    </row>
    <row r="72" spans="1:3">
      <c r="A72" s="2" t="s">
        <v>93</v>
      </c>
      <c r="B72" s="12" t="str">
        <f>VLOOKUP(A72,'Locations &amp; Types'!$E:$F,2,FALSE)</f>
        <v>GDN (SW)</v>
      </c>
      <c r="C72" s="89">
        <v>27781155</v>
      </c>
    </row>
    <row r="73" spans="1:3">
      <c r="A73" s="2" t="s">
        <v>94</v>
      </c>
      <c r="B73" s="12" t="str">
        <f>VLOOKUP(A73,'Locations &amp; Types'!$E:$F,2,FALSE)</f>
        <v>GDN (NW)</v>
      </c>
      <c r="C73" s="89">
        <v>16370887</v>
      </c>
    </row>
    <row r="74" spans="1:3">
      <c r="A74" s="2" t="s">
        <v>95</v>
      </c>
      <c r="B74" s="12" t="str">
        <f>VLOOKUP(A74,'Locations &amp; Types'!$E:$F,2,FALSE)</f>
        <v>GDN (NO)</v>
      </c>
      <c r="C74" s="89">
        <v>56000000</v>
      </c>
    </row>
    <row r="75" spans="1:3">
      <c r="A75" s="2" t="s">
        <v>96</v>
      </c>
      <c r="B75" s="12" t="str">
        <f>VLOOKUP(A75,'Locations &amp; Types'!$E:$F,2,FALSE)</f>
        <v>DC</v>
      </c>
      <c r="C75" s="89">
        <v>0</v>
      </c>
    </row>
    <row r="76" spans="1:3">
      <c r="A76" s="2" t="s">
        <v>97</v>
      </c>
      <c r="B76" s="12" t="str">
        <f>VLOOKUP(A76,'Locations &amp; Types'!$E:$F,2,FALSE)</f>
        <v>DC</v>
      </c>
      <c r="C76" s="89">
        <v>12313242.342465753</v>
      </c>
    </row>
    <row r="77" spans="1:3">
      <c r="A77" s="2" t="s">
        <v>98</v>
      </c>
      <c r="B77" s="12" t="str">
        <f>VLOOKUP(A77,'Locations &amp; Types'!$E:$F,2,FALSE)</f>
        <v>GDN (SW)</v>
      </c>
      <c r="C77" s="89">
        <v>6570000</v>
      </c>
    </row>
    <row r="78" spans="1:3">
      <c r="A78" s="2" t="s">
        <v>99</v>
      </c>
      <c r="B78" s="12" t="str">
        <f>VLOOKUP(A78,'Locations &amp; Types'!$E:$F,2,FALSE)</f>
        <v>GDN (SE)</v>
      </c>
      <c r="C78" s="89">
        <v>86623407</v>
      </c>
    </row>
    <row r="79" spans="1:3">
      <c r="A79" s="2" t="s">
        <v>100</v>
      </c>
      <c r="B79" s="12" t="str">
        <f>VLOOKUP(A79,'Locations &amp; Types'!$E:$F,2,FALSE)</f>
        <v>GDN (SE)</v>
      </c>
      <c r="C79" s="89">
        <v>80373971</v>
      </c>
    </row>
    <row r="80" spans="1:3">
      <c r="A80" s="2" t="s">
        <v>101</v>
      </c>
      <c r="B80" s="12" t="str">
        <f>VLOOKUP(A80,'Locations &amp; Types'!$E:$F,2,FALSE)</f>
        <v>DC</v>
      </c>
      <c r="C80" s="89">
        <v>0</v>
      </c>
    </row>
    <row r="81" spans="1:3">
      <c r="A81" s="2" t="s">
        <v>102</v>
      </c>
      <c r="B81" s="12" t="str">
        <f>VLOOKUP(A81,'Locations &amp; Types'!$E:$F,2,FALSE)</f>
        <v>GDN (SW)</v>
      </c>
      <c r="C81" s="89">
        <v>22701629</v>
      </c>
    </row>
    <row r="82" spans="1:3">
      <c r="A82" s="2" t="s">
        <v>103</v>
      </c>
      <c r="B82" s="12" t="str">
        <f>VLOOKUP(A82,'Locations &amp; Types'!$E:$F,2,FALSE)</f>
        <v>GDN (NE)</v>
      </c>
      <c r="C82" s="89">
        <v>16610330</v>
      </c>
    </row>
    <row r="83" spans="1:3">
      <c r="A83" s="2" t="s">
        <v>104</v>
      </c>
      <c r="B83" s="12" t="str">
        <f>VLOOKUP(A83,'Locations &amp; Types'!$E:$F,2,FALSE)</f>
        <v>STORAGE SITE</v>
      </c>
      <c r="C83" s="89">
        <v>326003150.68493152</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1700273.9726027397</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39049407.205479443</v>
      </c>
    </row>
    <row r="91" spans="1:3">
      <c r="A91" s="2" t="s">
        <v>111</v>
      </c>
      <c r="B91" s="12" t="str">
        <f>VLOOKUP(A91,'Locations &amp; Types'!$E:$F,2,FALSE)</f>
        <v>GDN (EA)</v>
      </c>
      <c r="C91" s="89">
        <v>20622606</v>
      </c>
    </row>
    <row r="92" spans="1:3">
      <c r="A92" s="2" t="s">
        <v>112</v>
      </c>
      <c r="B92" s="12" t="str">
        <f>VLOOKUP(A92,'Locations &amp; Types'!$E:$F,2,FALSE)</f>
        <v>GDN (NO)</v>
      </c>
      <c r="C92" s="89">
        <v>1806988</v>
      </c>
    </row>
    <row r="93" spans="1:3">
      <c r="A93" s="2" t="s">
        <v>113</v>
      </c>
      <c r="B93" s="12" t="str">
        <f>VLOOKUP(A93,'Locations &amp; Types'!$E:$F,2,FALSE)</f>
        <v>GDN (SO)</v>
      </c>
      <c r="C93" s="89">
        <v>106654165</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6017436.6849315045</v>
      </c>
    </row>
    <row r="98" spans="1:3">
      <c r="A98" s="2" t="s">
        <v>118</v>
      </c>
      <c r="B98" s="12" t="str">
        <f>VLOOKUP(A98,'Locations &amp; Types'!$E:$F,2,FALSE)</f>
        <v>STORAGE SITE</v>
      </c>
      <c r="C98" s="89">
        <v>584777.4794520546</v>
      </c>
    </row>
    <row r="99" spans="1:3">
      <c r="A99" s="2" t="s">
        <v>119</v>
      </c>
      <c r="B99" s="12" t="str">
        <f>VLOOKUP(A99,'Locations &amp; Types'!$E:$F,2,FALSE)</f>
        <v>STORAGE SITE</v>
      </c>
      <c r="C99" s="89">
        <v>31829848.328767125</v>
      </c>
    </row>
    <row r="100" spans="1:3">
      <c r="A100" s="2" t="s">
        <v>120</v>
      </c>
      <c r="B100" s="12" t="str">
        <f>VLOOKUP(A100,'Locations &amp; Types'!$E:$F,2,FALSE)</f>
        <v>DC</v>
      </c>
      <c r="C100" s="89">
        <v>446590.95890410902</v>
      </c>
    </row>
    <row r="101" spans="1:3">
      <c r="A101" s="2" t="s">
        <v>121</v>
      </c>
      <c r="B101" s="12" t="str">
        <f>VLOOKUP(A101,'Locations &amp; Types'!$E:$F,2,FALSE)</f>
        <v>GDN (NW)</v>
      </c>
      <c r="C101" s="89">
        <v>18387106</v>
      </c>
    </row>
    <row r="102" spans="1:3">
      <c r="A102" s="2" t="s">
        <v>122</v>
      </c>
      <c r="B102" s="12" t="str">
        <f>VLOOKUP(A102,'Locations &amp; Types'!$E:$F,2,FALSE)</f>
        <v>GDN (NT)</v>
      </c>
      <c r="C102" s="89">
        <v>33307669</v>
      </c>
    </row>
    <row r="103" spans="1:3">
      <c r="A103" s="2" t="s">
        <v>123</v>
      </c>
      <c r="B103" s="12" t="str">
        <f>VLOOKUP(A103,'Locations &amp; Types'!$E:$F,2,FALSE)</f>
        <v>STORAGE SITE</v>
      </c>
      <c r="C103" s="89">
        <v>41511502.97260274</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34527916</v>
      </c>
    </row>
    <row r="107" spans="1:3">
      <c r="A107" s="2" t="s">
        <v>127</v>
      </c>
      <c r="B107" s="12" t="str">
        <f>VLOOKUP(A107,'Locations &amp; Types'!$E:$F,2,FALSE)</f>
        <v>GDN (SO)</v>
      </c>
      <c r="C107" s="89">
        <v>8410345</v>
      </c>
    </row>
    <row r="108" spans="1:3">
      <c r="A108" s="2" t="s">
        <v>128</v>
      </c>
      <c r="B108" s="12" t="str">
        <f>VLOOKUP(A108,'Locations &amp; Types'!$E:$F,2,FALSE)</f>
        <v>GDN (SO)</v>
      </c>
      <c r="C108" s="89">
        <v>12083873</v>
      </c>
    </row>
    <row r="109" spans="1:3">
      <c r="A109" s="2" t="s">
        <v>129</v>
      </c>
      <c r="B109" s="12" t="str">
        <f>VLOOKUP(A109,'Locations &amp; Types'!$E:$F,2,FALSE)</f>
        <v>GDN (NO)</v>
      </c>
      <c r="C109" s="89">
        <v>1156178</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31700000</v>
      </c>
    </row>
    <row r="114" spans="1:3">
      <c r="A114" s="2" t="s">
        <v>134</v>
      </c>
      <c r="B114" s="12" t="str">
        <f>VLOOKUP(A114,'Locations &amp; Types'!$E:$F,2,FALSE)</f>
        <v>GDN (SC)</v>
      </c>
      <c r="C114" s="89">
        <v>155319</v>
      </c>
    </row>
    <row r="115" spans="1:3">
      <c r="A115" s="2" t="s">
        <v>135</v>
      </c>
      <c r="B115" s="12" t="str">
        <f>VLOOKUP(A115,'Locations &amp; Types'!$E:$F,2,FALSE)</f>
        <v>GDN (SC)</v>
      </c>
      <c r="C115" s="89">
        <v>0</v>
      </c>
    </row>
    <row r="116" spans="1:3">
      <c r="A116" s="2" t="s">
        <v>136</v>
      </c>
      <c r="B116" s="12" t="str">
        <f>VLOOKUP(A116,'Locations &amp; Types'!$E:$F,2,FALSE)</f>
        <v>GDN (WM)</v>
      </c>
      <c r="C116" s="89">
        <v>2586215</v>
      </c>
    </row>
    <row r="117" spans="1:3">
      <c r="A117" s="2" t="s">
        <v>137</v>
      </c>
      <c r="B117" s="12" t="str">
        <f>VLOOKUP(A117,'Locations &amp; Types'!$E:$F,2,FALSE)</f>
        <v>GDN (NO)</v>
      </c>
      <c r="C117" s="89">
        <v>14089321</v>
      </c>
    </row>
    <row r="118" spans="1:3">
      <c r="A118" s="2" t="s">
        <v>138</v>
      </c>
      <c r="B118" s="12" t="str">
        <f>VLOOKUP(A118,'Locations &amp; Types'!$E:$F,2,FALSE)</f>
        <v>GDN (SW)</v>
      </c>
      <c r="C118" s="89">
        <v>2470000</v>
      </c>
    </row>
    <row r="119" spans="1:3">
      <c r="A119" s="2" t="s">
        <v>139</v>
      </c>
      <c r="B119" s="12" t="str">
        <f>VLOOKUP(A119,'Locations &amp; Types'!$E:$F,2,FALSE)</f>
        <v>GDN (SC)</v>
      </c>
      <c r="C119" s="89">
        <v>6757111</v>
      </c>
    </row>
    <row r="120" spans="1:3">
      <c r="A120" s="2" t="s">
        <v>140</v>
      </c>
      <c r="B120" s="12" t="str">
        <f>VLOOKUP(A120,'Locations &amp; Types'!$E:$F,2,FALSE)</f>
        <v>GDN (WM)</v>
      </c>
      <c r="C120" s="89">
        <v>26684207</v>
      </c>
    </row>
    <row r="121" spans="1:3">
      <c r="A121" s="2" t="s">
        <v>141</v>
      </c>
      <c r="B121" s="12" t="str">
        <f>VLOOKUP(A121,'Locations &amp; Types'!$E:$F,2,FALSE)</f>
        <v>GDN (NW)</v>
      </c>
      <c r="C121" s="89">
        <v>15464650</v>
      </c>
    </row>
    <row r="122" spans="1:3">
      <c r="A122" s="2" t="s">
        <v>142</v>
      </c>
      <c r="B122" s="12" t="str">
        <f>VLOOKUP(A122,'Locations &amp; Types'!$E:$F,2,FALSE)</f>
        <v>GDN (NT)</v>
      </c>
      <c r="C122" s="89">
        <v>76147689</v>
      </c>
    </row>
    <row r="123" spans="1:3">
      <c r="A123" s="2" t="s">
        <v>143</v>
      </c>
      <c r="B123" s="12" t="str">
        <f>VLOOKUP(A123,'Locations &amp; Types'!$E:$F,2,FALSE)</f>
        <v>GDN (SW)</v>
      </c>
      <c r="C123" s="89">
        <v>47668504</v>
      </c>
    </row>
    <row r="124" spans="1:3">
      <c r="A124" s="2" t="s">
        <v>144</v>
      </c>
      <c r="B124" s="12" t="str">
        <f>VLOOKUP(A124,'Locations &amp; Types'!$E:$F,2,FALSE)</f>
        <v>GDN (WN)</v>
      </c>
      <c r="C124" s="89">
        <v>51525078</v>
      </c>
    </row>
    <row r="125" spans="1:3">
      <c r="A125" s="2" t="s">
        <v>145</v>
      </c>
      <c r="B125" s="12" t="str">
        <f>VLOOKUP(A125,'Locations &amp; Types'!$E:$F,2,FALSE)</f>
        <v>GDN (NW)</v>
      </c>
      <c r="C125" s="89">
        <v>685222</v>
      </c>
    </row>
    <row r="126" spans="1:3">
      <c r="A126" s="2" t="s">
        <v>146</v>
      </c>
      <c r="B126" s="12" t="str">
        <f>VLOOKUP(A126,'Locations &amp; Types'!$E:$F,2,FALSE)</f>
        <v>GDN (SO)</v>
      </c>
      <c r="C126" s="89">
        <v>38538881</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949364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243649428.46575344</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39994219</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2805479.4520547944</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25368959</v>
      </c>
    </row>
    <row r="151" spans="1:3">
      <c r="A151" s="2" t="s">
        <v>170</v>
      </c>
      <c r="B151" s="12" t="str">
        <f>VLOOKUP(A151,'Locations &amp; Types'!$E:$F,2,FALSE)</f>
        <v>GDN (NE)</v>
      </c>
      <c r="C151" s="89">
        <v>5080452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16281005</v>
      </c>
    </row>
    <row r="158" spans="1:3">
      <c r="A158" s="2" t="s">
        <v>177</v>
      </c>
      <c r="B158" s="12" t="str">
        <f>VLOOKUP(A158,'Locations &amp; Types'!$E:$F,2,FALSE)</f>
        <v>GDN (EA)</v>
      </c>
      <c r="C158" s="89">
        <v>2367780</v>
      </c>
    </row>
    <row r="159" spans="1:3">
      <c r="A159" s="2" t="s">
        <v>178</v>
      </c>
      <c r="B159" s="12" t="str">
        <f>VLOOKUP(A159,'Locations &amp; Types'!$E:$F,2,FALSE)</f>
        <v>GDN (WM)</v>
      </c>
      <c r="C159" s="89">
        <v>59670957</v>
      </c>
    </row>
    <row r="160" spans="1:3">
      <c r="A160" s="2" t="s">
        <v>179</v>
      </c>
      <c r="B160" s="12" t="str">
        <f>VLOOKUP(A160,'Locations &amp; Types'!$E:$F,2,FALSE)</f>
        <v>DC</v>
      </c>
      <c r="C160" s="89">
        <v>38660000</v>
      </c>
    </row>
    <row r="161" spans="1:3">
      <c r="A161" s="2" t="s">
        <v>180</v>
      </c>
      <c r="B161" s="12" t="str">
        <f>VLOOKUP(A161,'Locations &amp; Types'!$E:$F,2,FALSE)</f>
        <v>DC</v>
      </c>
      <c r="C161" s="89">
        <v>17980000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39506950</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54053845</v>
      </c>
    </row>
    <row r="169" spans="1:3">
      <c r="A169" s="2" t="s">
        <v>188</v>
      </c>
      <c r="B169" s="12" t="str">
        <f>VLOOKUP(A169,'Locations &amp; Types'!$E:$F,2,FALSE)</f>
        <v>DC</v>
      </c>
      <c r="C169" s="89">
        <v>18316938</v>
      </c>
    </row>
    <row r="170" spans="1:3">
      <c r="A170" s="2" t="s">
        <v>241</v>
      </c>
      <c r="B170" s="12" t="str">
        <f>VLOOKUP(A170,'Locations &amp; Types'!$E:$F,2,FALSE)</f>
        <v>DC</v>
      </c>
      <c r="C170" s="89">
        <v>49222.537882513665</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19826107</v>
      </c>
    </row>
    <row r="174" spans="1:3">
      <c r="A174" s="2" t="s">
        <v>192</v>
      </c>
      <c r="B174" s="12" t="str">
        <f>VLOOKUP(A174,'Locations &amp; Types'!$E:$F,2,FALSE)</f>
        <v>DC</v>
      </c>
      <c r="C174" s="89">
        <v>247671.23287671234</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178806.35616438361</v>
      </c>
    </row>
    <row r="179" spans="1:3">
      <c r="A179" s="2" t="s">
        <v>21</v>
      </c>
      <c r="B179" s="12" t="str">
        <f>VLOOKUP(A179,'Locations &amp; Types'!$E:$F,2,FALSE)</f>
        <v>GDN (SC)</v>
      </c>
      <c r="C179" s="89">
        <v>1055917</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17811878.082191776</v>
      </c>
    </row>
    <row r="183" spans="1:3">
      <c r="A183" s="2" t="s">
        <v>200</v>
      </c>
      <c r="B183" s="12" t="str">
        <f>VLOOKUP(A183,'Locations &amp; Types'!$E:$F,2,FALSE)</f>
        <v>DC</v>
      </c>
      <c r="C183" s="89">
        <v>52700000</v>
      </c>
    </row>
    <row r="184" spans="1:3">
      <c r="A184" s="2" t="s">
        <v>201</v>
      </c>
      <c r="B184" s="12" t="str">
        <f>VLOOKUP(A184,'Locations &amp; Types'!$E:$F,2,FALSE)</f>
        <v>DC</v>
      </c>
      <c r="C184" s="89">
        <v>11676634.109589024</v>
      </c>
    </row>
    <row r="185" spans="1:3">
      <c r="A185" s="2" t="s">
        <v>202</v>
      </c>
      <c r="B185" s="12" t="str">
        <f>VLOOKUP(A185,'Locations &amp; Types'!$E:$F,2,FALSE)</f>
        <v>DC</v>
      </c>
      <c r="C185" s="89">
        <v>82000000</v>
      </c>
    </row>
    <row r="186" spans="1:3">
      <c r="A186" s="2" t="s">
        <v>203</v>
      </c>
      <c r="B186" s="12" t="str">
        <f>VLOOKUP(A186,'Locations &amp; Types'!$E:$F,2,FALSE)</f>
        <v>GDN (SC)</v>
      </c>
      <c r="C186" s="89">
        <v>742435</v>
      </c>
    </row>
    <row r="187" spans="1:3">
      <c r="A187" s="2" t="s">
        <v>204</v>
      </c>
      <c r="B187" s="12" t="str">
        <f>VLOOKUP(A187,'Locations &amp; Types'!$E:$F,2,FALSE)</f>
        <v>GDN (WM)</v>
      </c>
      <c r="C187" s="89">
        <v>3735040</v>
      </c>
    </row>
    <row r="188" spans="1:3">
      <c r="A188" s="2" t="s">
        <v>205</v>
      </c>
      <c r="B188" s="12" t="str">
        <f>VLOOKUP(A188,'Locations &amp; Types'!$E:$F,2,FALSE)</f>
        <v>STORAGE SITE</v>
      </c>
      <c r="C188" s="89">
        <v>29584634.410958912</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192774633</v>
      </c>
    </row>
    <row r="192" spans="1:3">
      <c r="A192" s="2" t="s">
        <v>209</v>
      </c>
      <c r="B192" s="12" t="str">
        <f>VLOOKUP(A192,'Locations &amp; Types'!$E:$F,2,FALSE)</f>
        <v>DC</v>
      </c>
      <c r="C192" s="89">
        <v>8369000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40032876.712328769</v>
      </c>
    </row>
    <row r="198" spans="1:3">
      <c r="A198" s="2" t="s">
        <v>215</v>
      </c>
      <c r="B198" s="12" t="str">
        <f>VLOOKUP(A198,'Locations &amp; Types'!$E:$F,2,FALSE)</f>
        <v>GDN (NO)</v>
      </c>
      <c r="C198" s="89">
        <v>4490616</v>
      </c>
    </row>
    <row r="199" spans="1:3">
      <c r="A199" s="2" t="s">
        <v>216</v>
      </c>
      <c r="B199" s="12" t="str">
        <f>VLOOKUP(A199,'Locations &amp; Types'!$E:$F,2,FALSE)</f>
        <v>DC</v>
      </c>
      <c r="C199" s="89">
        <v>21146822</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13272251.986338798</v>
      </c>
    </row>
    <row r="204" spans="1:3">
      <c r="A204" s="2" t="s">
        <v>220</v>
      </c>
      <c r="B204" s="12" t="str">
        <f>VLOOKUP(A204,'Locations &amp; Types'!$E:$F,2,FALSE)</f>
        <v>GDN (EM)</v>
      </c>
      <c r="C204" s="89">
        <v>56364567</v>
      </c>
    </row>
    <row r="205" spans="1:3">
      <c r="A205" s="2" t="s">
        <v>221</v>
      </c>
      <c r="B205" s="12" t="str">
        <f>VLOOKUP(A205,'Locations &amp; Types'!$E:$F,2,FALSE)</f>
        <v>DC</v>
      </c>
      <c r="C205" s="89">
        <v>8300000</v>
      </c>
    </row>
    <row r="206" spans="1:3">
      <c r="A206" s="2" t="s">
        <v>222</v>
      </c>
      <c r="B206" s="12" t="str">
        <f>VLOOKUP(A206,'Locations &amp; Types'!$E:$F,2,FALSE)</f>
        <v>GDN (EM)</v>
      </c>
      <c r="C206" s="89">
        <v>529635</v>
      </c>
    </row>
    <row r="207" spans="1:3">
      <c r="A207" s="2" t="s">
        <v>223</v>
      </c>
      <c r="B207" s="12" t="str">
        <f>VLOOKUP(A207,'Locations &amp; Types'!$E:$F,2,FALSE)</f>
        <v>GDN (NW)</v>
      </c>
      <c r="C207" s="89">
        <v>92041489</v>
      </c>
    </row>
    <row r="208" spans="1:3">
      <c r="A208" s="2" t="s">
        <v>224</v>
      </c>
      <c r="B208" s="12" t="str">
        <f>VLOOKUP(A208,'Locations &amp; Types'!$E:$F,2,FALSE)</f>
        <v>DC</v>
      </c>
      <c r="C208" s="89">
        <v>37530627.863013692</v>
      </c>
    </row>
    <row r="209" spans="1:3">
      <c r="A209" s="2" t="s">
        <v>225</v>
      </c>
      <c r="B209" s="12" t="str">
        <f>VLOOKUP(A209,'Locations &amp; Types'!$E:$F,2,FALSE)</f>
        <v>GDN (EA)</v>
      </c>
      <c r="C209" s="89">
        <v>10086940</v>
      </c>
    </row>
    <row r="210" spans="1:3">
      <c r="A210" s="2" t="s">
        <v>226</v>
      </c>
      <c r="B210" s="12" t="str">
        <f>VLOOKUP(A210,'Locations &amp; Types'!$E:$F,2,FALSE)</f>
        <v>GDN (NW)</v>
      </c>
      <c r="C210" s="89">
        <v>4076123</v>
      </c>
    </row>
    <row r="211" spans="1:3">
      <c r="A211" s="2" t="s">
        <v>227</v>
      </c>
      <c r="B211" s="12" t="str">
        <f>VLOOKUP(A211,'Locations &amp; Types'!$E:$F,2,FALSE)</f>
        <v>DC</v>
      </c>
      <c r="C211" s="89">
        <v>469209.15289617481</v>
      </c>
    </row>
    <row r="212" spans="1:3">
      <c r="A212" s="2" t="s">
        <v>228</v>
      </c>
      <c r="B212" s="12" t="str">
        <f>VLOOKUP(A212,'Locations &amp; Types'!$E:$F,2,FALSE)</f>
        <v>DC</v>
      </c>
      <c r="C212" s="89">
        <v>20599801.260273974</v>
      </c>
    </row>
    <row r="213" spans="1:3">
      <c r="A213" s="2" t="s">
        <v>229</v>
      </c>
      <c r="B213" s="12" t="str">
        <f>VLOOKUP(A213,'Locations &amp; Types'!$E:$F,2,FALSE)</f>
        <v>GDN (NO)</v>
      </c>
      <c r="C213" s="89">
        <v>21081755</v>
      </c>
    </row>
    <row r="214" spans="1:3">
      <c r="A214" s="2" t="s">
        <v>230</v>
      </c>
      <c r="B214" s="12" t="str">
        <f>VLOOKUP(A214,'Locations &amp; Types'!$E:$F,2,FALSE)</f>
        <v>GDN (EA)</v>
      </c>
      <c r="C214" s="89">
        <v>104462230</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106260000</v>
      </c>
    </row>
    <row r="218" spans="1:3">
      <c r="A218" s="2" t="s">
        <v>234</v>
      </c>
      <c r="B218" s="12" t="str">
        <f>VLOOKUP(A218,'Locations &amp; Types'!$E:$F,2,FALSE)</f>
        <v>GDN (SO)</v>
      </c>
      <c r="C218" s="89">
        <v>36499431</v>
      </c>
    </row>
    <row r="219" spans="1:3">
      <c r="A219" s="2" t="s">
        <v>235</v>
      </c>
      <c r="B219" s="12" t="str">
        <f>VLOOKUP(A219,'Locations &amp; Types'!$E:$F,2,FALSE)</f>
        <v>DC</v>
      </c>
      <c r="C219" s="89">
        <v>19188380.10958904</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277080.0823770492</v>
      </c>
    </row>
    <row r="223" spans="1:3">
      <c r="A223" s="2" t="s">
        <v>534</v>
      </c>
      <c r="B223" s="12" t="str">
        <f>VLOOKUP(A223,'Locations &amp; Types'!$E:$F,2,FALSE)</f>
        <v>DC</v>
      </c>
      <c r="C223" s="89">
        <v>0</v>
      </c>
    </row>
    <row r="224" spans="1:3">
      <c r="A224" s="2" t="s">
        <v>535</v>
      </c>
      <c r="B224" s="12" t="str">
        <f>VLOOKUP(A224,'Locations &amp; Types'!$E:$F,2,FALSE)</f>
        <v>DC</v>
      </c>
      <c r="C224" s="89">
        <v>800000</v>
      </c>
    </row>
    <row r="225" spans="1:3">
      <c r="A225" s="2" t="s">
        <v>536</v>
      </c>
      <c r="B225" s="12" t="str">
        <f>VLOOKUP(A225,'Locations &amp; Types'!$E:$F,2,FALSE)</f>
        <v>DC</v>
      </c>
      <c r="C225" s="89">
        <v>4200000</v>
      </c>
    </row>
    <row r="226" spans="1:3">
      <c r="A226" s="2" t="s">
        <v>537</v>
      </c>
      <c r="B226" s="12" t="str">
        <f>VLOOKUP(A226,'Locations &amp; Types'!$E:$F,2,FALSE)</f>
        <v>DC</v>
      </c>
      <c r="C226" s="89">
        <v>3779832.6575342491</v>
      </c>
    </row>
    <row r="227" spans="1:3">
      <c r="A227" s="2" t="s">
        <v>538</v>
      </c>
      <c r="B227" s="12" t="str">
        <f>VLOOKUP(A227,'Locations &amp; Types'!$E:$F,2,FALSE)</f>
        <v>DC</v>
      </c>
      <c r="C227" s="89">
        <v>0</v>
      </c>
    </row>
    <row r="228" spans="1:3">
      <c r="A228" s="2" t="s">
        <v>545</v>
      </c>
      <c r="B228" s="12" t="str">
        <f>VLOOKUP(A228,'Locations &amp; Types'!$E:$F,2,FALSE)</f>
        <v>DC</v>
      </c>
      <c r="C228" s="89">
        <v>7310160</v>
      </c>
    </row>
    <row r="229" spans="1:3">
      <c r="A229" s="2" t="s">
        <v>539</v>
      </c>
      <c r="B229" s="12" t="str">
        <f>VLOOKUP(A229,'Locations &amp; Types'!$E:$F,2,FALSE)</f>
        <v>DC</v>
      </c>
      <c r="C229" s="89">
        <v>0</v>
      </c>
    </row>
    <row r="230" spans="1:3">
      <c r="A230" s="2" t="s">
        <v>540</v>
      </c>
      <c r="B230" s="12" t="str">
        <f>VLOOKUP(A230,'Locations &amp; Types'!$E:$F,2,FALSE)</f>
        <v>DC</v>
      </c>
      <c r="C230" s="89">
        <v>39776149</v>
      </c>
    </row>
    <row r="231" spans="1:3">
      <c r="A231" s="2" t="s">
        <v>176</v>
      </c>
      <c r="B231" s="12" t="str">
        <f>VLOOKUP(A231,'Locations &amp; Types'!$E:$F,2,FALSE)</f>
        <v>STORAGE SITE</v>
      </c>
      <c r="C231" s="89">
        <v>6538325.5616438352</v>
      </c>
    </row>
    <row r="233" spans="1:3">
      <c r="C233" s="164"/>
    </row>
    <row r="235" spans="1:3">
      <c r="C235" t="s">
        <v>549</v>
      </c>
    </row>
  </sheetData>
  <mergeCells count="2">
    <mergeCell ref="A1:A2"/>
    <mergeCell ref="B1:B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C242"/>
  <sheetViews>
    <sheetView workbookViewId="0">
      <selection activeCell="C240" sqref="C240"/>
    </sheetView>
  </sheetViews>
  <sheetFormatPr defaultRowHeight="15"/>
  <cols>
    <col min="1" max="1" width="57" customWidth="1"/>
    <col min="2" max="2" width="28.140625" customWidth="1"/>
    <col min="3" max="3" width="45" customWidth="1"/>
  </cols>
  <sheetData>
    <row r="1" spans="1:3">
      <c r="A1" s="457" t="s">
        <v>242</v>
      </c>
      <c r="B1" s="457" t="s">
        <v>329</v>
      </c>
      <c r="C1" s="37" t="s">
        <v>516</v>
      </c>
    </row>
    <row r="2" spans="1:3" ht="15.75" thickBot="1">
      <c r="A2" s="458"/>
      <c r="B2" s="458"/>
      <c r="C2" s="38" t="s">
        <v>338</v>
      </c>
    </row>
    <row r="3" spans="1:3">
      <c r="A3" s="2" t="s">
        <v>26</v>
      </c>
      <c r="B3" s="12" t="str">
        <f>VLOOKUP(A3,'Locations &amp; Types'!$E:$F,2,FALSE)</f>
        <v>GDN (SC)</v>
      </c>
      <c r="C3" s="89">
        <v>21639348</v>
      </c>
    </row>
    <row r="4" spans="1:3">
      <c r="A4" s="2" t="s">
        <v>27</v>
      </c>
      <c r="B4" s="12" t="str">
        <f>VLOOKUP(A4,'Locations &amp; Types'!$E:$F,2,FALSE)</f>
        <v>DC</v>
      </c>
      <c r="C4" s="89">
        <v>27992295.175342467</v>
      </c>
    </row>
    <row r="5" spans="1:3">
      <c r="A5" s="2" t="s">
        <v>28</v>
      </c>
      <c r="B5" s="12" t="str">
        <f>VLOOKUP(A5,'Locations &amp; Types'!$E:$F,2,FALSE)</f>
        <v>GDN (EM)</v>
      </c>
      <c r="C5" s="89">
        <v>59229584</v>
      </c>
    </row>
    <row r="6" spans="1:3">
      <c r="A6" s="2" t="s">
        <v>29</v>
      </c>
      <c r="B6" s="12" t="str">
        <f>VLOOKUP(A6,'Locations &amp; Types'!$E:$F,2,FALSE)</f>
        <v>GDN (WM)</v>
      </c>
      <c r="C6" s="89">
        <v>72462290</v>
      </c>
    </row>
    <row r="7" spans="1:3">
      <c r="A7" s="2" t="s">
        <v>240</v>
      </c>
      <c r="B7" s="12" t="str">
        <f>VLOOKUP(A7,'Locations &amp; Types'!$E:$F,2,FALSE)</f>
        <v>DC</v>
      </c>
      <c r="C7" s="89"/>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0</v>
      </c>
    </row>
    <row r="15" spans="1:3">
      <c r="A15" s="2" t="s">
        <v>37</v>
      </c>
      <c r="B15" s="12" t="str">
        <f>VLOOKUP(A15,'Locations &amp; Types'!$E:$F,2,FALSE)</f>
        <v>GDN (SW)</v>
      </c>
      <c r="C15" s="89">
        <v>20502107</v>
      </c>
    </row>
    <row r="16" spans="1:3">
      <c r="A16" s="2" t="s">
        <v>38</v>
      </c>
      <c r="B16" s="12" t="str">
        <f>VLOOKUP(A16,'Locations &amp; Types'!$E:$F,2,FALSE)</f>
        <v>GDN (EA)</v>
      </c>
      <c r="C16" s="89">
        <v>2472724</v>
      </c>
    </row>
    <row r="17" spans="1:3">
      <c r="A17" s="2" t="s">
        <v>39</v>
      </c>
      <c r="B17" s="12" t="str">
        <f>VLOOKUP(A17,'Locations &amp; Types'!$E:$F,2,FALSE)</f>
        <v>STORAGE SITE</v>
      </c>
      <c r="C17" s="89">
        <v>0</v>
      </c>
    </row>
    <row r="18" spans="1:3">
      <c r="A18" s="2" t="s">
        <v>40</v>
      </c>
      <c r="B18" s="12" t="str">
        <f>VLOOKUP(A18,'Locations &amp; Types'!$E:$F,2,FALSE)</f>
        <v>INTERCONNECTOR</v>
      </c>
      <c r="C18" s="89">
        <v>281930.30136986304</v>
      </c>
    </row>
    <row r="19" spans="1:3">
      <c r="A19" s="2" t="s">
        <v>41</v>
      </c>
      <c r="B19" s="12" t="str">
        <f>VLOOKUP(A19,'Locations &amp; Types'!$E:$F,2,FALSE)</f>
        <v>DC</v>
      </c>
      <c r="C19" s="89">
        <v>20000000</v>
      </c>
    </row>
    <row r="20" spans="1:3">
      <c r="A20" s="2" t="s">
        <v>42</v>
      </c>
      <c r="B20" s="12" t="str">
        <f>VLOOKUP(A20,'Locations &amp; Types'!$E:$F,2,FALSE)</f>
        <v>INTERCONNECTOR</v>
      </c>
      <c r="C20" s="89">
        <v>174391001.25205481</v>
      </c>
    </row>
    <row r="21" spans="1:3">
      <c r="A21" s="2" t="s">
        <v>43</v>
      </c>
      <c r="B21" s="12" t="str">
        <f>VLOOKUP(A21,'Locations &amp; Types'!$E:$F,2,FALSE)</f>
        <v>GDN (NE)</v>
      </c>
      <c r="C21" s="89">
        <v>1126642</v>
      </c>
    </row>
    <row r="22" spans="1:3">
      <c r="A22" s="2" t="s">
        <v>44</v>
      </c>
      <c r="B22" s="12" t="str">
        <f>VLOOKUP(A22,'Locations &amp; Types'!$E:$F,2,FALSE)</f>
        <v>GDN (SC)</v>
      </c>
      <c r="C22" s="89">
        <v>14957981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1000000</v>
      </c>
    </row>
    <row r="26" spans="1:3">
      <c r="A26" s="2" t="s">
        <v>48</v>
      </c>
      <c r="B26" s="12" t="str">
        <f>VLOOKUP(A26,'Locations &amp; Types'!$E:$F,2,FALSE)</f>
        <v>STORAGE SITE</v>
      </c>
      <c r="C26" s="89">
        <v>0</v>
      </c>
    </row>
    <row r="27" spans="1:3">
      <c r="A27" s="2" t="s">
        <v>49</v>
      </c>
      <c r="B27" s="12" t="str">
        <f>VLOOKUP(A27,'Locations &amp; Types'!$E:$F,2,FALSE)</f>
        <v>STORAGE SITE</v>
      </c>
      <c r="C27" s="89">
        <v>6270352.3013698645</v>
      </c>
    </row>
    <row r="28" spans="1:3">
      <c r="A28" s="2" t="s">
        <v>50</v>
      </c>
      <c r="B28" s="12" t="str">
        <f>VLOOKUP(A28,'Locations &amp; Types'!$E:$F,2,FALSE)</f>
        <v>GDN (SC)</v>
      </c>
      <c r="C28" s="89">
        <v>21081766</v>
      </c>
    </row>
    <row r="29" spans="1:3">
      <c r="A29" s="2" t="s">
        <v>51</v>
      </c>
      <c r="B29" s="12" t="str">
        <f>VLOOKUP(A29,'Locations &amp; Types'!$E:$F,2,FALSE)</f>
        <v>DC</v>
      </c>
      <c r="C29" s="89">
        <v>33644543</v>
      </c>
    </row>
    <row r="30" spans="1:3">
      <c r="A30" s="2" t="s">
        <v>52</v>
      </c>
      <c r="B30" s="12" t="str">
        <f>VLOOKUP(A30,'Locations &amp; Types'!$E:$F,2,FALSE)</f>
        <v>GDN (NO)</v>
      </c>
      <c r="C30" s="89">
        <v>55604210</v>
      </c>
    </row>
    <row r="31" spans="1:3">
      <c r="A31" s="2" t="s">
        <v>53</v>
      </c>
      <c r="B31" s="12" t="str">
        <f>VLOOKUP(A31,'Locations &amp; Types'!$E:$F,2,FALSE)</f>
        <v>DC</v>
      </c>
      <c r="C31" s="89">
        <v>1151040</v>
      </c>
    </row>
    <row r="32" spans="1:3">
      <c r="A32" s="2" t="s">
        <v>54</v>
      </c>
      <c r="B32" s="12" t="str">
        <f>VLOOKUP(A32,'Locations &amp; Types'!$E:$F,2,FALSE)</f>
        <v>GDN (EM)</v>
      </c>
      <c r="C32" s="89">
        <v>9867513</v>
      </c>
    </row>
    <row r="33" spans="1:3">
      <c r="A33" s="2" t="s">
        <v>55</v>
      </c>
      <c r="B33" s="12" t="str">
        <f>VLOOKUP(A33,'Locations &amp; Types'!$E:$F,2,FALSE)</f>
        <v>DC</v>
      </c>
      <c r="C33" s="89">
        <v>27291369.8630137</v>
      </c>
    </row>
    <row r="34" spans="1:3">
      <c r="A34" s="2" t="s">
        <v>56</v>
      </c>
      <c r="B34" s="12" t="str">
        <f>VLOOKUP(A34,'Locations &amp; Types'!$E:$F,2,FALSE)</f>
        <v>GDN (NW)</v>
      </c>
      <c r="C34" s="89">
        <v>123939267</v>
      </c>
    </row>
    <row r="35" spans="1:3">
      <c r="A35" s="2" t="s">
        <v>57</v>
      </c>
      <c r="B35" s="12" t="str">
        <f>VLOOKUP(A35,'Locations &amp; Types'!$E:$F,2,FALSE)</f>
        <v>GDN (EM)</v>
      </c>
      <c r="C35" s="89">
        <v>55825856</v>
      </c>
    </row>
    <row r="36" spans="1:3">
      <c r="A36" s="2" t="s">
        <v>58</v>
      </c>
      <c r="B36" s="12" t="str">
        <f>VLOOKUP(A36,'Locations &amp; Types'!$E:$F,2,FALSE)</f>
        <v>DC</v>
      </c>
      <c r="C36" s="89">
        <v>1605479.4520547944</v>
      </c>
    </row>
    <row r="37" spans="1:3">
      <c r="A37" s="2" t="s">
        <v>59</v>
      </c>
      <c r="B37" s="12" t="str">
        <f>VLOOKUP(A37,'Locations &amp; Types'!$E:$F,2,FALSE)</f>
        <v>DC</v>
      </c>
      <c r="C37" s="89">
        <v>13982362.493150691</v>
      </c>
    </row>
    <row r="38" spans="1:3">
      <c r="A38" s="2" t="s">
        <v>60</v>
      </c>
      <c r="B38" s="12" t="str">
        <f>VLOOKUP(A38,'Locations &amp; Types'!$E:$F,2,FALSE)</f>
        <v>GDN (SO)</v>
      </c>
      <c r="C38" s="89">
        <v>102837744</v>
      </c>
    </row>
    <row r="39" spans="1:3">
      <c r="A39" s="2" t="s">
        <v>61</v>
      </c>
      <c r="B39" s="12" t="str">
        <f>VLOOKUP(A39,'Locations &amp; Types'!$E:$F,2,FALSE)</f>
        <v>GDN (SO)</v>
      </c>
      <c r="C39" s="89">
        <v>58866000</v>
      </c>
    </row>
    <row r="40" spans="1:3">
      <c r="A40" s="2" t="s">
        <v>62</v>
      </c>
      <c r="B40" s="12" t="str">
        <f>VLOOKUP(A40,'Locations &amp; Types'!$E:$F,2,FALSE)</f>
        <v>DC</v>
      </c>
      <c r="C40" s="89">
        <v>105652.43835616432</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20624435</v>
      </c>
    </row>
    <row r="45" spans="1:3">
      <c r="A45" s="2" t="s">
        <v>67</v>
      </c>
      <c r="B45" s="12" t="str">
        <f>VLOOKUP(A45,'Locations &amp; Types'!$E:$F,2,FALSE)</f>
        <v>DC</v>
      </c>
      <c r="C45" s="89">
        <v>13583891.260273984</v>
      </c>
    </row>
    <row r="46" spans="1:3">
      <c r="A46" s="2" t="s">
        <v>68</v>
      </c>
      <c r="B46" s="12" t="str">
        <f>VLOOKUP(A46,'Locations &amp; Types'!$E:$F,2,FALSE)</f>
        <v>GDN (EM)</v>
      </c>
      <c r="C46" s="89">
        <v>8977861</v>
      </c>
    </row>
    <row r="47" spans="1:3">
      <c r="A47" s="2" t="s">
        <v>69</v>
      </c>
      <c r="B47" s="12" t="str">
        <f>VLOOKUP(A47,'Locations &amp; Types'!$E:$F,2,FALSE)</f>
        <v>DC</v>
      </c>
      <c r="C47" s="89">
        <v>343312.71232876705</v>
      </c>
    </row>
    <row r="48" spans="1:3">
      <c r="A48" s="2" t="s">
        <v>70</v>
      </c>
      <c r="B48" s="12" t="str">
        <f>VLOOKUP(A48,'Locations &amp; Types'!$E:$F,2,FALSE)</f>
        <v>GDN (EA)</v>
      </c>
      <c r="C48" s="89">
        <v>0</v>
      </c>
    </row>
    <row r="49" spans="1:3">
      <c r="A49" s="2" t="s">
        <v>71</v>
      </c>
      <c r="B49" s="12" t="str">
        <f>VLOOKUP(A49,'Locations &amp; Types'!$E:$F,2,FALSE)</f>
        <v>GDN (SC)</v>
      </c>
      <c r="C49" s="89">
        <v>3576724</v>
      </c>
    </row>
    <row r="50" spans="1:3">
      <c r="A50" s="2" t="s">
        <v>72</v>
      </c>
      <c r="B50" s="12" t="str">
        <f>VLOOKUP(A50,'Locations &amp; Types'!$E:$F,2,FALSE)</f>
        <v>DC</v>
      </c>
      <c r="C50" s="89">
        <v>22847239.890410975</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7878731</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40002877</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0</v>
      </c>
    </row>
    <row r="63" spans="1:3">
      <c r="A63" s="2" t="s">
        <v>84</v>
      </c>
      <c r="B63" s="12" t="str">
        <f>VLOOKUP(A63,'Locations &amp; Types'!$E:$F,2,FALSE)</f>
        <v>DC</v>
      </c>
      <c r="C63" s="89">
        <v>37798322.958904102</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47516641</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17765986.213972602</v>
      </c>
    </row>
    <row r="71" spans="1:3">
      <c r="A71" s="2" t="s">
        <v>92</v>
      </c>
      <c r="B71" s="12" t="str">
        <f>VLOOKUP(A71,'Locations &amp; Types'!$E:$F,2,FALSE)</f>
        <v>DC</v>
      </c>
      <c r="C71" s="89">
        <v>36060000</v>
      </c>
    </row>
    <row r="72" spans="1:3">
      <c r="A72" s="2" t="s">
        <v>93</v>
      </c>
      <c r="B72" s="12" t="str">
        <f>VLOOKUP(A72,'Locations &amp; Types'!$E:$F,2,FALSE)</f>
        <v>GDN (SW)</v>
      </c>
      <c r="C72" s="89">
        <v>27781155</v>
      </c>
    </row>
    <row r="73" spans="1:3">
      <c r="A73" s="2" t="s">
        <v>94</v>
      </c>
      <c r="B73" s="12" t="str">
        <f>VLOOKUP(A73,'Locations &amp; Types'!$E:$F,2,FALSE)</f>
        <v>GDN (NW)</v>
      </c>
      <c r="C73" s="89">
        <v>16370887</v>
      </c>
    </row>
    <row r="74" spans="1:3">
      <c r="A74" s="2" t="s">
        <v>95</v>
      </c>
      <c r="B74" s="12" t="str">
        <f>VLOOKUP(A74,'Locations &amp; Types'!$E:$F,2,FALSE)</f>
        <v>GDN (NO)</v>
      </c>
      <c r="C74" s="89">
        <v>56000000</v>
      </c>
    </row>
    <row r="75" spans="1:3">
      <c r="A75" s="2" t="s">
        <v>96</v>
      </c>
      <c r="B75" s="12" t="str">
        <f>VLOOKUP(A75,'Locations &amp; Types'!$E:$F,2,FALSE)</f>
        <v>DC</v>
      </c>
      <c r="C75" s="89">
        <v>0</v>
      </c>
    </row>
    <row r="76" spans="1:3">
      <c r="A76" s="2" t="s">
        <v>97</v>
      </c>
      <c r="B76" s="12" t="str">
        <f>VLOOKUP(A76,'Locations &amp; Types'!$E:$F,2,FALSE)</f>
        <v>DC</v>
      </c>
      <c r="C76" s="89">
        <v>12313242.342465753</v>
      </c>
    </row>
    <row r="77" spans="1:3">
      <c r="A77" s="2" t="s">
        <v>98</v>
      </c>
      <c r="B77" s="12" t="str">
        <f>VLOOKUP(A77,'Locations &amp; Types'!$E:$F,2,FALSE)</f>
        <v>GDN (SW)</v>
      </c>
      <c r="C77" s="89">
        <v>6570000</v>
      </c>
    </row>
    <row r="78" spans="1:3">
      <c r="A78" s="2" t="s">
        <v>99</v>
      </c>
      <c r="B78" s="12" t="str">
        <f>VLOOKUP(A78,'Locations &amp; Types'!$E:$F,2,FALSE)</f>
        <v>GDN (SE)</v>
      </c>
      <c r="C78" s="89">
        <v>86623407</v>
      </c>
    </row>
    <row r="79" spans="1:3">
      <c r="A79" s="2" t="s">
        <v>100</v>
      </c>
      <c r="B79" s="12" t="str">
        <f>VLOOKUP(A79,'Locations &amp; Types'!$E:$F,2,FALSE)</f>
        <v>GDN (SE)</v>
      </c>
      <c r="C79" s="89">
        <v>80373971</v>
      </c>
    </row>
    <row r="80" spans="1:3">
      <c r="A80" s="2" t="s">
        <v>101</v>
      </c>
      <c r="B80" s="12" t="str">
        <f>VLOOKUP(A80,'Locations &amp; Types'!$E:$F,2,FALSE)</f>
        <v>DC</v>
      </c>
      <c r="C80" s="89">
        <v>0</v>
      </c>
    </row>
    <row r="81" spans="1:3">
      <c r="A81" s="2" t="s">
        <v>102</v>
      </c>
      <c r="B81" s="12" t="str">
        <f>VLOOKUP(A81,'Locations &amp; Types'!$E:$F,2,FALSE)</f>
        <v>GDN (SW)</v>
      </c>
      <c r="C81" s="89">
        <v>22701629</v>
      </c>
    </row>
    <row r="82" spans="1:3">
      <c r="A82" s="2" t="s">
        <v>103</v>
      </c>
      <c r="B82" s="12" t="str">
        <f>VLOOKUP(A82,'Locations &amp; Types'!$E:$F,2,FALSE)</f>
        <v>GDN (NE)</v>
      </c>
      <c r="C82" s="89">
        <v>16610330</v>
      </c>
    </row>
    <row r="83" spans="1:3">
      <c r="A83" s="2" t="s">
        <v>104</v>
      </c>
      <c r="B83" s="12" t="str">
        <f>VLOOKUP(A83,'Locations &amp; Types'!$E:$F,2,FALSE)</f>
        <v>STORAGE SITE</v>
      </c>
      <c r="C83" s="89">
        <v>326003150.68493152</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1700273.9726027397</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39049407.205479443</v>
      </c>
    </row>
    <row r="91" spans="1:3">
      <c r="A91" s="2" t="s">
        <v>111</v>
      </c>
      <c r="B91" s="12" t="str">
        <f>VLOOKUP(A91,'Locations &amp; Types'!$E:$F,2,FALSE)</f>
        <v>GDN (EA)</v>
      </c>
      <c r="C91" s="89">
        <v>20622606</v>
      </c>
    </row>
    <row r="92" spans="1:3">
      <c r="A92" s="2" t="s">
        <v>112</v>
      </c>
      <c r="B92" s="12" t="str">
        <f>VLOOKUP(A92,'Locations &amp; Types'!$E:$F,2,FALSE)</f>
        <v>GDN (NO)</v>
      </c>
      <c r="C92" s="89">
        <v>1806988</v>
      </c>
    </row>
    <row r="93" spans="1:3">
      <c r="A93" s="2" t="s">
        <v>113</v>
      </c>
      <c r="B93" s="12" t="str">
        <f>VLOOKUP(A93,'Locations &amp; Types'!$E:$F,2,FALSE)</f>
        <v>GDN (SO)</v>
      </c>
      <c r="C93" s="89">
        <v>106654165</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6017436.6849315045</v>
      </c>
    </row>
    <row r="98" spans="1:3">
      <c r="A98" s="2" t="s">
        <v>118</v>
      </c>
      <c r="B98" s="12" t="str">
        <f>VLOOKUP(A98,'Locations &amp; Types'!$E:$F,2,FALSE)</f>
        <v>STORAGE SITE</v>
      </c>
      <c r="C98" s="89">
        <v>584777.4794520546</v>
      </c>
    </row>
    <row r="99" spans="1:3">
      <c r="A99" s="2" t="s">
        <v>119</v>
      </c>
      <c r="B99" s="12" t="str">
        <f>VLOOKUP(A99,'Locations &amp; Types'!$E:$F,2,FALSE)</f>
        <v>STORAGE SITE</v>
      </c>
      <c r="C99" s="89">
        <v>31829848.328767125</v>
      </c>
    </row>
    <row r="100" spans="1:3">
      <c r="A100" s="2" t="s">
        <v>120</v>
      </c>
      <c r="B100" s="12" t="str">
        <f>VLOOKUP(A100,'Locations &amp; Types'!$E:$F,2,FALSE)</f>
        <v>DC</v>
      </c>
      <c r="C100" s="89">
        <v>446590.95890410902</v>
      </c>
    </row>
    <row r="101" spans="1:3">
      <c r="A101" s="2" t="s">
        <v>121</v>
      </c>
      <c r="B101" s="12" t="str">
        <f>VLOOKUP(A101,'Locations &amp; Types'!$E:$F,2,FALSE)</f>
        <v>GDN (NW)</v>
      </c>
      <c r="C101" s="89">
        <v>18387106</v>
      </c>
    </row>
    <row r="102" spans="1:3">
      <c r="A102" s="2" t="s">
        <v>122</v>
      </c>
      <c r="B102" s="12" t="str">
        <f>VLOOKUP(A102,'Locations &amp; Types'!$E:$F,2,FALSE)</f>
        <v>GDN (NT)</v>
      </c>
      <c r="C102" s="89">
        <v>33307669</v>
      </c>
    </row>
    <row r="103" spans="1:3">
      <c r="A103" s="2" t="s">
        <v>123</v>
      </c>
      <c r="B103" s="12" t="str">
        <f>VLOOKUP(A103,'Locations &amp; Types'!$E:$F,2,FALSE)</f>
        <v>STORAGE SITE</v>
      </c>
      <c r="C103" s="89">
        <v>41511502.97260274</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34527916</v>
      </c>
    </row>
    <row r="107" spans="1:3">
      <c r="A107" s="2" t="s">
        <v>127</v>
      </c>
      <c r="B107" s="12" t="str">
        <f>VLOOKUP(A107,'Locations &amp; Types'!$E:$F,2,FALSE)</f>
        <v>GDN (SO)</v>
      </c>
      <c r="C107" s="89">
        <v>8410345</v>
      </c>
    </row>
    <row r="108" spans="1:3">
      <c r="A108" s="2" t="s">
        <v>128</v>
      </c>
      <c r="B108" s="12" t="str">
        <f>VLOOKUP(A108,'Locations &amp; Types'!$E:$F,2,FALSE)</f>
        <v>GDN (SO)</v>
      </c>
      <c r="C108" s="89">
        <v>12083873</v>
      </c>
    </row>
    <row r="109" spans="1:3">
      <c r="A109" s="2" t="s">
        <v>129</v>
      </c>
      <c r="B109" s="12" t="str">
        <f>VLOOKUP(A109,'Locations &amp; Types'!$E:$F,2,FALSE)</f>
        <v>GDN (NO)</v>
      </c>
      <c r="C109" s="89">
        <v>1156178</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31700000</v>
      </c>
    </row>
    <row r="114" spans="1:3">
      <c r="A114" s="2" t="s">
        <v>134</v>
      </c>
      <c r="B114" s="12" t="str">
        <f>VLOOKUP(A114,'Locations &amp; Types'!$E:$F,2,FALSE)</f>
        <v>GDN (SC)</v>
      </c>
      <c r="C114" s="89">
        <v>155319</v>
      </c>
    </row>
    <row r="115" spans="1:3">
      <c r="A115" s="2" t="s">
        <v>135</v>
      </c>
      <c r="B115" s="12" t="str">
        <f>VLOOKUP(A115,'Locations &amp; Types'!$E:$F,2,FALSE)</f>
        <v>GDN (SC)</v>
      </c>
      <c r="C115" s="89">
        <v>0</v>
      </c>
    </row>
    <row r="116" spans="1:3">
      <c r="A116" s="2" t="s">
        <v>136</v>
      </c>
      <c r="B116" s="12" t="str">
        <f>VLOOKUP(A116,'Locations &amp; Types'!$E:$F,2,FALSE)</f>
        <v>GDN (WM)</v>
      </c>
      <c r="C116" s="89">
        <v>2586215</v>
      </c>
    </row>
    <row r="117" spans="1:3">
      <c r="A117" s="2" t="s">
        <v>137</v>
      </c>
      <c r="B117" s="12" t="str">
        <f>VLOOKUP(A117,'Locations &amp; Types'!$E:$F,2,FALSE)</f>
        <v>GDN (NO)</v>
      </c>
      <c r="C117" s="89">
        <v>14089321</v>
      </c>
    </row>
    <row r="118" spans="1:3">
      <c r="A118" s="2" t="s">
        <v>138</v>
      </c>
      <c r="B118" s="12" t="str">
        <f>VLOOKUP(A118,'Locations &amp; Types'!$E:$F,2,FALSE)</f>
        <v>GDN (SW)</v>
      </c>
      <c r="C118" s="89">
        <v>2470000</v>
      </c>
    </row>
    <row r="119" spans="1:3">
      <c r="A119" s="2" t="s">
        <v>139</v>
      </c>
      <c r="B119" s="12" t="str">
        <f>VLOOKUP(A119,'Locations &amp; Types'!$E:$F,2,FALSE)</f>
        <v>GDN (SC)</v>
      </c>
      <c r="C119" s="89">
        <v>6757111</v>
      </c>
    </row>
    <row r="120" spans="1:3">
      <c r="A120" s="2" t="s">
        <v>140</v>
      </c>
      <c r="B120" s="12" t="str">
        <f>VLOOKUP(A120,'Locations &amp; Types'!$E:$F,2,FALSE)</f>
        <v>GDN (WM)</v>
      </c>
      <c r="C120" s="89">
        <v>26684207</v>
      </c>
    </row>
    <row r="121" spans="1:3">
      <c r="A121" s="2" t="s">
        <v>141</v>
      </c>
      <c r="B121" s="12" t="str">
        <f>VLOOKUP(A121,'Locations &amp; Types'!$E:$F,2,FALSE)</f>
        <v>GDN (NW)</v>
      </c>
      <c r="C121" s="89">
        <v>15464650</v>
      </c>
    </row>
    <row r="122" spans="1:3">
      <c r="A122" s="2" t="s">
        <v>142</v>
      </c>
      <c r="B122" s="12" t="str">
        <f>VLOOKUP(A122,'Locations &amp; Types'!$E:$F,2,FALSE)</f>
        <v>GDN (NT)</v>
      </c>
      <c r="C122" s="89">
        <v>76147689</v>
      </c>
    </row>
    <row r="123" spans="1:3">
      <c r="A123" s="2" t="s">
        <v>143</v>
      </c>
      <c r="B123" s="12" t="str">
        <f>VLOOKUP(A123,'Locations &amp; Types'!$E:$F,2,FALSE)</f>
        <v>GDN (SW)</v>
      </c>
      <c r="C123" s="89">
        <v>47668504</v>
      </c>
    </row>
    <row r="124" spans="1:3">
      <c r="A124" s="2" t="s">
        <v>144</v>
      </c>
      <c r="B124" s="12" t="str">
        <f>VLOOKUP(A124,'Locations &amp; Types'!$E:$F,2,FALSE)</f>
        <v>GDN (WN)</v>
      </c>
      <c r="C124" s="89">
        <v>51525078</v>
      </c>
    </row>
    <row r="125" spans="1:3">
      <c r="A125" s="2" t="s">
        <v>145</v>
      </c>
      <c r="B125" s="12" t="str">
        <f>VLOOKUP(A125,'Locations &amp; Types'!$E:$F,2,FALSE)</f>
        <v>GDN (NW)</v>
      </c>
      <c r="C125" s="89">
        <v>685222</v>
      </c>
    </row>
    <row r="126" spans="1:3">
      <c r="A126" s="2" t="s">
        <v>146</v>
      </c>
      <c r="B126" s="12" t="str">
        <f>VLOOKUP(A126,'Locations &amp; Types'!$E:$F,2,FALSE)</f>
        <v>GDN (SO)</v>
      </c>
      <c r="C126" s="89">
        <v>38538881</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949364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243649428.46575344</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39994219</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2805479.4520547944</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25368959</v>
      </c>
    </row>
    <row r="151" spans="1:3">
      <c r="A151" s="2" t="s">
        <v>170</v>
      </c>
      <c r="B151" s="12" t="str">
        <f>VLOOKUP(A151,'Locations &amp; Types'!$E:$F,2,FALSE)</f>
        <v>GDN (NE)</v>
      </c>
      <c r="C151" s="89">
        <v>5080452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16281005</v>
      </c>
    </row>
    <row r="158" spans="1:3">
      <c r="A158" s="2" t="s">
        <v>177</v>
      </c>
      <c r="B158" s="12" t="str">
        <f>VLOOKUP(A158,'Locations &amp; Types'!$E:$F,2,FALSE)</f>
        <v>GDN (EA)</v>
      </c>
      <c r="C158" s="89">
        <v>2367780</v>
      </c>
    </row>
    <row r="159" spans="1:3">
      <c r="A159" s="2" t="s">
        <v>178</v>
      </c>
      <c r="B159" s="12" t="str">
        <f>VLOOKUP(A159,'Locations &amp; Types'!$E:$F,2,FALSE)</f>
        <v>GDN (WM)</v>
      </c>
      <c r="C159" s="89">
        <v>59670957</v>
      </c>
    </row>
    <row r="160" spans="1:3">
      <c r="A160" s="2" t="s">
        <v>179</v>
      </c>
      <c r="B160" s="12" t="str">
        <f>VLOOKUP(A160,'Locations &amp; Types'!$E:$F,2,FALSE)</f>
        <v>DC</v>
      </c>
      <c r="C160" s="89">
        <v>38660000</v>
      </c>
    </row>
    <row r="161" spans="1:3">
      <c r="A161" s="2" t="s">
        <v>180</v>
      </c>
      <c r="B161" s="12" t="str">
        <f>VLOOKUP(A161,'Locations &amp; Types'!$E:$F,2,FALSE)</f>
        <v>DC</v>
      </c>
      <c r="C161" s="89">
        <v>17980000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39506950</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54053845</v>
      </c>
    </row>
    <row r="169" spans="1:3">
      <c r="A169" s="2" t="s">
        <v>188</v>
      </c>
      <c r="B169" s="12" t="str">
        <f>VLOOKUP(A169,'Locations &amp; Types'!$E:$F,2,FALSE)</f>
        <v>DC</v>
      </c>
      <c r="C169" s="89">
        <v>18316938</v>
      </c>
    </row>
    <row r="170" spans="1:3">
      <c r="A170" s="2" t="s">
        <v>241</v>
      </c>
      <c r="B170" s="12" t="str">
        <f>VLOOKUP(A170,'Locations &amp; Types'!$E:$F,2,FALSE)</f>
        <v>DC</v>
      </c>
      <c r="C170" s="89">
        <v>49277.068991780827</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19826107</v>
      </c>
    </row>
    <row r="174" spans="1:3">
      <c r="A174" s="2" t="s">
        <v>192</v>
      </c>
      <c r="B174" s="12" t="str">
        <f>VLOOKUP(A174,'Locations &amp; Types'!$E:$F,2,FALSE)</f>
        <v>DC</v>
      </c>
      <c r="C174" s="89">
        <v>247671.23287671234</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178806.35616438361</v>
      </c>
    </row>
    <row r="179" spans="1:3">
      <c r="A179" s="2" t="s">
        <v>21</v>
      </c>
      <c r="B179" s="12" t="str">
        <f>VLOOKUP(A179,'Locations &amp; Types'!$E:$F,2,FALSE)</f>
        <v>GDN (SC)</v>
      </c>
      <c r="C179" s="89">
        <v>1055917</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17811878.082191776</v>
      </c>
    </row>
    <row r="183" spans="1:3">
      <c r="A183" s="2" t="s">
        <v>200</v>
      </c>
      <c r="B183" s="12" t="str">
        <f>VLOOKUP(A183,'Locations &amp; Types'!$E:$F,2,FALSE)</f>
        <v>DC</v>
      </c>
      <c r="C183" s="89">
        <v>52700000</v>
      </c>
    </row>
    <row r="184" spans="1:3">
      <c r="A184" s="2" t="s">
        <v>201</v>
      </c>
      <c r="B184" s="12" t="str">
        <f>VLOOKUP(A184,'Locations &amp; Types'!$E:$F,2,FALSE)</f>
        <v>DC</v>
      </c>
      <c r="C184" s="89">
        <v>11676634.109589024</v>
      </c>
    </row>
    <row r="185" spans="1:3">
      <c r="A185" s="2" t="s">
        <v>202</v>
      </c>
      <c r="B185" s="12" t="str">
        <f>VLOOKUP(A185,'Locations &amp; Types'!$E:$F,2,FALSE)</f>
        <v>DC</v>
      </c>
      <c r="C185" s="89">
        <v>82000000</v>
      </c>
    </row>
    <row r="186" spans="1:3">
      <c r="A186" s="2" t="s">
        <v>203</v>
      </c>
      <c r="B186" s="12" t="str">
        <f>VLOOKUP(A186,'Locations &amp; Types'!$E:$F,2,FALSE)</f>
        <v>GDN (SC)</v>
      </c>
      <c r="C186" s="89">
        <v>742435</v>
      </c>
    </row>
    <row r="187" spans="1:3">
      <c r="A187" s="2" t="s">
        <v>204</v>
      </c>
      <c r="B187" s="12" t="str">
        <f>VLOOKUP(A187,'Locations &amp; Types'!$E:$F,2,FALSE)</f>
        <v>GDN (WM)</v>
      </c>
      <c r="C187" s="89">
        <v>3735040</v>
      </c>
    </row>
    <row r="188" spans="1:3">
      <c r="A188" s="2" t="s">
        <v>205</v>
      </c>
      <c r="B188" s="12" t="str">
        <f>VLOOKUP(A188,'Locations &amp; Types'!$E:$F,2,FALSE)</f>
        <v>STORAGE SITE</v>
      </c>
      <c r="C188" s="89">
        <v>29584634.410958912</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192774633</v>
      </c>
    </row>
    <row r="192" spans="1:3">
      <c r="A192" s="2" t="s">
        <v>209</v>
      </c>
      <c r="B192" s="12" t="str">
        <f>VLOOKUP(A192,'Locations &amp; Types'!$E:$F,2,FALSE)</f>
        <v>DC</v>
      </c>
      <c r="C192" s="89">
        <v>8369000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40032876.712328769</v>
      </c>
    </row>
    <row r="198" spans="1:3">
      <c r="A198" s="2" t="s">
        <v>215</v>
      </c>
      <c r="B198" s="12" t="str">
        <f>VLOOKUP(A198,'Locations &amp; Types'!$E:$F,2,FALSE)</f>
        <v>GDN (NO)</v>
      </c>
      <c r="C198" s="89">
        <v>4490616</v>
      </c>
    </row>
    <row r="199" spans="1:3">
      <c r="A199" s="2" t="s">
        <v>216</v>
      </c>
      <c r="B199" s="12" t="str">
        <f>VLOOKUP(A199,'Locations &amp; Types'!$E:$F,2,FALSE)</f>
        <v>DC</v>
      </c>
      <c r="C199" s="89">
        <v>21146822</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28768883.153424662</v>
      </c>
    </row>
    <row r="204" spans="1:3">
      <c r="A204" s="2" t="s">
        <v>220</v>
      </c>
      <c r="B204" s="12" t="str">
        <f>VLOOKUP(A204,'Locations &amp; Types'!$E:$F,2,FALSE)</f>
        <v>GDN (EM)</v>
      </c>
      <c r="C204" s="89">
        <v>56364567</v>
      </c>
    </row>
    <row r="205" spans="1:3">
      <c r="A205" s="2" t="s">
        <v>221</v>
      </c>
      <c r="B205" s="12" t="str">
        <f>VLOOKUP(A205,'Locations &amp; Types'!$E:$F,2,FALSE)</f>
        <v>DC</v>
      </c>
      <c r="C205" s="89">
        <v>8300000</v>
      </c>
    </row>
    <row r="206" spans="1:3">
      <c r="A206" s="2" t="s">
        <v>222</v>
      </c>
      <c r="B206" s="12" t="str">
        <f>VLOOKUP(A206,'Locations &amp; Types'!$E:$F,2,FALSE)</f>
        <v>GDN (EM)</v>
      </c>
      <c r="C206" s="89">
        <v>529635</v>
      </c>
    </row>
    <row r="207" spans="1:3">
      <c r="A207" s="2" t="s">
        <v>223</v>
      </c>
      <c r="B207" s="12" t="str">
        <f>VLOOKUP(A207,'Locations &amp; Types'!$E:$F,2,FALSE)</f>
        <v>GDN (NW)</v>
      </c>
      <c r="C207" s="89">
        <v>92041489</v>
      </c>
    </row>
    <row r="208" spans="1:3">
      <c r="A208" s="2" t="s">
        <v>224</v>
      </c>
      <c r="B208" s="12" t="str">
        <f>VLOOKUP(A208,'Locations &amp; Types'!$E:$F,2,FALSE)</f>
        <v>DC</v>
      </c>
      <c r="C208" s="89">
        <v>37530627.863013692</v>
      </c>
    </row>
    <row r="209" spans="1:3">
      <c r="A209" s="2" t="s">
        <v>225</v>
      </c>
      <c r="B209" s="12" t="str">
        <f>VLOOKUP(A209,'Locations &amp; Types'!$E:$F,2,FALSE)</f>
        <v>GDN (EA)</v>
      </c>
      <c r="C209" s="89">
        <v>10086940</v>
      </c>
    </row>
    <row r="210" spans="1:3">
      <c r="A210" s="2" t="s">
        <v>226</v>
      </c>
      <c r="B210" s="12" t="str">
        <f>VLOOKUP(A210,'Locations &amp; Types'!$E:$F,2,FALSE)</f>
        <v>GDN (NW)</v>
      </c>
      <c r="C210" s="89">
        <v>4076123</v>
      </c>
    </row>
    <row r="211" spans="1:3">
      <c r="A211" s="2" t="s">
        <v>227</v>
      </c>
      <c r="B211" s="12" t="str">
        <f>VLOOKUP(A211,'Locations &amp; Types'!$E:$F,2,FALSE)</f>
        <v>DC</v>
      </c>
      <c r="C211" s="89">
        <v>468089.32383561647</v>
      </c>
    </row>
    <row r="212" spans="1:3">
      <c r="A212" s="2" t="s">
        <v>228</v>
      </c>
      <c r="B212" s="12" t="str">
        <f>VLOOKUP(A212,'Locations &amp; Types'!$E:$F,2,FALSE)</f>
        <v>DC</v>
      </c>
      <c r="C212" s="89">
        <v>20599801.260273974</v>
      </c>
    </row>
    <row r="213" spans="1:3">
      <c r="A213" s="2" t="s">
        <v>229</v>
      </c>
      <c r="B213" s="12" t="str">
        <f>VLOOKUP(A213,'Locations &amp; Types'!$E:$F,2,FALSE)</f>
        <v>GDN (NO)</v>
      </c>
      <c r="C213" s="89">
        <v>21081755</v>
      </c>
    </row>
    <row r="214" spans="1:3">
      <c r="A214" s="2" t="s">
        <v>230</v>
      </c>
      <c r="B214" s="12" t="str">
        <f>VLOOKUP(A214,'Locations &amp; Types'!$E:$F,2,FALSE)</f>
        <v>GDN (EA)</v>
      </c>
      <c r="C214" s="89">
        <v>104462230</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106260000</v>
      </c>
    </row>
    <row r="218" spans="1:3">
      <c r="A218" s="2" t="s">
        <v>234</v>
      </c>
      <c r="B218" s="12" t="str">
        <f>VLOOKUP(A218,'Locations &amp; Types'!$E:$F,2,FALSE)</f>
        <v>GDN (SO)</v>
      </c>
      <c r="C218" s="89">
        <v>36499431</v>
      </c>
    </row>
    <row r="219" spans="1:3">
      <c r="A219" s="2" t="s">
        <v>235</v>
      </c>
      <c r="B219" s="12" t="str">
        <f>VLOOKUP(A219,'Locations &amp; Types'!$E:$F,2,FALSE)</f>
        <v>DC</v>
      </c>
      <c r="C219" s="89">
        <v>19188380.10958904</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276430.58380821923</v>
      </c>
    </row>
    <row r="223" spans="1:3">
      <c r="A223" s="2" t="s">
        <v>534</v>
      </c>
      <c r="B223" s="12" t="str">
        <f>VLOOKUP(A223,'Locations &amp; Types'!$E:$F,2,FALSE)</f>
        <v>DC</v>
      </c>
      <c r="C223" s="89">
        <v>0</v>
      </c>
    </row>
    <row r="224" spans="1:3">
      <c r="A224" s="2" t="s">
        <v>535</v>
      </c>
      <c r="B224" s="12" t="str">
        <f>VLOOKUP(A224,'Locations &amp; Types'!$E:$F,2,FALSE)</f>
        <v>DC</v>
      </c>
      <c r="C224" s="89">
        <v>800000</v>
      </c>
    </row>
    <row r="225" spans="1:3">
      <c r="A225" s="2" t="s">
        <v>536</v>
      </c>
      <c r="B225" s="12" t="str">
        <f>VLOOKUP(A225,'Locations &amp; Types'!$E:$F,2,FALSE)</f>
        <v>DC</v>
      </c>
      <c r="C225" s="89">
        <v>4200000</v>
      </c>
    </row>
    <row r="226" spans="1:3">
      <c r="A226" s="2" t="s">
        <v>537</v>
      </c>
      <c r="B226" s="12" t="str">
        <f>VLOOKUP(A226,'Locations &amp; Types'!$E:$F,2,FALSE)</f>
        <v>DC</v>
      </c>
      <c r="C226" s="89">
        <v>3779832.6575342491</v>
      </c>
    </row>
    <row r="227" spans="1:3">
      <c r="A227" s="2" t="s">
        <v>538</v>
      </c>
      <c r="B227" s="12" t="str">
        <f>VLOOKUP(A227,'Locations &amp; Types'!$E:$F,2,FALSE)</f>
        <v>DC</v>
      </c>
      <c r="C227" s="89">
        <v>0</v>
      </c>
    </row>
    <row r="228" spans="1:3">
      <c r="A228" s="2" t="s">
        <v>545</v>
      </c>
      <c r="B228" s="12" t="str">
        <f>VLOOKUP(A228,'Locations &amp; Types'!$E:$F,2,FALSE)</f>
        <v>DC</v>
      </c>
      <c r="C228" s="89">
        <v>7310160</v>
      </c>
    </row>
    <row r="229" spans="1:3">
      <c r="A229" s="2" t="s">
        <v>539</v>
      </c>
      <c r="B229" s="12" t="str">
        <f>VLOOKUP(A229,'Locations &amp; Types'!$E:$F,2,FALSE)</f>
        <v>DC</v>
      </c>
      <c r="C229" s="89">
        <v>33600000</v>
      </c>
    </row>
    <row r="230" spans="1:3">
      <c r="A230" s="2" t="s">
        <v>540</v>
      </c>
      <c r="B230" s="12" t="str">
        <f>VLOOKUP(A230,'Locations &amp; Types'!$E:$F,2,FALSE)</f>
        <v>DC</v>
      </c>
      <c r="C230" s="89">
        <v>39776149</v>
      </c>
    </row>
    <row r="231" spans="1:3">
      <c r="A231" s="2" t="s">
        <v>176</v>
      </c>
      <c r="B231" s="12" t="str">
        <f>VLOOKUP(A231,'Locations &amp; Types'!$E:$F,2,FALSE)</f>
        <v>STORAGE SITE</v>
      </c>
      <c r="C231" s="89">
        <v>6538325.5616438352</v>
      </c>
    </row>
    <row r="233" spans="1:3">
      <c r="C233" s="164"/>
    </row>
    <row r="242" spans="3:3">
      <c r="C242" t="s">
        <v>549</v>
      </c>
    </row>
  </sheetData>
  <mergeCells count="2">
    <mergeCell ref="A1:A2"/>
    <mergeCell ref="B1:B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39997558519241921"/>
  </sheetPr>
  <dimension ref="A1:AD307"/>
  <sheetViews>
    <sheetView workbookViewId="0">
      <pane xSplit="2" ySplit="2" topLeftCell="C3" activePane="bottomRight" state="frozen"/>
      <selection pane="topRight" activeCell="B1" sqref="B1"/>
      <selection pane="bottomLeft" activeCell="A2" sqref="A2"/>
      <selection pane="bottomRight" activeCell="C8" sqref="C8"/>
    </sheetView>
  </sheetViews>
  <sheetFormatPr defaultColWidth="8.85546875" defaultRowHeight="15"/>
  <cols>
    <col min="1" max="1" width="9.140625" style="373"/>
    <col min="2" max="2" width="34.42578125" style="395" bestFit="1" customWidth="1"/>
    <col min="3" max="3" width="18" style="373" bestFit="1" customWidth="1"/>
    <col min="4" max="4" width="18.7109375" style="373" bestFit="1" customWidth="1"/>
    <col min="5" max="5" width="19.28515625" style="373" bestFit="1" customWidth="1"/>
    <col min="6" max="6" width="25.42578125" style="373" bestFit="1" customWidth="1"/>
    <col min="7" max="7" width="18" style="373" bestFit="1" customWidth="1"/>
    <col min="8" max="8" width="15.85546875" style="373" bestFit="1" customWidth="1"/>
    <col min="9" max="9" width="20.42578125" style="373" bestFit="1" customWidth="1"/>
    <col min="10" max="10" width="30" style="373" bestFit="1" customWidth="1"/>
    <col min="11" max="11" width="18.42578125" style="373" bestFit="1" customWidth="1"/>
    <col min="12" max="12" width="15" style="373" bestFit="1" customWidth="1"/>
    <col min="13" max="13" width="25" style="373" bestFit="1" customWidth="1"/>
    <col min="14" max="14" width="22.7109375" style="373" bestFit="1" customWidth="1"/>
    <col min="15" max="15" width="24.42578125" style="373" bestFit="1" customWidth="1"/>
    <col min="16" max="16" width="16" style="373" bestFit="1" customWidth="1"/>
    <col min="17" max="17" width="22.42578125" style="373" bestFit="1" customWidth="1"/>
    <col min="18" max="18" width="25" style="373" bestFit="1" customWidth="1"/>
    <col min="19" max="19" width="26.85546875" style="373" bestFit="1" customWidth="1"/>
    <col min="20" max="20" width="17.42578125" style="373" bestFit="1" customWidth="1"/>
    <col min="21" max="21" width="21" style="373" bestFit="1" customWidth="1"/>
    <col min="22" max="22" width="19.140625" style="373" bestFit="1" customWidth="1"/>
    <col min="23" max="23" width="26.28515625" style="373" bestFit="1" customWidth="1"/>
    <col min="24" max="24" width="23.85546875" style="373" bestFit="1" customWidth="1"/>
    <col min="25" max="25" width="23.85546875" style="373" customWidth="1"/>
    <col min="26" max="26" width="23.85546875" style="373" bestFit="1" customWidth="1"/>
    <col min="27" max="27" width="11.140625" style="373" bestFit="1" customWidth="1"/>
    <col min="28" max="28" width="20.7109375" style="373" bestFit="1" customWidth="1"/>
    <col min="29" max="29" width="11.28515625" style="373" bestFit="1" customWidth="1"/>
    <col min="30" max="16384" width="8.85546875" style="373"/>
  </cols>
  <sheetData>
    <row r="1" spans="1:30" ht="15.75" thickBot="1">
      <c r="B1" s="373"/>
      <c r="C1" s="385" t="s">
        <v>474</v>
      </c>
      <c r="D1" s="386" t="s">
        <v>473</v>
      </c>
      <c r="E1" s="386" t="s">
        <v>474</v>
      </c>
      <c r="F1" s="386" t="s">
        <v>474</v>
      </c>
      <c r="G1" s="386" t="s">
        <v>474</v>
      </c>
      <c r="H1" s="386" t="s">
        <v>474</v>
      </c>
      <c r="I1" s="386" t="s">
        <v>474</v>
      </c>
      <c r="J1" s="386" t="s">
        <v>474</v>
      </c>
      <c r="K1" s="386" t="s">
        <v>474</v>
      </c>
      <c r="L1" s="386" t="s">
        <v>474</v>
      </c>
      <c r="M1" s="386" t="s">
        <v>474</v>
      </c>
      <c r="N1" s="386" t="s">
        <v>474</v>
      </c>
      <c r="O1" s="386" t="s">
        <v>474</v>
      </c>
      <c r="P1" s="386" t="s">
        <v>474</v>
      </c>
      <c r="Q1" s="386" t="s">
        <v>474</v>
      </c>
      <c r="R1" s="386" t="s">
        <v>474</v>
      </c>
      <c r="S1" s="386" t="s">
        <v>474</v>
      </c>
      <c r="T1" s="386" t="s">
        <v>474</v>
      </c>
      <c r="U1" s="386" t="s">
        <v>474</v>
      </c>
      <c r="V1" s="386" t="s">
        <v>474</v>
      </c>
      <c r="W1" s="386" t="s">
        <v>474</v>
      </c>
      <c r="X1" s="386" t="s">
        <v>474</v>
      </c>
      <c r="Y1" s="386" t="s">
        <v>474</v>
      </c>
      <c r="Z1" s="386" t="s">
        <v>474</v>
      </c>
      <c r="AA1" s="386" t="s">
        <v>474</v>
      </c>
      <c r="AB1" s="386" t="s">
        <v>474</v>
      </c>
      <c r="AC1" s="387" t="s">
        <v>474</v>
      </c>
    </row>
    <row r="2" spans="1:30" s="390" customFormat="1" ht="15.75" thickBot="1">
      <c r="A2" s="373"/>
      <c r="B2" s="400" t="s">
        <v>0</v>
      </c>
      <c r="C2" s="388" t="s">
        <v>1</v>
      </c>
      <c r="D2" s="376" t="s">
        <v>2</v>
      </c>
      <c r="E2" s="377" t="s">
        <v>3</v>
      </c>
      <c r="F2" s="378" t="s">
        <v>4</v>
      </c>
      <c r="G2" s="378" t="s">
        <v>5</v>
      </c>
      <c r="H2" s="378" t="s">
        <v>6</v>
      </c>
      <c r="I2" s="378" t="s">
        <v>7</v>
      </c>
      <c r="J2" s="378" t="s">
        <v>8</v>
      </c>
      <c r="K2" s="378" t="s">
        <v>9</v>
      </c>
      <c r="L2" s="378" t="s">
        <v>10</v>
      </c>
      <c r="M2" s="378" t="s">
        <v>477</v>
      </c>
      <c r="N2" s="378" t="s">
        <v>11</v>
      </c>
      <c r="O2" s="378" t="s">
        <v>12</v>
      </c>
      <c r="P2" s="378" t="s">
        <v>13</v>
      </c>
      <c r="Q2" s="378" t="s">
        <v>14</v>
      </c>
      <c r="R2" s="378" t="s">
        <v>15</v>
      </c>
      <c r="S2" s="378" t="s">
        <v>16</v>
      </c>
      <c r="T2" s="378" t="s">
        <v>17</v>
      </c>
      <c r="U2" s="378" t="s">
        <v>18</v>
      </c>
      <c r="V2" s="378" t="s">
        <v>19</v>
      </c>
      <c r="W2" s="378" t="s">
        <v>20</v>
      </c>
      <c r="X2" s="378" t="s">
        <v>155</v>
      </c>
      <c r="Y2" s="378" t="s">
        <v>533</v>
      </c>
      <c r="Z2" s="378" t="s">
        <v>21</v>
      </c>
      <c r="AA2" s="378" t="s">
        <v>22</v>
      </c>
      <c r="AB2" s="378" t="s">
        <v>23</v>
      </c>
      <c r="AC2" s="378" t="s">
        <v>24</v>
      </c>
      <c r="AD2" s="389" t="s">
        <v>475</v>
      </c>
    </row>
    <row r="3" spans="1:30">
      <c r="A3" s="397" t="s">
        <v>474</v>
      </c>
      <c r="B3" s="366" t="s">
        <v>26</v>
      </c>
      <c r="C3" s="366">
        <v>891.91</v>
      </c>
      <c r="D3" s="366">
        <v>761.13</v>
      </c>
      <c r="E3" s="366">
        <v>761.13</v>
      </c>
      <c r="F3" s="366">
        <v>642.74</v>
      </c>
      <c r="G3" s="366">
        <v>491.71</v>
      </c>
      <c r="H3" s="366">
        <v>888.26</v>
      </c>
      <c r="I3" s="366">
        <v>337.77</v>
      </c>
      <c r="J3" s="366">
        <v>583.23</v>
      </c>
      <c r="K3" s="366">
        <v>497.14</v>
      </c>
      <c r="L3" s="366">
        <v>910.95</v>
      </c>
      <c r="M3" s="366">
        <v>558.13</v>
      </c>
      <c r="N3" s="366">
        <v>484.7</v>
      </c>
      <c r="O3" s="366">
        <v>223.72</v>
      </c>
      <c r="P3" s="366">
        <v>539.45000000000005</v>
      </c>
      <c r="Q3" s="366">
        <v>592.66999999999996</v>
      </c>
      <c r="R3" s="366">
        <v>536.87</v>
      </c>
      <c r="S3" s="366">
        <v>513.67999999999995</v>
      </c>
      <c r="T3" s="366">
        <v>536.87</v>
      </c>
      <c r="U3" s="366">
        <v>883.09</v>
      </c>
      <c r="V3" s="366">
        <v>1062.1500000000001</v>
      </c>
      <c r="W3" s="366">
        <v>565.54</v>
      </c>
      <c r="X3" s="366">
        <v>291.52999999999997</v>
      </c>
      <c r="Y3" s="366">
        <v>683.45</v>
      </c>
      <c r="Z3" s="366">
        <v>63.9</v>
      </c>
      <c r="AA3" s="366">
        <v>407.03</v>
      </c>
      <c r="AB3" s="366">
        <v>621.87</v>
      </c>
      <c r="AC3" s="366">
        <v>957.2</v>
      </c>
      <c r="AD3" s="391">
        <f>AVERAGE(C3:AC3)</f>
        <v>603.25259259259269</v>
      </c>
    </row>
    <row r="4" spans="1:30">
      <c r="A4" s="398" t="s">
        <v>474</v>
      </c>
      <c r="B4" s="366" t="s">
        <v>27</v>
      </c>
      <c r="C4" s="366">
        <v>25.62</v>
      </c>
      <c r="D4" s="366">
        <v>341.05</v>
      </c>
      <c r="E4" s="366">
        <v>341.05</v>
      </c>
      <c r="F4" s="366">
        <v>326.26</v>
      </c>
      <c r="G4" s="366">
        <v>477.08</v>
      </c>
      <c r="H4" s="366">
        <v>183.26</v>
      </c>
      <c r="I4" s="366">
        <v>528.72</v>
      </c>
      <c r="J4" s="366">
        <v>286.70999999999998</v>
      </c>
      <c r="K4" s="366">
        <v>396.82</v>
      </c>
      <c r="L4" s="366">
        <v>201.7</v>
      </c>
      <c r="M4" s="366">
        <v>377.32</v>
      </c>
      <c r="N4" s="366">
        <v>387.76</v>
      </c>
      <c r="O4" s="366">
        <v>679.37</v>
      </c>
      <c r="P4" s="366">
        <v>370.39</v>
      </c>
      <c r="Q4" s="366">
        <v>277.27</v>
      </c>
      <c r="R4" s="366">
        <v>348.83</v>
      </c>
      <c r="S4" s="366">
        <v>387.06</v>
      </c>
      <c r="T4" s="366">
        <v>348.83</v>
      </c>
      <c r="U4" s="366">
        <v>428.55</v>
      </c>
      <c r="V4" s="366">
        <v>352.9</v>
      </c>
      <c r="W4" s="366">
        <v>307.81</v>
      </c>
      <c r="X4" s="366">
        <v>574.96</v>
      </c>
      <c r="Y4" s="366">
        <v>268.31</v>
      </c>
      <c r="Z4" s="366">
        <v>930.39</v>
      </c>
      <c r="AA4" s="366">
        <v>513.17999999999995</v>
      </c>
      <c r="AB4" s="366">
        <v>333.05</v>
      </c>
      <c r="AC4" s="366">
        <v>90.71</v>
      </c>
      <c r="AD4" s="391">
        <f t="shared" ref="AD4:AD67" si="0">AVERAGE(C4:AC4)</f>
        <v>373.51703703703703</v>
      </c>
    </row>
    <row r="5" spans="1:30">
      <c r="A5" s="398" t="s">
        <v>474</v>
      </c>
      <c r="B5" s="366" t="s">
        <v>28</v>
      </c>
      <c r="C5" s="366">
        <v>221.51</v>
      </c>
      <c r="D5" s="366">
        <v>241.82</v>
      </c>
      <c r="E5" s="366">
        <v>241.82</v>
      </c>
      <c r="F5" s="366">
        <v>130.16999999999999</v>
      </c>
      <c r="G5" s="366">
        <v>280.99</v>
      </c>
      <c r="H5" s="366">
        <v>334.49</v>
      </c>
      <c r="I5" s="366">
        <v>332.63</v>
      </c>
      <c r="J5" s="366">
        <v>90.62</v>
      </c>
      <c r="K5" s="366">
        <v>297.58999999999997</v>
      </c>
      <c r="L5" s="366">
        <v>240.55</v>
      </c>
      <c r="M5" s="366">
        <v>278.08999999999997</v>
      </c>
      <c r="N5" s="366">
        <v>191.67</v>
      </c>
      <c r="O5" s="366">
        <v>483.28</v>
      </c>
      <c r="P5" s="366">
        <v>271.16000000000003</v>
      </c>
      <c r="Q5" s="366">
        <v>81.180000000000007</v>
      </c>
      <c r="R5" s="366">
        <v>249.6</v>
      </c>
      <c r="S5" s="366">
        <v>287.83</v>
      </c>
      <c r="T5" s="366">
        <v>249.6</v>
      </c>
      <c r="U5" s="366">
        <v>329.32</v>
      </c>
      <c r="V5" s="366">
        <v>391.75</v>
      </c>
      <c r="W5" s="366">
        <v>111.72</v>
      </c>
      <c r="X5" s="366">
        <v>378.87</v>
      </c>
      <c r="Y5" s="366">
        <v>169.08</v>
      </c>
      <c r="Z5" s="366">
        <v>734.3</v>
      </c>
      <c r="AA5" s="366">
        <v>407.8</v>
      </c>
      <c r="AB5" s="366">
        <v>233.82</v>
      </c>
      <c r="AC5" s="366">
        <v>286.8</v>
      </c>
      <c r="AD5" s="391">
        <f t="shared" si="0"/>
        <v>279.5577777777778</v>
      </c>
    </row>
    <row r="6" spans="1:30">
      <c r="A6" s="398" t="s">
        <v>474</v>
      </c>
      <c r="B6" s="366" t="s">
        <v>29</v>
      </c>
      <c r="C6" s="366">
        <v>221.51</v>
      </c>
      <c r="D6" s="366">
        <v>241.82</v>
      </c>
      <c r="E6" s="366">
        <v>241.82</v>
      </c>
      <c r="F6" s="366">
        <v>130.16999999999999</v>
      </c>
      <c r="G6" s="366">
        <v>280.99</v>
      </c>
      <c r="H6" s="366">
        <v>334.49</v>
      </c>
      <c r="I6" s="366">
        <v>332.63</v>
      </c>
      <c r="J6" s="366">
        <v>90.62</v>
      </c>
      <c r="K6" s="366">
        <v>297.58999999999997</v>
      </c>
      <c r="L6" s="366">
        <v>240.55</v>
      </c>
      <c r="M6" s="366">
        <v>278.08999999999997</v>
      </c>
      <c r="N6" s="366">
        <v>191.67</v>
      </c>
      <c r="O6" s="366">
        <v>483.28</v>
      </c>
      <c r="P6" s="366">
        <v>271.16000000000003</v>
      </c>
      <c r="Q6" s="366">
        <v>81.180000000000007</v>
      </c>
      <c r="R6" s="366">
        <v>249.6</v>
      </c>
      <c r="S6" s="366">
        <v>287.83</v>
      </c>
      <c r="T6" s="366">
        <v>249.6</v>
      </c>
      <c r="U6" s="366">
        <v>329.32</v>
      </c>
      <c r="V6" s="366">
        <v>391.75</v>
      </c>
      <c r="W6" s="366">
        <v>111.72</v>
      </c>
      <c r="X6" s="366">
        <v>378.87</v>
      </c>
      <c r="Y6" s="366">
        <v>169.08</v>
      </c>
      <c r="Z6" s="366">
        <v>734.3</v>
      </c>
      <c r="AA6" s="366">
        <v>407.8</v>
      </c>
      <c r="AB6" s="366">
        <v>233.82</v>
      </c>
      <c r="AC6" s="366">
        <v>286.8</v>
      </c>
      <c r="AD6" s="391">
        <f t="shared" si="0"/>
        <v>279.5577777777778</v>
      </c>
    </row>
    <row r="7" spans="1:30">
      <c r="A7" s="398" t="s">
        <v>474</v>
      </c>
      <c r="B7" s="366" t="s">
        <v>240</v>
      </c>
      <c r="C7" s="366">
        <v>955.81</v>
      </c>
      <c r="D7" s="366">
        <v>825.03</v>
      </c>
      <c r="E7" s="366">
        <v>825.03</v>
      </c>
      <c r="F7" s="366">
        <v>706.64</v>
      </c>
      <c r="G7" s="366">
        <v>555.61</v>
      </c>
      <c r="H7" s="366">
        <v>952.16</v>
      </c>
      <c r="I7" s="366">
        <v>401.67</v>
      </c>
      <c r="J7" s="366">
        <v>647.13</v>
      </c>
      <c r="K7" s="366">
        <v>561.04</v>
      </c>
      <c r="L7" s="366">
        <v>974.85</v>
      </c>
      <c r="M7" s="366">
        <v>622.03</v>
      </c>
      <c r="N7" s="366">
        <v>548.6</v>
      </c>
      <c r="O7" s="366">
        <v>287.62</v>
      </c>
      <c r="P7" s="366">
        <v>603.35</v>
      </c>
      <c r="Q7" s="366">
        <v>656.57</v>
      </c>
      <c r="R7" s="366">
        <v>600.77</v>
      </c>
      <c r="S7" s="366">
        <v>577.58000000000004</v>
      </c>
      <c r="T7" s="366">
        <v>600.77</v>
      </c>
      <c r="U7" s="366">
        <v>946.99</v>
      </c>
      <c r="V7" s="366">
        <v>1126.05</v>
      </c>
      <c r="W7" s="366">
        <v>629.44000000000005</v>
      </c>
      <c r="X7" s="366">
        <v>355.43</v>
      </c>
      <c r="Y7" s="366">
        <v>747.35</v>
      </c>
      <c r="Z7" s="366">
        <v>0</v>
      </c>
      <c r="AA7" s="366">
        <v>470.93</v>
      </c>
      <c r="AB7" s="366">
        <v>685.77</v>
      </c>
      <c r="AC7" s="366">
        <v>1021.1</v>
      </c>
      <c r="AD7" s="391">
        <f t="shared" si="0"/>
        <v>662.41925925925921</v>
      </c>
    </row>
    <row r="8" spans="1:30">
      <c r="A8" s="398" t="s">
        <v>474</v>
      </c>
      <c r="B8" s="366" t="s">
        <v>30</v>
      </c>
      <c r="C8" s="366">
        <v>692.32</v>
      </c>
      <c r="D8" s="366">
        <v>632.6</v>
      </c>
      <c r="E8" s="366">
        <v>632.6</v>
      </c>
      <c r="F8" s="366">
        <v>443.15</v>
      </c>
      <c r="G8" s="366">
        <v>292.12</v>
      </c>
      <c r="H8" s="366">
        <v>759.73</v>
      </c>
      <c r="I8" s="366">
        <v>138.18</v>
      </c>
      <c r="J8" s="366">
        <v>383.64</v>
      </c>
      <c r="K8" s="366">
        <v>368.61</v>
      </c>
      <c r="L8" s="366">
        <v>711.36</v>
      </c>
      <c r="M8" s="366">
        <v>429.6</v>
      </c>
      <c r="N8" s="366">
        <v>285.11</v>
      </c>
      <c r="O8" s="366">
        <v>24.13</v>
      </c>
      <c r="P8" s="366">
        <v>410.92</v>
      </c>
      <c r="Q8" s="366">
        <v>393.08</v>
      </c>
      <c r="R8" s="366">
        <v>408.34</v>
      </c>
      <c r="S8" s="366">
        <v>385.15</v>
      </c>
      <c r="T8" s="366">
        <v>408.34</v>
      </c>
      <c r="U8" s="366">
        <v>754.56</v>
      </c>
      <c r="V8" s="366">
        <v>862.56</v>
      </c>
      <c r="W8" s="366">
        <v>365.95</v>
      </c>
      <c r="X8" s="366">
        <v>91.94</v>
      </c>
      <c r="Y8" s="366">
        <v>554.91999999999996</v>
      </c>
      <c r="Z8" s="366">
        <v>275.14999999999998</v>
      </c>
      <c r="AA8" s="366">
        <v>278.5</v>
      </c>
      <c r="AB8" s="366">
        <v>493.34</v>
      </c>
      <c r="AC8" s="366">
        <v>757.61</v>
      </c>
      <c r="AD8" s="391">
        <f t="shared" si="0"/>
        <v>453.09296296296299</v>
      </c>
    </row>
    <row r="9" spans="1:30">
      <c r="A9" s="398" t="s">
        <v>474</v>
      </c>
      <c r="B9" s="366" t="s">
        <v>31</v>
      </c>
      <c r="C9" s="366">
        <v>265.13</v>
      </c>
      <c r="D9" s="366">
        <v>285.44</v>
      </c>
      <c r="E9" s="366">
        <v>285.44</v>
      </c>
      <c r="F9" s="366">
        <v>86.55</v>
      </c>
      <c r="G9" s="366">
        <v>237.37</v>
      </c>
      <c r="H9" s="366">
        <v>378.11</v>
      </c>
      <c r="I9" s="366">
        <v>289.01</v>
      </c>
      <c r="J9" s="366">
        <v>47</v>
      </c>
      <c r="K9" s="366">
        <v>341.21</v>
      </c>
      <c r="L9" s="366">
        <v>284.17</v>
      </c>
      <c r="M9" s="366">
        <v>321.70999999999998</v>
      </c>
      <c r="N9" s="366">
        <v>148.05000000000001</v>
      </c>
      <c r="O9" s="366">
        <v>439.66</v>
      </c>
      <c r="P9" s="366">
        <v>314.77999999999997</v>
      </c>
      <c r="Q9" s="366">
        <v>37.56</v>
      </c>
      <c r="R9" s="366">
        <v>293.22000000000003</v>
      </c>
      <c r="S9" s="366">
        <v>331.45</v>
      </c>
      <c r="T9" s="366">
        <v>293.22000000000003</v>
      </c>
      <c r="U9" s="366">
        <v>372.94</v>
      </c>
      <c r="V9" s="366">
        <v>435.37</v>
      </c>
      <c r="W9" s="366">
        <v>68.099999999999994</v>
      </c>
      <c r="X9" s="366">
        <v>335.25</v>
      </c>
      <c r="Y9" s="366">
        <v>212.7</v>
      </c>
      <c r="Z9" s="366">
        <v>690.68</v>
      </c>
      <c r="AA9" s="366">
        <v>364.18</v>
      </c>
      <c r="AB9" s="366">
        <v>277.44</v>
      </c>
      <c r="AC9" s="366">
        <v>330.42</v>
      </c>
      <c r="AD9" s="391">
        <f t="shared" si="0"/>
        <v>287.63555555555553</v>
      </c>
    </row>
    <row r="10" spans="1:30">
      <c r="A10" s="398" t="s">
        <v>474</v>
      </c>
      <c r="B10" s="366" t="s">
        <v>32</v>
      </c>
      <c r="C10" s="366">
        <v>401.64</v>
      </c>
      <c r="D10" s="366">
        <v>251.65</v>
      </c>
      <c r="E10" s="366">
        <v>251.65</v>
      </c>
      <c r="F10" s="366">
        <v>338.89</v>
      </c>
      <c r="G10" s="366">
        <v>217.86</v>
      </c>
      <c r="H10" s="366">
        <v>378.78</v>
      </c>
      <c r="I10" s="366">
        <v>242.77</v>
      </c>
      <c r="J10" s="366">
        <v>279.38</v>
      </c>
      <c r="K10" s="366">
        <v>81.180000000000007</v>
      </c>
      <c r="L10" s="366">
        <v>420.68</v>
      </c>
      <c r="M10" s="366">
        <v>84.51</v>
      </c>
      <c r="N10" s="366">
        <v>180.85</v>
      </c>
      <c r="O10" s="366">
        <v>393.42</v>
      </c>
      <c r="P10" s="366">
        <v>65.83</v>
      </c>
      <c r="Q10" s="366">
        <v>288.82</v>
      </c>
      <c r="R10" s="366">
        <v>27.39</v>
      </c>
      <c r="S10" s="366">
        <v>71.42</v>
      </c>
      <c r="T10" s="366">
        <v>27.39</v>
      </c>
      <c r="U10" s="366">
        <v>373.61</v>
      </c>
      <c r="V10" s="366">
        <v>571.88</v>
      </c>
      <c r="W10" s="366">
        <v>261.69</v>
      </c>
      <c r="X10" s="366">
        <v>289.01</v>
      </c>
      <c r="Y10" s="366">
        <v>173.97</v>
      </c>
      <c r="Z10" s="366">
        <v>573.38</v>
      </c>
      <c r="AA10" s="366">
        <v>136.96</v>
      </c>
      <c r="AB10" s="366">
        <v>112.39</v>
      </c>
      <c r="AC10" s="366">
        <v>466.93</v>
      </c>
      <c r="AD10" s="391">
        <f t="shared" si="0"/>
        <v>257.9233333333334</v>
      </c>
    </row>
    <row r="11" spans="1:30">
      <c r="A11" s="398" t="s">
        <v>474</v>
      </c>
      <c r="B11" s="366" t="s">
        <v>33</v>
      </c>
      <c r="C11" s="366">
        <v>288.91000000000003</v>
      </c>
      <c r="D11" s="366">
        <v>309.22000000000003</v>
      </c>
      <c r="E11" s="366">
        <v>309.22000000000003</v>
      </c>
      <c r="F11" s="366">
        <v>62.77</v>
      </c>
      <c r="G11" s="366">
        <v>213.59</v>
      </c>
      <c r="H11" s="366">
        <v>401.89</v>
      </c>
      <c r="I11" s="366">
        <v>265.23</v>
      </c>
      <c r="J11" s="366">
        <v>23.22</v>
      </c>
      <c r="K11" s="366">
        <v>364.99</v>
      </c>
      <c r="L11" s="366">
        <v>307.95</v>
      </c>
      <c r="M11" s="366">
        <v>345.49</v>
      </c>
      <c r="N11" s="366">
        <v>124.27</v>
      </c>
      <c r="O11" s="366">
        <v>415.88</v>
      </c>
      <c r="P11" s="366">
        <v>338.56</v>
      </c>
      <c r="Q11" s="366">
        <v>13.78</v>
      </c>
      <c r="R11" s="366">
        <v>317</v>
      </c>
      <c r="S11" s="366">
        <v>355.23</v>
      </c>
      <c r="T11" s="366">
        <v>317</v>
      </c>
      <c r="U11" s="366">
        <v>396.72</v>
      </c>
      <c r="V11" s="366">
        <v>459.15</v>
      </c>
      <c r="W11" s="366">
        <v>44.32</v>
      </c>
      <c r="X11" s="366">
        <v>311.47000000000003</v>
      </c>
      <c r="Y11" s="366">
        <v>236.48</v>
      </c>
      <c r="Z11" s="366">
        <v>666.9</v>
      </c>
      <c r="AA11" s="366">
        <v>340.4</v>
      </c>
      <c r="AB11" s="366">
        <v>301.22000000000003</v>
      </c>
      <c r="AC11" s="366">
        <v>354.2</v>
      </c>
      <c r="AD11" s="391">
        <f t="shared" si="0"/>
        <v>292.03925925925915</v>
      </c>
    </row>
    <row r="12" spans="1:30">
      <c r="A12" s="398" t="s">
        <v>474</v>
      </c>
      <c r="B12" s="366" t="s">
        <v>34</v>
      </c>
      <c r="C12" s="366">
        <v>288.91000000000003</v>
      </c>
      <c r="D12" s="366">
        <v>309.22000000000003</v>
      </c>
      <c r="E12" s="366">
        <v>309.22000000000003</v>
      </c>
      <c r="F12" s="366">
        <v>62.77</v>
      </c>
      <c r="G12" s="366">
        <v>213.59</v>
      </c>
      <c r="H12" s="366">
        <v>401.89</v>
      </c>
      <c r="I12" s="366">
        <v>265.23</v>
      </c>
      <c r="J12" s="366">
        <v>23.22</v>
      </c>
      <c r="K12" s="366">
        <v>364.99</v>
      </c>
      <c r="L12" s="366">
        <v>307.95</v>
      </c>
      <c r="M12" s="366">
        <v>345.49</v>
      </c>
      <c r="N12" s="366">
        <v>124.27</v>
      </c>
      <c r="O12" s="366">
        <v>415.88</v>
      </c>
      <c r="P12" s="366">
        <v>338.56</v>
      </c>
      <c r="Q12" s="366">
        <v>13.78</v>
      </c>
      <c r="R12" s="366">
        <v>317</v>
      </c>
      <c r="S12" s="366">
        <v>355.23</v>
      </c>
      <c r="T12" s="366">
        <v>317</v>
      </c>
      <c r="U12" s="366">
        <v>396.72</v>
      </c>
      <c r="V12" s="366">
        <v>459.15</v>
      </c>
      <c r="W12" s="366">
        <v>44.32</v>
      </c>
      <c r="X12" s="366">
        <v>311.47000000000003</v>
      </c>
      <c r="Y12" s="366">
        <v>236.48</v>
      </c>
      <c r="Z12" s="366">
        <v>666.9</v>
      </c>
      <c r="AA12" s="366">
        <v>340.4</v>
      </c>
      <c r="AB12" s="366">
        <v>301.22000000000003</v>
      </c>
      <c r="AC12" s="366">
        <v>354.2</v>
      </c>
      <c r="AD12" s="391">
        <f t="shared" si="0"/>
        <v>292.03925925925915</v>
      </c>
    </row>
    <row r="13" spans="1:30">
      <c r="A13" s="398" t="s">
        <v>474</v>
      </c>
      <c r="B13" s="366" t="s">
        <v>35</v>
      </c>
      <c r="C13" s="366">
        <v>203.6</v>
      </c>
      <c r="D13" s="366">
        <v>232.43</v>
      </c>
      <c r="E13" s="366">
        <v>232.43</v>
      </c>
      <c r="F13" s="366">
        <v>148.08000000000001</v>
      </c>
      <c r="G13" s="366">
        <v>298.89999999999998</v>
      </c>
      <c r="H13" s="366">
        <v>325.10000000000002</v>
      </c>
      <c r="I13" s="366">
        <v>350.54</v>
      </c>
      <c r="J13" s="366">
        <v>108.53</v>
      </c>
      <c r="K13" s="366">
        <v>288.2</v>
      </c>
      <c r="L13" s="366">
        <v>222.64</v>
      </c>
      <c r="M13" s="366">
        <v>268.7</v>
      </c>
      <c r="N13" s="366">
        <v>209.58</v>
      </c>
      <c r="O13" s="366">
        <v>501.19</v>
      </c>
      <c r="P13" s="366">
        <v>261.77</v>
      </c>
      <c r="Q13" s="366">
        <v>99.09</v>
      </c>
      <c r="R13" s="366">
        <v>240.21</v>
      </c>
      <c r="S13" s="366">
        <v>278.44</v>
      </c>
      <c r="T13" s="366">
        <v>240.21</v>
      </c>
      <c r="U13" s="366">
        <v>319.93</v>
      </c>
      <c r="V13" s="366">
        <v>373.84</v>
      </c>
      <c r="W13" s="366">
        <v>129.63</v>
      </c>
      <c r="X13" s="366">
        <v>396.78</v>
      </c>
      <c r="Y13" s="366">
        <v>159.69</v>
      </c>
      <c r="Z13" s="366">
        <v>752.21</v>
      </c>
      <c r="AA13" s="366">
        <v>404.56</v>
      </c>
      <c r="AB13" s="366">
        <v>224.43</v>
      </c>
      <c r="AC13" s="366">
        <v>268.89</v>
      </c>
      <c r="AD13" s="391">
        <f t="shared" si="0"/>
        <v>279.24444444444447</v>
      </c>
    </row>
    <row r="14" spans="1:30">
      <c r="A14" s="398" t="s">
        <v>474</v>
      </c>
      <c r="B14" s="366" t="s">
        <v>36</v>
      </c>
      <c r="C14" s="366">
        <v>0</v>
      </c>
      <c r="D14" s="366">
        <v>366.47</v>
      </c>
      <c r="E14" s="366">
        <v>366.47</v>
      </c>
      <c r="F14" s="366">
        <v>351.68</v>
      </c>
      <c r="G14" s="366">
        <v>502.5</v>
      </c>
      <c r="H14" s="366">
        <v>208.88</v>
      </c>
      <c r="I14" s="366">
        <v>554.14</v>
      </c>
      <c r="J14" s="366">
        <v>312.13</v>
      </c>
      <c r="K14" s="366">
        <v>422.24</v>
      </c>
      <c r="L14" s="366">
        <v>227.12</v>
      </c>
      <c r="M14" s="366">
        <v>402.74</v>
      </c>
      <c r="N14" s="366">
        <v>413.18</v>
      </c>
      <c r="O14" s="366">
        <v>704.79</v>
      </c>
      <c r="P14" s="366">
        <v>395.81</v>
      </c>
      <c r="Q14" s="366">
        <v>302.69</v>
      </c>
      <c r="R14" s="366">
        <v>374.25</v>
      </c>
      <c r="S14" s="366">
        <v>412.48</v>
      </c>
      <c r="T14" s="366">
        <v>374.25</v>
      </c>
      <c r="U14" s="366">
        <v>453.97</v>
      </c>
      <c r="V14" s="366">
        <v>378.32</v>
      </c>
      <c r="W14" s="366">
        <v>333.23</v>
      </c>
      <c r="X14" s="366">
        <v>600.38</v>
      </c>
      <c r="Y14" s="366">
        <v>293.73</v>
      </c>
      <c r="Z14" s="366">
        <v>955.81</v>
      </c>
      <c r="AA14" s="366">
        <v>538.6</v>
      </c>
      <c r="AB14" s="366">
        <v>358.47</v>
      </c>
      <c r="AC14" s="366">
        <v>116.33</v>
      </c>
      <c r="AD14" s="391">
        <f t="shared" si="0"/>
        <v>397.06148148148139</v>
      </c>
    </row>
    <row r="15" spans="1:30">
      <c r="A15" s="398" t="s">
        <v>474</v>
      </c>
      <c r="B15" s="366" t="s">
        <v>37</v>
      </c>
      <c r="C15" s="366">
        <v>147.94</v>
      </c>
      <c r="D15" s="366">
        <v>463.37</v>
      </c>
      <c r="E15" s="366">
        <v>463.37</v>
      </c>
      <c r="F15" s="366">
        <v>448.58</v>
      </c>
      <c r="G15" s="366">
        <v>599.4</v>
      </c>
      <c r="H15" s="366">
        <v>184.84</v>
      </c>
      <c r="I15" s="366">
        <v>651.04</v>
      </c>
      <c r="J15" s="366">
        <v>409.03</v>
      </c>
      <c r="K15" s="366">
        <v>519.14</v>
      </c>
      <c r="L15" s="366">
        <v>324.02</v>
      </c>
      <c r="M15" s="366">
        <v>499.64</v>
      </c>
      <c r="N15" s="366">
        <v>510.08</v>
      </c>
      <c r="O15" s="366">
        <v>801.69</v>
      </c>
      <c r="P15" s="366">
        <v>492.71</v>
      </c>
      <c r="Q15" s="366">
        <v>399.59</v>
      </c>
      <c r="R15" s="366">
        <v>471.15</v>
      </c>
      <c r="S15" s="366">
        <v>509.38</v>
      </c>
      <c r="T15" s="366">
        <v>471.15</v>
      </c>
      <c r="U15" s="366">
        <v>504.28</v>
      </c>
      <c r="V15" s="366">
        <v>475.22</v>
      </c>
      <c r="W15" s="366">
        <v>430.13</v>
      </c>
      <c r="X15" s="366">
        <v>697.28</v>
      </c>
      <c r="Y15" s="366">
        <v>390.63</v>
      </c>
      <c r="Z15" s="366">
        <v>1052.71</v>
      </c>
      <c r="AA15" s="366">
        <v>635.5</v>
      </c>
      <c r="AB15" s="366">
        <v>455.37</v>
      </c>
      <c r="AC15" s="366">
        <v>92.29</v>
      </c>
      <c r="AD15" s="391">
        <f t="shared" si="0"/>
        <v>485.16777777777781</v>
      </c>
    </row>
    <row r="16" spans="1:30">
      <c r="A16" s="398" t="s">
        <v>474</v>
      </c>
      <c r="B16" s="366" t="s">
        <v>38</v>
      </c>
      <c r="C16" s="366">
        <v>366.47</v>
      </c>
      <c r="D16" s="366">
        <v>0</v>
      </c>
      <c r="E16" s="366">
        <v>0</v>
      </c>
      <c r="F16" s="366">
        <v>371.99</v>
      </c>
      <c r="G16" s="366">
        <v>469.51</v>
      </c>
      <c r="H16" s="366">
        <v>333.81</v>
      </c>
      <c r="I16" s="366">
        <v>494.42</v>
      </c>
      <c r="J16" s="366">
        <v>332.44</v>
      </c>
      <c r="K16" s="366">
        <v>272.25</v>
      </c>
      <c r="L16" s="366">
        <v>385.51</v>
      </c>
      <c r="M16" s="366">
        <v>252.75</v>
      </c>
      <c r="N16" s="366">
        <v>432.5</v>
      </c>
      <c r="O16" s="366">
        <v>645.07000000000005</v>
      </c>
      <c r="P16" s="366">
        <v>245.82</v>
      </c>
      <c r="Q16" s="366">
        <v>323</v>
      </c>
      <c r="R16" s="366">
        <v>224.26</v>
      </c>
      <c r="S16" s="366">
        <v>262.49</v>
      </c>
      <c r="T16" s="366">
        <v>224.26</v>
      </c>
      <c r="U16" s="366">
        <v>216.9</v>
      </c>
      <c r="V16" s="366">
        <v>536.71</v>
      </c>
      <c r="W16" s="366">
        <v>353.54</v>
      </c>
      <c r="X16" s="366">
        <v>540.66</v>
      </c>
      <c r="Y16" s="366">
        <v>111.1</v>
      </c>
      <c r="Z16" s="366">
        <v>825.03</v>
      </c>
      <c r="AA16" s="366">
        <v>388.61</v>
      </c>
      <c r="AB16" s="366">
        <v>208.48</v>
      </c>
      <c r="AC16" s="366">
        <v>426.36</v>
      </c>
      <c r="AD16" s="391">
        <f t="shared" si="0"/>
        <v>342.36814814814818</v>
      </c>
    </row>
    <row r="17" spans="1:30">
      <c r="A17" s="398" t="s">
        <v>474</v>
      </c>
      <c r="B17" s="366" t="s">
        <v>39</v>
      </c>
      <c r="C17" s="366">
        <v>366.47</v>
      </c>
      <c r="D17" s="366">
        <v>0</v>
      </c>
      <c r="E17" s="366">
        <v>0</v>
      </c>
      <c r="F17" s="366">
        <v>371.99</v>
      </c>
      <c r="G17" s="366">
        <v>469.51</v>
      </c>
      <c r="H17" s="366">
        <v>333.81</v>
      </c>
      <c r="I17" s="366">
        <v>494.42</v>
      </c>
      <c r="J17" s="366">
        <v>332.44</v>
      </c>
      <c r="K17" s="366">
        <v>272.25</v>
      </c>
      <c r="L17" s="366">
        <v>385.51</v>
      </c>
      <c r="M17" s="366">
        <v>252.75</v>
      </c>
      <c r="N17" s="366">
        <v>432.5</v>
      </c>
      <c r="O17" s="366">
        <v>645.07000000000005</v>
      </c>
      <c r="P17" s="366">
        <v>245.82</v>
      </c>
      <c r="Q17" s="366">
        <v>323</v>
      </c>
      <c r="R17" s="366">
        <v>224.26</v>
      </c>
      <c r="S17" s="366">
        <v>262.49</v>
      </c>
      <c r="T17" s="366">
        <v>224.26</v>
      </c>
      <c r="U17" s="366">
        <v>216.9</v>
      </c>
      <c r="V17" s="366">
        <v>536.71</v>
      </c>
      <c r="W17" s="366">
        <v>353.54</v>
      </c>
      <c r="X17" s="366">
        <v>540.66</v>
      </c>
      <c r="Y17" s="366">
        <v>111.1</v>
      </c>
      <c r="Z17" s="366">
        <v>825.03</v>
      </c>
      <c r="AA17" s="366">
        <v>388.61</v>
      </c>
      <c r="AB17" s="366">
        <v>208.48</v>
      </c>
      <c r="AC17" s="366">
        <v>426.36</v>
      </c>
      <c r="AD17" s="391">
        <f t="shared" si="0"/>
        <v>342.36814814814818</v>
      </c>
    </row>
    <row r="18" spans="1:30">
      <c r="A18" s="398" t="s">
        <v>473</v>
      </c>
      <c r="B18" s="366" t="s">
        <v>40</v>
      </c>
      <c r="C18" s="366">
        <v>366.47</v>
      </c>
      <c r="D18" s="366">
        <v>0</v>
      </c>
      <c r="E18" s="366">
        <v>0</v>
      </c>
      <c r="F18" s="366">
        <v>371.99</v>
      </c>
      <c r="G18" s="366">
        <v>469.51</v>
      </c>
      <c r="H18" s="366">
        <v>333.81</v>
      </c>
      <c r="I18" s="366">
        <v>494.42</v>
      </c>
      <c r="J18" s="366">
        <v>332.44</v>
      </c>
      <c r="K18" s="366">
        <v>272.25</v>
      </c>
      <c r="L18" s="366">
        <v>385.51</v>
      </c>
      <c r="M18" s="366">
        <v>252.75</v>
      </c>
      <c r="N18" s="366">
        <v>432.5</v>
      </c>
      <c r="O18" s="366">
        <v>645.07000000000005</v>
      </c>
      <c r="P18" s="366">
        <v>245.82</v>
      </c>
      <c r="Q18" s="366">
        <v>323</v>
      </c>
      <c r="R18" s="366">
        <v>224.26</v>
      </c>
      <c r="S18" s="366">
        <v>262.49</v>
      </c>
      <c r="T18" s="366">
        <v>224.26</v>
      </c>
      <c r="U18" s="366">
        <v>216.9</v>
      </c>
      <c r="V18" s="366">
        <v>536.71</v>
      </c>
      <c r="W18" s="366">
        <v>353.54</v>
      </c>
      <c r="X18" s="366">
        <v>540.66</v>
      </c>
      <c r="Y18" s="366">
        <v>111.1</v>
      </c>
      <c r="Z18" s="366">
        <v>825.03</v>
      </c>
      <c r="AA18" s="366">
        <v>388.61</v>
      </c>
      <c r="AB18" s="366">
        <v>208.48</v>
      </c>
      <c r="AC18" s="366">
        <v>426.36</v>
      </c>
      <c r="AD18" s="391">
        <f t="shared" si="0"/>
        <v>342.36814814814818</v>
      </c>
    </row>
    <row r="19" spans="1:30">
      <c r="A19" s="398" t="s">
        <v>474</v>
      </c>
      <c r="B19" s="366" t="s">
        <v>41</v>
      </c>
      <c r="C19" s="366">
        <v>366.47</v>
      </c>
      <c r="D19" s="366">
        <v>0</v>
      </c>
      <c r="E19" s="366">
        <v>0</v>
      </c>
      <c r="F19" s="366">
        <v>371.99</v>
      </c>
      <c r="G19" s="366">
        <v>469.51</v>
      </c>
      <c r="H19" s="366">
        <v>333.81</v>
      </c>
      <c r="I19" s="366">
        <v>494.42</v>
      </c>
      <c r="J19" s="366">
        <v>332.44</v>
      </c>
      <c r="K19" s="366">
        <v>272.25</v>
      </c>
      <c r="L19" s="366">
        <v>385.51</v>
      </c>
      <c r="M19" s="366">
        <v>252.75</v>
      </c>
      <c r="N19" s="366">
        <v>432.5</v>
      </c>
      <c r="O19" s="366">
        <v>645.07000000000005</v>
      </c>
      <c r="P19" s="366">
        <v>245.82</v>
      </c>
      <c r="Q19" s="366">
        <v>323</v>
      </c>
      <c r="R19" s="366">
        <v>224.26</v>
      </c>
      <c r="S19" s="366">
        <v>262.49</v>
      </c>
      <c r="T19" s="366">
        <v>224.26</v>
      </c>
      <c r="U19" s="366">
        <v>216.9</v>
      </c>
      <c r="V19" s="366">
        <v>536.71</v>
      </c>
      <c r="W19" s="366">
        <v>353.54</v>
      </c>
      <c r="X19" s="366">
        <v>540.66</v>
      </c>
      <c r="Y19" s="366">
        <v>111.1</v>
      </c>
      <c r="Z19" s="366">
        <v>825.03</v>
      </c>
      <c r="AA19" s="366">
        <v>388.61</v>
      </c>
      <c r="AB19" s="366">
        <v>208.48</v>
      </c>
      <c r="AC19" s="366">
        <v>426.36</v>
      </c>
      <c r="AD19" s="391">
        <f t="shared" si="0"/>
        <v>342.36814814814818</v>
      </c>
    </row>
    <row r="20" spans="1:30">
      <c r="A20" s="398" t="s">
        <v>473</v>
      </c>
      <c r="B20" s="366" t="s">
        <v>42</v>
      </c>
      <c r="C20" s="366">
        <v>366.47</v>
      </c>
      <c r="D20" s="366">
        <v>0</v>
      </c>
      <c r="E20" s="366">
        <v>0</v>
      </c>
      <c r="F20" s="366">
        <v>371.99</v>
      </c>
      <c r="G20" s="366">
        <v>469.51</v>
      </c>
      <c r="H20" s="366">
        <v>333.81</v>
      </c>
      <c r="I20" s="366">
        <v>494.42</v>
      </c>
      <c r="J20" s="366">
        <v>332.44</v>
      </c>
      <c r="K20" s="366">
        <v>272.25</v>
      </c>
      <c r="L20" s="366">
        <v>385.51</v>
      </c>
      <c r="M20" s="366">
        <v>252.75</v>
      </c>
      <c r="N20" s="366">
        <v>432.5</v>
      </c>
      <c r="O20" s="366">
        <v>645.07000000000005</v>
      </c>
      <c r="P20" s="366">
        <v>245.82</v>
      </c>
      <c r="Q20" s="366">
        <v>323</v>
      </c>
      <c r="R20" s="366">
        <v>224.26</v>
      </c>
      <c r="S20" s="366">
        <v>262.49</v>
      </c>
      <c r="T20" s="366">
        <v>224.26</v>
      </c>
      <c r="U20" s="366">
        <v>216.9</v>
      </c>
      <c r="V20" s="366">
        <v>536.71</v>
      </c>
      <c r="W20" s="366">
        <v>353.54</v>
      </c>
      <c r="X20" s="366">
        <v>540.66</v>
      </c>
      <c r="Y20" s="366">
        <v>111.1</v>
      </c>
      <c r="Z20" s="366">
        <v>825.03</v>
      </c>
      <c r="AA20" s="366">
        <v>388.61</v>
      </c>
      <c r="AB20" s="366">
        <v>208.48</v>
      </c>
      <c r="AC20" s="366">
        <v>426.36</v>
      </c>
      <c r="AD20" s="391">
        <f t="shared" si="0"/>
        <v>342.36814814814818</v>
      </c>
    </row>
    <row r="21" spans="1:30">
      <c r="A21" s="398" t="s">
        <v>474</v>
      </c>
      <c r="B21" s="366" t="s">
        <v>43</v>
      </c>
      <c r="C21" s="366">
        <v>476.14</v>
      </c>
      <c r="D21" s="366">
        <v>326.14999999999998</v>
      </c>
      <c r="E21" s="366">
        <v>326.14999999999998</v>
      </c>
      <c r="F21" s="366">
        <v>349.93</v>
      </c>
      <c r="G21" s="366">
        <v>228.9</v>
      </c>
      <c r="H21" s="366">
        <v>453.28</v>
      </c>
      <c r="I21" s="366">
        <v>168.27</v>
      </c>
      <c r="J21" s="366">
        <v>290.42</v>
      </c>
      <c r="K21" s="366">
        <v>142.63999999999999</v>
      </c>
      <c r="L21" s="366">
        <v>495.18</v>
      </c>
      <c r="M21" s="366">
        <v>159.01</v>
      </c>
      <c r="N21" s="366">
        <v>191.89</v>
      </c>
      <c r="O21" s="366">
        <v>318.92</v>
      </c>
      <c r="P21" s="366">
        <v>140.33000000000001</v>
      </c>
      <c r="Q21" s="366">
        <v>299.86</v>
      </c>
      <c r="R21" s="366">
        <v>101.89</v>
      </c>
      <c r="S21" s="366">
        <v>145.91999999999999</v>
      </c>
      <c r="T21" s="366">
        <v>101.89</v>
      </c>
      <c r="U21" s="366">
        <v>448.11</v>
      </c>
      <c r="V21" s="366">
        <v>646.38</v>
      </c>
      <c r="W21" s="366">
        <v>272.73</v>
      </c>
      <c r="X21" s="366">
        <v>214.51</v>
      </c>
      <c r="Y21" s="366">
        <v>248.47</v>
      </c>
      <c r="Z21" s="366">
        <v>498.88</v>
      </c>
      <c r="AA21" s="366">
        <v>62.46</v>
      </c>
      <c r="AB21" s="366">
        <v>186.89</v>
      </c>
      <c r="AC21" s="366">
        <v>541.42999999999995</v>
      </c>
      <c r="AD21" s="391">
        <f t="shared" si="0"/>
        <v>290.2455555555556</v>
      </c>
    </row>
    <row r="22" spans="1:30">
      <c r="A22" s="398" t="s">
        <v>474</v>
      </c>
      <c r="B22" s="366" t="s">
        <v>44</v>
      </c>
      <c r="C22" s="366">
        <v>800.36</v>
      </c>
      <c r="D22" s="366">
        <v>740.64</v>
      </c>
      <c r="E22" s="366">
        <v>740.64</v>
      </c>
      <c r="F22" s="366">
        <v>551.19000000000005</v>
      </c>
      <c r="G22" s="366">
        <v>400.16</v>
      </c>
      <c r="H22" s="366">
        <v>867.77</v>
      </c>
      <c r="I22" s="366">
        <v>246.22</v>
      </c>
      <c r="J22" s="366">
        <v>491.68</v>
      </c>
      <c r="K22" s="366">
        <v>476.65</v>
      </c>
      <c r="L22" s="366">
        <v>819.4</v>
      </c>
      <c r="M22" s="366">
        <v>537.64</v>
      </c>
      <c r="N22" s="366">
        <v>393.15</v>
      </c>
      <c r="O22" s="366">
        <v>132.16999999999999</v>
      </c>
      <c r="P22" s="366">
        <v>518.96</v>
      </c>
      <c r="Q22" s="366">
        <v>501.12</v>
      </c>
      <c r="R22" s="366">
        <v>516.38</v>
      </c>
      <c r="S22" s="366">
        <v>493.19</v>
      </c>
      <c r="T22" s="366">
        <v>516.38</v>
      </c>
      <c r="U22" s="366">
        <v>862.6</v>
      </c>
      <c r="V22" s="366">
        <v>970.6</v>
      </c>
      <c r="W22" s="366">
        <v>473.99</v>
      </c>
      <c r="X22" s="366">
        <v>199.98</v>
      </c>
      <c r="Y22" s="366">
        <v>662.96</v>
      </c>
      <c r="Z22" s="366">
        <v>155.44999999999999</v>
      </c>
      <c r="AA22" s="366">
        <v>386.54</v>
      </c>
      <c r="AB22" s="366">
        <v>601.38</v>
      </c>
      <c r="AC22" s="366">
        <v>865.65</v>
      </c>
      <c r="AD22" s="391">
        <f t="shared" si="0"/>
        <v>552.69814814814811</v>
      </c>
    </row>
    <row r="23" spans="1:30">
      <c r="A23" s="398" t="s">
        <v>474</v>
      </c>
      <c r="B23" s="366" t="s">
        <v>45</v>
      </c>
      <c r="C23" s="366">
        <v>421.4</v>
      </c>
      <c r="D23" s="366">
        <v>184.33</v>
      </c>
      <c r="E23" s="366">
        <v>184.33</v>
      </c>
      <c r="F23" s="366">
        <v>426.92</v>
      </c>
      <c r="G23" s="366">
        <v>558.9</v>
      </c>
      <c r="H23" s="366">
        <v>286.87</v>
      </c>
      <c r="I23" s="366">
        <v>583.80999999999995</v>
      </c>
      <c r="J23" s="366">
        <v>387.37</v>
      </c>
      <c r="K23" s="366">
        <v>361.64</v>
      </c>
      <c r="L23" s="366">
        <v>440.44</v>
      </c>
      <c r="M23" s="366">
        <v>342.14</v>
      </c>
      <c r="N23" s="366">
        <v>488.42</v>
      </c>
      <c r="O23" s="366">
        <v>734.46</v>
      </c>
      <c r="P23" s="366">
        <v>335.21</v>
      </c>
      <c r="Q23" s="366">
        <v>377.93</v>
      </c>
      <c r="R23" s="366">
        <v>313.64999999999998</v>
      </c>
      <c r="S23" s="366">
        <v>351.88</v>
      </c>
      <c r="T23" s="366">
        <v>313.64999999999998</v>
      </c>
      <c r="U23" s="366">
        <v>32.57</v>
      </c>
      <c r="V23" s="366">
        <v>591.64</v>
      </c>
      <c r="W23" s="366">
        <v>408.47</v>
      </c>
      <c r="X23" s="366">
        <v>630.04999999999995</v>
      </c>
      <c r="Y23" s="366">
        <v>189.13</v>
      </c>
      <c r="Z23" s="366">
        <v>914.42</v>
      </c>
      <c r="AA23" s="366">
        <v>478</v>
      </c>
      <c r="AB23" s="366">
        <v>297.87</v>
      </c>
      <c r="AC23" s="366">
        <v>379.42</v>
      </c>
      <c r="AD23" s="391">
        <f t="shared" si="0"/>
        <v>407.96</v>
      </c>
    </row>
    <row r="24" spans="1:30">
      <c r="A24" s="398" t="s">
        <v>474</v>
      </c>
      <c r="B24" s="366" t="s">
        <v>46</v>
      </c>
      <c r="C24" s="366">
        <v>502.5</v>
      </c>
      <c r="D24" s="366">
        <v>469.51</v>
      </c>
      <c r="E24" s="366">
        <v>469.51</v>
      </c>
      <c r="F24" s="366">
        <v>253.33</v>
      </c>
      <c r="G24" s="366">
        <v>0</v>
      </c>
      <c r="H24" s="366">
        <v>596.64</v>
      </c>
      <c r="I24" s="366">
        <v>153.94</v>
      </c>
      <c r="J24" s="366">
        <v>193.82</v>
      </c>
      <c r="K24" s="366">
        <v>299.04000000000002</v>
      </c>
      <c r="L24" s="366">
        <v>521.54</v>
      </c>
      <c r="M24" s="366">
        <v>302.37</v>
      </c>
      <c r="N24" s="366">
        <v>95.29</v>
      </c>
      <c r="O24" s="366">
        <v>304.58999999999997</v>
      </c>
      <c r="P24" s="366">
        <v>283.69</v>
      </c>
      <c r="Q24" s="366">
        <v>203.26</v>
      </c>
      <c r="R24" s="366">
        <v>245.25</v>
      </c>
      <c r="S24" s="366">
        <v>289.27999999999997</v>
      </c>
      <c r="T24" s="366">
        <v>245.25</v>
      </c>
      <c r="U24" s="366">
        <v>591.47</v>
      </c>
      <c r="V24" s="366">
        <v>672.74</v>
      </c>
      <c r="W24" s="366">
        <v>176.13</v>
      </c>
      <c r="X24" s="366">
        <v>200.18</v>
      </c>
      <c r="Y24" s="366">
        <v>391.83</v>
      </c>
      <c r="Z24" s="366">
        <v>555.61</v>
      </c>
      <c r="AA24" s="366">
        <v>259.11</v>
      </c>
      <c r="AB24" s="366">
        <v>330.25</v>
      </c>
      <c r="AC24" s="366">
        <v>567.79</v>
      </c>
      <c r="AD24" s="391">
        <f t="shared" si="0"/>
        <v>339.77481481481476</v>
      </c>
    </row>
    <row r="25" spans="1:30">
      <c r="A25" s="398" t="s">
        <v>474</v>
      </c>
      <c r="B25" s="366" t="s">
        <v>47</v>
      </c>
      <c r="C25" s="366">
        <v>502.5</v>
      </c>
      <c r="D25" s="366">
        <v>469.51</v>
      </c>
      <c r="E25" s="366">
        <v>469.51</v>
      </c>
      <c r="F25" s="366">
        <v>253.33</v>
      </c>
      <c r="G25" s="366">
        <v>0</v>
      </c>
      <c r="H25" s="366">
        <v>596.64</v>
      </c>
      <c r="I25" s="366">
        <v>153.94</v>
      </c>
      <c r="J25" s="366">
        <v>193.82</v>
      </c>
      <c r="K25" s="366">
        <v>299.04000000000002</v>
      </c>
      <c r="L25" s="366">
        <v>521.54</v>
      </c>
      <c r="M25" s="366">
        <v>302.37</v>
      </c>
      <c r="N25" s="366">
        <v>95.29</v>
      </c>
      <c r="O25" s="366">
        <v>304.58999999999997</v>
      </c>
      <c r="P25" s="366">
        <v>283.69</v>
      </c>
      <c r="Q25" s="366">
        <v>203.26</v>
      </c>
      <c r="R25" s="366">
        <v>245.25</v>
      </c>
      <c r="S25" s="366">
        <v>289.27999999999997</v>
      </c>
      <c r="T25" s="366">
        <v>245.25</v>
      </c>
      <c r="U25" s="366">
        <v>591.47</v>
      </c>
      <c r="V25" s="366">
        <v>672.74</v>
      </c>
      <c r="W25" s="366">
        <v>176.13</v>
      </c>
      <c r="X25" s="366">
        <v>200.18</v>
      </c>
      <c r="Y25" s="366">
        <v>391.83</v>
      </c>
      <c r="Z25" s="366">
        <v>555.61</v>
      </c>
      <c r="AA25" s="366">
        <v>259.11</v>
      </c>
      <c r="AB25" s="366">
        <v>330.25</v>
      </c>
      <c r="AC25" s="366">
        <v>567.79</v>
      </c>
      <c r="AD25" s="391">
        <f t="shared" si="0"/>
        <v>339.77481481481476</v>
      </c>
    </row>
    <row r="26" spans="1:30">
      <c r="A26" s="398" t="s">
        <v>474</v>
      </c>
      <c r="B26" s="366" t="s">
        <v>48</v>
      </c>
      <c r="C26" s="366">
        <v>502.5</v>
      </c>
      <c r="D26" s="366">
        <v>469.51</v>
      </c>
      <c r="E26" s="366">
        <v>469.51</v>
      </c>
      <c r="F26" s="366">
        <v>253.33</v>
      </c>
      <c r="G26" s="366">
        <v>0</v>
      </c>
      <c r="H26" s="366">
        <v>596.64</v>
      </c>
      <c r="I26" s="366">
        <v>153.94</v>
      </c>
      <c r="J26" s="366">
        <v>193.82</v>
      </c>
      <c r="K26" s="366">
        <v>299.04000000000002</v>
      </c>
      <c r="L26" s="366">
        <v>521.54</v>
      </c>
      <c r="M26" s="366">
        <v>302.37</v>
      </c>
      <c r="N26" s="366">
        <v>95.29</v>
      </c>
      <c r="O26" s="366">
        <v>304.58999999999997</v>
      </c>
      <c r="P26" s="366">
        <v>283.69</v>
      </c>
      <c r="Q26" s="366">
        <v>203.26</v>
      </c>
      <c r="R26" s="366">
        <v>245.25</v>
      </c>
      <c r="S26" s="366">
        <v>289.27999999999997</v>
      </c>
      <c r="T26" s="366">
        <v>245.25</v>
      </c>
      <c r="U26" s="366">
        <v>591.47</v>
      </c>
      <c r="V26" s="366">
        <v>672.74</v>
      </c>
      <c r="W26" s="366">
        <v>176.13</v>
      </c>
      <c r="X26" s="366">
        <v>200.18</v>
      </c>
      <c r="Y26" s="366">
        <v>391.83</v>
      </c>
      <c r="Z26" s="366">
        <v>555.61</v>
      </c>
      <c r="AA26" s="366">
        <v>259.11</v>
      </c>
      <c r="AB26" s="366">
        <v>330.25</v>
      </c>
      <c r="AC26" s="366">
        <v>567.79</v>
      </c>
      <c r="AD26" s="391">
        <f t="shared" si="0"/>
        <v>339.77481481481476</v>
      </c>
    </row>
    <row r="27" spans="1:30">
      <c r="A27" s="398" t="s">
        <v>474</v>
      </c>
      <c r="B27" s="366" t="s">
        <v>49</v>
      </c>
      <c r="C27" s="366">
        <v>208.88</v>
      </c>
      <c r="D27" s="366">
        <v>333.81</v>
      </c>
      <c r="E27" s="366">
        <v>333.81</v>
      </c>
      <c r="F27" s="366">
        <v>464.66</v>
      </c>
      <c r="G27" s="366">
        <v>596.64</v>
      </c>
      <c r="H27" s="366">
        <v>0</v>
      </c>
      <c r="I27" s="366">
        <v>621.54999999999995</v>
      </c>
      <c r="J27" s="366">
        <v>425.11</v>
      </c>
      <c r="K27" s="366">
        <v>399.38</v>
      </c>
      <c r="L27" s="366">
        <v>384.96</v>
      </c>
      <c r="M27" s="366">
        <v>379.88</v>
      </c>
      <c r="N27" s="366">
        <v>526.16</v>
      </c>
      <c r="O27" s="366">
        <v>772.2</v>
      </c>
      <c r="P27" s="366">
        <v>372.95</v>
      </c>
      <c r="Q27" s="366">
        <v>415.67</v>
      </c>
      <c r="R27" s="366">
        <v>351.39</v>
      </c>
      <c r="S27" s="366">
        <v>389.62</v>
      </c>
      <c r="T27" s="366">
        <v>351.39</v>
      </c>
      <c r="U27" s="366">
        <v>319.44</v>
      </c>
      <c r="V27" s="366">
        <v>536.16</v>
      </c>
      <c r="W27" s="366">
        <v>446.21</v>
      </c>
      <c r="X27" s="366">
        <v>667.79</v>
      </c>
      <c r="Y27" s="366">
        <v>226.87</v>
      </c>
      <c r="Z27" s="366">
        <v>952.16</v>
      </c>
      <c r="AA27" s="366">
        <v>515.74</v>
      </c>
      <c r="AB27" s="366">
        <v>335.61</v>
      </c>
      <c r="AC27" s="366">
        <v>92.55</v>
      </c>
      <c r="AD27" s="391">
        <f t="shared" si="0"/>
        <v>422.9848148148148</v>
      </c>
    </row>
    <row r="28" spans="1:30">
      <c r="A28" s="398" t="s">
        <v>474</v>
      </c>
      <c r="B28" s="366" t="s">
        <v>50</v>
      </c>
      <c r="C28" s="366">
        <v>686.49</v>
      </c>
      <c r="D28" s="366">
        <v>626.77</v>
      </c>
      <c r="E28" s="366">
        <v>626.77</v>
      </c>
      <c r="F28" s="366">
        <v>437.32</v>
      </c>
      <c r="G28" s="366">
        <v>286.29000000000002</v>
      </c>
      <c r="H28" s="366">
        <v>753.9</v>
      </c>
      <c r="I28" s="366">
        <v>132.35</v>
      </c>
      <c r="J28" s="366">
        <v>377.81</v>
      </c>
      <c r="K28" s="366">
        <v>362.78</v>
      </c>
      <c r="L28" s="366">
        <v>705.53</v>
      </c>
      <c r="M28" s="366">
        <v>423.77</v>
      </c>
      <c r="N28" s="366">
        <v>279.27999999999997</v>
      </c>
      <c r="O28" s="366">
        <v>18.3</v>
      </c>
      <c r="P28" s="366">
        <v>405.09</v>
      </c>
      <c r="Q28" s="366">
        <v>387.25</v>
      </c>
      <c r="R28" s="366">
        <v>402.51</v>
      </c>
      <c r="S28" s="366">
        <v>379.32</v>
      </c>
      <c r="T28" s="366">
        <v>402.51</v>
      </c>
      <c r="U28" s="366">
        <v>748.73</v>
      </c>
      <c r="V28" s="366">
        <v>856.73</v>
      </c>
      <c r="W28" s="366">
        <v>360.12</v>
      </c>
      <c r="X28" s="366">
        <v>86.11</v>
      </c>
      <c r="Y28" s="366">
        <v>549.09</v>
      </c>
      <c r="Z28" s="366">
        <v>269.32</v>
      </c>
      <c r="AA28" s="366">
        <v>272.67</v>
      </c>
      <c r="AB28" s="366">
        <v>487.51</v>
      </c>
      <c r="AC28" s="366">
        <v>751.78</v>
      </c>
      <c r="AD28" s="391">
        <f t="shared" si="0"/>
        <v>447.262962962963</v>
      </c>
    </row>
    <row r="29" spans="1:30">
      <c r="A29" s="398" t="s">
        <v>474</v>
      </c>
      <c r="B29" s="366" t="s">
        <v>51</v>
      </c>
      <c r="C29" s="366">
        <v>535.88</v>
      </c>
      <c r="D29" s="366">
        <v>385.89</v>
      </c>
      <c r="E29" s="366">
        <v>385.89</v>
      </c>
      <c r="F29" s="366">
        <v>377.42</v>
      </c>
      <c r="G29" s="366">
        <v>256.39</v>
      </c>
      <c r="H29" s="366">
        <v>513.02</v>
      </c>
      <c r="I29" s="366">
        <v>137.6</v>
      </c>
      <c r="J29" s="366">
        <v>317.91000000000003</v>
      </c>
      <c r="K29" s="366">
        <v>121.9</v>
      </c>
      <c r="L29" s="366">
        <v>554.91999999999996</v>
      </c>
      <c r="M29" s="366">
        <v>182.89</v>
      </c>
      <c r="N29" s="366">
        <v>219.38</v>
      </c>
      <c r="O29" s="366">
        <v>288.25</v>
      </c>
      <c r="P29" s="366">
        <v>164.21</v>
      </c>
      <c r="Q29" s="366">
        <v>327.35000000000002</v>
      </c>
      <c r="R29" s="366">
        <v>161.63</v>
      </c>
      <c r="S29" s="366">
        <v>138.44</v>
      </c>
      <c r="T29" s="366">
        <v>161.63</v>
      </c>
      <c r="U29" s="366">
        <v>507.85</v>
      </c>
      <c r="V29" s="366">
        <v>706.12</v>
      </c>
      <c r="W29" s="366">
        <v>300.22000000000003</v>
      </c>
      <c r="X29" s="366">
        <v>183.84</v>
      </c>
      <c r="Y29" s="366">
        <v>308.20999999999998</v>
      </c>
      <c r="Z29" s="366">
        <v>468.21</v>
      </c>
      <c r="AA29" s="366">
        <v>8.7799999999999994</v>
      </c>
      <c r="AB29" s="366">
        <v>246.63</v>
      </c>
      <c r="AC29" s="366">
        <v>601.16999999999996</v>
      </c>
      <c r="AD29" s="391">
        <f t="shared" si="0"/>
        <v>317.09740740740745</v>
      </c>
    </row>
    <row r="30" spans="1:30">
      <c r="A30" s="398" t="s">
        <v>474</v>
      </c>
      <c r="B30" s="366" t="s">
        <v>52</v>
      </c>
      <c r="C30" s="366">
        <v>538.34</v>
      </c>
      <c r="D30" s="366">
        <v>388.35</v>
      </c>
      <c r="E30" s="366">
        <v>388.35</v>
      </c>
      <c r="F30" s="366">
        <v>369.55</v>
      </c>
      <c r="G30" s="366">
        <v>248.52</v>
      </c>
      <c r="H30" s="366">
        <v>515.48</v>
      </c>
      <c r="I30" s="366">
        <v>106.07</v>
      </c>
      <c r="J30" s="366">
        <v>310.04000000000002</v>
      </c>
      <c r="K30" s="366">
        <v>124.36</v>
      </c>
      <c r="L30" s="366">
        <v>557.38</v>
      </c>
      <c r="M30" s="366">
        <v>185.35</v>
      </c>
      <c r="N30" s="366">
        <v>211.51</v>
      </c>
      <c r="O30" s="366">
        <v>256.72000000000003</v>
      </c>
      <c r="P30" s="366">
        <v>166.67</v>
      </c>
      <c r="Q30" s="366">
        <v>319.48</v>
      </c>
      <c r="R30" s="366">
        <v>164.09</v>
      </c>
      <c r="S30" s="366">
        <v>140.9</v>
      </c>
      <c r="T30" s="366">
        <v>164.09</v>
      </c>
      <c r="U30" s="366">
        <v>510.31</v>
      </c>
      <c r="V30" s="366">
        <v>708.58</v>
      </c>
      <c r="W30" s="366">
        <v>292.35000000000002</v>
      </c>
      <c r="X30" s="366">
        <v>152.31</v>
      </c>
      <c r="Y30" s="366">
        <v>310.67</v>
      </c>
      <c r="Z30" s="366">
        <v>436.68</v>
      </c>
      <c r="AA30" s="366">
        <v>34.25</v>
      </c>
      <c r="AB30" s="366">
        <v>249.09</v>
      </c>
      <c r="AC30" s="366">
        <v>603.63</v>
      </c>
      <c r="AD30" s="391">
        <f t="shared" si="0"/>
        <v>313.07851851851854</v>
      </c>
    </row>
    <row r="31" spans="1:30">
      <c r="A31" s="398" t="s">
        <v>474</v>
      </c>
      <c r="B31" s="366" t="s">
        <v>53</v>
      </c>
      <c r="C31" s="366">
        <v>538.34</v>
      </c>
      <c r="D31" s="366">
        <v>388.35</v>
      </c>
      <c r="E31" s="366">
        <v>388.35</v>
      </c>
      <c r="F31" s="366">
        <v>369.55</v>
      </c>
      <c r="G31" s="366">
        <v>248.52</v>
      </c>
      <c r="H31" s="366">
        <v>515.48</v>
      </c>
      <c r="I31" s="366">
        <v>106.07</v>
      </c>
      <c r="J31" s="366">
        <v>310.04000000000002</v>
      </c>
      <c r="K31" s="366">
        <v>124.36</v>
      </c>
      <c r="L31" s="366">
        <v>557.38</v>
      </c>
      <c r="M31" s="366">
        <v>185.35</v>
      </c>
      <c r="N31" s="366">
        <v>211.51</v>
      </c>
      <c r="O31" s="366">
        <v>256.72000000000003</v>
      </c>
      <c r="P31" s="366">
        <v>166.67</v>
      </c>
      <c r="Q31" s="366">
        <v>319.48</v>
      </c>
      <c r="R31" s="366">
        <v>164.09</v>
      </c>
      <c r="S31" s="366">
        <v>140.9</v>
      </c>
      <c r="T31" s="366">
        <v>164.09</v>
      </c>
      <c r="U31" s="366">
        <v>510.31</v>
      </c>
      <c r="V31" s="366">
        <v>708.58</v>
      </c>
      <c r="W31" s="366">
        <v>292.35000000000002</v>
      </c>
      <c r="X31" s="366">
        <v>152.31</v>
      </c>
      <c r="Y31" s="366">
        <v>310.67</v>
      </c>
      <c r="Z31" s="366">
        <v>436.68</v>
      </c>
      <c r="AA31" s="366">
        <v>34.25</v>
      </c>
      <c r="AB31" s="366">
        <v>249.09</v>
      </c>
      <c r="AC31" s="366">
        <v>603.63</v>
      </c>
      <c r="AD31" s="391">
        <f t="shared" si="0"/>
        <v>313.07851851851854</v>
      </c>
    </row>
    <row r="32" spans="1:30">
      <c r="A32" s="398" t="s">
        <v>474</v>
      </c>
      <c r="B32" s="366" t="s">
        <v>54</v>
      </c>
      <c r="C32" s="366">
        <v>272.41000000000003</v>
      </c>
      <c r="D32" s="366">
        <v>190.92</v>
      </c>
      <c r="E32" s="366">
        <v>190.92</v>
      </c>
      <c r="F32" s="366">
        <v>181.07</v>
      </c>
      <c r="G32" s="366">
        <v>331.89</v>
      </c>
      <c r="H32" s="366">
        <v>283.58999999999997</v>
      </c>
      <c r="I32" s="366">
        <v>383.53</v>
      </c>
      <c r="J32" s="366">
        <v>141.52000000000001</v>
      </c>
      <c r="K32" s="366">
        <v>246.69</v>
      </c>
      <c r="L32" s="366">
        <v>291.45</v>
      </c>
      <c r="M32" s="366">
        <v>227.19</v>
      </c>
      <c r="N32" s="366">
        <v>242.57</v>
      </c>
      <c r="O32" s="366">
        <v>534.17999999999995</v>
      </c>
      <c r="P32" s="366">
        <v>220.26</v>
      </c>
      <c r="Q32" s="366">
        <v>132.08000000000001</v>
      </c>
      <c r="R32" s="366">
        <v>198.7</v>
      </c>
      <c r="S32" s="366">
        <v>236.93</v>
      </c>
      <c r="T32" s="366">
        <v>198.7</v>
      </c>
      <c r="U32" s="366">
        <v>278.42</v>
      </c>
      <c r="V32" s="366">
        <v>442.65</v>
      </c>
      <c r="W32" s="366">
        <v>162.62</v>
      </c>
      <c r="X32" s="366">
        <v>429.77</v>
      </c>
      <c r="Y32" s="366">
        <v>118.18</v>
      </c>
      <c r="Z32" s="366">
        <v>785.2</v>
      </c>
      <c r="AA32" s="366">
        <v>363.05</v>
      </c>
      <c r="AB32" s="366">
        <v>182.92</v>
      </c>
      <c r="AC32" s="366">
        <v>337.7</v>
      </c>
      <c r="AD32" s="391">
        <f t="shared" si="0"/>
        <v>281.67074074074071</v>
      </c>
    </row>
    <row r="33" spans="1:30">
      <c r="A33" s="398" t="s">
        <v>474</v>
      </c>
      <c r="B33" s="366" t="s">
        <v>55</v>
      </c>
      <c r="C33" s="366">
        <v>706.06</v>
      </c>
      <c r="D33" s="366">
        <v>646.34</v>
      </c>
      <c r="E33" s="366">
        <v>646.34</v>
      </c>
      <c r="F33" s="366">
        <v>456.89</v>
      </c>
      <c r="G33" s="366">
        <v>305.86</v>
      </c>
      <c r="H33" s="366">
        <v>773.47</v>
      </c>
      <c r="I33" s="366">
        <v>151.91999999999999</v>
      </c>
      <c r="J33" s="366">
        <v>397.38</v>
      </c>
      <c r="K33" s="366">
        <v>382.35</v>
      </c>
      <c r="L33" s="366">
        <v>725.1</v>
      </c>
      <c r="M33" s="366">
        <v>443.34</v>
      </c>
      <c r="N33" s="366">
        <v>298.85000000000002</v>
      </c>
      <c r="O33" s="366">
        <v>37.869999999999997</v>
      </c>
      <c r="P33" s="366">
        <v>424.66</v>
      </c>
      <c r="Q33" s="366">
        <v>406.82</v>
      </c>
      <c r="R33" s="366">
        <v>422.08</v>
      </c>
      <c r="S33" s="366">
        <v>398.89</v>
      </c>
      <c r="T33" s="366">
        <v>422.08</v>
      </c>
      <c r="U33" s="366">
        <v>768.3</v>
      </c>
      <c r="V33" s="366">
        <v>876.3</v>
      </c>
      <c r="W33" s="366">
        <v>379.69</v>
      </c>
      <c r="X33" s="366">
        <v>105.68</v>
      </c>
      <c r="Y33" s="366">
        <v>568.66</v>
      </c>
      <c r="Z33" s="366">
        <v>249.75</v>
      </c>
      <c r="AA33" s="366">
        <v>292.24</v>
      </c>
      <c r="AB33" s="366">
        <v>507.08</v>
      </c>
      <c r="AC33" s="366">
        <v>771.35</v>
      </c>
      <c r="AD33" s="391">
        <f t="shared" si="0"/>
        <v>465.38333333333333</v>
      </c>
    </row>
    <row r="34" spans="1:30">
      <c r="A34" s="398" t="s">
        <v>474</v>
      </c>
      <c r="B34" s="366" t="s">
        <v>56</v>
      </c>
      <c r="C34" s="366">
        <v>504.02</v>
      </c>
      <c r="D34" s="366">
        <v>471.03</v>
      </c>
      <c r="E34" s="366">
        <v>471.03</v>
      </c>
      <c r="F34" s="366">
        <v>254.85</v>
      </c>
      <c r="G34" s="366">
        <v>133.82</v>
      </c>
      <c r="H34" s="366">
        <v>598.16</v>
      </c>
      <c r="I34" s="366">
        <v>185.46</v>
      </c>
      <c r="J34" s="366">
        <v>195.34</v>
      </c>
      <c r="K34" s="366">
        <v>300.56</v>
      </c>
      <c r="L34" s="366">
        <v>523.05999999999995</v>
      </c>
      <c r="M34" s="366">
        <v>303.89</v>
      </c>
      <c r="N34" s="366">
        <v>96.81</v>
      </c>
      <c r="O34" s="366">
        <v>336.11</v>
      </c>
      <c r="P34" s="366">
        <v>285.20999999999998</v>
      </c>
      <c r="Q34" s="366">
        <v>204.78</v>
      </c>
      <c r="R34" s="366">
        <v>246.77</v>
      </c>
      <c r="S34" s="366">
        <v>290.8</v>
      </c>
      <c r="T34" s="366">
        <v>246.77</v>
      </c>
      <c r="U34" s="366">
        <v>592.99</v>
      </c>
      <c r="V34" s="366">
        <v>674.26</v>
      </c>
      <c r="W34" s="366">
        <v>177.65</v>
      </c>
      <c r="X34" s="366">
        <v>231.7</v>
      </c>
      <c r="Y34" s="366">
        <v>393.35</v>
      </c>
      <c r="Z34" s="366">
        <v>587.13</v>
      </c>
      <c r="AA34" s="366">
        <v>260.63</v>
      </c>
      <c r="AB34" s="366">
        <v>331.77</v>
      </c>
      <c r="AC34" s="366">
        <v>569.30999999999995</v>
      </c>
      <c r="AD34" s="391">
        <f t="shared" si="0"/>
        <v>350.63925925925918</v>
      </c>
    </row>
    <row r="35" spans="1:30">
      <c r="A35" s="398" t="s">
        <v>474</v>
      </c>
      <c r="B35" s="366" t="s">
        <v>57</v>
      </c>
      <c r="C35" s="366">
        <v>355.59</v>
      </c>
      <c r="D35" s="366">
        <v>205.6</v>
      </c>
      <c r="E35" s="366">
        <v>205.6</v>
      </c>
      <c r="F35" s="366">
        <v>361.11</v>
      </c>
      <c r="G35" s="366">
        <v>263.91000000000003</v>
      </c>
      <c r="H35" s="366">
        <v>332.73</v>
      </c>
      <c r="I35" s="366">
        <v>288.82</v>
      </c>
      <c r="J35" s="366">
        <v>321.56</v>
      </c>
      <c r="K35" s="366">
        <v>127.23</v>
      </c>
      <c r="L35" s="366">
        <v>374.63</v>
      </c>
      <c r="M35" s="366">
        <v>110.61</v>
      </c>
      <c r="N35" s="366">
        <v>226.9</v>
      </c>
      <c r="O35" s="366">
        <v>439.47</v>
      </c>
      <c r="P35" s="366">
        <v>103.68</v>
      </c>
      <c r="Q35" s="366">
        <v>312.12</v>
      </c>
      <c r="R35" s="366">
        <v>18.66</v>
      </c>
      <c r="S35" s="366">
        <v>117.47</v>
      </c>
      <c r="T35" s="366">
        <v>18.66</v>
      </c>
      <c r="U35" s="366">
        <v>327.56</v>
      </c>
      <c r="V35" s="366">
        <v>525.83000000000004</v>
      </c>
      <c r="W35" s="366">
        <v>307.74</v>
      </c>
      <c r="X35" s="366">
        <v>335.06</v>
      </c>
      <c r="Y35" s="366">
        <v>127.92</v>
      </c>
      <c r="Z35" s="366">
        <v>619.42999999999995</v>
      </c>
      <c r="AA35" s="366">
        <v>183.01</v>
      </c>
      <c r="AB35" s="366">
        <v>66.34</v>
      </c>
      <c r="AC35" s="366">
        <v>420.88</v>
      </c>
      <c r="AD35" s="391">
        <f t="shared" si="0"/>
        <v>262.89333333333337</v>
      </c>
    </row>
    <row r="36" spans="1:30">
      <c r="A36" s="398" t="s">
        <v>474</v>
      </c>
      <c r="B36" s="366" t="s">
        <v>58</v>
      </c>
      <c r="C36" s="366">
        <v>355.59</v>
      </c>
      <c r="D36" s="366">
        <v>205.6</v>
      </c>
      <c r="E36" s="366">
        <v>205.6</v>
      </c>
      <c r="F36" s="366">
        <v>361.11</v>
      </c>
      <c r="G36" s="366">
        <v>263.91000000000003</v>
      </c>
      <c r="H36" s="366">
        <v>332.73</v>
      </c>
      <c r="I36" s="366">
        <v>288.82</v>
      </c>
      <c r="J36" s="366">
        <v>321.56</v>
      </c>
      <c r="K36" s="366">
        <v>127.23</v>
      </c>
      <c r="L36" s="366">
        <v>374.63</v>
      </c>
      <c r="M36" s="366">
        <v>110.61</v>
      </c>
      <c r="N36" s="366">
        <v>226.9</v>
      </c>
      <c r="O36" s="366">
        <v>439.47</v>
      </c>
      <c r="P36" s="366">
        <v>103.68</v>
      </c>
      <c r="Q36" s="366">
        <v>312.12</v>
      </c>
      <c r="R36" s="366">
        <v>18.66</v>
      </c>
      <c r="S36" s="366">
        <v>117.47</v>
      </c>
      <c r="T36" s="366">
        <v>18.66</v>
      </c>
      <c r="U36" s="366">
        <v>327.56</v>
      </c>
      <c r="V36" s="366">
        <v>525.83000000000004</v>
      </c>
      <c r="W36" s="366">
        <v>307.74</v>
      </c>
      <c r="X36" s="366">
        <v>335.06</v>
      </c>
      <c r="Y36" s="366">
        <v>127.92</v>
      </c>
      <c r="Z36" s="366">
        <v>619.42999999999995</v>
      </c>
      <c r="AA36" s="366">
        <v>183.01</v>
      </c>
      <c r="AB36" s="366">
        <v>66.34</v>
      </c>
      <c r="AC36" s="366">
        <v>420.88</v>
      </c>
      <c r="AD36" s="391">
        <f t="shared" si="0"/>
        <v>262.89333333333337</v>
      </c>
    </row>
    <row r="37" spans="1:30">
      <c r="A37" s="398" t="s">
        <v>474</v>
      </c>
      <c r="B37" s="366" t="s">
        <v>59</v>
      </c>
      <c r="C37" s="366">
        <v>355.59</v>
      </c>
      <c r="D37" s="366">
        <v>205.6</v>
      </c>
      <c r="E37" s="366">
        <v>205.6</v>
      </c>
      <c r="F37" s="366">
        <v>361.11</v>
      </c>
      <c r="G37" s="366">
        <v>263.91000000000003</v>
      </c>
      <c r="H37" s="366">
        <v>332.73</v>
      </c>
      <c r="I37" s="366">
        <v>288.82</v>
      </c>
      <c r="J37" s="366">
        <v>321.56</v>
      </c>
      <c r="K37" s="366">
        <v>127.23</v>
      </c>
      <c r="L37" s="366">
        <v>374.63</v>
      </c>
      <c r="M37" s="366">
        <v>110.61</v>
      </c>
      <c r="N37" s="366">
        <v>226.9</v>
      </c>
      <c r="O37" s="366">
        <v>439.47</v>
      </c>
      <c r="P37" s="366">
        <v>103.68</v>
      </c>
      <c r="Q37" s="366">
        <v>312.12</v>
      </c>
      <c r="R37" s="366">
        <v>18.66</v>
      </c>
      <c r="S37" s="366">
        <v>117.47</v>
      </c>
      <c r="T37" s="366">
        <v>18.66</v>
      </c>
      <c r="U37" s="366">
        <v>327.56</v>
      </c>
      <c r="V37" s="366">
        <v>525.83000000000004</v>
      </c>
      <c r="W37" s="366">
        <v>307.74</v>
      </c>
      <c r="X37" s="366">
        <v>335.06</v>
      </c>
      <c r="Y37" s="366">
        <v>127.92</v>
      </c>
      <c r="Z37" s="366">
        <v>619.42999999999995</v>
      </c>
      <c r="AA37" s="366">
        <v>183.01</v>
      </c>
      <c r="AB37" s="366">
        <v>66.34</v>
      </c>
      <c r="AC37" s="366">
        <v>420.88</v>
      </c>
      <c r="AD37" s="391">
        <f t="shared" si="0"/>
        <v>262.89333333333337</v>
      </c>
    </row>
    <row r="38" spans="1:30">
      <c r="A38" s="398" t="s">
        <v>474</v>
      </c>
      <c r="B38" s="366" t="s">
        <v>60</v>
      </c>
      <c r="C38" s="366">
        <v>191.64</v>
      </c>
      <c r="D38" s="366">
        <v>356.01</v>
      </c>
      <c r="E38" s="366">
        <v>356.01</v>
      </c>
      <c r="F38" s="366">
        <v>486.86</v>
      </c>
      <c r="G38" s="366">
        <v>618.84</v>
      </c>
      <c r="H38" s="366">
        <v>22.2</v>
      </c>
      <c r="I38" s="366">
        <v>643.75</v>
      </c>
      <c r="J38" s="366">
        <v>447.31</v>
      </c>
      <c r="K38" s="366">
        <v>421.58</v>
      </c>
      <c r="L38" s="366">
        <v>367.72</v>
      </c>
      <c r="M38" s="366">
        <v>402.08</v>
      </c>
      <c r="N38" s="366">
        <v>548.36</v>
      </c>
      <c r="O38" s="366">
        <v>794.4</v>
      </c>
      <c r="P38" s="366">
        <v>395.15</v>
      </c>
      <c r="Q38" s="366">
        <v>437.87</v>
      </c>
      <c r="R38" s="366">
        <v>373.59</v>
      </c>
      <c r="S38" s="366">
        <v>411.82</v>
      </c>
      <c r="T38" s="366">
        <v>373.59</v>
      </c>
      <c r="U38" s="366">
        <v>341.64</v>
      </c>
      <c r="V38" s="366">
        <v>518.91999999999996</v>
      </c>
      <c r="W38" s="366">
        <v>468.41</v>
      </c>
      <c r="X38" s="366">
        <v>689.99</v>
      </c>
      <c r="Y38" s="366">
        <v>249.07</v>
      </c>
      <c r="Z38" s="366">
        <v>974.36</v>
      </c>
      <c r="AA38" s="366">
        <v>537.94000000000005</v>
      </c>
      <c r="AB38" s="366">
        <v>357.81</v>
      </c>
      <c r="AC38" s="366">
        <v>75.31</v>
      </c>
      <c r="AD38" s="391">
        <f t="shared" si="0"/>
        <v>439.34185185185174</v>
      </c>
    </row>
    <row r="39" spans="1:30">
      <c r="A39" s="398" t="s">
        <v>474</v>
      </c>
      <c r="B39" s="366" t="s">
        <v>61</v>
      </c>
      <c r="C39" s="366">
        <v>191.64</v>
      </c>
      <c r="D39" s="366">
        <v>356.01</v>
      </c>
      <c r="E39" s="366">
        <v>356.01</v>
      </c>
      <c r="F39" s="366">
        <v>486.86</v>
      </c>
      <c r="G39" s="366">
        <v>618.84</v>
      </c>
      <c r="H39" s="366">
        <v>22.2</v>
      </c>
      <c r="I39" s="366">
        <v>643.75</v>
      </c>
      <c r="J39" s="366">
        <v>447.31</v>
      </c>
      <c r="K39" s="366">
        <v>421.58</v>
      </c>
      <c r="L39" s="366">
        <v>367.72</v>
      </c>
      <c r="M39" s="366">
        <v>402.08</v>
      </c>
      <c r="N39" s="366">
        <v>548.36</v>
      </c>
      <c r="O39" s="366">
        <v>794.4</v>
      </c>
      <c r="P39" s="366">
        <v>395.15</v>
      </c>
      <c r="Q39" s="366">
        <v>437.87</v>
      </c>
      <c r="R39" s="366">
        <v>373.59</v>
      </c>
      <c r="S39" s="366">
        <v>411.82</v>
      </c>
      <c r="T39" s="366">
        <v>373.59</v>
      </c>
      <c r="U39" s="366">
        <v>341.64</v>
      </c>
      <c r="V39" s="366">
        <v>518.91999999999996</v>
      </c>
      <c r="W39" s="366">
        <v>468.41</v>
      </c>
      <c r="X39" s="366">
        <v>689.99</v>
      </c>
      <c r="Y39" s="366">
        <v>249.07</v>
      </c>
      <c r="Z39" s="366">
        <v>974.36</v>
      </c>
      <c r="AA39" s="366">
        <v>537.94000000000005</v>
      </c>
      <c r="AB39" s="366">
        <v>357.81</v>
      </c>
      <c r="AC39" s="366">
        <v>75.31</v>
      </c>
      <c r="AD39" s="391">
        <f t="shared" si="0"/>
        <v>439.34185185185174</v>
      </c>
    </row>
    <row r="40" spans="1:30">
      <c r="A40" s="398" t="s">
        <v>474</v>
      </c>
      <c r="B40" s="366" t="s">
        <v>62</v>
      </c>
      <c r="C40" s="366">
        <v>538.6</v>
      </c>
      <c r="D40" s="366">
        <v>388.61</v>
      </c>
      <c r="E40" s="366">
        <v>388.61</v>
      </c>
      <c r="F40" s="366">
        <v>380.14</v>
      </c>
      <c r="G40" s="366">
        <v>259.11</v>
      </c>
      <c r="H40" s="366">
        <v>515.74</v>
      </c>
      <c r="I40" s="366">
        <v>140.32</v>
      </c>
      <c r="J40" s="366">
        <v>320.63</v>
      </c>
      <c r="K40" s="366">
        <v>124.62</v>
      </c>
      <c r="L40" s="366">
        <v>557.64</v>
      </c>
      <c r="M40" s="366">
        <v>185.61</v>
      </c>
      <c r="N40" s="366">
        <v>222.1</v>
      </c>
      <c r="O40" s="366">
        <v>290.97000000000003</v>
      </c>
      <c r="P40" s="366">
        <v>166.93</v>
      </c>
      <c r="Q40" s="366">
        <v>330.07</v>
      </c>
      <c r="R40" s="366">
        <v>164.35</v>
      </c>
      <c r="S40" s="366">
        <v>141.16</v>
      </c>
      <c r="T40" s="366">
        <v>164.35</v>
      </c>
      <c r="U40" s="366">
        <v>510.57</v>
      </c>
      <c r="V40" s="366">
        <v>708.84</v>
      </c>
      <c r="W40" s="366">
        <v>302.94</v>
      </c>
      <c r="X40" s="366">
        <v>186.56</v>
      </c>
      <c r="Y40" s="366">
        <v>310.93</v>
      </c>
      <c r="Z40" s="366">
        <v>470.93</v>
      </c>
      <c r="AA40" s="366">
        <v>0</v>
      </c>
      <c r="AB40" s="366">
        <v>249.35</v>
      </c>
      <c r="AC40" s="366">
        <v>603.89</v>
      </c>
      <c r="AD40" s="391">
        <f t="shared" si="0"/>
        <v>319.39148148148155</v>
      </c>
    </row>
    <row r="41" spans="1:30">
      <c r="A41" s="398" t="s">
        <v>474</v>
      </c>
      <c r="B41" s="366" t="s">
        <v>63</v>
      </c>
      <c r="C41" s="366">
        <v>325.64</v>
      </c>
      <c r="D41" s="366">
        <v>40.83</v>
      </c>
      <c r="E41" s="366">
        <v>40.83</v>
      </c>
      <c r="F41" s="366">
        <v>331.16</v>
      </c>
      <c r="G41" s="366">
        <v>428.68</v>
      </c>
      <c r="H41" s="366">
        <v>297.14</v>
      </c>
      <c r="I41" s="366">
        <v>453.59</v>
      </c>
      <c r="J41" s="366">
        <v>291.61</v>
      </c>
      <c r="K41" s="366">
        <v>231.42</v>
      </c>
      <c r="L41" s="366">
        <v>344.68</v>
      </c>
      <c r="M41" s="366">
        <v>211.92</v>
      </c>
      <c r="N41" s="366">
        <v>391.67</v>
      </c>
      <c r="O41" s="366">
        <v>604.24</v>
      </c>
      <c r="P41" s="366">
        <v>204.99</v>
      </c>
      <c r="Q41" s="366">
        <v>282.17</v>
      </c>
      <c r="R41" s="366">
        <v>183.43</v>
      </c>
      <c r="S41" s="366">
        <v>221.66</v>
      </c>
      <c r="T41" s="366">
        <v>183.43</v>
      </c>
      <c r="U41" s="366">
        <v>257.73</v>
      </c>
      <c r="V41" s="366">
        <v>495.88</v>
      </c>
      <c r="W41" s="366">
        <v>312.70999999999998</v>
      </c>
      <c r="X41" s="366">
        <v>499.83</v>
      </c>
      <c r="Y41" s="366">
        <v>70.27</v>
      </c>
      <c r="Z41" s="366">
        <v>784.2</v>
      </c>
      <c r="AA41" s="366">
        <v>347.78</v>
      </c>
      <c r="AB41" s="366">
        <v>167.65</v>
      </c>
      <c r="AC41" s="366">
        <v>389.69</v>
      </c>
      <c r="AD41" s="391">
        <f t="shared" si="0"/>
        <v>310.91962962962964</v>
      </c>
    </row>
    <row r="42" spans="1:30">
      <c r="A42" s="398" t="s">
        <v>474</v>
      </c>
      <c r="B42" s="366" t="s">
        <v>64</v>
      </c>
      <c r="C42" s="366">
        <v>708.93</v>
      </c>
      <c r="D42" s="366">
        <v>639.72</v>
      </c>
      <c r="E42" s="366">
        <v>639.72</v>
      </c>
      <c r="F42" s="366">
        <v>459.76</v>
      </c>
      <c r="G42" s="366">
        <v>308.73</v>
      </c>
      <c r="H42" s="366">
        <v>766.85</v>
      </c>
      <c r="I42" s="366">
        <v>154.79</v>
      </c>
      <c r="J42" s="366">
        <v>400.25</v>
      </c>
      <c r="K42" s="366">
        <v>375.73</v>
      </c>
      <c r="L42" s="366">
        <v>727.97</v>
      </c>
      <c r="M42" s="366">
        <v>436.72</v>
      </c>
      <c r="N42" s="366">
        <v>301.72000000000003</v>
      </c>
      <c r="O42" s="366">
        <v>40.74</v>
      </c>
      <c r="P42" s="366">
        <v>418.04</v>
      </c>
      <c r="Q42" s="366">
        <v>409.69</v>
      </c>
      <c r="R42" s="366">
        <v>415.46</v>
      </c>
      <c r="S42" s="366">
        <v>392.27</v>
      </c>
      <c r="T42" s="366">
        <v>415.46</v>
      </c>
      <c r="U42" s="366">
        <v>761.68</v>
      </c>
      <c r="V42" s="366">
        <v>879.17</v>
      </c>
      <c r="W42" s="366">
        <v>382.56</v>
      </c>
      <c r="X42" s="366">
        <v>108.55</v>
      </c>
      <c r="Y42" s="366">
        <v>562.04</v>
      </c>
      <c r="Z42" s="366">
        <v>291.76</v>
      </c>
      <c r="AA42" s="366">
        <v>285.62</v>
      </c>
      <c r="AB42" s="366">
        <v>500.46</v>
      </c>
      <c r="AC42" s="366">
        <v>774.22</v>
      </c>
      <c r="AD42" s="391">
        <f t="shared" si="0"/>
        <v>465.13370370370365</v>
      </c>
    </row>
    <row r="43" spans="1:30">
      <c r="A43" s="398" t="s">
        <v>474</v>
      </c>
      <c r="B43" s="366" t="s">
        <v>65</v>
      </c>
      <c r="C43" s="366">
        <v>464.86</v>
      </c>
      <c r="D43" s="366">
        <v>314.87</v>
      </c>
      <c r="E43" s="366">
        <v>314.87</v>
      </c>
      <c r="F43" s="366">
        <v>288.23</v>
      </c>
      <c r="G43" s="366">
        <v>167.2</v>
      </c>
      <c r="H43" s="366">
        <v>442</v>
      </c>
      <c r="I43" s="366">
        <v>187.39</v>
      </c>
      <c r="J43" s="366">
        <v>228.72</v>
      </c>
      <c r="K43" s="366">
        <v>144.4</v>
      </c>
      <c r="L43" s="366">
        <v>483.9</v>
      </c>
      <c r="M43" s="366">
        <v>147.72999999999999</v>
      </c>
      <c r="N43" s="366">
        <v>130.19</v>
      </c>
      <c r="O43" s="366">
        <v>338.04</v>
      </c>
      <c r="P43" s="366">
        <v>129.05000000000001</v>
      </c>
      <c r="Q43" s="366">
        <v>238.16</v>
      </c>
      <c r="R43" s="366">
        <v>90.61</v>
      </c>
      <c r="S43" s="366">
        <v>134.63999999999999</v>
      </c>
      <c r="T43" s="366">
        <v>90.61</v>
      </c>
      <c r="U43" s="366">
        <v>436.83</v>
      </c>
      <c r="V43" s="366">
        <v>635.1</v>
      </c>
      <c r="W43" s="366">
        <v>211.03</v>
      </c>
      <c r="X43" s="366">
        <v>233.63</v>
      </c>
      <c r="Y43" s="366">
        <v>237.19</v>
      </c>
      <c r="Z43" s="366">
        <v>518</v>
      </c>
      <c r="AA43" s="366">
        <v>91.91</v>
      </c>
      <c r="AB43" s="366">
        <v>175.61</v>
      </c>
      <c r="AC43" s="366">
        <v>530.15</v>
      </c>
      <c r="AD43" s="391">
        <f t="shared" si="0"/>
        <v>274.25629629629628</v>
      </c>
    </row>
    <row r="44" spans="1:30">
      <c r="A44" s="398" t="s">
        <v>474</v>
      </c>
      <c r="B44" s="366" t="s">
        <v>66</v>
      </c>
      <c r="C44" s="366">
        <v>912.35</v>
      </c>
      <c r="D44" s="366">
        <v>781.57</v>
      </c>
      <c r="E44" s="366">
        <v>781.57</v>
      </c>
      <c r="F44" s="366">
        <v>663.18</v>
      </c>
      <c r="G44" s="366">
        <v>512.15</v>
      </c>
      <c r="H44" s="366">
        <v>908.7</v>
      </c>
      <c r="I44" s="366">
        <v>358.21</v>
      </c>
      <c r="J44" s="366">
        <v>603.66999999999996</v>
      </c>
      <c r="K44" s="366">
        <v>517.58000000000004</v>
      </c>
      <c r="L44" s="366">
        <v>931.39</v>
      </c>
      <c r="M44" s="366">
        <v>578.57000000000005</v>
      </c>
      <c r="N44" s="366">
        <v>505.14</v>
      </c>
      <c r="O44" s="366">
        <v>244.16</v>
      </c>
      <c r="P44" s="366">
        <v>559.89</v>
      </c>
      <c r="Q44" s="366">
        <v>613.11</v>
      </c>
      <c r="R44" s="366">
        <v>557.30999999999995</v>
      </c>
      <c r="S44" s="366">
        <v>534.12</v>
      </c>
      <c r="T44" s="366">
        <v>557.30999999999995</v>
      </c>
      <c r="U44" s="366">
        <v>903.53</v>
      </c>
      <c r="V44" s="366">
        <v>1082.5899999999999</v>
      </c>
      <c r="W44" s="366">
        <v>585.98</v>
      </c>
      <c r="X44" s="366">
        <v>311.97000000000003</v>
      </c>
      <c r="Y44" s="366">
        <v>703.89</v>
      </c>
      <c r="Z44" s="366">
        <v>57.93</v>
      </c>
      <c r="AA44" s="366">
        <v>427.47</v>
      </c>
      <c r="AB44" s="366">
        <v>642.30999999999995</v>
      </c>
      <c r="AC44" s="366">
        <v>977.64</v>
      </c>
      <c r="AD44" s="391">
        <f t="shared" si="0"/>
        <v>622.71444444444444</v>
      </c>
    </row>
    <row r="45" spans="1:30">
      <c r="A45" s="398" t="s">
        <v>474</v>
      </c>
      <c r="B45" s="366" t="s">
        <v>67</v>
      </c>
      <c r="C45" s="366">
        <v>351.68</v>
      </c>
      <c r="D45" s="366">
        <v>371.99</v>
      </c>
      <c r="E45" s="366">
        <v>371.99</v>
      </c>
      <c r="F45" s="366">
        <v>0</v>
      </c>
      <c r="G45" s="366">
        <v>253.33</v>
      </c>
      <c r="H45" s="366">
        <v>464.66</v>
      </c>
      <c r="I45" s="366">
        <v>304.97000000000003</v>
      </c>
      <c r="J45" s="366">
        <v>59.51</v>
      </c>
      <c r="K45" s="366">
        <v>420.07</v>
      </c>
      <c r="L45" s="366">
        <v>370.72</v>
      </c>
      <c r="M45" s="366">
        <v>408.26</v>
      </c>
      <c r="N45" s="366">
        <v>164.01</v>
      </c>
      <c r="O45" s="366">
        <v>455.62</v>
      </c>
      <c r="P45" s="366">
        <v>401.33</v>
      </c>
      <c r="Q45" s="366">
        <v>52.06</v>
      </c>
      <c r="R45" s="366">
        <v>366.28</v>
      </c>
      <c r="S45" s="366">
        <v>410.31</v>
      </c>
      <c r="T45" s="366">
        <v>366.28</v>
      </c>
      <c r="U45" s="366">
        <v>459.49</v>
      </c>
      <c r="V45" s="366">
        <v>521.91999999999996</v>
      </c>
      <c r="W45" s="366">
        <v>84.06</v>
      </c>
      <c r="X45" s="366">
        <v>351.21</v>
      </c>
      <c r="Y45" s="366">
        <v>299.25</v>
      </c>
      <c r="Z45" s="366">
        <v>706.64</v>
      </c>
      <c r="AA45" s="366">
        <v>380.14</v>
      </c>
      <c r="AB45" s="366">
        <v>363.99</v>
      </c>
      <c r="AC45" s="366">
        <v>416.97</v>
      </c>
      <c r="AD45" s="391">
        <f t="shared" si="0"/>
        <v>339.87925925925924</v>
      </c>
    </row>
    <row r="46" spans="1:30">
      <c r="A46" s="398" t="s">
        <v>474</v>
      </c>
      <c r="B46" s="366" t="s">
        <v>68</v>
      </c>
      <c r="C46" s="366">
        <v>209.49</v>
      </c>
      <c r="D46" s="366">
        <v>156.97999999999999</v>
      </c>
      <c r="E46" s="366">
        <v>156.97999999999999</v>
      </c>
      <c r="F46" s="366">
        <v>223.53</v>
      </c>
      <c r="G46" s="366">
        <v>374.35</v>
      </c>
      <c r="H46" s="366">
        <v>249.65</v>
      </c>
      <c r="I46" s="366">
        <v>425.99</v>
      </c>
      <c r="J46" s="366">
        <v>183.98</v>
      </c>
      <c r="K46" s="366">
        <v>212.75</v>
      </c>
      <c r="L46" s="366">
        <v>228.53</v>
      </c>
      <c r="M46" s="366">
        <v>193.25</v>
      </c>
      <c r="N46" s="366">
        <v>285.02999999999997</v>
      </c>
      <c r="O46" s="366">
        <v>576.64</v>
      </c>
      <c r="P46" s="366">
        <v>186.32</v>
      </c>
      <c r="Q46" s="366">
        <v>174.54</v>
      </c>
      <c r="R46" s="366">
        <v>164.76</v>
      </c>
      <c r="S46" s="366">
        <v>202.99</v>
      </c>
      <c r="T46" s="366">
        <v>164.76</v>
      </c>
      <c r="U46" s="366">
        <v>244.48</v>
      </c>
      <c r="V46" s="366">
        <v>379.73</v>
      </c>
      <c r="W46" s="366">
        <v>205.08</v>
      </c>
      <c r="X46" s="366">
        <v>472.23</v>
      </c>
      <c r="Y46" s="366">
        <v>84.24</v>
      </c>
      <c r="Z46" s="366">
        <v>765.53</v>
      </c>
      <c r="AA46" s="366">
        <v>329.11</v>
      </c>
      <c r="AB46" s="366">
        <v>148.97999999999999</v>
      </c>
      <c r="AC46" s="366">
        <v>274.77999999999997</v>
      </c>
      <c r="AD46" s="391">
        <f t="shared" si="0"/>
        <v>269.43259259259253</v>
      </c>
    </row>
    <row r="47" spans="1:30">
      <c r="A47" s="398" t="s">
        <v>474</v>
      </c>
      <c r="B47" s="366" t="s">
        <v>69</v>
      </c>
      <c r="C47" s="366">
        <v>209.49</v>
      </c>
      <c r="D47" s="366">
        <v>156.97999999999999</v>
      </c>
      <c r="E47" s="366">
        <v>156.97999999999999</v>
      </c>
      <c r="F47" s="366">
        <v>223.53</v>
      </c>
      <c r="G47" s="366">
        <v>374.35</v>
      </c>
      <c r="H47" s="366">
        <v>249.65</v>
      </c>
      <c r="I47" s="366">
        <v>425.99</v>
      </c>
      <c r="J47" s="366">
        <v>183.98</v>
      </c>
      <c r="K47" s="366">
        <v>212.75</v>
      </c>
      <c r="L47" s="366">
        <v>228.53</v>
      </c>
      <c r="M47" s="366">
        <v>193.25</v>
      </c>
      <c r="N47" s="366">
        <v>285.02999999999997</v>
      </c>
      <c r="O47" s="366">
        <v>576.64</v>
      </c>
      <c r="P47" s="366">
        <v>186.32</v>
      </c>
      <c r="Q47" s="366">
        <v>174.54</v>
      </c>
      <c r="R47" s="366">
        <v>164.76</v>
      </c>
      <c r="S47" s="366">
        <v>202.99</v>
      </c>
      <c r="T47" s="366">
        <v>164.76</v>
      </c>
      <c r="U47" s="366">
        <v>244.48</v>
      </c>
      <c r="V47" s="366">
        <v>379.73</v>
      </c>
      <c r="W47" s="366">
        <v>205.08</v>
      </c>
      <c r="X47" s="366">
        <v>472.23</v>
      </c>
      <c r="Y47" s="366">
        <v>84.24</v>
      </c>
      <c r="Z47" s="366">
        <v>765.53</v>
      </c>
      <c r="AA47" s="366">
        <v>329.11</v>
      </c>
      <c r="AB47" s="366">
        <v>148.97999999999999</v>
      </c>
      <c r="AC47" s="366">
        <v>274.77999999999997</v>
      </c>
      <c r="AD47" s="391">
        <f t="shared" si="0"/>
        <v>269.43259259259253</v>
      </c>
    </row>
    <row r="48" spans="1:30">
      <c r="A48" s="398" t="s">
        <v>474</v>
      </c>
      <c r="B48" s="366" t="s">
        <v>70</v>
      </c>
      <c r="C48" s="366">
        <v>336.26</v>
      </c>
      <c r="D48" s="366">
        <v>132.08000000000001</v>
      </c>
      <c r="E48" s="366">
        <v>132.08000000000001</v>
      </c>
      <c r="F48" s="366">
        <v>341.78</v>
      </c>
      <c r="G48" s="366">
        <v>473.76</v>
      </c>
      <c r="H48" s="366">
        <v>201.73</v>
      </c>
      <c r="I48" s="366">
        <v>498.67</v>
      </c>
      <c r="J48" s="366">
        <v>302.23</v>
      </c>
      <c r="K48" s="366">
        <v>276.5</v>
      </c>
      <c r="L48" s="366">
        <v>355.3</v>
      </c>
      <c r="M48" s="366">
        <v>257</v>
      </c>
      <c r="N48" s="366">
        <v>403.28</v>
      </c>
      <c r="O48" s="366">
        <v>649.32000000000005</v>
      </c>
      <c r="P48" s="366">
        <v>250.07</v>
      </c>
      <c r="Q48" s="366">
        <v>292.79000000000002</v>
      </c>
      <c r="R48" s="366">
        <v>228.51</v>
      </c>
      <c r="S48" s="366">
        <v>266.74</v>
      </c>
      <c r="T48" s="366">
        <v>228.51</v>
      </c>
      <c r="U48" s="366">
        <v>117.71</v>
      </c>
      <c r="V48" s="366">
        <v>506.5</v>
      </c>
      <c r="W48" s="366">
        <v>323.33</v>
      </c>
      <c r="X48" s="366">
        <v>544.91</v>
      </c>
      <c r="Y48" s="366">
        <v>103.99</v>
      </c>
      <c r="Z48" s="366">
        <v>829.28</v>
      </c>
      <c r="AA48" s="366">
        <v>392.86</v>
      </c>
      <c r="AB48" s="366">
        <v>212.73</v>
      </c>
      <c r="AC48" s="366">
        <v>294.27999999999997</v>
      </c>
      <c r="AD48" s="391">
        <f t="shared" si="0"/>
        <v>331.5629629629629</v>
      </c>
    </row>
    <row r="49" spans="1:30">
      <c r="A49" s="398" t="s">
        <v>474</v>
      </c>
      <c r="B49" s="366" t="s">
        <v>71</v>
      </c>
      <c r="C49" s="366">
        <v>831.41</v>
      </c>
      <c r="D49" s="366">
        <v>771.69</v>
      </c>
      <c r="E49" s="366">
        <v>771.69</v>
      </c>
      <c r="F49" s="366">
        <v>582.24</v>
      </c>
      <c r="G49" s="366">
        <v>431.21</v>
      </c>
      <c r="H49" s="366">
        <v>898.82</v>
      </c>
      <c r="I49" s="366">
        <v>277.27</v>
      </c>
      <c r="J49" s="366">
        <v>522.73</v>
      </c>
      <c r="K49" s="366">
        <v>507.7</v>
      </c>
      <c r="L49" s="366">
        <v>850.45</v>
      </c>
      <c r="M49" s="366">
        <v>568.69000000000005</v>
      </c>
      <c r="N49" s="366">
        <v>424.2</v>
      </c>
      <c r="O49" s="366">
        <v>163.22</v>
      </c>
      <c r="P49" s="366">
        <v>550.01</v>
      </c>
      <c r="Q49" s="366">
        <v>532.16999999999996</v>
      </c>
      <c r="R49" s="366">
        <v>547.42999999999995</v>
      </c>
      <c r="S49" s="366">
        <v>524.24</v>
      </c>
      <c r="T49" s="366">
        <v>547.42999999999995</v>
      </c>
      <c r="U49" s="366">
        <v>893.65</v>
      </c>
      <c r="V49" s="366">
        <v>1001.65</v>
      </c>
      <c r="W49" s="366">
        <v>505.04</v>
      </c>
      <c r="X49" s="366">
        <v>231.03</v>
      </c>
      <c r="Y49" s="366">
        <v>694.01</v>
      </c>
      <c r="Z49" s="366">
        <v>125.76</v>
      </c>
      <c r="AA49" s="366">
        <v>417.59</v>
      </c>
      <c r="AB49" s="366">
        <v>632.42999999999995</v>
      </c>
      <c r="AC49" s="366">
        <v>896.7</v>
      </c>
      <c r="AD49" s="391">
        <f t="shared" si="0"/>
        <v>581.49851851851861</v>
      </c>
    </row>
    <row r="50" spans="1:30">
      <c r="A50" s="398" t="s">
        <v>474</v>
      </c>
      <c r="B50" s="366" t="s">
        <v>72</v>
      </c>
      <c r="C50" s="366">
        <v>333.23</v>
      </c>
      <c r="D50" s="366">
        <v>353.54</v>
      </c>
      <c r="E50" s="366">
        <v>353.54</v>
      </c>
      <c r="F50" s="366">
        <v>84.06</v>
      </c>
      <c r="G50" s="366">
        <v>176.13</v>
      </c>
      <c r="H50" s="366">
        <v>446.21</v>
      </c>
      <c r="I50" s="366">
        <v>227.77</v>
      </c>
      <c r="J50" s="366">
        <v>24.55</v>
      </c>
      <c r="K50" s="366">
        <v>342.87</v>
      </c>
      <c r="L50" s="366">
        <v>352.27</v>
      </c>
      <c r="M50" s="366">
        <v>346.2</v>
      </c>
      <c r="N50" s="366">
        <v>86.81</v>
      </c>
      <c r="O50" s="366">
        <v>378.42</v>
      </c>
      <c r="P50" s="366">
        <v>327.52</v>
      </c>
      <c r="Q50" s="366">
        <v>33.99</v>
      </c>
      <c r="R50" s="366">
        <v>289.08</v>
      </c>
      <c r="S50" s="366">
        <v>333.11</v>
      </c>
      <c r="T50" s="366">
        <v>289.08</v>
      </c>
      <c r="U50" s="366">
        <v>441.04</v>
      </c>
      <c r="V50" s="366">
        <v>503.47</v>
      </c>
      <c r="W50" s="366">
        <v>0</v>
      </c>
      <c r="X50" s="366">
        <v>274.01</v>
      </c>
      <c r="Y50" s="366">
        <v>280.8</v>
      </c>
      <c r="Z50" s="366">
        <v>629.44000000000005</v>
      </c>
      <c r="AA50" s="366">
        <v>302.94</v>
      </c>
      <c r="AB50" s="366">
        <v>345.54</v>
      </c>
      <c r="AC50" s="366">
        <v>398.52</v>
      </c>
      <c r="AD50" s="391">
        <f t="shared" si="0"/>
        <v>294.59777777777776</v>
      </c>
    </row>
    <row r="51" spans="1:30">
      <c r="A51" s="398" t="s">
        <v>474</v>
      </c>
      <c r="B51" s="366" t="s">
        <v>9</v>
      </c>
      <c r="C51" s="366">
        <v>422.24</v>
      </c>
      <c r="D51" s="366">
        <v>272.25</v>
      </c>
      <c r="E51" s="366">
        <v>272.25</v>
      </c>
      <c r="F51" s="366">
        <v>420.07</v>
      </c>
      <c r="G51" s="366">
        <v>299.04000000000002</v>
      </c>
      <c r="H51" s="366">
        <v>399.38</v>
      </c>
      <c r="I51" s="366">
        <v>230.43</v>
      </c>
      <c r="J51" s="366">
        <v>360.56</v>
      </c>
      <c r="K51" s="366">
        <v>0</v>
      </c>
      <c r="L51" s="366">
        <v>441.28</v>
      </c>
      <c r="M51" s="366">
        <v>60.99</v>
      </c>
      <c r="N51" s="366">
        <v>262.02999999999997</v>
      </c>
      <c r="O51" s="366">
        <v>381.08</v>
      </c>
      <c r="P51" s="366">
        <v>42.31</v>
      </c>
      <c r="Q51" s="366">
        <v>370</v>
      </c>
      <c r="R51" s="366">
        <v>108.57</v>
      </c>
      <c r="S51" s="366">
        <v>16.54</v>
      </c>
      <c r="T51" s="366">
        <v>108.57</v>
      </c>
      <c r="U51" s="366">
        <v>394.21</v>
      </c>
      <c r="V51" s="366">
        <v>592.48</v>
      </c>
      <c r="W51" s="366">
        <v>342.87</v>
      </c>
      <c r="X51" s="366">
        <v>276.67</v>
      </c>
      <c r="Y51" s="366">
        <v>194.57</v>
      </c>
      <c r="Z51" s="366">
        <v>561.04</v>
      </c>
      <c r="AA51" s="366">
        <v>124.62</v>
      </c>
      <c r="AB51" s="366">
        <v>132.99</v>
      </c>
      <c r="AC51" s="366">
        <v>487.53</v>
      </c>
      <c r="AD51" s="391">
        <f t="shared" si="0"/>
        <v>280.53962962962953</v>
      </c>
    </row>
    <row r="52" spans="1:30">
      <c r="A52" s="398" t="s">
        <v>474</v>
      </c>
      <c r="B52" s="366" t="s">
        <v>73</v>
      </c>
      <c r="C52" s="366">
        <v>183.65</v>
      </c>
      <c r="D52" s="366">
        <v>499.08</v>
      </c>
      <c r="E52" s="366">
        <v>499.08</v>
      </c>
      <c r="F52" s="366">
        <v>484.29</v>
      </c>
      <c r="G52" s="366">
        <v>635.11</v>
      </c>
      <c r="H52" s="366">
        <v>220.55</v>
      </c>
      <c r="I52" s="366">
        <v>686.75</v>
      </c>
      <c r="J52" s="366">
        <v>444.74</v>
      </c>
      <c r="K52" s="366">
        <v>554.85</v>
      </c>
      <c r="L52" s="366">
        <v>359.73</v>
      </c>
      <c r="M52" s="366">
        <v>535.35</v>
      </c>
      <c r="N52" s="366">
        <v>545.79</v>
      </c>
      <c r="O52" s="366">
        <v>837.4</v>
      </c>
      <c r="P52" s="366">
        <v>528.41999999999996</v>
      </c>
      <c r="Q52" s="366">
        <v>435.3</v>
      </c>
      <c r="R52" s="366">
        <v>506.86</v>
      </c>
      <c r="S52" s="366">
        <v>545.09</v>
      </c>
      <c r="T52" s="366">
        <v>506.86</v>
      </c>
      <c r="U52" s="366">
        <v>539.99</v>
      </c>
      <c r="V52" s="366">
        <v>510.93</v>
      </c>
      <c r="W52" s="366">
        <v>465.84</v>
      </c>
      <c r="X52" s="366">
        <v>732.99</v>
      </c>
      <c r="Y52" s="366">
        <v>426.34</v>
      </c>
      <c r="Z52" s="366">
        <v>1088.42</v>
      </c>
      <c r="AA52" s="366">
        <v>671.21</v>
      </c>
      <c r="AB52" s="366">
        <v>491.08</v>
      </c>
      <c r="AC52" s="366">
        <v>128</v>
      </c>
      <c r="AD52" s="391">
        <f t="shared" si="0"/>
        <v>520.87777777777774</v>
      </c>
    </row>
    <row r="53" spans="1:30">
      <c r="A53" s="398" t="s">
        <v>474</v>
      </c>
      <c r="B53" s="366" t="s">
        <v>74</v>
      </c>
      <c r="C53" s="366">
        <v>74.599999999999994</v>
      </c>
      <c r="D53" s="366">
        <v>309.67</v>
      </c>
      <c r="E53" s="366">
        <v>309.67</v>
      </c>
      <c r="F53" s="366">
        <v>294.88</v>
      </c>
      <c r="G53" s="366">
        <v>445.7</v>
      </c>
      <c r="H53" s="366">
        <v>232.44</v>
      </c>
      <c r="I53" s="366">
        <v>497.34</v>
      </c>
      <c r="J53" s="366">
        <v>255.33</v>
      </c>
      <c r="K53" s="366">
        <v>365.44</v>
      </c>
      <c r="L53" s="366">
        <v>170.32</v>
      </c>
      <c r="M53" s="366">
        <v>345.94</v>
      </c>
      <c r="N53" s="366">
        <v>356.38</v>
      </c>
      <c r="O53" s="366">
        <v>647.99</v>
      </c>
      <c r="P53" s="366">
        <v>339.01</v>
      </c>
      <c r="Q53" s="366">
        <v>245.89</v>
      </c>
      <c r="R53" s="366">
        <v>317.45</v>
      </c>
      <c r="S53" s="366">
        <v>355.68</v>
      </c>
      <c r="T53" s="366">
        <v>317.45</v>
      </c>
      <c r="U53" s="366">
        <v>397.17</v>
      </c>
      <c r="V53" s="366">
        <v>321.52</v>
      </c>
      <c r="W53" s="366">
        <v>276.43</v>
      </c>
      <c r="X53" s="366">
        <v>543.58000000000004</v>
      </c>
      <c r="Y53" s="366">
        <v>236.93</v>
      </c>
      <c r="Z53" s="366">
        <v>899.01</v>
      </c>
      <c r="AA53" s="366">
        <v>481.8</v>
      </c>
      <c r="AB53" s="366">
        <v>301.67</v>
      </c>
      <c r="AC53" s="366">
        <v>139.88999999999999</v>
      </c>
      <c r="AD53" s="391">
        <f t="shared" si="0"/>
        <v>351.08074074074074</v>
      </c>
    </row>
    <row r="54" spans="1:30">
      <c r="A54" s="398" t="s">
        <v>474</v>
      </c>
      <c r="B54" s="366" t="s">
        <v>75</v>
      </c>
      <c r="C54" s="366">
        <v>751.94</v>
      </c>
      <c r="D54" s="366">
        <v>601.95000000000005</v>
      </c>
      <c r="E54" s="366">
        <v>601.95000000000005</v>
      </c>
      <c r="F54" s="366">
        <v>583.15</v>
      </c>
      <c r="G54" s="366">
        <v>462.12</v>
      </c>
      <c r="H54" s="366">
        <v>729.08</v>
      </c>
      <c r="I54" s="366">
        <v>319.67</v>
      </c>
      <c r="J54" s="366">
        <v>523.64</v>
      </c>
      <c r="K54" s="366">
        <v>337.96</v>
      </c>
      <c r="L54" s="366">
        <v>770.98</v>
      </c>
      <c r="M54" s="366">
        <v>398.95</v>
      </c>
      <c r="N54" s="366">
        <v>425.11</v>
      </c>
      <c r="O54" s="366">
        <v>217.35</v>
      </c>
      <c r="P54" s="366">
        <v>380.27</v>
      </c>
      <c r="Q54" s="366">
        <v>533.08000000000004</v>
      </c>
      <c r="R54" s="366">
        <v>377.69</v>
      </c>
      <c r="S54" s="366">
        <v>354.5</v>
      </c>
      <c r="T54" s="366">
        <v>377.69</v>
      </c>
      <c r="U54" s="366">
        <v>723.91</v>
      </c>
      <c r="V54" s="366">
        <v>922.18</v>
      </c>
      <c r="W54" s="366">
        <v>505.95</v>
      </c>
      <c r="X54" s="366">
        <v>285.16000000000003</v>
      </c>
      <c r="Y54" s="366">
        <v>524.27</v>
      </c>
      <c r="Z54" s="366">
        <v>223.08</v>
      </c>
      <c r="AA54" s="366">
        <v>247.85</v>
      </c>
      <c r="AB54" s="366">
        <v>462.69</v>
      </c>
      <c r="AC54" s="366">
        <v>817.23</v>
      </c>
      <c r="AD54" s="391">
        <f t="shared" si="0"/>
        <v>498.49629629629635</v>
      </c>
    </row>
    <row r="55" spans="1:30">
      <c r="A55" s="398" t="s">
        <v>474</v>
      </c>
      <c r="B55" s="366" t="s">
        <v>76</v>
      </c>
      <c r="C55" s="366">
        <v>186.54</v>
      </c>
      <c r="D55" s="366">
        <v>501.97</v>
      </c>
      <c r="E55" s="366">
        <v>501.97</v>
      </c>
      <c r="F55" s="366">
        <v>487.18</v>
      </c>
      <c r="G55" s="366">
        <v>638</v>
      </c>
      <c r="H55" s="366">
        <v>223.44</v>
      </c>
      <c r="I55" s="366">
        <v>689.64</v>
      </c>
      <c r="J55" s="366">
        <v>447.63</v>
      </c>
      <c r="K55" s="366">
        <v>557.74</v>
      </c>
      <c r="L55" s="366">
        <v>362.62</v>
      </c>
      <c r="M55" s="366">
        <v>538.24</v>
      </c>
      <c r="N55" s="366">
        <v>548.67999999999995</v>
      </c>
      <c r="O55" s="366">
        <v>840.29</v>
      </c>
      <c r="P55" s="366">
        <v>531.30999999999995</v>
      </c>
      <c r="Q55" s="366">
        <v>438.19</v>
      </c>
      <c r="R55" s="366">
        <v>509.75</v>
      </c>
      <c r="S55" s="366">
        <v>547.98</v>
      </c>
      <c r="T55" s="366">
        <v>509.75</v>
      </c>
      <c r="U55" s="366">
        <v>542.88</v>
      </c>
      <c r="V55" s="366">
        <v>513.82000000000005</v>
      </c>
      <c r="W55" s="366">
        <v>468.73</v>
      </c>
      <c r="X55" s="366">
        <v>735.88</v>
      </c>
      <c r="Y55" s="366">
        <v>429.23</v>
      </c>
      <c r="Z55" s="366">
        <v>1091.31</v>
      </c>
      <c r="AA55" s="366">
        <v>674.1</v>
      </c>
      <c r="AB55" s="366">
        <v>493.97</v>
      </c>
      <c r="AC55" s="366">
        <v>130.88999999999999</v>
      </c>
      <c r="AD55" s="391">
        <f t="shared" si="0"/>
        <v>523.76777777777761</v>
      </c>
    </row>
    <row r="56" spans="1:30">
      <c r="A56" s="398" t="s">
        <v>474</v>
      </c>
      <c r="B56" s="366" t="s">
        <v>77</v>
      </c>
      <c r="C56" s="366">
        <v>694</v>
      </c>
      <c r="D56" s="366">
        <v>544.01</v>
      </c>
      <c r="E56" s="366">
        <v>544.01</v>
      </c>
      <c r="F56" s="366">
        <v>525.21</v>
      </c>
      <c r="G56" s="366">
        <v>404.18</v>
      </c>
      <c r="H56" s="366">
        <v>671.14</v>
      </c>
      <c r="I56" s="366">
        <v>250.5</v>
      </c>
      <c r="J56" s="366">
        <v>465.7</v>
      </c>
      <c r="K56" s="366">
        <v>280.02</v>
      </c>
      <c r="L56" s="366">
        <v>713.04</v>
      </c>
      <c r="M56" s="366">
        <v>341.01</v>
      </c>
      <c r="N56" s="366">
        <v>367.17</v>
      </c>
      <c r="O56" s="366">
        <v>136.44999999999999</v>
      </c>
      <c r="P56" s="366">
        <v>322.33</v>
      </c>
      <c r="Q56" s="366">
        <v>475.14</v>
      </c>
      <c r="R56" s="366">
        <v>319.75</v>
      </c>
      <c r="S56" s="366">
        <v>296.56</v>
      </c>
      <c r="T56" s="366">
        <v>319.75</v>
      </c>
      <c r="U56" s="366">
        <v>665.97</v>
      </c>
      <c r="V56" s="366">
        <v>864.24</v>
      </c>
      <c r="W56" s="366">
        <v>448.01</v>
      </c>
      <c r="X56" s="366">
        <v>204.26</v>
      </c>
      <c r="Y56" s="366">
        <v>466.33</v>
      </c>
      <c r="Z56" s="366">
        <v>303.98</v>
      </c>
      <c r="AA56" s="366">
        <v>189.91</v>
      </c>
      <c r="AB56" s="366">
        <v>404.75</v>
      </c>
      <c r="AC56" s="366">
        <v>759.29</v>
      </c>
      <c r="AD56" s="391">
        <f t="shared" si="0"/>
        <v>443.58185185185181</v>
      </c>
    </row>
    <row r="57" spans="1:30">
      <c r="A57" s="398" t="s">
        <v>474</v>
      </c>
      <c r="B57" s="366" t="s">
        <v>78</v>
      </c>
      <c r="C57" s="366">
        <v>603.77</v>
      </c>
      <c r="D57" s="366">
        <v>453.78</v>
      </c>
      <c r="E57" s="366">
        <v>453.78</v>
      </c>
      <c r="F57" s="366">
        <v>434.98</v>
      </c>
      <c r="G57" s="366">
        <v>313.95</v>
      </c>
      <c r="H57" s="366">
        <v>580.91</v>
      </c>
      <c r="I57" s="366">
        <v>171.5</v>
      </c>
      <c r="J57" s="366">
        <v>375.47</v>
      </c>
      <c r="K57" s="366">
        <v>189.79</v>
      </c>
      <c r="L57" s="366">
        <v>622.80999999999995</v>
      </c>
      <c r="M57" s="366">
        <v>250.78</v>
      </c>
      <c r="N57" s="366">
        <v>276.94</v>
      </c>
      <c r="O57" s="366">
        <v>226.68</v>
      </c>
      <c r="P57" s="366">
        <v>232.1</v>
      </c>
      <c r="Q57" s="366">
        <v>384.91</v>
      </c>
      <c r="R57" s="366">
        <v>229.52</v>
      </c>
      <c r="S57" s="366">
        <v>206.33</v>
      </c>
      <c r="T57" s="366">
        <v>229.52</v>
      </c>
      <c r="U57" s="366">
        <v>575.74</v>
      </c>
      <c r="V57" s="366">
        <v>774.01</v>
      </c>
      <c r="W57" s="366">
        <v>357.78</v>
      </c>
      <c r="X57" s="366">
        <v>217.74</v>
      </c>
      <c r="Y57" s="366">
        <v>376.1</v>
      </c>
      <c r="Z57" s="366">
        <v>371.25</v>
      </c>
      <c r="AA57" s="366">
        <v>99.68</v>
      </c>
      <c r="AB57" s="366">
        <v>314.52</v>
      </c>
      <c r="AC57" s="366">
        <v>669.06</v>
      </c>
      <c r="AD57" s="391">
        <f t="shared" si="0"/>
        <v>370.12592592592591</v>
      </c>
    </row>
    <row r="58" spans="1:30">
      <c r="A58" s="398" t="s">
        <v>474</v>
      </c>
      <c r="B58" s="366" t="s">
        <v>79</v>
      </c>
      <c r="C58" s="366">
        <v>425.46</v>
      </c>
      <c r="D58" s="366">
        <v>188.39</v>
      </c>
      <c r="E58" s="366">
        <v>188.39</v>
      </c>
      <c r="F58" s="366">
        <v>430.98</v>
      </c>
      <c r="G58" s="366">
        <v>562.96</v>
      </c>
      <c r="H58" s="366">
        <v>290.93</v>
      </c>
      <c r="I58" s="366">
        <v>587.87</v>
      </c>
      <c r="J58" s="366">
        <v>391.43</v>
      </c>
      <c r="K58" s="366">
        <v>365.7</v>
      </c>
      <c r="L58" s="366">
        <v>444.5</v>
      </c>
      <c r="M58" s="366">
        <v>346.2</v>
      </c>
      <c r="N58" s="366">
        <v>492.48</v>
      </c>
      <c r="O58" s="366">
        <v>738.52</v>
      </c>
      <c r="P58" s="366">
        <v>339.27</v>
      </c>
      <c r="Q58" s="366">
        <v>381.99</v>
      </c>
      <c r="R58" s="366">
        <v>317.70999999999998</v>
      </c>
      <c r="S58" s="366">
        <v>355.94</v>
      </c>
      <c r="T58" s="366">
        <v>317.70999999999998</v>
      </c>
      <c r="U58" s="366">
        <v>28.51</v>
      </c>
      <c r="V58" s="366">
        <v>595.70000000000005</v>
      </c>
      <c r="W58" s="366">
        <v>412.53</v>
      </c>
      <c r="X58" s="366">
        <v>634.11</v>
      </c>
      <c r="Y58" s="366">
        <v>193.19</v>
      </c>
      <c r="Z58" s="366">
        <v>918.48</v>
      </c>
      <c r="AA58" s="366">
        <v>482.06</v>
      </c>
      <c r="AB58" s="366">
        <v>301.93</v>
      </c>
      <c r="AC58" s="366">
        <v>383.48</v>
      </c>
      <c r="AD58" s="391">
        <f t="shared" si="0"/>
        <v>411.71925925925927</v>
      </c>
    </row>
    <row r="59" spans="1:30">
      <c r="A59" s="398" t="s">
        <v>474</v>
      </c>
      <c r="B59" s="366" t="s">
        <v>80</v>
      </c>
      <c r="C59" s="366">
        <v>532.85</v>
      </c>
      <c r="D59" s="366">
        <v>382.86</v>
      </c>
      <c r="E59" s="366">
        <v>382.86</v>
      </c>
      <c r="F59" s="366">
        <v>374.39</v>
      </c>
      <c r="G59" s="366">
        <v>253.36</v>
      </c>
      <c r="H59" s="366">
        <v>509.99</v>
      </c>
      <c r="I59" s="366">
        <v>134.57</v>
      </c>
      <c r="J59" s="366">
        <v>314.88</v>
      </c>
      <c r="K59" s="366">
        <v>118.87</v>
      </c>
      <c r="L59" s="366">
        <v>551.89</v>
      </c>
      <c r="M59" s="366">
        <v>179.86</v>
      </c>
      <c r="N59" s="366">
        <v>216.35</v>
      </c>
      <c r="O59" s="366">
        <v>285.22000000000003</v>
      </c>
      <c r="P59" s="366">
        <v>161.18</v>
      </c>
      <c r="Q59" s="366">
        <v>324.32</v>
      </c>
      <c r="R59" s="366">
        <v>158.6</v>
      </c>
      <c r="S59" s="366">
        <v>135.41</v>
      </c>
      <c r="T59" s="366">
        <v>158.6</v>
      </c>
      <c r="U59" s="366">
        <v>504.82</v>
      </c>
      <c r="V59" s="366">
        <v>703.09</v>
      </c>
      <c r="W59" s="366">
        <v>297.19</v>
      </c>
      <c r="X59" s="366">
        <v>180.81</v>
      </c>
      <c r="Y59" s="366">
        <v>305.18</v>
      </c>
      <c r="Z59" s="366">
        <v>465.18</v>
      </c>
      <c r="AA59" s="366">
        <v>5.75</v>
      </c>
      <c r="AB59" s="366">
        <v>243.6</v>
      </c>
      <c r="AC59" s="366">
        <v>598.14</v>
      </c>
      <c r="AD59" s="391">
        <f t="shared" si="0"/>
        <v>314.06740740740747</v>
      </c>
    </row>
    <row r="60" spans="1:30">
      <c r="A60" s="398" t="s">
        <v>474</v>
      </c>
      <c r="B60" s="366" t="s">
        <v>81</v>
      </c>
      <c r="C60" s="366">
        <v>205.4</v>
      </c>
      <c r="D60" s="366">
        <v>341.36</v>
      </c>
      <c r="E60" s="366">
        <v>341.36</v>
      </c>
      <c r="F60" s="366">
        <v>472.21</v>
      </c>
      <c r="G60" s="366">
        <v>604.19000000000005</v>
      </c>
      <c r="H60" s="366">
        <v>7.55</v>
      </c>
      <c r="I60" s="366">
        <v>629.1</v>
      </c>
      <c r="J60" s="366">
        <v>432.66</v>
      </c>
      <c r="K60" s="366">
        <v>406.93</v>
      </c>
      <c r="L60" s="366">
        <v>381.48</v>
      </c>
      <c r="M60" s="366">
        <v>387.43</v>
      </c>
      <c r="N60" s="366">
        <v>533.71</v>
      </c>
      <c r="O60" s="366">
        <v>779.75</v>
      </c>
      <c r="P60" s="366">
        <v>380.5</v>
      </c>
      <c r="Q60" s="366">
        <v>423.22</v>
      </c>
      <c r="R60" s="366">
        <v>358.94</v>
      </c>
      <c r="S60" s="366">
        <v>397.17</v>
      </c>
      <c r="T60" s="366">
        <v>358.94</v>
      </c>
      <c r="U60" s="366">
        <v>326.99</v>
      </c>
      <c r="V60" s="366">
        <v>532.67999999999995</v>
      </c>
      <c r="W60" s="366">
        <v>453.76</v>
      </c>
      <c r="X60" s="366">
        <v>675.34</v>
      </c>
      <c r="Y60" s="366">
        <v>234.42</v>
      </c>
      <c r="Z60" s="366">
        <v>959.71</v>
      </c>
      <c r="AA60" s="366">
        <v>523.29</v>
      </c>
      <c r="AB60" s="366">
        <v>343.16</v>
      </c>
      <c r="AC60" s="366">
        <v>89.07</v>
      </c>
      <c r="AD60" s="391">
        <f t="shared" si="0"/>
        <v>428.90074074074073</v>
      </c>
    </row>
    <row r="61" spans="1:30">
      <c r="A61" s="398" t="s">
        <v>474</v>
      </c>
      <c r="B61" s="366" t="s">
        <v>82</v>
      </c>
      <c r="C61" s="366">
        <v>366.47</v>
      </c>
      <c r="D61" s="366">
        <v>0</v>
      </c>
      <c r="E61" s="366">
        <v>0</v>
      </c>
      <c r="F61" s="366">
        <v>371.99</v>
      </c>
      <c r="G61" s="366">
        <v>469.51</v>
      </c>
      <c r="H61" s="366">
        <v>333.81</v>
      </c>
      <c r="I61" s="366">
        <v>494.42</v>
      </c>
      <c r="J61" s="366">
        <v>332.44</v>
      </c>
      <c r="K61" s="366">
        <v>272.25</v>
      </c>
      <c r="L61" s="366">
        <v>385.51</v>
      </c>
      <c r="M61" s="366">
        <v>252.75</v>
      </c>
      <c r="N61" s="366">
        <v>432.5</v>
      </c>
      <c r="O61" s="366">
        <v>645.07000000000005</v>
      </c>
      <c r="P61" s="366">
        <v>245.82</v>
      </c>
      <c r="Q61" s="366">
        <v>323</v>
      </c>
      <c r="R61" s="366">
        <v>224.26</v>
      </c>
      <c r="S61" s="366">
        <v>262.49</v>
      </c>
      <c r="T61" s="366">
        <v>224.26</v>
      </c>
      <c r="U61" s="366">
        <v>216.9</v>
      </c>
      <c r="V61" s="366">
        <v>536.71</v>
      </c>
      <c r="W61" s="366">
        <v>353.54</v>
      </c>
      <c r="X61" s="366">
        <v>540.66</v>
      </c>
      <c r="Y61" s="366">
        <v>111.1</v>
      </c>
      <c r="Z61" s="366">
        <v>825.03</v>
      </c>
      <c r="AA61" s="366">
        <v>388.61</v>
      </c>
      <c r="AB61" s="366">
        <v>208.48</v>
      </c>
      <c r="AC61" s="366">
        <v>426.36</v>
      </c>
      <c r="AD61" s="391">
        <f t="shared" si="0"/>
        <v>342.36814814814818</v>
      </c>
    </row>
    <row r="62" spans="1:30">
      <c r="A62" s="398" t="s">
        <v>474</v>
      </c>
      <c r="B62" s="366" t="s">
        <v>83</v>
      </c>
      <c r="C62" s="366">
        <v>351.71</v>
      </c>
      <c r="D62" s="366">
        <v>372.02</v>
      </c>
      <c r="E62" s="366">
        <v>372.02</v>
      </c>
      <c r="F62" s="366">
        <v>0.56999999999999995</v>
      </c>
      <c r="G62" s="366">
        <v>253.36</v>
      </c>
      <c r="H62" s="366">
        <v>464.69</v>
      </c>
      <c r="I62" s="366">
        <v>305</v>
      </c>
      <c r="J62" s="366">
        <v>59.54</v>
      </c>
      <c r="K62" s="366">
        <v>420.1</v>
      </c>
      <c r="L62" s="366">
        <v>370.75</v>
      </c>
      <c r="M62" s="366">
        <v>408.29</v>
      </c>
      <c r="N62" s="366">
        <v>164.04</v>
      </c>
      <c r="O62" s="366">
        <v>455.65</v>
      </c>
      <c r="P62" s="366">
        <v>401.36</v>
      </c>
      <c r="Q62" s="366">
        <v>52.09</v>
      </c>
      <c r="R62" s="366">
        <v>366.31</v>
      </c>
      <c r="S62" s="366">
        <v>410.34</v>
      </c>
      <c r="T62" s="366">
        <v>366.31</v>
      </c>
      <c r="U62" s="366">
        <v>459.52</v>
      </c>
      <c r="V62" s="366">
        <v>521.95000000000005</v>
      </c>
      <c r="W62" s="366">
        <v>84.09</v>
      </c>
      <c r="X62" s="366">
        <v>351.24</v>
      </c>
      <c r="Y62" s="366">
        <v>299.27999999999997</v>
      </c>
      <c r="Z62" s="366">
        <v>706.67</v>
      </c>
      <c r="AA62" s="366">
        <v>380.17</v>
      </c>
      <c r="AB62" s="366">
        <v>364.02</v>
      </c>
      <c r="AC62" s="366">
        <v>417</v>
      </c>
      <c r="AD62" s="391">
        <f t="shared" si="0"/>
        <v>339.92925925925925</v>
      </c>
    </row>
    <row r="63" spans="1:30">
      <c r="A63" s="398" t="s">
        <v>474</v>
      </c>
      <c r="B63" s="366" t="s">
        <v>84</v>
      </c>
      <c r="C63" s="366">
        <v>298.17</v>
      </c>
      <c r="D63" s="366">
        <v>279.48</v>
      </c>
      <c r="E63" s="366">
        <v>279.48</v>
      </c>
      <c r="F63" s="366">
        <v>410.33</v>
      </c>
      <c r="G63" s="366">
        <v>542.30999999999995</v>
      </c>
      <c r="H63" s="366">
        <v>89.29</v>
      </c>
      <c r="I63" s="366">
        <v>567.22</v>
      </c>
      <c r="J63" s="366">
        <v>370.78</v>
      </c>
      <c r="K63" s="366">
        <v>345.05</v>
      </c>
      <c r="L63" s="366">
        <v>423.85</v>
      </c>
      <c r="M63" s="366">
        <v>325.55</v>
      </c>
      <c r="N63" s="366">
        <v>471.83</v>
      </c>
      <c r="O63" s="366">
        <v>717.87</v>
      </c>
      <c r="P63" s="366">
        <v>318.62</v>
      </c>
      <c r="Q63" s="366">
        <v>361.34</v>
      </c>
      <c r="R63" s="366">
        <v>297.06</v>
      </c>
      <c r="S63" s="366">
        <v>335.29</v>
      </c>
      <c r="T63" s="366">
        <v>297.06</v>
      </c>
      <c r="U63" s="366">
        <v>265.11</v>
      </c>
      <c r="V63" s="366">
        <v>575.04999999999995</v>
      </c>
      <c r="W63" s="366">
        <v>391.88</v>
      </c>
      <c r="X63" s="366">
        <v>613.46</v>
      </c>
      <c r="Y63" s="366">
        <v>172.54</v>
      </c>
      <c r="Z63" s="366">
        <v>897.83</v>
      </c>
      <c r="AA63" s="366">
        <v>461.41</v>
      </c>
      <c r="AB63" s="366">
        <v>281.27999999999997</v>
      </c>
      <c r="AC63" s="366">
        <v>181.84</v>
      </c>
      <c r="AD63" s="391">
        <f t="shared" si="0"/>
        <v>391.51777777777789</v>
      </c>
    </row>
    <row r="64" spans="1:30">
      <c r="A64" s="398" t="s">
        <v>474</v>
      </c>
      <c r="B64" s="366" t="s">
        <v>85</v>
      </c>
      <c r="C64" s="366">
        <v>219.06</v>
      </c>
      <c r="D64" s="366">
        <v>377.45</v>
      </c>
      <c r="E64" s="366">
        <v>377.45</v>
      </c>
      <c r="F64" s="366">
        <v>362.66</v>
      </c>
      <c r="G64" s="366">
        <v>513.48</v>
      </c>
      <c r="H64" s="366">
        <v>376.9</v>
      </c>
      <c r="I64" s="366">
        <v>565.12</v>
      </c>
      <c r="J64" s="366">
        <v>323.11</v>
      </c>
      <c r="K64" s="366">
        <v>433.22</v>
      </c>
      <c r="L64" s="366">
        <v>8.06</v>
      </c>
      <c r="M64" s="366">
        <v>413.72</v>
      </c>
      <c r="N64" s="366">
        <v>424.16</v>
      </c>
      <c r="O64" s="366">
        <v>715.77</v>
      </c>
      <c r="P64" s="366">
        <v>406.79</v>
      </c>
      <c r="Q64" s="366">
        <v>313.67</v>
      </c>
      <c r="R64" s="366">
        <v>385.23</v>
      </c>
      <c r="S64" s="366">
        <v>423.46</v>
      </c>
      <c r="T64" s="366">
        <v>385.23</v>
      </c>
      <c r="U64" s="366">
        <v>464.95</v>
      </c>
      <c r="V64" s="366">
        <v>159.26</v>
      </c>
      <c r="W64" s="366">
        <v>344.21</v>
      </c>
      <c r="X64" s="366">
        <v>611.36</v>
      </c>
      <c r="Y64" s="366">
        <v>304.70999999999998</v>
      </c>
      <c r="Z64" s="366">
        <v>966.79</v>
      </c>
      <c r="AA64" s="366">
        <v>549.58000000000004</v>
      </c>
      <c r="AB64" s="366">
        <v>369.45</v>
      </c>
      <c r="AC64" s="366">
        <v>284.35000000000002</v>
      </c>
      <c r="AD64" s="391">
        <f t="shared" si="0"/>
        <v>410.34074074074078</v>
      </c>
    </row>
    <row r="65" spans="1:30">
      <c r="A65" s="398" t="s">
        <v>474</v>
      </c>
      <c r="B65" s="366" t="s">
        <v>86</v>
      </c>
      <c r="C65" s="366">
        <v>228.51</v>
      </c>
      <c r="D65" s="366">
        <v>234.82</v>
      </c>
      <c r="E65" s="366">
        <v>234.82</v>
      </c>
      <c r="F65" s="366">
        <v>137.16999999999999</v>
      </c>
      <c r="G65" s="366">
        <v>287.99</v>
      </c>
      <c r="H65" s="366">
        <v>327.49</v>
      </c>
      <c r="I65" s="366">
        <v>339.63</v>
      </c>
      <c r="J65" s="366">
        <v>97.62</v>
      </c>
      <c r="K65" s="366">
        <v>290.58999999999997</v>
      </c>
      <c r="L65" s="366">
        <v>247.55</v>
      </c>
      <c r="M65" s="366">
        <v>271.08999999999997</v>
      </c>
      <c r="N65" s="366">
        <v>198.67</v>
      </c>
      <c r="O65" s="366">
        <v>490.28</v>
      </c>
      <c r="P65" s="366">
        <v>264.16000000000003</v>
      </c>
      <c r="Q65" s="366">
        <v>88.18</v>
      </c>
      <c r="R65" s="366">
        <v>242.6</v>
      </c>
      <c r="S65" s="366">
        <v>280.83</v>
      </c>
      <c r="T65" s="366">
        <v>242.6</v>
      </c>
      <c r="U65" s="366">
        <v>322.32</v>
      </c>
      <c r="V65" s="366">
        <v>398.75</v>
      </c>
      <c r="W65" s="366">
        <v>118.72</v>
      </c>
      <c r="X65" s="366">
        <v>385.87</v>
      </c>
      <c r="Y65" s="366">
        <v>162.08000000000001</v>
      </c>
      <c r="Z65" s="366">
        <v>741.3</v>
      </c>
      <c r="AA65" s="366">
        <v>406.95</v>
      </c>
      <c r="AB65" s="366">
        <v>226.82</v>
      </c>
      <c r="AC65" s="366">
        <v>293.8</v>
      </c>
      <c r="AD65" s="391">
        <f t="shared" si="0"/>
        <v>280.0448148148148</v>
      </c>
    </row>
    <row r="66" spans="1:30">
      <c r="A66" s="398" t="s">
        <v>474</v>
      </c>
      <c r="B66" s="366" t="s">
        <v>87</v>
      </c>
      <c r="C66" s="366">
        <v>237.72</v>
      </c>
      <c r="D66" s="366">
        <v>258.02999999999997</v>
      </c>
      <c r="E66" s="366">
        <v>258.02999999999997</v>
      </c>
      <c r="F66" s="366">
        <v>113.96</v>
      </c>
      <c r="G66" s="366">
        <v>264.77999999999997</v>
      </c>
      <c r="H66" s="366">
        <v>350.7</v>
      </c>
      <c r="I66" s="366">
        <v>316.42</v>
      </c>
      <c r="J66" s="366">
        <v>74.41</v>
      </c>
      <c r="K66" s="366">
        <v>313.8</v>
      </c>
      <c r="L66" s="366">
        <v>256.76</v>
      </c>
      <c r="M66" s="366">
        <v>294.3</v>
      </c>
      <c r="N66" s="366">
        <v>175.46</v>
      </c>
      <c r="O66" s="366">
        <v>467.07</v>
      </c>
      <c r="P66" s="366">
        <v>287.37</v>
      </c>
      <c r="Q66" s="366">
        <v>64.97</v>
      </c>
      <c r="R66" s="366">
        <v>265.81</v>
      </c>
      <c r="S66" s="366">
        <v>304.04000000000002</v>
      </c>
      <c r="T66" s="366">
        <v>265.81</v>
      </c>
      <c r="U66" s="366">
        <v>345.53</v>
      </c>
      <c r="V66" s="366">
        <v>407.96</v>
      </c>
      <c r="W66" s="366">
        <v>95.51</v>
      </c>
      <c r="X66" s="366">
        <v>362.66</v>
      </c>
      <c r="Y66" s="366">
        <v>185.29</v>
      </c>
      <c r="Z66" s="366">
        <v>718.09</v>
      </c>
      <c r="AA66" s="366">
        <v>391.59</v>
      </c>
      <c r="AB66" s="366">
        <v>250.03</v>
      </c>
      <c r="AC66" s="366">
        <v>303.01</v>
      </c>
      <c r="AD66" s="391">
        <f t="shared" si="0"/>
        <v>282.55962962962968</v>
      </c>
    </row>
    <row r="67" spans="1:30">
      <c r="A67" s="398" t="s">
        <v>474</v>
      </c>
      <c r="B67" s="366" t="s">
        <v>88</v>
      </c>
      <c r="C67" s="366">
        <v>726.68</v>
      </c>
      <c r="D67" s="366">
        <v>666.96</v>
      </c>
      <c r="E67" s="366">
        <v>666.96</v>
      </c>
      <c r="F67" s="366">
        <v>477.51</v>
      </c>
      <c r="G67" s="366">
        <v>326.48</v>
      </c>
      <c r="H67" s="366">
        <v>794.09</v>
      </c>
      <c r="I67" s="366">
        <v>172.54</v>
      </c>
      <c r="J67" s="366">
        <v>418</v>
      </c>
      <c r="K67" s="366">
        <v>402.97</v>
      </c>
      <c r="L67" s="366">
        <v>745.72</v>
      </c>
      <c r="M67" s="366">
        <v>463.96</v>
      </c>
      <c r="N67" s="366">
        <v>319.47000000000003</v>
      </c>
      <c r="O67" s="366">
        <v>58.49</v>
      </c>
      <c r="P67" s="366">
        <v>445.28</v>
      </c>
      <c r="Q67" s="366">
        <v>427.44</v>
      </c>
      <c r="R67" s="366">
        <v>442.7</v>
      </c>
      <c r="S67" s="366">
        <v>419.51</v>
      </c>
      <c r="T67" s="366">
        <v>442.7</v>
      </c>
      <c r="U67" s="366">
        <v>788.92</v>
      </c>
      <c r="V67" s="366">
        <v>896.92</v>
      </c>
      <c r="W67" s="366">
        <v>400.31</v>
      </c>
      <c r="X67" s="366">
        <v>126.3</v>
      </c>
      <c r="Y67" s="366">
        <v>589.28</v>
      </c>
      <c r="Z67" s="366">
        <v>229.13</v>
      </c>
      <c r="AA67" s="366">
        <v>312.86</v>
      </c>
      <c r="AB67" s="366">
        <v>527.70000000000005</v>
      </c>
      <c r="AC67" s="366">
        <v>791.97</v>
      </c>
      <c r="AD67" s="391">
        <f t="shared" si="0"/>
        <v>484.47592592592588</v>
      </c>
    </row>
    <row r="68" spans="1:30">
      <c r="A68" s="398" t="s">
        <v>474</v>
      </c>
      <c r="B68" s="366" t="s">
        <v>89</v>
      </c>
      <c r="C68" s="366">
        <v>261.26</v>
      </c>
      <c r="D68" s="366">
        <v>419.65</v>
      </c>
      <c r="E68" s="366">
        <v>419.65</v>
      </c>
      <c r="F68" s="366">
        <v>404.86</v>
      </c>
      <c r="G68" s="366">
        <v>555.67999999999995</v>
      </c>
      <c r="H68" s="366">
        <v>419.1</v>
      </c>
      <c r="I68" s="366">
        <v>607.32000000000005</v>
      </c>
      <c r="J68" s="366">
        <v>365.31</v>
      </c>
      <c r="K68" s="366">
        <v>475.42</v>
      </c>
      <c r="L68" s="366">
        <v>34.14</v>
      </c>
      <c r="M68" s="366">
        <v>455.92</v>
      </c>
      <c r="N68" s="366">
        <v>466.36</v>
      </c>
      <c r="O68" s="366">
        <v>757.97</v>
      </c>
      <c r="P68" s="366">
        <v>448.99</v>
      </c>
      <c r="Q68" s="366">
        <v>355.87</v>
      </c>
      <c r="R68" s="366">
        <v>427.43</v>
      </c>
      <c r="S68" s="366">
        <v>465.66</v>
      </c>
      <c r="T68" s="366">
        <v>427.43</v>
      </c>
      <c r="U68" s="366">
        <v>507.15</v>
      </c>
      <c r="V68" s="366">
        <v>125.2</v>
      </c>
      <c r="W68" s="366">
        <v>386.41</v>
      </c>
      <c r="X68" s="366">
        <v>653.55999999999995</v>
      </c>
      <c r="Y68" s="366">
        <v>346.91</v>
      </c>
      <c r="Z68" s="366">
        <v>1008.99</v>
      </c>
      <c r="AA68" s="366">
        <v>591.78</v>
      </c>
      <c r="AB68" s="366">
        <v>411.65</v>
      </c>
      <c r="AC68" s="366">
        <v>326.55</v>
      </c>
      <c r="AD68" s="391">
        <f t="shared" ref="AD68:AD131" si="1">AVERAGE(C68:AC68)</f>
        <v>449.11925925925925</v>
      </c>
    </row>
    <row r="69" spans="1:30">
      <c r="A69" s="398" t="s">
        <v>474</v>
      </c>
      <c r="B69" s="366" t="s">
        <v>90</v>
      </c>
      <c r="C69" s="366">
        <v>227.12</v>
      </c>
      <c r="D69" s="366">
        <v>385.51</v>
      </c>
      <c r="E69" s="366">
        <v>385.51</v>
      </c>
      <c r="F69" s="366">
        <v>370.72</v>
      </c>
      <c r="G69" s="366">
        <v>521.54</v>
      </c>
      <c r="H69" s="366">
        <v>384.96</v>
      </c>
      <c r="I69" s="366">
        <v>573.17999999999995</v>
      </c>
      <c r="J69" s="366">
        <v>331.17</v>
      </c>
      <c r="K69" s="366">
        <v>441.28</v>
      </c>
      <c r="L69" s="366">
        <v>0</v>
      </c>
      <c r="M69" s="366">
        <v>421.78</v>
      </c>
      <c r="N69" s="366">
        <v>432.22</v>
      </c>
      <c r="O69" s="366">
        <v>723.83</v>
      </c>
      <c r="P69" s="366">
        <v>414.85</v>
      </c>
      <c r="Q69" s="366">
        <v>321.73</v>
      </c>
      <c r="R69" s="366">
        <v>393.29</v>
      </c>
      <c r="S69" s="366">
        <v>431.52</v>
      </c>
      <c r="T69" s="366">
        <v>393.29</v>
      </c>
      <c r="U69" s="366">
        <v>473.01</v>
      </c>
      <c r="V69" s="366">
        <v>151.19999999999999</v>
      </c>
      <c r="W69" s="366">
        <v>352.27</v>
      </c>
      <c r="X69" s="366">
        <v>619.41999999999996</v>
      </c>
      <c r="Y69" s="366">
        <v>312.77</v>
      </c>
      <c r="Z69" s="366">
        <v>974.85</v>
      </c>
      <c r="AA69" s="366">
        <v>557.64</v>
      </c>
      <c r="AB69" s="366">
        <v>377.51</v>
      </c>
      <c r="AC69" s="366">
        <v>292.41000000000003</v>
      </c>
      <c r="AD69" s="391">
        <f t="shared" si="1"/>
        <v>417.20666666666665</v>
      </c>
    </row>
    <row r="70" spans="1:30">
      <c r="A70" s="398" t="s">
        <v>474</v>
      </c>
      <c r="B70" s="366" t="s">
        <v>91</v>
      </c>
      <c r="C70" s="366">
        <v>380.94</v>
      </c>
      <c r="D70" s="366">
        <v>230.95</v>
      </c>
      <c r="E70" s="366">
        <v>230.95</v>
      </c>
      <c r="F70" s="366">
        <v>359.59</v>
      </c>
      <c r="G70" s="366">
        <v>238.56</v>
      </c>
      <c r="H70" s="366">
        <v>358.08</v>
      </c>
      <c r="I70" s="366">
        <v>263.47000000000003</v>
      </c>
      <c r="J70" s="366">
        <v>300.08</v>
      </c>
      <c r="K70" s="366">
        <v>101.88</v>
      </c>
      <c r="L70" s="366">
        <v>399.98</v>
      </c>
      <c r="M70" s="366">
        <v>105.21</v>
      </c>
      <c r="N70" s="366">
        <v>201.55</v>
      </c>
      <c r="O70" s="366">
        <v>414.12</v>
      </c>
      <c r="P70" s="366">
        <v>86.53</v>
      </c>
      <c r="Q70" s="366">
        <v>309.52</v>
      </c>
      <c r="R70" s="366">
        <v>6.69</v>
      </c>
      <c r="S70" s="366">
        <v>92.12</v>
      </c>
      <c r="T70" s="366">
        <v>6.69</v>
      </c>
      <c r="U70" s="366">
        <v>352.91</v>
      </c>
      <c r="V70" s="366">
        <v>551.17999999999995</v>
      </c>
      <c r="W70" s="366">
        <v>282.39</v>
      </c>
      <c r="X70" s="366">
        <v>309.70999999999998</v>
      </c>
      <c r="Y70" s="366">
        <v>153.27000000000001</v>
      </c>
      <c r="Z70" s="366">
        <v>594.08000000000004</v>
      </c>
      <c r="AA70" s="366">
        <v>157.66</v>
      </c>
      <c r="AB70" s="366">
        <v>91.69</v>
      </c>
      <c r="AC70" s="366">
        <v>446.23</v>
      </c>
      <c r="AD70" s="391">
        <f t="shared" si="1"/>
        <v>260.22333333333336</v>
      </c>
    </row>
    <row r="71" spans="1:30">
      <c r="A71" s="398" t="s">
        <v>474</v>
      </c>
      <c r="B71" s="366" t="s">
        <v>92</v>
      </c>
      <c r="C71" s="366">
        <v>380.94</v>
      </c>
      <c r="D71" s="366">
        <v>230.95</v>
      </c>
      <c r="E71" s="366">
        <v>230.95</v>
      </c>
      <c r="F71" s="366">
        <v>359.59</v>
      </c>
      <c r="G71" s="366">
        <v>238.56</v>
      </c>
      <c r="H71" s="366">
        <v>358.08</v>
      </c>
      <c r="I71" s="366">
        <v>263.47000000000003</v>
      </c>
      <c r="J71" s="366">
        <v>300.08</v>
      </c>
      <c r="K71" s="366">
        <v>101.88</v>
      </c>
      <c r="L71" s="366">
        <v>399.98</v>
      </c>
      <c r="M71" s="366">
        <v>105.21</v>
      </c>
      <c r="N71" s="366">
        <v>201.55</v>
      </c>
      <c r="O71" s="366">
        <v>414.12</v>
      </c>
      <c r="P71" s="366">
        <v>86.53</v>
      </c>
      <c r="Q71" s="366">
        <v>309.52</v>
      </c>
      <c r="R71" s="366">
        <v>6.69</v>
      </c>
      <c r="S71" s="366">
        <v>92.12</v>
      </c>
      <c r="T71" s="366">
        <v>6.69</v>
      </c>
      <c r="U71" s="366">
        <v>352.91</v>
      </c>
      <c r="V71" s="366">
        <v>551.17999999999995</v>
      </c>
      <c r="W71" s="366">
        <v>282.39</v>
      </c>
      <c r="X71" s="366">
        <v>309.70999999999998</v>
      </c>
      <c r="Y71" s="366">
        <v>153.27000000000001</v>
      </c>
      <c r="Z71" s="366">
        <v>594.08000000000004</v>
      </c>
      <c r="AA71" s="366">
        <v>157.66</v>
      </c>
      <c r="AB71" s="366">
        <v>91.69</v>
      </c>
      <c r="AC71" s="366">
        <v>446.23</v>
      </c>
      <c r="AD71" s="391">
        <f t="shared" si="1"/>
        <v>260.22333333333336</v>
      </c>
    </row>
    <row r="72" spans="1:30">
      <c r="A72" s="398" t="s">
        <v>474</v>
      </c>
      <c r="B72" s="366" t="s">
        <v>93</v>
      </c>
      <c r="C72" s="366">
        <v>49.23</v>
      </c>
      <c r="D72" s="366">
        <v>317.24</v>
      </c>
      <c r="E72" s="366">
        <v>317.24</v>
      </c>
      <c r="F72" s="366">
        <v>302.45</v>
      </c>
      <c r="G72" s="366">
        <v>453.27</v>
      </c>
      <c r="H72" s="366">
        <v>207.07</v>
      </c>
      <c r="I72" s="366">
        <v>504.91</v>
      </c>
      <c r="J72" s="366">
        <v>262.89999999999998</v>
      </c>
      <c r="K72" s="366">
        <v>373.01</v>
      </c>
      <c r="L72" s="366">
        <v>177.89</v>
      </c>
      <c r="M72" s="366">
        <v>353.51</v>
      </c>
      <c r="N72" s="366">
        <v>363.95</v>
      </c>
      <c r="O72" s="366">
        <v>655.56</v>
      </c>
      <c r="P72" s="366">
        <v>346.58</v>
      </c>
      <c r="Q72" s="366">
        <v>253.46</v>
      </c>
      <c r="R72" s="366">
        <v>325.02</v>
      </c>
      <c r="S72" s="366">
        <v>363.25</v>
      </c>
      <c r="T72" s="366">
        <v>325.02</v>
      </c>
      <c r="U72" s="366">
        <v>404.74</v>
      </c>
      <c r="V72" s="366">
        <v>329.09</v>
      </c>
      <c r="W72" s="366">
        <v>284</v>
      </c>
      <c r="X72" s="366">
        <v>551.15</v>
      </c>
      <c r="Y72" s="366">
        <v>244.5</v>
      </c>
      <c r="Z72" s="366">
        <v>906.58</v>
      </c>
      <c r="AA72" s="366">
        <v>489.37</v>
      </c>
      <c r="AB72" s="366">
        <v>309.24</v>
      </c>
      <c r="AC72" s="366">
        <v>114.52</v>
      </c>
      <c r="AD72" s="391">
        <f t="shared" si="1"/>
        <v>354.99074074074076</v>
      </c>
    </row>
    <row r="73" spans="1:30">
      <c r="A73" s="398" t="s">
        <v>474</v>
      </c>
      <c r="B73" s="366" t="s">
        <v>94</v>
      </c>
      <c r="C73" s="366">
        <v>336.14</v>
      </c>
      <c r="D73" s="366">
        <v>356.45</v>
      </c>
      <c r="E73" s="366">
        <v>356.45</v>
      </c>
      <c r="F73" s="366">
        <v>27.39</v>
      </c>
      <c r="G73" s="366">
        <v>245.28</v>
      </c>
      <c r="H73" s="366">
        <v>449.12</v>
      </c>
      <c r="I73" s="366">
        <v>296.92</v>
      </c>
      <c r="J73" s="366">
        <v>51.46</v>
      </c>
      <c r="K73" s="366">
        <v>412.02</v>
      </c>
      <c r="L73" s="366">
        <v>355.18</v>
      </c>
      <c r="M73" s="366">
        <v>392.72</v>
      </c>
      <c r="N73" s="366">
        <v>155.96</v>
      </c>
      <c r="O73" s="366">
        <v>447.57</v>
      </c>
      <c r="P73" s="366">
        <v>385.79</v>
      </c>
      <c r="Q73" s="366">
        <v>44.01</v>
      </c>
      <c r="R73" s="366">
        <v>358.23</v>
      </c>
      <c r="S73" s="366">
        <v>402.26</v>
      </c>
      <c r="T73" s="366">
        <v>358.23</v>
      </c>
      <c r="U73" s="366">
        <v>443.95</v>
      </c>
      <c r="V73" s="366">
        <v>506.38</v>
      </c>
      <c r="W73" s="366">
        <v>76.010000000000005</v>
      </c>
      <c r="X73" s="366">
        <v>343.16</v>
      </c>
      <c r="Y73" s="366">
        <v>283.70999999999998</v>
      </c>
      <c r="Z73" s="366">
        <v>698.59</v>
      </c>
      <c r="AA73" s="366">
        <v>372.09</v>
      </c>
      <c r="AB73" s="366">
        <v>348.45</v>
      </c>
      <c r="AC73" s="366">
        <v>401.43</v>
      </c>
      <c r="AD73" s="391">
        <f t="shared" si="1"/>
        <v>329.81296296296301</v>
      </c>
    </row>
    <row r="74" spans="1:30">
      <c r="A74" s="398" t="s">
        <v>474</v>
      </c>
      <c r="B74" s="366" t="s">
        <v>95</v>
      </c>
      <c r="C74" s="366">
        <v>516.38</v>
      </c>
      <c r="D74" s="366">
        <v>366.39</v>
      </c>
      <c r="E74" s="366">
        <v>366.39</v>
      </c>
      <c r="F74" s="366">
        <v>357.92</v>
      </c>
      <c r="G74" s="366">
        <v>236.89</v>
      </c>
      <c r="H74" s="366">
        <v>493.52</v>
      </c>
      <c r="I74" s="366">
        <v>128.03</v>
      </c>
      <c r="J74" s="366">
        <v>298.41000000000003</v>
      </c>
      <c r="K74" s="366">
        <v>102.4</v>
      </c>
      <c r="L74" s="366">
        <v>535.41999999999996</v>
      </c>
      <c r="M74" s="366">
        <v>163.38999999999999</v>
      </c>
      <c r="N74" s="366">
        <v>199.88</v>
      </c>
      <c r="O74" s="366">
        <v>278.68</v>
      </c>
      <c r="P74" s="366">
        <v>144.71</v>
      </c>
      <c r="Q74" s="366">
        <v>307.85000000000002</v>
      </c>
      <c r="R74" s="366">
        <v>142.13</v>
      </c>
      <c r="S74" s="366">
        <v>118.94</v>
      </c>
      <c r="T74" s="366">
        <v>142.13</v>
      </c>
      <c r="U74" s="366">
        <v>488.35</v>
      </c>
      <c r="V74" s="366">
        <v>686.62</v>
      </c>
      <c r="W74" s="366">
        <v>280.72000000000003</v>
      </c>
      <c r="X74" s="366">
        <v>174.27</v>
      </c>
      <c r="Y74" s="366">
        <v>288.70999999999998</v>
      </c>
      <c r="Z74" s="366">
        <v>458.64</v>
      </c>
      <c r="AA74" s="366">
        <v>22.22</v>
      </c>
      <c r="AB74" s="366">
        <v>227.13</v>
      </c>
      <c r="AC74" s="366">
        <v>581.66999999999996</v>
      </c>
      <c r="AD74" s="391">
        <f t="shared" si="1"/>
        <v>300.28851851851857</v>
      </c>
    </row>
    <row r="75" spans="1:30">
      <c r="A75" s="398" t="s">
        <v>474</v>
      </c>
      <c r="B75" s="366" t="s">
        <v>96</v>
      </c>
      <c r="C75" s="366">
        <v>536</v>
      </c>
      <c r="D75" s="366">
        <v>386.01</v>
      </c>
      <c r="E75" s="366">
        <v>386.01</v>
      </c>
      <c r="F75" s="366">
        <v>377.54</v>
      </c>
      <c r="G75" s="366">
        <v>256.51</v>
      </c>
      <c r="H75" s="366">
        <v>513.14</v>
      </c>
      <c r="I75" s="366">
        <v>137.72</v>
      </c>
      <c r="J75" s="366">
        <v>318.02999999999997</v>
      </c>
      <c r="K75" s="366">
        <v>122.02</v>
      </c>
      <c r="L75" s="366">
        <v>555.04</v>
      </c>
      <c r="M75" s="366">
        <v>183.01</v>
      </c>
      <c r="N75" s="366">
        <v>219.5</v>
      </c>
      <c r="O75" s="366">
        <v>288.37</v>
      </c>
      <c r="P75" s="366">
        <v>164.33</v>
      </c>
      <c r="Q75" s="366">
        <v>327.47000000000003</v>
      </c>
      <c r="R75" s="366">
        <v>161.75</v>
      </c>
      <c r="S75" s="366">
        <v>138.56</v>
      </c>
      <c r="T75" s="366">
        <v>161.75</v>
      </c>
      <c r="U75" s="366">
        <v>507.97</v>
      </c>
      <c r="V75" s="366">
        <v>706.24</v>
      </c>
      <c r="W75" s="366">
        <v>300.33999999999997</v>
      </c>
      <c r="X75" s="366">
        <v>183.96</v>
      </c>
      <c r="Y75" s="366">
        <v>308.33</v>
      </c>
      <c r="Z75" s="366">
        <v>468.33</v>
      </c>
      <c r="AA75" s="366">
        <v>8.9</v>
      </c>
      <c r="AB75" s="366">
        <v>246.75</v>
      </c>
      <c r="AC75" s="366">
        <v>601.29</v>
      </c>
      <c r="AD75" s="391">
        <f t="shared" si="1"/>
        <v>317.21740740740739</v>
      </c>
    </row>
    <row r="76" spans="1:30">
      <c r="A76" s="398" t="s">
        <v>474</v>
      </c>
      <c r="B76" s="366" t="s">
        <v>97</v>
      </c>
      <c r="C76" s="366">
        <v>395.55</v>
      </c>
      <c r="D76" s="366">
        <v>191.37</v>
      </c>
      <c r="E76" s="366">
        <v>191.37</v>
      </c>
      <c r="F76" s="366">
        <v>401.07</v>
      </c>
      <c r="G76" s="366">
        <v>533.04999999999995</v>
      </c>
      <c r="H76" s="366">
        <v>261.02</v>
      </c>
      <c r="I76" s="366">
        <v>557.96</v>
      </c>
      <c r="J76" s="366">
        <v>361.52</v>
      </c>
      <c r="K76" s="366">
        <v>335.79</v>
      </c>
      <c r="L76" s="366">
        <v>414.59</v>
      </c>
      <c r="M76" s="366">
        <v>316.29000000000002</v>
      </c>
      <c r="N76" s="366">
        <v>462.57</v>
      </c>
      <c r="O76" s="366">
        <v>708.61</v>
      </c>
      <c r="P76" s="366">
        <v>309.36</v>
      </c>
      <c r="Q76" s="366">
        <v>352.08</v>
      </c>
      <c r="R76" s="366">
        <v>287.8</v>
      </c>
      <c r="S76" s="366">
        <v>326.02999999999997</v>
      </c>
      <c r="T76" s="366">
        <v>287.8</v>
      </c>
      <c r="U76" s="366">
        <v>85.78</v>
      </c>
      <c r="V76" s="366">
        <v>565.79</v>
      </c>
      <c r="W76" s="366">
        <v>382.62</v>
      </c>
      <c r="X76" s="366">
        <v>604.20000000000005</v>
      </c>
      <c r="Y76" s="366">
        <v>163.28</v>
      </c>
      <c r="Z76" s="366">
        <v>888.57</v>
      </c>
      <c r="AA76" s="366">
        <v>452.15</v>
      </c>
      <c r="AB76" s="366">
        <v>272.02</v>
      </c>
      <c r="AC76" s="366">
        <v>353.57</v>
      </c>
      <c r="AD76" s="391">
        <f t="shared" si="1"/>
        <v>387.47444444444443</v>
      </c>
    </row>
    <row r="77" spans="1:30">
      <c r="A77" s="398" t="s">
        <v>474</v>
      </c>
      <c r="B77" s="366" t="s">
        <v>98</v>
      </c>
      <c r="C77" s="366">
        <v>108.14</v>
      </c>
      <c r="D77" s="366">
        <v>258.33</v>
      </c>
      <c r="E77" s="366">
        <v>258.33</v>
      </c>
      <c r="F77" s="366">
        <v>243.54</v>
      </c>
      <c r="G77" s="366">
        <v>394.36</v>
      </c>
      <c r="H77" s="366">
        <v>265.98</v>
      </c>
      <c r="I77" s="366">
        <v>446</v>
      </c>
      <c r="J77" s="366">
        <v>203.99</v>
      </c>
      <c r="K77" s="366">
        <v>314.10000000000002</v>
      </c>
      <c r="L77" s="366">
        <v>127.18</v>
      </c>
      <c r="M77" s="366">
        <v>294.60000000000002</v>
      </c>
      <c r="N77" s="366">
        <v>305.04000000000002</v>
      </c>
      <c r="O77" s="366">
        <v>596.65</v>
      </c>
      <c r="P77" s="366">
        <v>287.67</v>
      </c>
      <c r="Q77" s="366">
        <v>194.55</v>
      </c>
      <c r="R77" s="366">
        <v>266.11</v>
      </c>
      <c r="S77" s="366">
        <v>304.33999999999997</v>
      </c>
      <c r="T77" s="366">
        <v>266.11</v>
      </c>
      <c r="U77" s="366">
        <v>345.83</v>
      </c>
      <c r="V77" s="366">
        <v>278.38</v>
      </c>
      <c r="W77" s="366">
        <v>225.09</v>
      </c>
      <c r="X77" s="366">
        <v>492.24</v>
      </c>
      <c r="Y77" s="366">
        <v>185.59</v>
      </c>
      <c r="Z77" s="366">
        <v>847.67</v>
      </c>
      <c r="AA77" s="366">
        <v>430.46</v>
      </c>
      <c r="AB77" s="366">
        <v>250.33</v>
      </c>
      <c r="AC77" s="366">
        <v>173.43</v>
      </c>
      <c r="AD77" s="391">
        <f t="shared" si="1"/>
        <v>309.77925925925922</v>
      </c>
    </row>
    <row r="78" spans="1:30">
      <c r="A78" s="398" t="s">
        <v>474</v>
      </c>
      <c r="B78" s="366" t="s">
        <v>99</v>
      </c>
      <c r="C78" s="366">
        <v>448.88</v>
      </c>
      <c r="D78" s="366">
        <v>211.81</v>
      </c>
      <c r="E78" s="366">
        <v>211.81</v>
      </c>
      <c r="F78" s="366">
        <v>454.4</v>
      </c>
      <c r="G78" s="366">
        <v>586.38</v>
      </c>
      <c r="H78" s="366">
        <v>314.35000000000002</v>
      </c>
      <c r="I78" s="366">
        <v>611.29</v>
      </c>
      <c r="J78" s="366">
        <v>414.85</v>
      </c>
      <c r="K78" s="366">
        <v>389.12</v>
      </c>
      <c r="L78" s="366">
        <v>467.92</v>
      </c>
      <c r="M78" s="366">
        <v>369.62</v>
      </c>
      <c r="N78" s="366">
        <v>515.9</v>
      </c>
      <c r="O78" s="366">
        <v>761.94</v>
      </c>
      <c r="P78" s="366">
        <v>362.69</v>
      </c>
      <c r="Q78" s="366">
        <v>405.41</v>
      </c>
      <c r="R78" s="366">
        <v>341.13</v>
      </c>
      <c r="S78" s="366">
        <v>379.36</v>
      </c>
      <c r="T78" s="366">
        <v>341.13</v>
      </c>
      <c r="U78" s="366">
        <v>34.130000000000003</v>
      </c>
      <c r="V78" s="366">
        <v>619.12</v>
      </c>
      <c r="W78" s="366">
        <v>435.95</v>
      </c>
      <c r="X78" s="366">
        <v>657.53</v>
      </c>
      <c r="Y78" s="366">
        <v>216.61</v>
      </c>
      <c r="Z78" s="366">
        <v>941.9</v>
      </c>
      <c r="AA78" s="366">
        <v>505.48</v>
      </c>
      <c r="AB78" s="366">
        <v>325.35000000000002</v>
      </c>
      <c r="AC78" s="366">
        <v>406.9</v>
      </c>
      <c r="AD78" s="391">
        <f t="shared" si="1"/>
        <v>434.47999999999996</v>
      </c>
    </row>
    <row r="79" spans="1:30">
      <c r="A79" s="398" t="s">
        <v>474</v>
      </c>
      <c r="B79" s="366" t="s">
        <v>100</v>
      </c>
      <c r="C79" s="366">
        <v>448.88</v>
      </c>
      <c r="D79" s="366">
        <v>211.81</v>
      </c>
      <c r="E79" s="366">
        <v>211.81</v>
      </c>
      <c r="F79" s="366">
        <v>454.4</v>
      </c>
      <c r="G79" s="366">
        <v>586.38</v>
      </c>
      <c r="H79" s="366">
        <v>314.35000000000002</v>
      </c>
      <c r="I79" s="366">
        <v>611.29</v>
      </c>
      <c r="J79" s="366">
        <v>414.85</v>
      </c>
      <c r="K79" s="366">
        <v>389.12</v>
      </c>
      <c r="L79" s="366">
        <v>467.92</v>
      </c>
      <c r="M79" s="366">
        <v>369.62</v>
      </c>
      <c r="N79" s="366">
        <v>515.9</v>
      </c>
      <c r="O79" s="366">
        <v>761.94</v>
      </c>
      <c r="P79" s="366">
        <v>362.69</v>
      </c>
      <c r="Q79" s="366">
        <v>405.41</v>
      </c>
      <c r="R79" s="366">
        <v>341.13</v>
      </c>
      <c r="S79" s="366">
        <v>379.36</v>
      </c>
      <c r="T79" s="366">
        <v>341.13</v>
      </c>
      <c r="U79" s="366">
        <v>34.130000000000003</v>
      </c>
      <c r="V79" s="366">
        <v>619.12</v>
      </c>
      <c r="W79" s="366">
        <v>435.95</v>
      </c>
      <c r="X79" s="366">
        <v>657.53</v>
      </c>
      <c r="Y79" s="366">
        <v>216.61</v>
      </c>
      <c r="Z79" s="366">
        <v>941.9</v>
      </c>
      <c r="AA79" s="366">
        <v>505.48</v>
      </c>
      <c r="AB79" s="366">
        <v>325.35000000000002</v>
      </c>
      <c r="AC79" s="366">
        <v>406.9</v>
      </c>
      <c r="AD79" s="391">
        <f t="shared" si="1"/>
        <v>434.47999999999996</v>
      </c>
    </row>
    <row r="80" spans="1:30">
      <c r="A80" s="398" t="s">
        <v>474</v>
      </c>
      <c r="B80" s="366" t="s">
        <v>101</v>
      </c>
      <c r="C80" s="366">
        <v>365.17</v>
      </c>
      <c r="D80" s="366">
        <v>385.48</v>
      </c>
      <c r="E80" s="366">
        <v>385.48</v>
      </c>
      <c r="F80" s="366">
        <v>116</v>
      </c>
      <c r="G80" s="366">
        <v>137.33000000000001</v>
      </c>
      <c r="H80" s="366">
        <v>478.15</v>
      </c>
      <c r="I80" s="366">
        <v>188.97</v>
      </c>
      <c r="J80" s="366">
        <v>56.49</v>
      </c>
      <c r="K80" s="366">
        <v>304.07</v>
      </c>
      <c r="L80" s="366">
        <v>384.21</v>
      </c>
      <c r="M80" s="366">
        <v>307.39999999999998</v>
      </c>
      <c r="N80" s="366">
        <v>48.01</v>
      </c>
      <c r="O80" s="366">
        <v>339.62</v>
      </c>
      <c r="P80" s="366">
        <v>288.72000000000003</v>
      </c>
      <c r="Q80" s="366">
        <v>65.930000000000007</v>
      </c>
      <c r="R80" s="366">
        <v>250.28</v>
      </c>
      <c r="S80" s="366">
        <v>294.31</v>
      </c>
      <c r="T80" s="366">
        <v>250.28</v>
      </c>
      <c r="U80" s="366">
        <v>472.98</v>
      </c>
      <c r="V80" s="366">
        <v>535.41</v>
      </c>
      <c r="W80" s="366">
        <v>38.799999999999997</v>
      </c>
      <c r="X80" s="366">
        <v>235.21</v>
      </c>
      <c r="Y80" s="366">
        <v>312.74</v>
      </c>
      <c r="Z80" s="366">
        <v>590.64</v>
      </c>
      <c r="AA80" s="366">
        <v>264.14</v>
      </c>
      <c r="AB80" s="366">
        <v>335.28</v>
      </c>
      <c r="AC80" s="366">
        <v>430.46</v>
      </c>
      <c r="AD80" s="391">
        <f t="shared" si="1"/>
        <v>291.16888888888894</v>
      </c>
    </row>
    <row r="81" spans="1:30">
      <c r="A81" s="398" t="s">
        <v>474</v>
      </c>
      <c r="B81" s="366" t="s">
        <v>102</v>
      </c>
      <c r="C81" s="366">
        <v>118.37</v>
      </c>
      <c r="D81" s="366">
        <v>276.76</v>
      </c>
      <c r="E81" s="366">
        <v>276.76</v>
      </c>
      <c r="F81" s="366">
        <v>261.97000000000003</v>
      </c>
      <c r="G81" s="366">
        <v>412.79</v>
      </c>
      <c r="H81" s="366">
        <v>276.20999999999998</v>
      </c>
      <c r="I81" s="366">
        <v>464.43</v>
      </c>
      <c r="J81" s="366">
        <v>222.42</v>
      </c>
      <c r="K81" s="366">
        <v>332.53</v>
      </c>
      <c r="L81" s="366">
        <v>109.07</v>
      </c>
      <c r="M81" s="366">
        <v>313.02999999999997</v>
      </c>
      <c r="N81" s="366">
        <v>323.47000000000003</v>
      </c>
      <c r="O81" s="366">
        <v>615.08000000000004</v>
      </c>
      <c r="P81" s="366">
        <v>306.10000000000002</v>
      </c>
      <c r="Q81" s="366">
        <v>212.98</v>
      </c>
      <c r="R81" s="366">
        <v>284.54000000000002</v>
      </c>
      <c r="S81" s="366">
        <v>322.77</v>
      </c>
      <c r="T81" s="366">
        <v>284.54000000000002</v>
      </c>
      <c r="U81" s="366">
        <v>364.26</v>
      </c>
      <c r="V81" s="366">
        <v>260.27</v>
      </c>
      <c r="W81" s="366">
        <v>243.52</v>
      </c>
      <c r="X81" s="366">
        <v>510.67</v>
      </c>
      <c r="Y81" s="366">
        <v>204.02</v>
      </c>
      <c r="Z81" s="366">
        <v>866.1</v>
      </c>
      <c r="AA81" s="366">
        <v>448.89</v>
      </c>
      <c r="AB81" s="366">
        <v>268.76</v>
      </c>
      <c r="AC81" s="366">
        <v>183.66</v>
      </c>
      <c r="AD81" s="391">
        <f t="shared" si="1"/>
        <v>324.59148148148154</v>
      </c>
    </row>
    <row r="82" spans="1:30">
      <c r="A82" s="398" t="s">
        <v>474</v>
      </c>
      <c r="B82" s="366" t="s">
        <v>103</v>
      </c>
      <c r="C82" s="366">
        <v>393.41</v>
      </c>
      <c r="D82" s="366">
        <v>243.42</v>
      </c>
      <c r="E82" s="366">
        <v>243.42</v>
      </c>
      <c r="F82" s="366">
        <v>391.24</v>
      </c>
      <c r="G82" s="366">
        <v>270.20999999999998</v>
      </c>
      <c r="H82" s="366">
        <v>370.55</v>
      </c>
      <c r="I82" s="366">
        <v>259.26</v>
      </c>
      <c r="J82" s="366">
        <v>331.73</v>
      </c>
      <c r="K82" s="366">
        <v>28.83</v>
      </c>
      <c r="L82" s="366">
        <v>412.45</v>
      </c>
      <c r="M82" s="366">
        <v>32.159999999999997</v>
      </c>
      <c r="N82" s="366">
        <v>233.2</v>
      </c>
      <c r="O82" s="366">
        <v>409.91</v>
      </c>
      <c r="P82" s="366">
        <v>13.48</v>
      </c>
      <c r="Q82" s="366">
        <v>341.17</v>
      </c>
      <c r="R82" s="366">
        <v>79.739999999999995</v>
      </c>
      <c r="S82" s="366">
        <v>19.07</v>
      </c>
      <c r="T82" s="366">
        <v>79.739999999999995</v>
      </c>
      <c r="U82" s="366">
        <v>365.38</v>
      </c>
      <c r="V82" s="366">
        <v>563.65</v>
      </c>
      <c r="W82" s="366">
        <v>314.04000000000002</v>
      </c>
      <c r="X82" s="366">
        <v>305.5</v>
      </c>
      <c r="Y82" s="366">
        <v>165.74</v>
      </c>
      <c r="Z82" s="366">
        <v>589.87</v>
      </c>
      <c r="AA82" s="366">
        <v>153.44999999999999</v>
      </c>
      <c r="AB82" s="366">
        <v>104.16</v>
      </c>
      <c r="AC82" s="366">
        <v>458.7</v>
      </c>
      <c r="AD82" s="391">
        <f t="shared" si="1"/>
        <v>265.68444444444441</v>
      </c>
    </row>
    <row r="83" spans="1:30">
      <c r="A83" s="398" t="s">
        <v>474</v>
      </c>
      <c r="B83" s="366" t="s">
        <v>104</v>
      </c>
      <c r="C83" s="366">
        <v>395.81</v>
      </c>
      <c r="D83" s="366">
        <v>245.82</v>
      </c>
      <c r="E83" s="366">
        <v>245.82</v>
      </c>
      <c r="F83" s="366">
        <v>401.33</v>
      </c>
      <c r="G83" s="366">
        <v>283.69</v>
      </c>
      <c r="H83" s="366">
        <v>372.95</v>
      </c>
      <c r="I83" s="366">
        <v>272.74</v>
      </c>
      <c r="J83" s="366">
        <v>345.21</v>
      </c>
      <c r="K83" s="366">
        <v>42.31</v>
      </c>
      <c r="L83" s="366">
        <v>414.85</v>
      </c>
      <c r="M83" s="366">
        <v>39.630000000000003</v>
      </c>
      <c r="N83" s="366">
        <v>246.68</v>
      </c>
      <c r="O83" s="366">
        <v>423.39</v>
      </c>
      <c r="P83" s="366">
        <v>0</v>
      </c>
      <c r="Q83" s="366">
        <v>352.34</v>
      </c>
      <c r="R83" s="366">
        <v>93.22</v>
      </c>
      <c r="S83" s="366">
        <v>32.549999999999997</v>
      </c>
      <c r="T83" s="366">
        <v>93.22</v>
      </c>
      <c r="U83" s="366">
        <v>367.78</v>
      </c>
      <c r="V83" s="366">
        <v>566.04999999999995</v>
      </c>
      <c r="W83" s="366">
        <v>327.52</v>
      </c>
      <c r="X83" s="366">
        <v>318.98</v>
      </c>
      <c r="Y83" s="366">
        <v>168.14</v>
      </c>
      <c r="Z83" s="366">
        <v>603.35</v>
      </c>
      <c r="AA83" s="366">
        <v>166.93</v>
      </c>
      <c r="AB83" s="366">
        <v>106.56</v>
      </c>
      <c r="AC83" s="366">
        <v>461.1</v>
      </c>
      <c r="AD83" s="391">
        <f t="shared" si="1"/>
        <v>273.62851851851855</v>
      </c>
    </row>
    <row r="84" spans="1:30">
      <c r="A84" s="398" t="s">
        <v>474</v>
      </c>
      <c r="B84" s="366" t="s">
        <v>105</v>
      </c>
      <c r="C84" s="366">
        <v>202.29</v>
      </c>
      <c r="D84" s="366">
        <v>360.68</v>
      </c>
      <c r="E84" s="366">
        <v>360.68</v>
      </c>
      <c r="F84" s="366">
        <v>345.89</v>
      </c>
      <c r="G84" s="366">
        <v>496.71</v>
      </c>
      <c r="H84" s="366">
        <v>360.13</v>
      </c>
      <c r="I84" s="366">
        <v>548.35</v>
      </c>
      <c r="J84" s="366">
        <v>306.33999999999997</v>
      </c>
      <c r="K84" s="366">
        <v>416.45</v>
      </c>
      <c r="L84" s="366">
        <v>24.83</v>
      </c>
      <c r="M84" s="366">
        <v>396.95</v>
      </c>
      <c r="N84" s="366">
        <v>407.39</v>
      </c>
      <c r="O84" s="366">
        <v>699</v>
      </c>
      <c r="P84" s="366">
        <v>390.02</v>
      </c>
      <c r="Q84" s="366">
        <v>296.89999999999998</v>
      </c>
      <c r="R84" s="366">
        <v>368.46</v>
      </c>
      <c r="S84" s="366">
        <v>406.69</v>
      </c>
      <c r="T84" s="366">
        <v>368.46</v>
      </c>
      <c r="U84" s="366">
        <v>448.18</v>
      </c>
      <c r="V84" s="366">
        <v>176.03</v>
      </c>
      <c r="W84" s="366">
        <v>327.44</v>
      </c>
      <c r="X84" s="366">
        <v>594.59</v>
      </c>
      <c r="Y84" s="366">
        <v>287.94</v>
      </c>
      <c r="Z84" s="366">
        <v>950.02</v>
      </c>
      <c r="AA84" s="366">
        <v>532.80999999999995</v>
      </c>
      <c r="AB84" s="366">
        <v>352.68</v>
      </c>
      <c r="AC84" s="366">
        <v>267.58</v>
      </c>
      <c r="AD84" s="391">
        <f t="shared" si="1"/>
        <v>396.05518518518511</v>
      </c>
    </row>
    <row r="85" spans="1:30">
      <c r="A85" s="398" t="s">
        <v>474</v>
      </c>
      <c r="B85" s="366" t="s">
        <v>12</v>
      </c>
      <c r="C85" s="366">
        <v>704.79</v>
      </c>
      <c r="D85" s="366">
        <v>645.07000000000005</v>
      </c>
      <c r="E85" s="366">
        <v>645.07000000000005</v>
      </c>
      <c r="F85" s="366">
        <v>455.62</v>
      </c>
      <c r="G85" s="366">
        <v>304.58999999999997</v>
      </c>
      <c r="H85" s="366">
        <v>772.2</v>
      </c>
      <c r="I85" s="366">
        <v>150.65</v>
      </c>
      <c r="J85" s="366">
        <v>396.11</v>
      </c>
      <c r="K85" s="366">
        <v>381.08</v>
      </c>
      <c r="L85" s="366">
        <v>723.83</v>
      </c>
      <c r="M85" s="366">
        <v>442.07</v>
      </c>
      <c r="N85" s="366">
        <v>297.58</v>
      </c>
      <c r="O85" s="366">
        <v>0</v>
      </c>
      <c r="P85" s="366">
        <v>423.39</v>
      </c>
      <c r="Q85" s="366">
        <v>405.55</v>
      </c>
      <c r="R85" s="366">
        <v>420.81</v>
      </c>
      <c r="S85" s="366">
        <v>397.62</v>
      </c>
      <c r="T85" s="366">
        <v>420.81</v>
      </c>
      <c r="U85" s="366">
        <v>767.03</v>
      </c>
      <c r="V85" s="366">
        <v>875.03</v>
      </c>
      <c r="W85" s="366">
        <v>378.42</v>
      </c>
      <c r="X85" s="366">
        <v>104.41</v>
      </c>
      <c r="Y85" s="366">
        <v>567.39</v>
      </c>
      <c r="Z85" s="366">
        <v>287.62</v>
      </c>
      <c r="AA85" s="366">
        <v>290.97000000000003</v>
      </c>
      <c r="AB85" s="366">
        <v>505.81</v>
      </c>
      <c r="AC85" s="366">
        <v>770.08</v>
      </c>
      <c r="AD85" s="391">
        <f t="shared" si="1"/>
        <v>464.2074074074074</v>
      </c>
    </row>
    <row r="86" spans="1:30">
      <c r="A86" s="398" t="s">
        <v>474</v>
      </c>
      <c r="B86" s="366" t="s">
        <v>106</v>
      </c>
      <c r="C86" s="366">
        <v>704.79</v>
      </c>
      <c r="D86" s="366">
        <v>645.07000000000005</v>
      </c>
      <c r="E86" s="366">
        <v>645.07000000000005</v>
      </c>
      <c r="F86" s="366">
        <v>455.62</v>
      </c>
      <c r="G86" s="366">
        <v>304.58999999999997</v>
      </c>
      <c r="H86" s="366">
        <v>772.2</v>
      </c>
      <c r="I86" s="366">
        <v>150.65</v>
      </c>
      <c r="J86" s="366">
        <v>396.11</v>
      </c>
      <c r="K86" s="366">
        <v>381.08</v>
      </c>
      <c r="L86" s="366">
        <v>723.83</v>
      </c>
      <c r="M86" s="366">
        <v>442.07</v>
      </c>
      <c r="N86" s="366">
        <v>297.58</v>
      </c>
      <c r="O86" s="366">
        <v>0</v>
      </c>
      <c r="P86" s="366">
        <v>423.39</v>
      </c>
      <c r="Q86" s="366">
        <v>405.55</v>
      </c>
      <c r="R86" s="366">
        <v>420.81</v>
      </c>
      <c r="S86" s="366">
        <v>397.62</v>
      </c>
      <c r="T86" s="366">
        <v>420.81</v>
      </c>
      <c r="U86" s="366">
        <v>767.03</v>
      </c>
      <c r="V86" s="366">
        <v>875.03</v>
      </c>
      <c r="W86" s="366">
        <v>378.42</v>
      </c>
      <c r="X86" s="366">
        <v>104.41</v>
      </c>
      <c r="Y86" s="366">
        <v>567.39</v>
      </c>
      <c r="Z86" s="366">
        <v>287.62</v>
      </c>
      <c r="AA86" s="366">
        <v>290.97000000000003</v>
      </c>
      <c r="AB86" s="366">
        <v>505.81</v>
      </c>
      <c r="AC86" s="366">
        <v>770.08</v>
      </c>
      <c r="AD86" s="391">
        <f t="shared" si="1"/>
        <v>464.2074074074074</v>
      </c>
    </row>
    <row r="87" spans="1:30">
      <c r="A87" s="398" t="s">
        <v>474</v>
      </c>
      <c r="B87" s="366" t="s">
        <v>107</v>
      </c>
      <c r="C87" s="366">
        <v>395.94</v>
      </c>
      <c r="D87" s="366">
        <v>245.95</v>
      </c>
      <c r="E87" s="366">
        <v>245.95</v>
      </c>
      <c r="F87" s="366">
        <v>344.59</v>
      </c>
      <c r="G87" s="366">
        <v>223.56</v>
      </c>
      <c r="H87" s="366">
        <v>373.08</v>
      </c>
      <c r="I87" s="366">
        <v>248.47</v>
      </c>
      <c r="J87" s="366">
        <v>285.08</v>
      </c>
      <c r="K87" s="366">
        <v>86.88</v>
      </c>
      <c r="L87" s="366">
        <v>414.98</v>
      </c>
      <c r="M87" s="366">
        <v>90.21</v>
      </c>
      <c r="N87" s="366">
        <v>186.55</v>
      </c>
      <c r="O87" s="366">
        <v>399.12</v>
      </c>
      <c r="P87" s="366">
        <v>71.53</v>
      </c>
      <c r="Q87" s="366">
        <v>294.52</v>
      </c>
      <c r="R87" s="366">
        <v>21.69</v>
      </c>
      <c r="S87" s="366">
        <v>77.12</v>
      </c>
      <c r="T87" s="366">
        <v>21.69</v>
      </c>
      <c r="U87" s="366">
        <v>367.91</v>
      </c>
      <c r="V87" s="366">
        <v>566.17999999999995</v>
      </c>
      <c r="W87" s="366">
        <v>267.39</v>
      </c>
      <c r="X87" s="366">
        <v>294.70999999999998</v>
      </c>
      <c r="Y87" s="366">
        <v>168.27</v>
      </c>
      <c r="Z87" s="366">
        <v>579.08000000000004</v>
      </c>
      <c r="AA87" s="366">
        <v>142.66</v>
      </c>
      <c r="AB87" s="366">
        <v>106.69</v>
      </c>
      <c r="AC87" s="366">
        <v>461.23</v>
      </c>
      <c r="AD87" s="391">
        <f t="shared" si="1"/>
        <v>258.55666666666667</v>
      </c>
    </row>
    <row r="88" spans="1:30">
      <c r="A88" s="398" t="s">
        <v>474</v>
      </c>
      <c r="B88" s="366" t="s">
        <v>108</v>
      </c>
      <c r="C88" s="366">
        <v>309.43</v>
      </c>
      <c r="D88" s="366">
        <v>126.8</v>
      </c>
      <c r="E88" s="366">
        <v>126.8</v>
      </c>
      <c r="F88" s="366">
        <v>314.95</v>
      </c>
      <c r="G88" s="366">
        <v>342.71</v>
      </c>
      <c r="H88" s="366">
        <v>275.99</v>
      </c>
      <c r="I88" s="366">
        <v>367.62</v>
      </c>
      <c r="J88" s="366">
        <v>275.39999999999998</v>
      </c>
      <c r="K88" s="366">
        <v>145.44999999999999</v>
      </c>
      <c r="L88" s="366">
        <v>328.47</v>
      </c>
      <c r="M88" s="366">
        <v>125.95</v>
      </c>
      <c r="N88" s="366">
        <v>305.7</v>
      </c>
      <c r="O88" s="366">
        <v>518.27</v>
      </c>
      <c r="P88" s="366">
        <v>119.02</v>
      </c>
      <c r="Q88" s="366">
        <v>265.95999999999998</v>
      </c>
      <c r="R88" s="366">
        <v>97.46</v>
      </c>
      <c r="S88" s="366">
        <v>135.69</v>
      </c>
      <c r="T88" s="366">
        <v>97.46</v>
      </c>
      <c r="U88" s="366">
        <v>270.82</v>
      </c>
      <c r="V88" s="366">
        <v>479.67</v>
      </c>
      <c r="W88" s="366">
        <v>296.5</v>
      </c>
      <c r="X88" s="366">
        <v>413.86</v>
      </c>
      <c r="Y88" s="366">
        <v>49.12</v>
      </c>
      <c r="Z88" s="366">
        <v>698.23</v>
      </c>
      <c r="AA88" s="366">
        <v>261.81</v>
      </c>
      <c r="AB88" s="366">
        <v>81.680000000000007</v>
      </c>
      <c r="AC88" s="366">
        <v>368.54</v>
      </c>
      <c r="AD88" s="391">
        <f t="shared" si="1"/>
        <v>266.64296296296294</v>
      </c>
    </row>
    <row r="89" spans="1:30">
      <c r="A89" s="398" t="s">
        <v>474</v>
      </c>
      <c r="B89" s="366" t="s">
        <v>109</v>
      </c>
      <c r="C89" s="366">
        <v>715.74</v>
      </c>
      <c r="D89" s="366">
        <v>656.02</v>
      </c>
      <c r="E89" s="366">
        <v>656.02</v>
      </c>
      <c r="F89" s="366">
        <v>466.57</v>
      </c>
      <c r="G89" s="366">
        <v>315.54000000000002</v>
      </c>
      <c r="H89" s="366">
        <v>783.15</v>
      </c>
      <c r="I89" s="366">
        <v>161.6</v>
      </c>
      <c r="J89" s="366">
        <v>407.06</v>
      </c>
      <c r="K89" s="366">
        <v>392.03</v>
      </c>
      <c r="L89" s="366">
        <v>734.78</v>
      </c>
      <c r="M89" s="366">
        <v>453.02</v>
      </c>
      <c r="N89" s="366">
        <v>308.52999999999997</v>
      </c>
      <c r="O89" s="366">
        <v>47.55</v>
      </c>
      <c r="P89" s="366">
        <v>434.34</v>
      </c>
      <c r="Q89" s="366">
        <v>416.5</v>
      </c>
      <c r="R89" s="366">
        <v>431.76</v>
      </c>
      <c r="S89" s="366">
        <v>408.57</v>
      </c>
      <c r="T89" s="366">
        <v>431.76</v>
      </c>
      <c r="U89" s="366">
        <v>777.98</v>
      </c>
      <c r="V89" s="366">
        <v>885.98</v>
      </c>
      <c r="W89" s="366">
        <v>389.37</v>
      </c>
      <c r="X89" s="366">
        <v>115.36</v>
      </c>
      <c r="Y89" s="366">
        <v>578.34</v>
      </c>
      <c r="Z89" s="366">
        <v>240.21</v>
      </c>
      <c r="AA89" s="366">
        <v>301.92</v>
      </c>
      <c r="AB89" s="366">
        <v>516.76</v>
      </c>
      <c r="AC89" s="366">
        <v>781.03</v>
      </c>
      <c r="AD89" s="391">
        <f t="shared" si="1"/>
        <v>474.35148148148147</v>
      </c>
    </row>
    <row r="90" spans="1:30">
      <c r="A90" s="398" t="s">
        <v>474</v>
      </c>
      <c r="B90" s="366" t="s">
        <v>110</v>
      </c>
      <c r="C90" s="366">
        <v>453.97</v>
      </c>
      <c r="D90" s="366">
        <v>216.9</v>
      </c>
      <c r="E90" s="366">
        <v>216.9</v>
      </c>
      <c r="F90" s="366">
        <v>459.49</v>
      </c>
      <c r="G90" s="366">
        <v>591.47</v>
      </c>
      <c r="H90" s="366">
        <v>319.44</v>
      </c>
      <c r="I90" s="366">
        <v>616.38</v>
      </c>
      <c r="J90" s="366">
        <v>419.94</v>
      </c>
      <c r="K90" s="366">
        <v>394.21</v>
      </c>
      <c r="L90" s="366">
        <v>473.01</v>
      </c>
      <c r="M90" s="366">
        <v>374.71</v>
      </c>
      <c r="N90" s="366">
        <v>520.99</v>
      </c>
      <c r="O90" s="366">
        <v>767.03</v>
      </c>
      <c r="P90" s="366">
        <v>367.78</v>
      </c>
      <c r="Q90" s="366">
        <v>410.5</v>
      </c>
      <c r="R90" s="366">
        <v>346.22</v>
      </c>
      <c r="S90" s="366">
        <v>384.45</v>
      </c>
      <c r="T90" s="366">
        <v>346.22</v>
      </c>
      <c r="U90" s="366">
        <v>0</v>
      </c>
      <c r="V90" s="366">
        <v>624.21</v>
      </c>
      <c r="W90" s="366">
        <v>441.04</v>
      </c>
      <c r="X90" s="366">
        <v>662.62</v>
      </c>
      <c r="Y90" s="366">
        <v>221.7</v>
      </c>
      <c r="Z90" s="366">
        <v>946.99</v>
      </c>
      <c r="AA90" s="366">
        <v>510.57</v>
      </c>
      <c r="AB90" s="366">
        <v>330.44</v>
      </c>
      <c r="AC90" s="366">
        <v>411.99</v>
      </c>
      <c r="AD90" s="391">
        <f t="shared" si="1"/>
        <v>438.11740740740748</v>
      </c>
    </row>
    <row r="91" spans="1:30">
      <c r="A91" s="398" t="s">
        <v>474</v>
      </c>
      <c r="B91" s="366" t="s">
        <v>111</v>
      </c>
      <c r="C91" s="366">
        <v>350.05</v>
      </c>
      <c r="D91" s="366">
        <v>118.29</v>
      </c>
      <c r="E91" s="366">
        <v>118.29</v>
      </c>
      <c r="F91" s="366">
        <v>355.57</v>
      </c>
      <c r="G91" s="366">
        <v>487.55</v>
      </c>
      <c r="H91" s="366">
        <v>215.52</v>
      </c>
      <c r="I91" s="366">
        <v>512.46</v>
      </c>
      <c r="J91" s="366">
        <v>316.02</v>
      </c>
      <c r="K91" s="366">
        <v>290.29000000000002</v>
      </c>
      <c r="L91" s="366">
        <v>369.09</v>
      </c>
      <c r="M91" s="366">
        <v>270.79000000000002</v>
      </c>
      <c r="N91" s="366">
        <v>417.07</v>
      </c>
      <c r="O91" s="366">
        <v>663.11</v>
      </c>
      <c r="P91" s="366">
        <v>263.86</v>
      </c>
      <c r="Q91" s="366">
        <v>306.58</v>
      </c>
      <c r="R91" s="366">
        <v>242.3</v>
      </c>
      <c r="S91" s="366">
        <v>280.52999999999997</v>
      </c>
      <c r="T91" s="366">
        <v>242.3</v>
      </c>
      <c r="U91" s="366">
        <v>131.5</v>
      </c>
      <c r="V91" s="366">
        <v>520.29</v>
      </c>
      <c r="W91" s="366">
        <v>337.12</v>
      </c>
      <c r="X91" s="366">
        <v>558.70000000000005</v>
      </c>
      <c r="Y91" s="366">
        <v>117.78</v>
      </c>
      <c r="Z91" s="366">
        <v>843.07</v>
      </c>
      <c r="AA91" s="366">
        <v>406.65</v>
      </c>
      <c r="AB91" s="366">
        <v>226.52</v>
      </c>
      <c r="AC91" s="366">
        <v>308.07</v>
      </c>
      <c r="AD91" s="391">
        <f t="shared" si="1"/>
        <v>343.30999999999995</v>
      </c>
    </row>
    <row r="92" spans="1:30">
      <c r="A92" s="398" t="s">
        <v>474</v>
      </c>
      <c r="B92" s="366" t="s">
        <v>112</v>
      </c>
      <c r="C92" s="366">
        <v>640.28</v>
      </c>
      <c r="D92" s="366">
        <v>490.29</v>
      </c>
      <c r="E92" s="366">
        <v>490.29</v>
      </c>
      <c r="F92" s="366">
        <v>471.49</v>
      </c>
      <c r="G92" s="366">
        <v>350.46</v>
      </c>
      <c r="H92" s="366">
        <v>617.41999999999996</v>
      </c>
      <c r="I92" s="366">
        <v>208.01</v>
      </c>
      <c r="J92" s="366">
        <v>411.98</v>
      </c>
      <c r="K92" s="366">
        <v>226.3</v>
      </c>
      <c r="L92" s="366">
        <v>659.32</v>
      </c>
      <c r="M92" s="366">
        <v>287.29000000000002</v>
      </c>
      <c r="N92" s="366">
        <v>313.45</v>
      </c>
      <c r="O92" s="366">
        <v>190.17</v>
      </c>
      <c r="P92" s="366">
        <v>268.61</v>
      </c>
      <c r="Q92" s="366">
        <v>421.42</v>
      </c>
      <c r="R92" s="366">
        <v>266.02999999999997</v>
      </c>
      <c r="S92" s="366">
        <v>242.84</v>
      </c>
      <c r="T92" s="366">
        <v>266.02999999999997</v>
      </c>
      <c r="U92" s="366">
        <v>612.25</v>
      </c>
      <c r="V92" s="366">
        <v>810.52</v>
      </c>
      <c r="W92" s="366">
        <v>394.29</v>
      </c>
      <c r="X92" s="366">
        <v>254.25</v>
      </c>
      <c r="Y92" s="366">
        <v>412.61</v>
      </c>
      <c r="Z92" s="366">
        <v>334.74</v>
      </c>
      <c r="AA92" s="366">
        <v>136.19</v>
      </c>
      <c r="AB92" s="366">
        <v>351.03</v>
      </c>
      <c r="AC92" s="366">
        <v>705.57</v>
      </c>
      <c r="AD92" s="391">
        <f t="shared" si="1"/>
        <v>401.22703703703706</v>
      </c>
    </row>
    <row r="93" spans="1:30">
      <c r="A93" s="398" t="s">
        <v>474</v>
      </c>
      <c r="B93" s="366" t="s">
        <v>113</v>
      </c>
      <c r="C93" s="366">
        <v>313.83999999999997</v>
      </c>
      <c r="D93" s="366">
        <v>228.85</v>
      </c>
      <c r="E93" s="366">
        <v>228.85</v>
      </c>
      <c r="F93" s="366">
        <v>359.7</v>
      </c>
      <c r="G93" s="366">
        <v>491.68</v>
      </c>
      <c r="H93" s="366">
        <v>104.96</v>
      </c>
      <c r="I93" s="366">
        <v>516.59</v>
      </c>
      <c r="J93" s="366">
        <v>320.14999999999998</v>
      </c>
      <c r="K93" s="366">
        <v>294.42</v>
      </c>
      <c r="L93" s="366">
        <v>373.22</v>
      </c>
      <c r="M93" s="366">
        <v>274.92</v>
      </c>
      <c r="N93" s="366">
        <v>421.2</v>
      </c>
      <c r="O93" s="366">
        <v>667.24</v>
      </c>
      <c r="P93" s="366">
        <v>267.99</v>
      </c>
      <c r="Q93" s="366">
        <v>310.70999999999998</v>
      </c>
      <c r="R93" s="366">
        <v>246.43</v>
      </c>
      <c r="S93" s="366">
        <v>284.66000000000003</v>
      </c>
      <c r="T93" s="366">
        <v>246.43</v>
      </c>
      <c r="U93" s="366">
        <v>214.48</v>
      </c>
      <c r="V93" s="366">
        <v>524.41999999999996</v>
      </c>
      <c r="W93" s="366">
        <v>341.25</v>
      </c>
      <c r="X93" s="366">
        <v>562.83000000000004</v>
      </c>
      <c r="Y93" s="366">
        <v>121.91</v>
      </c>
      <c r="Z93" s="366">
        <v>847.2</v>
      </c>
      <c r="AA93" s="366">
        <v>410.78</v>
      </c>
      <c r="AB93" s="366">
        <v>230.65</v>
      </c>
      <c r="AC93" s="366">
        <v>197.51</v>
      </c>
      <c r="AD93" s="391">
        <f t="shared" si="1"/>
        <v>348.25444444444446</v>
      </c>
    </row>
    <row r="94" spans="1:30">
      <c r="A94" s="398" t="s">
        <v>474</v>
      </c>
      <c r="B94" s="366" t="s">
        <v>114</v>
      </c>
      <c r="C94" s="366">
        <v>350.29</v>
      </c>
      <c r="D94" s="366">
        <v>370.6</v>
      </c>
      <c r="E94" s="366">
        <v>370.6</v>
      </c>
      <c r="F94" s="366">
        <v>1.39</v>
      </c>
      <c r="G94" s="366">
        <v>251.94</v>
      </c>
      <c r="H94" s="366">
        <v>463.27</v>
      </c>
      <c r="I94" s="366">
        <v>303.58</v>
      </c>
      <c r="J94" s="366">
        <v>58.12</v>
      </c>
      <c r="K94" s="366">
        <v>418.68</v>
      </c>
      <c r="L94" s="366">
        <v>369.33</v>
      </c>
      <c r="M94" s="366">
        <v>406.87</v>
      </c>
      <c r="N94" s="366">
        <v>162.62</v>
      </c>
      <c r="O94" s="366">
        <v>454.23</v>
      </c>
      <c r="P94" s="366">
        <v>399.94</v>
      </c>
      <c r="Q94" s="366">
        <v>50.67</v>
      </c>
      <c r="R94" s="366">
        <v>364.89</v>
      </c>
      <c r="S94" s="366">
        <v>408.92</v>
      </c>
      <c r="T94" s="366">
        <v>364.89</v>
      </c>
      <c r="U94" s="366">
        <v>458.1</v>
      </c>
      <c r="V94" s="366">
        <v>520.53</v>
      </c>
      <c r="W94" s="366">
        <v>82.67</v>
      </c>
      <c r="X94" s="366">
        <v>349.82</v>
      </c>
      <c r="Y94" s="366">
        <v>297.86</v>
      </c>
      <c r="Z94" s="366">
        <v>705.25</v>
      </c>
      <c r="AA94" s="366">
        <v>378.75</v>
      </c>
      <c r="AB94" s="366">
        <v>362.6</v>
      </c>
      <c r="AC94" s="366">
        <v>415.58</v>
      </c>
      <c r="AD94" s="391">
        <f t="shared" si="1"/>
        <v>338.59222222222229</v>
      </c>
    </row>
    <row r="95" spans="1:30">
      <c r="A95" s="398" t="s">
        <v>474</v>
      </c>
      <c r="B95" s="366" t="s">
        <v>115</v>
      </c>
      <c r="C95" s="366">
        <v>374.25</v>
      </c>
      <c r="D95" s="366">
        <v>224.26</v>
      </c>
      <c r="E95" s="366">
        <v>224.26</v>
      </c>
      <c r="F95" s="366">
        <v>366.28</v>
      </c>
      <c r="G95" s="366">
        <v>245.25</v>
      </c>
      <c r="H95" s="366">
        <v>351.39</v>
      </c>
      <c r="I95" s="366">
        <v>270.16000000000003</v>
      </c>
      <c r="J95" s="366">
        <v>306.77</v>
      </c>
      <c r="K95" s="366">
        <v>108.57</v>
      </c>
      <c r="L95" s="366">
        <v>393.29</v>
      </c>
      <c r="M95" s="366">
        <v>111.9</v>
      </c>
      <c r="N95" s="366">
        <v>208.24</v>
      </c>
      <c r="O95" s="366">
        <v>420.81</v>
      </c>
      <c r="P95" s="366">
        <v>93.22</v>
      </c>
      <c r="Q95" s="366">
        <v>316.20999999999998</v>
      </c>
      <c r="R95" s="366">
        <v>0</v>
      </c>
      <c r="S95" s="366">
        <v>98.81</v>
      </c>
      <c r="T95" s="366">
        <v>0</v>
      </c>
      <c r="U95" s="366">
        <v>346.22</v>
      </c>
      <c r="V95" s="366">
        <v>544.49</v>
      </c>
      <c r="W95" s="366">
        <v>289.08</v>
      </c>
      <c r="X95" s="366">
        <v>316.39999999999998</v>
      </c>
      <c r="Y95" s="366">
        <v>146.58000000000001</v>
      </c>
      <c r="Z95" s="366">
        <v>600.77</v>
      </c>
      <c r="AA95" s="366">
        <v>164.35</v>
      </c>
      <c r="AB95" s="366">
        <v>85</v>
      </c>
      <c r="AC95" s="366">
        <v>439.54</v>
      </c>
      <c r="AD95" s="391">
        <f t="shared" si="1"/>
        <v>260.96666666666664</v>
      </c>
    </row>
    <row r="96" spans="1:30">
      <c r="A96" s="398" t="s">
        <v>474</v>
      </c>
      <c r="B96" s="366" t="s">
        <v>116</v>
      </c>
      <c r="C96" s="366">
        <v>374.25</v>
      </c>
      <c r="D96" s="366">
        <v>224.26</v>
      </c>
      <c r="E96" s="366">
        <v>224.26</v>
      </c>
      <c r="F96" s="366">
        <v>366.28</v>
      </c>
      <c r="G96" s="366">
        <v>245.25</v>
      </c>
      <c r="H96" s="366">
        <v>351.39</v>
      </c>
      <c r="I96" s="366">
        <v>270.16000000000003</v>
      </c>
      <c r="J96" s="366">
        <v>306.77</v>
      </c>
      <c r="K96" s="366">
        <v>108.57</v>
      </c>
      <c r="L96" s="366">
        <v>393.29</v>
      </c>
      <c r="M96" s="366">
        <v>111.9</v>
      </c>
      <c r="N96" s="366">
        <v>208.24</v>
      </c>
      <c r="O96" s="366">
        <v>420.81</v>
      </c>
      <c r="P96" s="366">
        <v>93.22</v>
      </c>
      <c r="Q96" s="366">
        <v>316.20999999999998</v>
      </c>
      <c r="R96" s="366">
        <v>0</v>
      </c>
      <c r="S96" s="366">
        <v>98.81</v>
      </c>
      <c r="T96" s="366">
        <v>0</v>
      </c>
      <c r="U96" s="366">
        <v>346.22</v>
      </c>
      <c r="V96" s="366">
        <v>544.49</v>
      </c>
      <c r="W96" s="366">
        <v>289.08</v>
      </c>
      <c r="X96" s="366">
        <v>316.39999999999998</v>
      </c>
      <c r="Y96" s="366">
        <v>146.58000000000001</v>
      </c>
      <c r="Z96" s="366">
        <v>600.77</v>
      </c>
      <c r="AA96" s="366">
        <v>164.35</v>
      </c>
      <c r="AB96" s="366">
        <v>85</v>
      </c>
      <c r="AC96" s="366">
        <v>439.54</v>
      </c>
      <c r="AD96" s="391">
        <f t="shared" si="1"/>
        <v>260.96666666666664</v>
      </c>
    </row>
    <row r="97" spans="1:30">
      <c r="A97" s="398" t="s">
        <v>474</v>
      </c>
      <c r="B97" s="366" t="s">
        <v>117</v>
      </c>
      <c r="C97" s="366">
        <v>302.69</v>
      </c>
      <c r="D97" s="366">
        <v>323</v>
      </c>
      <c r="E97" s="366">
        <v>323</v>
      </c>
      <c r="F97" s="366">
        <v>52.06</v>
      </c>
      <c r="G97" s="366">
        <v>203.26</v>
      </c>
      <c r="H97" s="366">
        <v>415.67</v>
      </c>
      <c r="I97" s="366">
        <v>254.9</v>
      </c>
      <c r="J97" s="366">
        <v>9.44</v>
      </c>
      <c r="K97" s="366">
        <v>370</v>
      </c>
      <c r="L97" s="366">
        <v>321.73</v>
      </c>
      <c r="M97" s="366">
        <v>359.27</v>
      </c>
      <c r="N97" s="366">
        <v>113.94</v>
      </c>
      <c r="O97" s="366">
        <v>405.55</v>
      </c>
      <c r="P97" s="366">
        <v>352.34</v>
      </c>
      <c r="Q97" s="366">
        <v>0</v>
      </c>
      <c r="R97" s="366">
        <v>316.20999999999998</v>
      </c>
      <c r="S97" s="366">
        <v>360.24</v>
      </c>
      <c r="T97" s="366">
        <v>316.20999999999998</v>
      </c>
      <c r="U97" s="366">
        <v>410.5</v>
      </c>
      <c r="V97" s="366">
        <v>472.93</v>
      </c>
      <c r="W97" s="366">
        <v>33.99</v>
      </c>
      <c r="X97" s="366">
        <v>301.14</v>
      </c>
      <c r="Y97" s="366">
        <v>250.26</v>
      </c>
      <c r="Z97" s="366">
        <v>656.57</v>
      </c>
      <c r="AA97" s="366">
        <v>330.07</v>
      </c>
      <c r="AB97" s="366">
        <v>315</v>
      </c>
      <c r="AC97" s="366">
        <v>367.98</v>
      </c>
      <c r="AD97" s="391">
        <f t="shared" si="1"/>
        <v>293.99814814814818</v>
      </c>
    </row>
    <row r="98" spans="1:30">
      <c r="A98" s="398" t="s">
        <v>474</v>
      </c>
      <c r="B98" s="366" t="s">
        <v>118</v>
      </c>
      <c r="C98" s="366">
        <v>302.69</v>
      </c>
      <c r="D98" s="366">
        <v>323</v>
      </c>
      <c r="E98" s="366">
        <v>323</v>
      </c>
      <c r="F98" s="366">
        <v>52.06</v>
      </c>
      <c r="G98" s="366">
        <v>203.26</v>
      </c>
      <c r="H98" s="366">
        <v>415.67</v>
      </c>
      <c r="I98" s="366">
        <v>254.9</v>
      </c>
      <c r="J98" s="366">
        <v>9.44</v>
      </c>
      <c r="K98" s="366">
        <v>370</v>
      </c>
      <c r="L98" s="366">
        <v>321.73</v>
      </c>
      <c r="M98" s="366">
        <v>359.27</v>
      </c>
      <c r="N98" s="366">
        <v>113.94</v>
      </c>
      <c r="O98" s="366">
        <v>405.55</v>
      </c>
      <c r="P98" s="366">
        <v>352.34</v>
      </c>
      <c r="Q98" s="366">
        <v>0</v>
      </c>
      <c r="R98" s="366">
        <v>316.20999999999998</v>
      </c>
      <c r="S98" s="366">
        <v>360.24</v>
      </c>
      <c r="T98" s="366">
        <v>316.20999999999998</v>
      </c>
      <c r="U98" s="366">
        <v>410.5</v>
      </c>
      <c r="V98" s="366">
        <v>472.93</v>
      </c>
      <c r="W98" s="366">
        <v>33.99</v>
      </c>
      <c r="X98" s="366">
        <v>301.14</v>
      </c>
      <c r="Y98" s="366">
        <v>250.26</v>
      </c>
      <c r="Z98" s="366">
        <v>656.57</v>
      </c>
      <c r="AA98" s="366">
        <v>330.07</v>
      </c>
      <c r="AB98" s="366">
        <v>315</v>
      </c>
      <c r="AC98" s="366">
        <v>367.98</v>
      </c>
      <c r="AD98" s="391">
        <f t="shared" si="1"/>
        <v>293.99814814814818</v>
      </c>
    </row>
    <row r="99" spans="1:30">
      <c r="A99" s="398" t="s">
        <v>474</v>
      </c>
      <c r="B99" s="366" t="s">
        <v>119</v>
      </c>
      <c r="C99" s="366">
        <v>312.13</v>
      </c>
      <c r="D99" s="366">
        <v>332.44</v>
      </c>
      <c r="E99" s="366">
        <v>332.44</v>
      </c>
      <c r="F99" s="366">
        <v>59.51</v>
      </c>
      <c r="G99" s="366">
        <v>193.82</v>
      </c>
      <c r="H99" s="366">
        <v>425.11</v>
      </c>
      <c r="I99" s="366">
        <v>245.46</v>
      </c>
      <c r="J99" s="366">
        <v>0</v>
      </c>
      <c r="K99" s="366">
        <v>360.56</v>
      </c>
      <c r="L99" s="366">
        <v>331.17</v>
      </c>
      <c r="M99" s="366">
        <v>363.89</v>
      </c>
      <c r="N99" s="366">
        <v>104.5</v>
      </c>
      <c r="O99" s="366">
        <v>396.11</v>
      </c>
      <c r="P99" s="366">
        <v>345.21</v>
      </c>
      <c r="Q99" s="366">
        <v>9.44</v>
      </c>
      <c r="R99" s="366">
        <v>306.77</v>
      </c>
      <c r="S99" s="366">
        <v>350.8</v>
      </c>
      <c r="T99" s="366">
        <v>306.77</v>
      </c>
      <c r="U99" s="366">
        <v>419.94</v>
      </c>
      <c r="V99" s="366">
        <v>482.37</v>
      </c>
      <c r="W99" s="366">
        <v>24.55</v>
      </c>
      <c r="X99" s="366">
        <v>291.7</v>
      </c>
      <c r="Y99" s="366">
        <v>259.7</v>
      </c>
      <c r="Z99" s="366">
        <v>647.13</v>
      </c>
      <c r="AA99" s="366">
        <v>320.63</v>
      </c>
      <c r="AB99" s="366">
        <v>324.44</v>
      </c>
      <c r="AC99" s="366">
        <v>377.42</v>
      </c>
      <c r="AD99" s="391">
        <f t="shared" si="1"/>
        <v>293.48185185185179</v>
      </c>
    </row>
    <row r="100" spans="1:30">
      <c r="A100" s="398" t="s">
        <v>474</v>
      </c>
      <c r="B100" s="366" t="s">
        <v>120</v>
      </c>
      <c r="C100" s="366">
        <v>304.26</v>
      </c>
      <c r="D100" s="366">
        <v>324.57</v>
      </c>
      <c r="E100" s="366">
        <v>324.57</v>
      </c>
      <c r="F100" s="366">
        <v>51.64</v>
      </c>
      <c r="G100" s="366">
        <v>201.69</v>
      </c>
      <c r="H100" s="366">
        <v>417.24</v>
      </c>
      <c r="I100" s="366">
        <v>253.33</v>
      </c>
      <c r="J100" s="366">
        <v>7.87</v>
      </c>
      <c r="K100" s="366">
        <v>368.43</v>
      </c>
      <c r="L100" s="366">
        <v>323.3</v>
      </c>
      <c r="M100" s="366">
        <v>360.84</v>
      </c>
      <c r="N100" s="366">
        <v>112.37</v>
      </c>
      <c r="O100" s="366">
        <v>403.98</v>
      </c>
      <c r="P100" s="366">
        <v>353.08</v>
      </c>
      <c r="Q100" s="366">
        <v>1.57</v>
      </c>
      <c r="R100" s="366">
        <v>314.64</v>
      </c>
      <c r="S100" s="366">
        <v>358.67</v>
      </c>
      <c r="T100" s="366">
        <v>314.64</v>
      </c>
      <c r="U100" s="366">
        <v>412.07</v>
      </c>
      <c r="V100" s="366">
        <v>474.5</v>
      </c>
      <c r="W100" s="366">
        <v>32.42</v>
      </c>
      <c r="X100" s="366">
        <v>299.57</v>
      </c>
      <c r="Y100" s="366">
        <v>251.83</v>
      </c>
      <c r="Z100" s="366">
        <v>655</v>
      </c>
      <c r="AA100" s="366">
        <v>328.5</v>
      </c>
      <c r="AB100" s="366">
        <v>316.57</v>
      </c>
      <c r="AC100" s="366">
        <v>369.55</v>
      </c>
      <c r="AD100" s="391">
        <f t="shared" si="1"/>
        <v>293.95185185185187</v>
      </c>
    </row>
    <row r="101" spans="1:30">
      <c r="A101" s="398" t="s">
        <v>474</v>
      </c>
      <c r="B101" s="366" t="s">
        <v>121</v>
      </c>
      <c r="C101" s="366">
        <v>306.86</v>
      </c>
      <c r="D101" s="366">
        <v>327.17</v>
      </c>
      <c r="E101" s="366">
        <v>327.17</v>
      </c>
      <c r="F101" s="366">
        <v>80.72</v>
      </c>
      <c r="G101" s="366">
        <v>195.64</v>
      </c>
      <c r="H101" s="366">
        <v>419.84</v>
      </c>
      <c r="I101" s="366">
        <v>247.28</v>
      </c>
      <c r="J101" s="366">
        <v>41.17</v>
      </c>
      <c r="K101" s="366">
        <v>362.38</v>
      </c>
      <c r="L101" s="366">
        <v>325.89999999999998</v>
      </c>
      <c r="M101" s="366">
        <v>363.44</v>
      </c>
      <c r="N101" s="366">
        <v>106.32</v>
      </c>
      <c r="O101" s="366">
        <v>397.93</v>
      </c>
      <c r="P101" s="366">
        <v>347.03</v>
      </c>
      <c r="Q101" s="366">
        <v>31.73</v>
      </c>
      <c r="R101" s="366">
        <v>308.58999999999997</v>
      </c>
      <c r="S101" s="366">
        <v>352.62</v>
      </c>
      <c r="T101" s="366">
        <v>308.58999999999997</v>
      </c>
      <c r="U101" s="366">
        <v>414.67</v>
      </c>
      <c r="V101" s="366">
        <v>477.1</v>
      </c>
      <c r="W101" s="366">
        <v>26.37</v>
      </c>
      <c r="X101" s="366">
        <v>293.52</v>
      </c>
      <c r="Y101" s="366">
        <v>254.43</v>
      </c>
      <c r="Z101" s="366">
        <v>648.95000000000005</v>
      </c>
      <c r="AA101" s="366">
        <v>322.45</v>
      </c>
      <c r="AB101" s="366">
        <v>319.17</v>
      </c>
      <c r="AC101" s="366">
        <v>372.15</v>
      </c>
      <c r="AD101" s="391">
        <f t="shared" si="1"/>
        <v>295.52555555555557</v>
      </c>
    </row>
    <row r="102" spans="1:30">
      <c r="A102" s="398" t="s">
        <v>474</v>
      </c>
      <c r="B102" s="366" t="s">
        <v>122</v>
      </c>
      <c r="C102" s="366">
        <v>421.4</v>
      </c>
      <c r="D102" s="366">
        <v>184.33</v>
      </c>
      <c r="E102" s="366">
        <v>184.33</v>
      </c>
      <c r="F102" s="366">
        <v>426.92</v>
      </c>
      <c r="G102" s="366">
        <v>558.9</v>
      </c>
      <c r="H102" s="366">
        <v>286.87</v>
      </c>
      <c r="I102" s="366">
        <v>583.80999999999995</v>
      </c>
      <c r="J102" s="366">
        <v>387.37</v>
      </c>
      <c r="K102" s="366">
        <v>361.64</v>
      </c>
      <c r="L102" s="366">
        <v>440.44</v>
      </c>
      <c r="M102" s="366">
        <v>342.14</v>
      </c>
      <c r="N102" s="366">
        <v>488.42</v>
      </c>
      <c r="O102" s="366">
        <v>734.46</v>
      </c>
      <c r="P102" s="366">
        <v>335.21</v>
      </c>
      <c r="Q102" s="366">
        <v>377.93</v>
      </c>
      <c r="R102" s="366">
        <v>313.64999999999998</v>
      </c>
      <c r="S102" s="366">
        <v>351.88</v>
      </c>
      <c r="T102" s="366">
        <v>313.64999999999998</v>
      </c>
      <c r="U102" s="366">
        <v>32.57</v>
      </c>
      <c r="V102" s="366">
        <v>591.64</v>
      </c>
      <c r="W102" s="366">
        <v>408.47</v>
      </c>
      <c r="X102" s="366">
        <v>630.04999999999995</v>
      </c>
      <c r="Y102" s="366">
        <v>189.13</v>
      </c>
      <c r="Z102" s="366">
        <v>914.42</v>
      </c>
      <c r="AA102" s="366">
        <v>478</v>
      </c>
      <c r="AB102" s="366">
        <v>297.87</v>
      </c>
      <c r="AC102" s="366">
        <v>379.42</v>
      </c>
      <c r="AD102" s="391">
        <f t="shared" si="1"/>
        <v>407.96</v>
      </c>
    </row>
    <row r="103" spans="1:30">
      <c r="A103" s="398" t="s">
        <v>474</v>
      </c>
      <c r="B103" s="366" t="s">
        <v>123</v>
      </c>
      <c r="C103" s="366">
        <v>412.48</v>
      </c>
      <c r="D103" s="366">
        <v>262.49</v>
      </c>
      <c r="E103" s="366">
        <v>262.49</v>
      </c>
      <c r="F103" s="366">
        <v>410.31</v>
      </c>
      <c r="G103" s="366">
        <v>289.27999999999997</v>
      </c>
      <c r="H103" s="366">
        <v>389.62</v>
      </c>
      <c r="I103" s="366">
        <v>246.97</v>
      </c>
      <c r="J103" s="366">
        <v>350.8</v>
      </c>
      <c r="K103" s="366">
        <v>16.54</v>
      </c>
      <c r="L103" s="366">
        <v>431.52</v>
      </c>
      <c r="M103" s="366">
        <v>51.23</v>
      </c>
      <c r="N103" s="366">
        <v>252.27</v>
      </c>
      <c r="O103" s="366">
        <v>397.62</v>
      </c>
      <c r="P103" s="366">
        <v>32.549999999999997</v>
      </c>
      <c r="Q103" s="366">
        <v>360.24</v>
      </c>
      <c r="R103" s="366">
        <v>98.81</v>
      </c>
      <c r="S103" s="366">
        <v>0</v>
      </c>
      <c r="T103" s="366">
        <v>98.81</v>
      </c>
      <c r="U103" s="366">
        <v>384.45</v>
      </c>
      <c r="V103" s="366">
        <v>582.72</v>
      </c>
      <c r="W103" s="366">
        <v>333.11</v>
      </c>
      <c r="X103" s="366">
        <v>293.20999999999998</v>
      </c>
      <c r="Y103" s="366">
        <v>184.81</v>
      </c>
      <c r="Z103" s="366">
        <v>577.58000000000004</v>
      </c>
      <c r="AA103" s="366">
        <v>141.16</v>
      </c>
      <c r="AB103" s="366">
        <v>123.23</v>
      </c>
      <c r="AC103" s="366">
        <v>477.77</v>
      </c>
      <c r="AD103" s="391">
        <f t="shared" si="1"/>
        <v>276.37296296296296</v>
      </c>
    </row>
    <row r="104" spans="1:30">
      <c r="A104" s="398" t="s">
        <v>474</v>
      </c>
      <c r="B104" s="366" t="s">
        <v>124</v>
      </c>
      <c r="C104" s="366">
        <v>686.7</v>
      </c>
      <c r="D104" s="366">
        <v>536.71</v>
      </c>
      <c r="E104" s="366">
        <v>536.71</v>
      </c>
      <c r="F104" s="366">
        <v>517.91</v>
      </c>
      <c r="G104" s="366">
        <v>396.88</v>
      </c>
      <c r="H104" s="366">
        <v>663.84</v>
      </c>
      <c r="I104" s="366">
        <v>254.43</v>
      </c>
      <c r="J104" s="366">
        <v>458.4</v>
      </c>
      <c r="K104" s="366">
        <v>272.72000000000003</v>
      </c>
      <c r="L104" s="366">
        <v>705.74</v>
      </c>
      <c r="M104" s="366">
        <v>333.71</v>
      </c>
      <c r="N104" s="366">
        <v>359.87</v>
      </c>
      <c r="O104" s="366">
        <v>152.11000000000001</v>
      </c>
      <c r="P104" s="366">
        <v>315.02999999999997</v>
      </c>
      <c r="Q104" s="366">
        <v>467.84</v>
      </c>
      <c r="R104" s="366">
        <v>312.45</v>
      </c>
      <c r="S104" s="366">
        <v>289.26</v>
      </c>
      <c r="T104" s="366">
        <v>312.45</v>
      </c>
      <c r="U104" s="366">
        <v>658.67</v>
      </c>
      <c r="V104" s="366">
        <v>856.94</v>
      </c>
      <c r="W104" s="366">
        <v>440.71</v>
      </c>
      <c r="X104" s="366">
        <v>219.92</v>
      </c>
      <c r="Y104" s="366">
        <v>459.03</v>
      </c>
      <c r="Z104" s="366">
        <v>296.68</v>
      </c>
      <c r="AA104" s="366">
        <v>182.61</v>
      </c>
      <c r="AB104" s="366">
        <v>397.45</v>
      </c>
      <c r="AC104" s="366">
        <v>751.99</v>
      </c>
      <c r="AD104" s="391">
        <f t="shared" si="1"/>
        <v>438.39851851851853</v>
      </c>
    </row>
    <row r="105" spans="1:30">
      <c r="A105" s="398" t="s">
        <v>474</v>
      </c>
      <c r="B105" s="366" t="s">
        <v>125</v>
      </c>
      <c r="C105" s="366">
        <v>707.94</v>
      </c>
      <c r="D105" s="366">
        <v>557.95000000000005</v>
      </c>
      <c r="E105" s="366">
        <v>557.95000000000005</v>
      </c>
      <c r="F105" s="366">
        <v>539.15</v>
      </c>
      <c r="G105" s="366">
        <v>390.5</v>
      </c>
      <c r="H105" s="366">
        <v>685.08</v>
      </c>
      <c r="I105" s="366">
        <v>236.56</v>
      </c>
      <c r="J105" s="366">
        <v>479.64</v>
      </c>
      <c r="K105" s="366">
        <v>293.95999999999998</v>
      </c>
      <c r="L105" s="366">
        <v>726.98</v>
      </c>
      <c r="M105" s="366">
        <v>354.95</v>
      </c>
      <c r="N105" s="366">
        <v>381.11</v>
      </c>
      <c r="O105" s="366">
        <v>122.51</v>
      </c>
      <c r="P105" s="366">
        <v>336.27</v>
      </c>
      <c r="Q105" s="366">
        <v>489.08</v>
      </c>
      <c r="R105" s="366">
        <v>333.69</v>
      </c>
      <c r="S105" s="366">
        <v>310.5</v>
      </c>
      <c r="T105" s="366">
        <v>333.69</v>
      </c>
      <c r="U105" s="366">
        <v>679.91</v>
      </c>
      <c r="V105" s="366">
        <v>878.18</v>
      </c>
      <c r="W105" s="366">
        <v>461.95</v>
      </c>
      <c r="X105" s="366">
        <v>190.32</v>
      </c>
      <c r="Y105" s="366">
        <v>480.27</v>
      </c>
      <c r="Z105" s="366">
        <v>317.92</v>
      </c>
      <c r="AA105" s="366">
        <v>203.85</v>
      </c>
      <c r="AB105" s="366">
        <v>418.69</v>
      </c>
      <c r="AC105" s="366">
        <v>773.23</v>
      </c>
      <c r="AD105" s="391">
        <f t="shared" si="1"/>
        <v>453.40111111111116</v>
      </c>
    </row>
    <row r="106" spans="1:30">
      <c r="A106" s="398" t="s">
        <v>474</v>
      </c>
      <c r="B106" s="366" t="s">
        <v>126</v>
      </c>
      <c r="C106" s="366">
        <v>85.99</v>
      </c>
      <c r="D106" s="366">
        <v>401.42</v>
      </c>
      <c r="E106" s="366">
        <v>401.42</v>
      </c>
      <c r="F106" s="366">
        <v>386.63</v>
      </c>
      <c r="G106" s="366">
        <v>537.45000000000005</v>
      </c>
      <c r="H106" s="366">
        <v>122.89</v>
      </c>
      <c r="I106" s="366">
        <v>589.09</v>
      </c>
      <c r="J106" s="366">
        <v>347.08</v>
      </c>
      <c r="K106" s="366">
        <v>457.19</v>
      </c>
      <c r="L106" s="366">
        <v>262.07</v>
      </c>
      <c r="M106" s="366">
        <v>437.69</v>
      </c>
      <c r="N106" s="366">
        <v>448.13</v>
      </c>
      <c r="O106" s="366">
        <v>739.74</v>
      </c>
      <c r="P106" s="366">
        <v>430.76</v>
      </c>
      <c r="Q106" s="366">
        <v>337.64</v>
      </c>
      <c r="R106" s="366">
        <v>409.2</v>
      </c>
      <c r="S106" s="366">
        <v>447.43</v>
      </c>
      <c r="T106" s="366">
        <v>409.2</v>
      </c>
      <c r="U106" s="366">
        <v>442.33</v>
      </c>
      <c r="V106" s="366">
        <v>413.27</v>
      </c>
      <c r="W106" s="366">
        <v>368.18</v>
      </c>
      <c r="X106" s="366">
        <v>635.33000000000004</v>
      </c>
      <c r="Y106" s="366">
        <v>328.68</v>
      </c>
      <c r="Z106" s="366">
        <v>990.76</v>
      </c>
      <c r="AA106" s="366">
        <v>573.54999999999995</v>
      </c>
      <c r="AB106" s="366">
        <v>393.42</v>
      </c>
      <c r="AC106" s="366">
        <v>30.34</v>
      </c>
      <c r="AD106" s="391">
        <f t="shared" si="1"/>
        <v>423.21777777777783</v>
      </c>
    </row>
    <row r="107" spans="1:30">
      <c r="A107" s="398" t="s">
        <v>474</v>
      </c>
      <c r="B107" s="366" t="s">
        <v>127</v>
      </c>
      <c r="C107" s="366">
        <v>269.76</v>
      </c>
      <c r="D107" s="366">
        <v>275.45999999999998</v>
      </c>
      <c r="E107" s="366">
        <v>275.45999999999998</v>
      </c>
      <c r="F107" s="366">
        <v>406.31</v>
      </c>
      <c r="G107" s="366">
        <v>538.29</v>
      </c>
      <c r="H107" s="366">
        <v>60.88</v>
      </c>
      <c r="I107" s="366">
        <v>563.20000000000005</v>
      </c>
      <c r="J107" s="366">
        <v>366.76</v>
      </c>
      <c r="K107" s="366">
        <v>341.03</v>
      </c>
      <c r="L107" s="366">
        <v>419.83</v>
      </c>
      <c r="M107" s="366">
        <v>321.52999999999997</v>
      </c>
      <c r="N107" s="366">
        <v>467.81</v>
      </c>
      <c r="O107" s="366">
        <v>713.85</v>
      </c>
      <c r="P107" s="366">
        <v>314.60000000000002</v>
      </c>
      <c r="Q107" s="366">
        <v>357.32</v>
      </c>
      <c r="R107" s="366">
        <v>293.04000000000002</v>
      </c>
      <c r="S107" s="366">
        <v>331.27</v>
      </c>
      <c r="T107" s="366">
        <v>293.04000000000002</v>
      </c>
      <c r="U107" s="366">
        <v>261.08999999999997</v>
      </c>
      <c r="V107" s="366">
        <v>571.03</v>
      </c>
      <c r="W107" s="366">
        <v>387.86</v>
      </c>
      <c r="X107" s="366">
        <v>609.44000000000005</v>
      </c>
      <c r="Y107" s="366">
        <v>168.52</v>
      </c>
      <c r="Z107" s="366">
        <v>893.81</v>
      </c>
      <c r="AA107" s="366">
        <v>457.39</v>
      </c>
      <c r="AB107" s="366">
        <v>277.26</v>
      </c>
      <c r="AC107" s="366">
        <v>153.43</v>
      </c>
      <c r="AD107" s="391">
        <f t="shared" si="1"/>
        <v>384.78777777777771</v>
      </c>
    </row>
    <row r="108" spans="1:30">
      <c r="A108" s="398" t="s">
        <v>474</v>
      </c>
      <c r="B108" s="366" t="s">
        <v>128</v>
      </c>
      <c r="C108" s="366">
        <v>269.76</v>
      </c>
      <c r="D108" s="366">
        <v>275.45999999999998</v>
      </c>
      <c r="E108" s="366">
        <v>275.45999999999998</v>
      </c>
      <c r="F108" s="366">
        <v>406.31</v>
      </c>
      <c r="G108" s="366">
        <v>538.29</v>
      </c>
      <c r="H108" s="366">
        <v>60.88</v>
      </c>
      <c r="I108" s="366">
        <v>563.20000000000005</v>
      </c>
      <c r="J108" s="366">
        <v>366.76</v>
      </c>
      <c r="K108" s="366">
        <v>341.03</v>
      </c>
      <c r="L108" s="366">
        <v>419.83</v>
      </c>
      <c r="M108" s="366">
        <v>321.52999999999997</v>
      </c>
      <c r="N108" s="366">
        <v>467.81</v>
      </c>
      <c r="O108" s="366">
        <v>713.85</v>
      </c>
      <c r="P108" s="366">
        <v>314.60000000000002</v>
      </c>
      <c r="Q108" s="366">
        <v>357.32</v>
      </c>
      <c r="R108" s="366">
        <v>293.04000000000002</v>
      </c>
      <c r="S108" s="366">
        <v>331.27</v>
      </c>
      <c r="T108" s="366">
        <v>293.04000000000002</v>
      </c>
      <c r="U108" s="366">
        <v>261.08999999999997</v>
      </c>
      <c r="V108" s="366">
        <v>571.03</v>
      </c>
      <c r="W108" s="366">
        <v>387.86</v>
      </c>
      <c r="X108" s="366">
        <v>609.44000000000005</v>
      </c>
      <c r="Y108" s="366">
        <v>168.52</v>
      </c>
      <c r="Z108" s="366">
        <v>893.81</v>
      </c>
      <c r="AA108" s="366">
        <v>457.39</v>
      </c>
      <c r="AB108" s="366">
        <v>277.26</v>
      </c>
      <c r="AC108" s="366">
        <v>153.43</v>
      </c>
      <c r="AD108" s="391">
        <f t="shared" si="1"/>
        <v>384.78777777777771</v>
      </c>
    </row>
    <row r="109" spans="1:30">
      <c r="A109" s="398" t="s">
        <v>474</v>
      </c>
      <c r="B109" s="366" t="s">
        <v>129</v>
      </c>
      <c r="C109" s="366">
        <v>489.66</v>
      </c>
      <c r="D109" s="366">
        <v>456.67</v>
      </c>
      <c r="E109" s="366">
        <v>456.67</v>
      </c>
      <c r="F109" s="366">
        <v>240.49</v>
      </c>
      <c r="G109" s="366">
        <v>89.46</v>
      </c>
      <c r="H109" s="366">
        <v>583.79999999999995</v>
      </c>
      <c r="I109" s="366">
        <v>65.790000000000006</v>
      </c>
      <c r="J109" s="366">
        <v>180.98</v>
      </c>
      <c r="K109" s="366">
        <v>286.2</v>
      </c>
      <c r="L109" s="366">
        <v>508.7</v>
      </c>
      <c r="M109" s="366">
        <v>289.52999999999997</v>
      </c>
      <c r="N109" s="366">
        <v>82.45</v>
      </c>
      <c r="O109" s="366">
        <v>216.44</v>
      </c>
      <c r="P109" s="366">
        <v>270.85000000000002</v>
      </c>
      <c r="Q109" s="366">
        <v>190.42</v>
      </c>
      <c r="R109" s="366">
        <v>232.41</v>
      </c>
      <c r="S109" s="366">
        <v>276.44</v>
      </c>
      <c r="T109" s="366">
        <v>232.41</v>
      </c>
      <c r="U109" s="366">
        <v>578.63</v>
      </c>
      <c r="V109" s="366">
        <v>659.9</v>
      </c>
      <c r="W109" s="366">
        <v>163.29</v>
      </c>
      <c r="X109" s="366">
        <v>112.03</v>
      </c>
      <c r="Y109" s="366">
        <v>378.99</v>
      </c>
      <c r="Z109" s="366">
        <v>467.46</v>
      </c>
      <c r="AA109" s="366">
        <v>206.11</v>
      </c>
      <c r="AB109" s="366">
        <v>317.41000000000003</v>
      </c>
      <c r="AC109" s="366">
        <v>554.95000000000005</v>
      </c>
      <c r="AD109" s="391">
        <f t="shared" si="1"/>
        <v>318.07925925925917</v>
      </c>
    </row>
    <row r="110" spans="1:30">
      <c r="A110" s="398" t="s">
        <v>474</v>
      </c>
      <c r="B110" s="366" t="s">
        <v>130</v>
      </c>
      <c r="C110" s="366">
        <v>163.62</v>
      </c>
      <c r="D110" s="366">
        <v>479.05</v>
      </c>
      <c r="E110" s="366">
        <v>479.05</v>
      </c>
      <c r="F110" s="366">
        <v>464.26</v>
      </c>
      <c r="G110" s="366">
        <v>615.08000000000004</v>
      </c>
      <c r="H110" s="366">
        <v>200.52</v>
      </c>
      <c r="I110" s="366">
        <v>666.72</v>
      </c>
      <c r="J110" s="366">
        <v>424.71</v>
      </c>
      <c r="K110" s="366">
        <v>534.82000000000005</v>
      </c>
      <c r="L110" s="366">
        <v>339.7</v>
      </c>
      <c r="M110" s="366">
        <v>515.32000000000005</v>
      </c>
      <c r="N110" s="366">
        <v>525.76</v>
      </c>
      <c r="O110" s="366">
        <v>817.37</v>
      </c>
      <c r="P110" s="366">
        <v>508.39</v>
      </c>
      <c r="Q110" s="366">
        <v>415.27</v>
      </c>
      <c r="R110" s="366">
        <v>486.83</v>
      </c>
      <c r="S110" s="366">
        <v>525.05999999999995</v>
      </c>
      <c r="T110" s="366">
        <v>486.83</v>
      </c>
      <c r="U110" s="366">
        <v>519.96</v>
      </c>
      <c r="V110" s="366">
        <v>490.9</v>
      </c>
      <c r="W110" s="366">
        <v>445.81</v>
      </c>
      <c r="X110" s="366">
        <v>712.96</v>
      </c>
      <c r="Y110" s="366">
        <v>406.31</v>
      </c>
      <c r="Z110" s="366">
        <v>1068.3900000000001</v>
      </c>
      <c r="AA110" s="366">
        <v>651.17999999999995</v>
      </c>
      <c r="AB110" s="366">
        <v>471.05</v>
      </c>
      <c r="AC110" s="366">
        <v>107.97</v>
      </c>
      <c r="AD110" s="391">
        <f t="shared" si="1"/>
        <v>500.84777777777759</v>
      </c>
    </row>
    <row r="111" spans="1:30">
      <c r="A111" s="398" t="s">
        <v>474</v>
      </c>
      <c r="B111" s="366" t="s">
        <v>131</v>
      </c>
      <c r="C111" s="366">
        <v>940.27</v>
      </c>
      <c r="D111" s="366">
        <v>809.49</v>
      </c>
      <c r="E111" s="366">
        <v>809.49</v>
      </c>
      <c r="F111" s="366">
        <v>691.1</v>
      </c>
      <c r="G111" s="366">
        <v>540.07000000000005</v>
      </c>
      <c r="H111" s="366">
        <v>936.62</v>
      </c>
      <c r="I111" s="366">
        <v>386.13</v>
      </c>
      <c r="J111" s="366">
        <v>631.59</v>
      </c>
      <c r="K111" s="366">
        <v>545.5</v>
      </c>
      <c r="L111" s="366">
        <v>959.31</v>
      </c>
      <c r="M111" s="366">
        <v>606.49</v>
      </c>
      <c r="N111" s="366">
        <v>533.05999999999995</v>
      </c>
      <c r="O111" s="366">
        <v>272.08</v>
      </c>
      <c r="P111" s="366">
        <v>587.80999999999995</v>
      </c>
      <c r="Q111" s="366">
        <v>641.03</v>
      </c>
      <c r="R111" s="366">
        <v>585.23</v>
      </c>
      <c r="S111" s="366">
        <v>562.04</v>
      </c>
      <c r="T111" s="366">
        <v>585.23</v>
      </c>
      <c r="U111" s="366">
        <v>931.45</v>
      </c>
      <c r="V111" s="366">
        <v>1110.51</v>
      </c>
      <c r="W111" s="366">
        <v>613.9</v>
      </c>
      <c r="X111" s="366">
        <v>339.89</v>
      </c>
      <c r="Y111" s="366">
        <v>731.81</v>
      </c>
      <c r="Z111" s="366">
        <v>15.54</v>
      </c>
      <c r="AA111" s="366">
        <v>455.39</v>
      </c>
      <c r="AB111" s="366">
        <v>670.23</v>
      </c>
      <c r="AC111" s="366">
        <v>1005.56</v>
      </c>
      <c r="AD111" s="391">
        <f t="shared" si="1"/>
        <v>648.03037037037041</v>
      </c>
    </row>
    <row r="112" spans="1:30">
      <c r="A112" s="398" t="s">
        <v>474</v>
      </c>
      <c r="B112" s="366" t="s">
        <v>132</v>
      </c>
      <c r="C112" s="366">
        <v>339.08</v>
      </c>
      <c r="D112" s="366">
        <v>156.44999999999999</v>
      </c>
      <c r="E112" s="366">
        <v>156.44999999999999</v>
      </c>
      <c r="F112" s="366">
        <v>344.6</v>
      </c>
      <c r="G112" s="366">
        <v>313.06</v>
      </c>
      <c r="H112" s="366">
        <v>305.64</v>
      </c>
      <c r="I112" s="366">
        <v>337.97</v>
      </c>
      <c r="J112" s="366">
        <v>305.05</v>
      </c>
      <c r="K112" s="366">
        <v>115.8</v>
      </c>
      <c r="L112" s="366">
        <v>358.12</v>
      </c>
      <c r="M112" s="366">
        <v>96.3</v>
      </c>
      <c r="N112" s="366">
        <v>276.05</v>
      </c>
      <c r="O112" s="366">
        <v>488.62</v>
      </c>
      <c r="P112" s="366">
        <v>89.37</v>
      </c>
      <c r="Q112" s="366">
        <v>295.61</v>
      </c>
      <c r="R112" s="366">
        <v>67.81</v>
      </c>
      <c r="S112" s="366">
        <v>106.04</v>
      </c>
      <c r="T112" s="366">
        <v>67.81</v>
      </c>
      <c r="U112" s="366">
        <v>300.47000000000003</v>
      </c>
      <c r="V112" s="366">
        <v>509.32</v>
      </c>
      <c r="W112" s="366">
        <v>326.14999999999998</v>
      </c>
      <c r="X112" s="366">
        <v>384.21</v>
      </c>
      <c r="Y112" s="366">
        <v>78.77</v>
      </c>
      <c r="Z112" s="366">
        <v>668.58</v>
      </c>
      <c r="AA112" s="366">
        <v>232.16</v>
      </c>
      <c r="AB112" s="366">
        <v>52.03</v>
      </c>
      <c r="AC112" s="366">
        <v>398.19</v>
      </c>
      <c r="AD112" s="391">
        <f t="shared" si="1"/>
        <v>265.5448148148148</v>
      </c>
    </row>
    <row r="113" spans="1:30">
      <c r="A113" s="398" t="s">
        <v>474</v>
      </c>
      <c r="B113" s="366" t="s">
        <v>133</v>
      </c>
      <c r="C113" s="366">
        <v>226.18</v>
      </c>
      <c r="D113" s="366">
        <v>541.61</v>
      </c>
      <c r="E113" s="366">
        <v>541.61</v>
      </c>
      <c r="F113" s="366">
        <v>526.82000000000005</v>
      </c>
      <c r="G113" s="366">
        <v>677.64</v>
      </c>
      <c r="H113" s="366">
        <v>263.08</v>
      </c>
      <c r="I113" s="366">
        <v>729.28</v>
      </c>
      <c r="J113" s="366">
        <v>487.27</v>
      </c>
      <c r="K113" s="366">
        <v>597.38</v>
      </c>
      <c r="L113" s="366">
        <v>402.26</v>
      </c>
      <c r="M113" s="366">
        <v>577.88</v>
      </c>
      <c r="N113" s="366">
        <v>588.32000000000005</v>
      </c>
      <c r="O113" s="366">
        <v>879.93</v>
      </c>
      <c r="P113" s="366">
        <v>570.95000000000005</v>
      </c>
      <c r="Q113" s="366">
        <v>477.83</v>
      </c>
      <c r="R113" s="366">
        <v>549.39</v>
      </c>
      <c r="S113" s="366">
        <v>587.62</v>
      </c>
      <c r="T113" s="366">
        <v>549.39</v>
      </c>
      <c r="U113" s="366">
        <v>582.52</v>
      </c>
      <c r="V113" s="366">
        <v>553.46</v>
      </c>
      <c r="W113" s="366">
        <v>508.37</v>
      </c>
      <c r="X113" s="366">
        <v>775.52</v>
      </c>
      <c r="Y113" s="366">
        <v>468.87</v>
      </c>
      <c r="Z113" s="366">
        <v>1130.95</v>
      </c>
      <c r="AA113" s="366">
        <v>713.74</v>
      </c>
      <c r="AB113" s="366">
        <v>533.61</v>
      </c>
      <c r="AC113" s="366">
        <v>170.53</v>
      </c>
      <c r="AD113" s="391">
        <f t="shared" si="1"/>
        <v>563.40777777777794</v>
      </c>
    </row>
    <row r="114" spans="1:30">
      <c r="A114" s="398" t="s">
        <v>474</v>
      </c>
      <c r="B114" s="366" t="s">
        <v>134</v>
      </c>
      <c r="C114" s="366">
        <v>570.61</v>
      </c>
      <c r="D114" s="366">
        <v>510.89</v>
      </c>
      <c r="E114" s="366">
        <v>510.89</v>
      </c>
      <c r="F114" s="366">
        <v>321.44</v>
      </c>
      <c r="G114" s="366">
        <v>170.41</v>
      </c>
      <c r="H114" s="366">
        <v>638.02</v>
      </c>
      <c r="I114" s="366">
        <v>16.47</v>
      </c>
      <c r="J114" s="366">
        <v>261.93</v>
      </c>
      <c r="K114" s="366">
        <v>246.9</v>
      </c>
      <c r="L114" s="366">
        <v>589.65</v>
      </c>
      <c r="M114" s="366">
        <v>307.89</v>
      </c>
      <c r="N114" s="366">
        <v>163.4</v>
      </c>
      <c r="O114" s="366">
        <v>134.18</v>
      </c>
      <c r="P114" s="366">
        <v>289.20999999999998</v>
      </c>
      <c r="Q114" s="366">
        <v>271.37</v>
      </c>
      <c r="R114" s="366">
        <v>286.63</v>
      </c>
      <c r="S114" s="366">
        <v>263.44</v>
      </c>
      <c r="T114" s="366">
        <v>286.63</v>
      </c>
      <c r="U114" s="366">
        <v>632.85</v>
      </c>
      <c r="V114" s="366">
        <v>740.85</v>
      </c>
      <c r="W114" s="366">
        <v>244.24</v>
      </c>
      <c r="X114" s="366">
        <v>29.77</v>
      </c>
      <c r="Y114" s="366">
        <v>433.21</v>
      </c>
      <c r="Z114" s="366">
        <v>385.2</v>
      </c>
      <c r="AA114" s="366">
        <v>156.79</v>
      </c>
      <c r="AB114" s="366">
        <v>371.63</v>
      </c>
      <c r="AC114" s="366">
        <v>635.9</v>
      </c>
      <c r="AD114" s="391">
        <f t="shared" si="1"/>
        <v>350.75555555555553</v>
      </c>
    </row>
    <row r="115" spans="1:30">
      <c r="A115" s="398" t="s">
        <v>474</v>
      </c>
      <c r="B115" s="366" t="s">
        <v>135</v>
      </c>
      <c r="C115" s="366">
        <v>724.14</v>
      </c>
      <c r="D115" s="366">
        <v>574.15</v>
      </c>
      <c r="E115" s="366">
        <v>574.15</v>
      </c>
      <c r="F115" s="366">
        <v>525.33000000000004</v>
      </c>
      <c r="G115" s="366">
        <v>374.3</v>
      </c>
      <c r="H115" s="366">
        <v>701.28</v>
      </c>
      <c r="I115" s="366">
        <v>220.36</v>
      </c>
      <c r="J115" s="366">
        <v>465.82</v>
      </c>
      <c r="K115" s="366">
        <v>310.16000000000003</v>
      </c>
      <c r="L115" s="366">
        <v>743.18</v>
      </c>
      <c r="M115" s="366">
        <v>371.15</v>
      </c>
      <c r="N115" s="366">
        <v>367.29</v>
      </c>
      <c r="O115" s="366">
        <v>106.31</v>
      </c>
      <c r="P115" s="366">
        <v>352.47</v>
      </c>
      <c r="Q115" s="366">
        <v>475.26</v>
      </c>
      <c r="R115" s="366">
        <v>349.89</v>
      </c>
      <c r="S115" s="366">
        <v>326.7</v>
      </c>
      <c r="T115" s="366">
        <v>349.89</v>
      </c>
      <c r="U115" s="366">
        <v>696.11</v>
      </c>
      <c r="V115" s="366">
        <v>894.38</v>
      </c>
      <c r="W115" s="366">
        <v>448.13</v>
      </c>
      <c r="X115" s="366">
        <v>174.12</v>
      </c>
      <c r="Y115" s="366">
        <v>496.47</v>
      </c>
      <c r="Z115" s="366">
        <v>334.12</v>
      </c>
      <c r="AA115" s="366">
        <v>220.05</v>
      </c>
      <c r="AB115" s="366">
        <v>434.89</v>
      </c>
      <c r="AC115" s="366">
        <v>789.43</v>
      </c>
      <c r="AD115" s="391">
        <f t="shared" si="1"/>
        <v>459.24185185185189</v>
      </c>
    </row>
    <row r="116" spans="1:30">
      <c r="A116" s="398" t="s">
        <v>474</v>
      </c>
      <c r="B116" s="366" t="s">
        <v>136</v>
      </c>
      <c r="C116" s="366">
        <v>145.72</v>
      </c>
      <c r="D116" s="366">
        <v>220.75</v>
      </c>
      <c r="E116" s="366">
        <v>220.75</v>
      </c>
      <c r="F116" s="366">
        <v>205.96</v>
      </c>
      <c r="G116" s="366">
        <v>356.78</v>
      </c>
      <c r="H116" s="366">
        <v>303.56</v>
      </c>
      <c r="I116" s="366">
        <v>408.42</v>
      </c>
      <c r="J116" s="366">
        <v>166.41</v>
      </c>
      <c r="K116" s="366">
        <v>276.52</v>
      </c>
      <c r="L116" s="366">
        <v>164.76</v>
      </c>
      <c r="M116" s="366">
        <v>257.02</v>
      </c>
      <c r="N116" s="366">
        <v>267.45999999999998</v>
      </c>
      <c r="O116" s="366">
        <v>559.07000000000005</v>
      </c>
      <c r="P116" s="366">
        <v>250.09</v>
      </c>
      <c r="Q116" s="366">
        <v>156.97</v>
      </c>
      <c r="R116" s="366">
        <v>228.53</v>
      </c>
      <c r="S116" s="366">
        <v>266.76</v>
      </c>
      <c r="T116" s="366">
        <v>228.53</v>
      </c>
      <c r="U116" s="366">
        <v>308.25</v>
      </c>
      <c r="V116" s="366">
        <v>315.95999999999998</v>
      </c>
      <c r="W116" s="366">
        <v>187.51</v>
      </c>
      <c r="X116" s="366">
        <v>454.66</v>
      </c>
      <c r="Y116" s="366">
        <v>148.01</v>
      </c>
      <c r="Z116" s="366">
        <v>810.09</v>
      </c>
      <c r="AA116" s="366">
        <v>392.88</v>
      </c>
      <c r="AB116" s="366">
        <v>212.75</v>
      </c>
      <c r="AC116" s="366">
        <v>211.01</v>
      </c>
      <c r="AD116" s="391">
        <f t="shared" si="1"/>
        <v>286.1177777777778</v>
      </c>
    </row>
    <row r="117" spans="1:30">
      <c r="A117" s="398" t="s">
        <v>474</v>
      </c>
      <c r="B117" s="366" t="s">
        <v>137</v>
      </c>
      <c r="C117" s="366">
        <v>522.38</v>
      </c>
      <c r="D117" s="366">
        <v>372.39</v>
      </c>
      <c r="E117" s="366">
        <v>372.39</v>
      </c>
      <c r="F117" s="366">
        <v>351.92</v>
      </c>
      <c r="G117" s="366">
        <v>230.89</v>
      </c>
      <c r="H117" s="366">
        <v>499.52</v>
      </c>
      <c r="I117" s="366">
        <v>123.7</v>
      </c>
      <c r="J117" s="366">
        <v>292.41000000000003</v>
      </c>
      <c r="K117" s="366">
        <v>108.4</v>
      </c>
      <c r="L117" s="366">
        <v>541.41999999999996</v>
      </c>
      <c r="M117" s="366">
        <v>169.39</v>
      </c>
      <c r="N117" s="366">
        <v>193.88</v>
      </c>
      <c r="O117" s="366">
        <v>274.35000000000002</v>
      </c>
      <c r="P117" s="366">
        <v>150.71</v>
      </c>
      <c r="Q117" s="366">
        <v>301.85000000000002</v>
      </c>
      <c r="R117" s="366">
        <v>148.13</v>
      </c>
      <c r="S117" s="366">
        <v>124.94</v>
      </c>
      <c r="T117" s="366">
        <v>148.13</v>
      </c>
      <c r="U117" s="366">
        <v>494.35</v>
      </c>
      <c r="V117" s="366">
        <v>692.62</v>
      </c>
      <c r="W117" s="366">
        <v>274.72000000000003</v>
      </c>
      <c r="X117" s="366">
        <v>169.94</v>
      </c>
      <c r="Y117" s="366">
        <v>294.70999999999998</v>
      </c>
      <c r="Z117" s="366">
        <v>454.31</v>
      </c>
      <c r="AA117" s="366">
        <v>28.22</v>
      </c>
      <c r="AB117" s="366">
        <v>233.13</v>
      </c>
      <c r="AC117" s="366">
        <v>587.66999999999996</v>
      </c>
      <c r="AD117" s="391">
        <f t="shared" si="1"/>
        <v>302.09148148148148</v>
      </c>
    </row>
    <row r="118" spans="1:30">
      <c r="A118" s="398" t="s">
        <v>474</v>
      </c>
      <c r="B118" s="366" t="s">
        <v>138</v>
      </c>
      <c r="C118" s="366">
        <v>37.840000000000003</v>
      </c>
      <c r="D118" s="366">
        <v>328.63</v>
      </c>
      <c r="E118" s="366">
        <v>328.63</v>
      </c>
      <c r="F118" s="366">
        <v>313.83999999999997</v>
      </c>
      <c r="G118" s="366">
        <v>464.66</v>
      </c>
      <c r="H118" s="366">
        <v>195.68</v>
      </c>
      <c r="I118" s="366">
        <v>516.29999999999995</v>
      </c>
      <c r="J118" s="366">
        <v>274.29000000000002</v>
      </c>
      <c r="K118" s="366">
        <v>384.4</v>
      </c>
      <c r="L118" s="366">
        <v>189.28</v>
      </c>
      <c r="M118" s="366">
        <v>364.9</v>
      </c>
      <c r="N118" s="366">
        <v>375.34</v>
      </c>
      <c r="O118" s="366">
        <v>666.95</v>
      </c>
      <c r="P118" s="366">
        <v>357.97</v>
      </c>
      <c r="Q118" s="366">
        <v>264.85000000000002</v>
      </c>
      <c r="R118" s="366">
        <v>336.41</v>
      </c>
      <c r="S118" s="366">
        <v>374.64</v>
      </c>
      <c r="T118" s="366">
        <v>336.41</v>
      </c>
      <c r="U118" s="366">
        <v>416.13</v>
      </c>
      <c r="V118" s="366">
        <v>340.48</v>
      </c>
      <c r="W118" s="366">
        <v>295.39</v>
      </c>
      <c r="X118" s="366">
        <v>562.54</v>
      </c>
      <c r="Y118" s="366">
        <v>255.89</v>
      </c>
      <c r="Z118" s="366">
        <v>917.97</v>
      </c>
      <c r="AA118" s="366">
        <v>500.76</v>
      </c>
      <c r="AB118" s="366">
        <v>320.63</v>
      </c>
      <c r="AC118" s="366">
        <v>103.13</v>
      </c>
      <c r="AD118" s="391">
        <f t="shared" si="1"/>
        <v>363.84962962962965</v>
      </c>
    </row>
    <row r="119" spans="1:30">
      <c r="A119" s="398" t="s">
        <v>474</v>
      </c>
      <c r="B119" s="366" t="s">
        <v>139</v>
      </c>
      <c r="C119" s="366">
        <v>585.37</v>
      </c>
      <c r="D119" s="366">
        <v>525.65</v>
      </c>
      <c r="E119" s="366">
        <v>525.65</v>
      </c>
      <c r="F119" s="366">
        <v>336.2</v>
      </c>
      <c r="G119" s="366">
        <v>185.17</v>
      </c>
      <c r="H119" s="366">
        <v>652.78</v>
      </c>
      <c r="I119" s="366">
        <v>31.23</v>
      </c>
      <c r="J119" s="366">
        <v>276.69</v>
      </c>
      <c r="K119" s="366">
        <v>261.66000000000003</v>
      </c>
      <c r="L119" s="366">
        <v>604.41</v>
      </c>
      <c r="M119" s="366">
        <v>322.64999999999998</v>
      </c>
      <c r="N119" s="366">
        <v>178.16</v>
      </c>
      <c r="O119" s="366">
        <v>121.21</v>
      </c>
      <c r="P119" s="366">
        <v>303.97000000000003</v>
      </c>
      <c r="Q119" s="366">
        <v>286.13</v>
      </c>
      <c r="R119" s="366">
        <v>301.39</v>
      </c>
      <c r="S119" s="366">
        <v>278.2</v>
      </c>
      <c r="T119" s="366">
        <v>301.39</v>
      </c>
      <c r="U119" s="366">
        <v>647.61</v>
      </c>
      <c r="V119" s="366">
        <v>755.61</v>
      </c>
      <c r="W119" s="366">
        <v>259</v>
      </c>
      <c r="X119" s="366">
        <v>16.8</v>
      </c>
      <c r="Y119" s="366">
        <v>447.97</v>
      </c>
      <c r="Z119" s="366">
        <v>372.23</v>
      </c>
      <c r="AA119" s="366">
        <v>171.55</v>
      </c>
      <c r="AB119" s="366">
        <v>386.39</v>
      </c>
      <c r="AC119" s="366">
        <v>650.66</v>
      </c>
      <c r="AD119" s="391">
        <f t="shared" si="1"/>
        <v>362.43444444444435</v>
      </c>
    </row>
    <row r="120" spans="1:30">
      <c r="A120" s="398" t="s">
        <v>474</v>
      </c>
      <c r="B120" s="366" t="s">
        <v>140</v>
      </c>
      <c r="C120" s="366">
        <v>123.72</v>
      </c>
      <c r="D120" s="366">
        <v>247.32</v>
      </c>
      <c r="E120" s="366">
        <v>247.32</v>
      </c>
      <c r="F120" s="366">
        <v>232.53</v>
      </c>
      <c r="G120" s="366">
        <v>383.35</v>
      </c>
      <c r="H120" s="366">
        <v>281.56</v>
      </c>
      <c r="I120" s="366">
        <v>434.99</v>
      </c>
      <c r="J120" s="366">
        <v>192.98</v>
      </c>
      <c r="K120" s="366">
        <v>303.08999999999997</v>
      </c>
      <c r="L120" s="366">
        <v>142.76</v>
      </c>
      <c r="M120" s="366">
        <v>283.58999999999997</v>
      </c>
      <c r="N120" s="366">
        <v>294.02999999999997</v>
      </c>
      <c r="O120" s="366">
        <v>585.64</v>
      </c>
      <c r="P120" s="366">
        <v>276.66000000000003</v>
      </c>
      <c r="Q120" s="366">
        <v>183.54</v>
      </c>
      <c r="R120" s="366">
        <v>255.1</v>
      </c>
      <c r="S120" s="366">
        <v>293.33</v>
      </c>
      <c r="T120" s="366">
        <v>255.1</v>
      </c>
      <c r="U120" s="366">
        <v>334.82</v>
      </c>
      <c r="V120" s="366">
        <v>293.95999999999998</v>
      </c>
      <c r="W120" s="366">
        <v>214.08</v>
      </c>
      <c r="X120" s="366">
        <v>481.23</v>
      </c>
      <c r="Y120" s="366">
        <v>174.58</v>
      </c>
      <c r="Z120" s="366">
        <v>836.66</v>
      </c>
      <c r="AA120" s="366">
        <v>419.45</v>
      </c>
      <c r="AB120" s="366">
        <v>239.32</v>
      </c>
      <c r="AC120" s="366">
        <v>189.01</v>
      </c>
      <c r="AD120" s="391">
        <f t="shared" si="1"/>
        <v>303.69333333333333</v>
      </c>
    </row>
    <row r="121" spans="1:30">
      <c r="A121" s="398" t="s">
        <v>474</v>
      </c>
      <c r="B121" s="366" t="s">
        <v>141</v>
      </c>
      <c r="C121" s="366">
        <v>451.35</v>
      </c>
      <c r="D121" s="366">
        <v>418.36</v>
      </c>
      <c r="E121" s="366">
        <v>418.36</v>
      </c>
      <c r="F121" s="366">
        <v>202.18</v>
      </c>
      <c r="G121" s="366">
        <v>51.15</v>
      </c>
      <c r="H121" s="366">
        <v>545.49</v>
      </c>
      <c r="I121" s="366">
        <v>102.79</v>
      </c>
      <c r="J121" s="366">
        <v>142.66999999999999</v>
      </c>
      <c r="K121" s="366">
        <v>247.89</v>
      </c>
      <c r="L121" s="366">
        <v>470.39</v>
      </c>
      <c r="M121" s="366">
        <v>251.22</v>
      </c>
      <c r="N121" s="366">
        <v>44.14</v>
      </c>
      <c r="O121" s="366">
        <v>253.44</v>
      </c>
      <c r="P121" s="366">
        <v>232.54</v>
      </c>
      <c r="Q121" s="366">
        <v>152.11000000000001</v>
      </c>
      <c r="R121" s="366">
        <v>194.1</v>
      </c>
      <c r="S121" s="366">
        <v>238.13</v>
      </c>
      <c r="T121" s="366">
        <v>194.1</v>
      </c>
      <c r="U121" s="366">
        <v>540.32000000000005</v>
      </c>
      <c r="V121" s="366">
        <v>621.59</v>
      </c>
      <c r="W121" s="366">
        <v>124.98</v>
      </c>
      <c r="X121" s="366">
        <v>149.03</v>
      </c>
      <c r="Y121" s="366">
        <v>340.68</v>
      </c>
      <c r="Z121" s="366">
        <v>504.46</v>
      </c>
      <c r="AA121" s="366">
        <v>207.96</v>
      </c>
      <c r="AB121" s="366">
        <v>279.10000000000002</v>
      </c>
      <c r="AC121" s="366">
        <v>516.64</v>
      </c>
      <c r="AD121" s="391">
        <f t="shared" si="1"/>
        <v>292.41370370370373</v>
      </c>
    </row>
    <row r="122" spans="1:30">
      <c r="A122" s="398" t="s">
        <v>474</v>
      </c>
      <c r="B122" s="366" t="s">
        <v>142</v>
      </c>
      <c r="C122" s="366">
        <v>406.89</v>
      </c>
      <c r="D122" s="366">
        <v>187.39</v>
      </c>
      <c r="E122" s="366">
        <v>187.39</v>
      </c>
      <c r="F122" s="366">
        <v>412.41</v>
      </c>
      <c r="G122" s="366">
        <v>544.39</v>
      </c>
      <c r="H122" s="366">
        <v>272.36</v>
      </c>
      <c r="I122" s="366">
        <v>569.29999999999995</v>
      </c>
      <c r="J122" s="366">
        <v>372.86</v>
      </c>
      <c r="K122" s="366">
        <v>347.13</v>
      </c>
      <c r="L122" s="366">
        <v>425.93</v>
      </c>
      <c r="M122" s="366">
        <v>327.63</v>
      </c>
      <c r="N122" s="366">
        <v>473.91</v>
      </c>
      <c r="O122" s="366">
        <v>719.95</v>
      </c>
      <c r="P122" s="366">
        <v>320.7</v>
      </c>
      <c r="Q122" s="366">
        <v>363.42</v>
      </c>
      <c r="R122" s="366">
        <v>299.14</v>
      </c>
      <c r="S122" s="366">
        <v>337.37</v>
      </c>
      <c r="T122" s="366">
        <v>299.14</v>
      </c>
      <c r="U122" s="366">
        <v>68</v>
      </c>
      <c r="V122" s="366">
        <v>577.13</v>
      </c>
      <c r="W122" s="366">
        <v>393.96</v>
      </c>
      <c r="X122" s="366">
        <v>615.54</v>
      </c>
      <c r="Y122" s="366">
        <v>174.62</v>
      </c>
      <c r="Z122" s="366">
        <v>899.91</v>
      </c>
      <c r="AA122" s="366">
        <v>463.49</v>
      </c>
      <c r="AB122" s="366">
        <v>283.36</v>
      </c>
      <c r="AC122" s="366">
        <v>364.91</v>
      </c>
      <c r="AD122" s="391">
        <f t="shared" si="1"/>
        <v>396.60111111111115</v>
      </c>
    </row>
    <row r="123" spans="1:30">
      <c r="A123" s="398" t="s">
        <v>474</v>
      </c>
      <c r="B123" s="366" t="s">
        <v>143</v>
      </c>
      <c r="C123" s="366">
        <v>226.18</v>
      </c>
      <c r="D123" s="366">
        <v>541.61</v>
      </c>
      <c r="E123" s="366">
        <v>541.61</v>
      </c>
      <c r="F123" s="366">
        <v>526.82000000000005</v>
      </c>
      <c r="G123" s="366">
        <v>677.64</v>
      </c>
      <c r="H123" s="366">
        <v>263.08</v>
      </c>
      <c r="I123" s="366">
        <v>729.28</v>
      </c>
      <c r="J123" s="366">
        <v>487.27</v>
      </c>
      <c r="K123" s="366">
        <v>597.38</v>
      </c>
      <c r="L123" s="366">
        <v>402.26</v>
      </c>
      <c r="M123" s="366">
        <v>577.88</v>
      </c>
      <c r="N123" s="366">
        <v>588.32000000000005</v>
      </c>
      <c r="O123" s="366">
        <v>879.93</v>
      </c>
      <c r="P123" s="366">
        <v>570.95000000000005</v>
      </c>
      <c r="Q123" s="366">
        <v>477.83</v>
      </c>
      <c r="R123" s="366">
        <v>549.39</v>
      </c>
      <c r="S123" s="366">
        <v>587.62</v>
      </c>
      <c r="T123" s="366">
        <v>549.39</v>
      </c>
      <c r="U123" s="366">
        <v>582.52</v>
      </c>
      <c r="V123" s="366">
        <v>553.46</v>
      </c>
      <c r="W123" s="366">
        <v>508.37</v>
      </c>
      <c r="X123" s="366">
        <v>775.52</v>
      </c>
      <c r="Y123" s="366">
        <v>468.87</v>
      </c>
      <c r="Z123" s="366">
        <v>1130.95</v>
      </c>
      <c r="AA123" s="366">
        <v>713.74</v>
      </c>
      <c r="AB123" s="366">
        <v>533.61</v>
      </c>
      <c r="AC123" s="366">
        <v>170.53</v>
      </c>
      <c r="AD123" s="391">
        <f t="shared" si="1"/>
        <v>563.40777777777794</v>
      </c>
    </row>
    <row r="124" spans="1:30">
      <c r="A124" s="398" t="s">
        <v>474</v>
      </c>
      <c r="B124" s="366" t="s">
        <v>144</v>
      </c>
      <c r="C124" s="366">
        <v>328.16</v>
      </c>
      <c r="D124" s="366">
        <v>348.47</v>
      </c>
      <c r="E124" s="366">
        <v>348.47</v>
      </c>
      <c r="F124" s="366">
        <v>48.19</v>
      </c>
      <c r="G124" s="366">
        <v>252.84</v>
      </c>
      <c r="H124" s="366">
        <v>441.14</v>
      </c>
      <c r="I124" s="366">
        <v>304.48</v>
      </c>
      <c r="J124" s="366">
        <v>62.47</v>
      </c>
      <c r="K124" s="366">
        <v>404.24</v>
      </c>
      <c r="L124" s="366">
        <v>347.2</v>
      </c>
      <c r="M124" s="366">
        <v>384.74</v>
      </c>
      <c r="N124" s="366">
        <v>163.52000000000001</v>
      </c>
      <c r="O124" s="366">
        <v>455.13</v>
      </c>
      <c r="P124" s="366">
        <v>377.81</v>
      </c>
      <c r="Q124" s="366">
        <v>53.03</v>
      </c>
      <c r="R124" s="366">
        <v>356.25</v>
      </c>
      <c r="S124" s="366">
        <v>394.48</v>
      </c>
      <c r="T124" s="366">
        <v>356.25</v>
      </c>
      <c r="U124" s="366">
        <v>435.97</v>
      </c>
      <c r="V124" s="366">
        <v>498.4</v>
      </c>
      <c r="W124" s="366">
        <v>83.57</v>
      </c>
      <c r="X124" s="366">
        <v>350.72</v>
      </c>
      <c r="Y124" s="366">
        <v>275.73</v>
      </c>
      <c r="Z124" s="366">
        <v>706.15</v>
      </c>
      <c r="AA124" s="366">
        <v>379.65</v>
      </c>
      <c r="AB124" s="366">
        <v>340.47</v>
      </c>
      <c r="AC124" s="366">
        <v>393.45</v>
      </c>
      <c r="AD124" s="391">
        <f t="shared" si="1"/>
        <v>329.2955555555555</v>
      </c>
    </row>
    <row r="125" spans="1:30">
      <c r="A125" s="398" t="s">
        <v>474</v>
      </c>
      <c r="B125" s="366" t="s">
        <v>145</v>
      </c>
      <c r="C125" s="366">
        <v>316.45</v>
      </c>
      <c r="D125" s="366">
        <v>336.76</v>
      </c>
      <c r="E125" s="366">
        <v>336.76</v>
      </c>
      <c r="F125" s="366">
        <v>47.08</v>
      </c>
      <c r="G125" s="366">
        <v>241.13</v>
      </c>
      <c r="H125" s="366">
        <v>429.43</v>
      </c>
      <c r="I125" s="366">
        <v>292.77</v>
      </c>
      <c r="J125" s="366">
        <v>50.76</v>
      </c>
      <c r="K125" s="366">
        <v>392.53</v>
      </c>
      <c r="L125" s="366">
        <v>335.49</v>
      </c>
      <c r="M125" s="366">
        <v>373.03</v>
      </c>
      <c r="N125" s="366">
        <v>151.81</v>
      </c>
      <c r="O125" s="366">
        <v>443.42</v>
      </c>
      <c r="P125" s="366">
        <v>366.1</v>
      </c>
      <c r="Q125" s="366">
        <v>41.32</v>
      </c>
      <c r="R125" s="366">
        <v>344.54</v>
      </c>
      <c r="S125" s="366">
        <v>382.77</v>
      </c>
      <c r="T125" s="366">
        <v>344.54</v>
      </c>
      <c r="U125" s="366">
        <v>424.26</v>
      </c>
      <c r="V125" s="366">
        <v>486.69</v>
      </c>
      <c r="W125" s="366">
        <v>71.86</v>
      </c>
      <c r="X125" s="366">
        <v>339.01</v>
      </c>
      <c r="Y125" s="366">
        <v>264.02</v>
      </c>
      <c r="Z125" s="366">
        <v>694.44</v>
      </c>
      <c r="AA125" s="366">
        <v>367.94</v>
      </c>
      <c r="AB125" s="366">
        <v>328.76</v>
      </c>
      <c r="AC125" s="366">
        <v>381.74</v>
      </c>
      <c r="AD125" s="391">
        <f t="shared" si="1"/>
        <v>317.97814814814808</v>
      </c>
    </row>
    <row r="126" spans="1:30">
      <c r="A126" s="398" t="s">
        <v>474</v>
      </c>
      <c r="B126" s="366" t="s">
        <v>146</v>
      </c>
      <c r="C126" s="366">
        <v>116.33</v>
      </c>
      <c r="D126" s="366">
        <v>426.36</v>
      </c>
      <c r="E126" s="366">
        <v>426.36</v>
      </c>
      <c r="F126" s="366">
        <v>416.97</v>
      </c>
      <c r="G126" s="366">
        <v>567.79</v>
      </c>
      <c r="H126" s="366">
        <v>92.55</v>
      </c>
      <c r="I126" s="366">
        <v>619.42999999999995</v>
      </c>
      <c r="J126" s="366">
        <v>377.42</v>
      </c>
      <c r="K126" s="366">
        <v>487.53</v>
      </c>
      <c r="L126" s="366">
        <v>292.41000000000003</v>
      </c>
      <c r="M126" s="366">
        <v>468.03</v>
      </c>
      <c r="N126" s="366">
        <v>478.47</v>
      </c>
      <c r="O126" s="366">
        <v>770.08</v>
      </c>
      <c r="P126" s="366">
        <v>461.1</v>
      </c>
      <c r="Q126" s="366">
        <v>367.98</v>
      </c>
      <c r="R126" s="366">
        <v>439.54</v>
      </c>
      <c r="S126" s="366">
        <v>477.77</v>
      </c>
      <c r="T126" s="366">
        <v>439.54</v>
      </c>
      <c r="U126" s="366">
        <v>411.99</v>
      </c>
      <c r="V126" s="366">
        <v>443.61</v>
      </c>
      <c r="W126" s="366">
        <v>398.52</v>
      </c>
      <c r="X126" s="366">
        <v>665.67</v>
      </c>
      <c r="Y126" s="366">
        <v>319.42</v>
      </c>
      <c r="Z126" s="366">
        <v>1021.1</v>
      </c>
      <c r="AA126" s="366">
        <v>603.89</v>
      </c>
      <c r="AB126" s="366">
        <v>423.76</v>
      </c>
      <c r="AC126" s="366">
        <v>0</v>
      </c>
      <c r="AD126" s="391">
        <f t="shared" si="1"/>
        <v>444.94888888888886</v>
      </c>
    </row>
    <row r="127" spans="1:30">
      <c r="A127" s="398" t="s">
        <v>474</v>
      </c>
      <c r="B127" s="366" t="s">
        <v>147</v>
      </c>
      <c r="C127" s="366">
        <v>183.04</v>
      </c>
      <c r="D127" s="366">
        <v>359.65</v>
      </c>
      <c r="E127" s="366">
        <v>359.65</v>
      </c>
      <c r="F127" s="366">
        <v>483.68</v>
      </c>
      <c r="G127" s="366">
        <v>622.48</v>
      </c>
      <c r="H127" s="366">
        <v>25.84</v>
      </c>
      <c r="I127" s="366">
        <v>647.39</v>
      </c>
      <c r="J127" s="366">
        <v>444.13</v>
      </c>
      <c r="K127" s="366">
        <v>425.22</v>
      </c>
      <c r="L127" s="366">
        <v>359.12</v>
      </c>
      <c r="M127" s="366">
        <v>405.72</v>
      </c>
      <c r="N127" s="366">
        <v>545.17999999999995</v>
      </c>
      <c r="O127" s="366">
        <v>798.04</v>
      </c>
      <c r="P127" s="366">
        <v>398.79</v>
      </c>
      <c r="Q127" s="366">
        <v>434.69</v>
      </c>
      <c r="R127" s="366">
        <v>377.23</v>
      </c>
      <c r="S127" s="366">
        <v>415.46</v>
      </c>
      <c r="T127" s="366">
        <v>377.23</v>
      </c>
      <c r="U127" s="366">
        <v>345.28</v>
      </c>
      <c r="V127" s="366">
        <v>510.32</v>
      </c>
      <c r="W127" s="366">
        <v>465.23</v>
      </c>
      <c r="X127" s="366">
        <v>693.63</v>
      </c>
      <c r="Y127" s="366">
        <v>252.71</v>
      </c>
      <c r="Z127" s="366">
        <v>978</v>
      </c>
      <c r="AA127" s="366">
        <v>541.58000000000004</v>
      </c>
      <c r="AB127" s="366">
        <v>361.45</v>
      </c>
      <c r="AC127" s="366">
        <v>66.709999999999994</v>
      </c>
      <c r="AD127" s="391">
        <f t="shared" si="1"/>
        <v>439.90555555555551</v>
      </c>
    </row>
    <row r="128" spans="1:30">
      <c r="A128" s="398" t="s">
        <v>474</v>
      </c>
      <c r="B128" s="366" t="s">
        <v>148</v>
      </c>
      <c r="C128" s="366">
        <v>193.07</v>
      </c>
      <c r="D128" s="366">
        <v>173.4</v>
      </c>
      <c r="E128" s="366">
        <v>173.4</v>
      </c>
      <c r="F128" s="366">
        <v>207.11</v>
      </c>
      <c r="G128" s="366">
        <v>357.93</v>
      </c>
      <c r="H128" s="366">
        <v>266.07</v>
      </c>
      <c r="I128" s="366">
        <v>409.57</v>
      </c>
      <c r="J128" s="366">
        <v>167.56</v>
      </c>
      <c r="K128" s="366">
        <v>229.17</v>
      </c>
      <c r="L128" s="366">
        <v>212.11</v>
      </c>
      <c r="M128" s="366">
        <v>209.67</v>
      </c>
      <c r="N128" s="366">
        <v>268.61</v>
      </c>
      <c r="O128" s="366">
        <v>560.22</v>
      </c>
      <c r="P128" s="366">
        <v>202.74</v>
      </c>
      <c r="Q128" s="366">
        <v>158.12</v>
      </c>
      <c r="R128" s="366">
        <v>181.18</v>
      </c>
      <c r="S128" s="366">
        <v>219.41</v>
      </c>
      <c r="T128" s="366">
        <v>181.18</v>
      </c>
      <c r="U128" s="366">
        <v>260.89999999999998</v>
      </c>
      <c r="V128" s="366">
        <v>363.31</v>
      </c>
      <c r="W128" s="366">
        <v>188.66</v>
      </c>
      <c r="X128" s="366">
        <v>455.81</v>
      </c>
      <c r="Y128" s="366">
        <v>100.66</v>
      </c>
      <c r="Z128" s="366">
        <v>781.95</v>
      </c>
      <c r="AA128" s="366">
        <v>345.53</v>
      </c>
      <c r="AB128" s="366">
        <v>165.4</v>
      </c>
      <c r="AC128" s="366">
        <v>258.36</v>
      </c>
      <c r="AD128" s="391">
        <f t="shared" si="1"/>
        <v>270.04074074074072</v>
      </c>
    </row>
    <row r="129" spans="1:30">
      <c r="A129" s="398" t="s">
        <v>474</v>
      </c>
      <c r="B129" s="366" t="s">
        <v>149</v>
      </c>
      <c r="C129" s="366">
        <v>381.87</v>
      </c>
      <c r="D129" s="366">
        <v>177.69</v>
      </c>
      <c r="E129" s="366">
        <v>177.69</v>
      </c>
      <c r="F129" s="366">
        <v>387.39</v>
      </c>
      <c r="G129" s="366">
        <v>519.37</v>
      </c>
      <c r="H129" s="366">
        <v>247.34</v>
      </c>
      <c r="I129" s="366">
        <v>544.28</v>
      </c>
      <c r="J129" s="366">
        <v>347.84</v>
      </c>
      <c r="K129" s="366">
        <v>322.11</v>
      </c>
      <c r="L129" s="366">
        <v>400.91</v>
      </c>
      <c r="M129" s="366">
        <v>302.61</v>
      </c>
      <c r="N129" s="366">
        <v>448.89</v>
      </c>
      <c r="O129" s="366">
        <v>694.93</v>
      </c>
      <c r="P129" s="366">
        <v>295.68</v>
      </c>
      <c r="Q129" s="366">
        <v>338.4</v>
      </c>
      <c r="R129" s="366">
        <v>274.12</v>
      </c>
      <c r="S129" s="366">
        <v>312.35000000000002</v>
      </c>
      <c r="T129" s="366">
        <v>274.12</v>
      </c>
      <c r="U129" s="366">
        <v>72.099999999999994</v>
      </c>
      <c r="V129" s="366">
        <v>552.11</v>
      </c>
      <c r="W129" s="366">
        <v>368.94</v>
      </c>
      <c r="X129" s="366">
        <v>590.52</v>
      </c>
      <c r="Y129" s="366">
        <v>149.6</v>
      </c>
      <c r="Z129" s="366">
        <v>874.89</v>
      </c>
      <c r="AA129" s="366">
        <v>438.47</v>
      </c>
      <c r="AB129" s="366">
        <v>258.33999999999997</v>
      </c>
      <c r="AC129" s="366">
        <v>339.89</v>
      </c>
      <c r="AD129" s="391">
        <f t="shared" si="1"/>
        <v>373.79444444444442</v>
      </c>
    </row>
    <row r="130" spans="1:30">
      <c r="A130" s="398" t="s">
        <v>474</v>
      </c>
      <c r="B130" s="366" t="s">
        <v>150</v>
      </c>
      <c r="C130" s="366">
        <v>455.26</v>
      </c>
      <c r="D130" s="366">
        <v>218.19</v>
      </c>
      <c r="E130" s="366">
        <v>218.19</v>
      </c>
      <c r="F130" s="366">
        <v>460.78</v>
      </c>
      <c r="G130" s="366">
        <v>592.76</v>
      </c>
      <c r="H130" s="366">
        <v>320.73</v>
      </c>
      <c r="I130" s="366">
        <v>617.66999999999996</v>
      </c>
      <c r="J130" s="366">
        <v>421.23</v>
      </c>
      <c r="K130" s="366">
        <v>395.5</v>
      </c>
      <c r="L130" s="366">
        <v>474.3</v>
      </c>
      <c r="M130" s="366">
        <v>376</v>
      </c>
      <c r="N130" s="366">
        <v>522.28</v>
      </c>
      <c r="O130" s="366">
        <v>768.32</v>
      </c>
      <c r="P130" s="366">
        <v>369.07</v>
      </c>
      <c r="Q130" s="366">
        <v>411.79</v>
      </c>
      <c r="R130" s="366">
        <v>347.51</v>
      </c>
      <c r="S130" s="366">
        <v>385.74</v>
      </c>
      <c r="T130" s="366">
        <v>347.51</v>
      </c>
      <c r="U130" s="366">
        <v>1.29</v>
      </c>
      <c r="V130" s="366">
        <v>625.5</v>
      </c>
      <c r="W130" s="366">
        <v>442.33</v>
      </c>
      <c r="X130" s="366">
        <v>663.91</v>
      </c>
      <c r="Y130" s="366">
        <v>222.99</v>
      </c>
      <c r="Z130" s="366">
        <v>948.28</v>
      </c>
      <c r="AA130" s="366">
        <v>511.86</v>
      </c>
      <c r="AB130" s="366">
        <v>331.73</v>
      </c>
      <c r="AC130" s="366">
        <v>413.28</v>
      </c>
      <c r="AD130" s="391">
        <f t="shared" si="1"/>
        <v>439.40740740740739</v>
      </c>
    </row>
    <row r="131" spans="1:30">
      <c r="A131" s="398" t="s">
        <v>474</v>
      </c>
      <c r="B131" s="366" t="s">
        <v>151</v>
      </c>
      <c r="C131" s="366">
        <v>499.33</v>
      </c>
      <c r="D131" s="366">
        <v>466.34</v>
      </c>
      <c r="E131" s="366">
        <v>466.34</v>
      </c>
      <c r="F131" s="366">
        <v>250.16</v>
      </c>
      <c r="G131" s="366">
        <v>99.13</v>
      </c>
      <c r="H131" s="366">
        <v>593.47</v>
      </c>
      <c r="I131" s="366">
        <v>54.81</v>
      </c>
      <c r="J131" s="366">
        <v>190.65</v>
      </c>
      <c r="K131" s="366">
        <v>285.24</v>
      </c>
      <c r="L131" s="366">
        <v>518.37</v>
      </c>
      <c r="M131" s="366">
        <v>299.2</v>
      </c>
      <c r="N131" s="366">
        <v>92.12</v>
      </c>
      <c r="O131" s="366">
        <v>205.46</v>
      </c>
      <c r="P131" s="366">
        <v>280.52</v>
      </c>
      <c r="Q131" s="366">
        <v>200.09</v>
      </c>
      <c r="R131" s="366">
        <v>242.08</v>
      </c>
      <c r="S131" s="366">
        <v>286.11</v>
      </c>
      <c r="T131" s="366">
        <v>242.08</v>
      </c>
      <c r="U131" s="366">
        <v>588.29999999999995</v>
      </c>
      <c r="V131" s="366">
        <v>669.57</v>
      </c>
      <c r="W131" s="366">
        <v>172.96</v>
      </c>
      <c r="X131" s="366">
        <v>101.05</v>
      </c>
      <c r="Y131" s="366">
        <v>388.66</v>
      </c>
      <c r="Z131" s="366">
        <v>456.48</v>
      </c>
      <c r="AA131" s="366">
        <v>195.13</v>
      </c>
      <c r="AB131" s="366">
        <v>327.08</v>
      </c>
      <c r="AC131" s="366">
        <v>564.62</v>
      </c>
      <c r="AD131" s="391">
        <f t="shared" si="1"/>
        <v>323.53148148148142</v>
      </c>
    </row>
    <row r="132" spans="1:30">
      <c r="A132" s="398" t="s">
        <v>474</v>
      </c>
      <c r="B132" s="366" t="s">
        <v>152</v>
      </c>
      <c r="C132" s="366">
        <v>333.96</v>
      </c>
      <c r="D132" s="366">
        <v>354.27</v>
      </c>
      <c r="E132" s="366">
        <v>354.27</v>
      </c>
      <c r="F132" s="366">
        <v>17.72</v>
      </c>
      <c r="G132" s="366">
        <v>235.61</v>
      </c>
      <c r="H132" s="366">
        <v>446.94</v>
      </c>
      <c r="I132" s="366">
        <v>287.25</v>
      </c>
      <c r="J132" s="366">
        <v>41.79</v>
      </c>
      <c r="K132" s="366">
        <v>402.35</v>
      </c>
      <c r="L132" s="366">
        <v>353</v>
      </c>
      <c r="M132" s="366">
        <v>390.54</v>
      </c>
      <c r="N132" s="366">
        <v>146.29</v>
      </c>
      <c r="O132" s="366">
        <v>437.9</v>
      </c>
      <c r="P132" s="366">
        <v>383.61</v>
      </c>
      <c r="Q132" s="366">
        <v>34.340000000000003</v>
      </c>
      <c r="R132" s="366">
        <v>348.56</v>
      </c>
      <c r="S132" s="366">
        <v>392.59</v>
      </c>
      <c r="T132" s="366">
        <v>348.56</v>
      </c>
      <c r="U132" s="366">
        <v>441.77</v>
      </c>
      <c r="V132" s="366">
        <v>504.2</v>
      </c>
      <c r="W132" s="366">
        <v>66.34</v>
      </c>
      <c r="X132" s="366">
        <v>333.49</v>
      </c>
      <c r="Y132" s="366">
        <v>281.52999999999997</v>
      </c>
      <c r="Z132" s="366">
        <v>688.92</v>
      </c>
      <c r="AA132" s="366">
        <v>362.42</v>
      </c>
      <c r="AB132" s="366">
        <v>346.27</v>
      </c>
      <c r="AC132" s="366">
        <v>399.25</v>
      </c>
      <c r="AD132" s="391">
        <f t="shared" ref="AD132:AD194" si="2">AVERAGE(C132:AC132)</f>
        <v>323.47185185185191</v>
      </c>
    </row>
    <row r="133" spans="1:30">
      <c r="A133" s="398" t="s">
        <v>474</v>
      </c>
      <c r="B133" s="366" t="s">
        <v>153</v>
      </c>
      <c r="C133" s="366">
        <v>449.26</v>
      </c>
      <c r="D133" s="366">
        <v>212.19</v>
      </c>
      <c r="E133" s="366">
        <v>212.19</v>
      </c>
      <c r="F133" s="366">
        <v>454.78</v>
      </c>
      <c r="G133" s="366">
        <v>586.76</v>
      </c>
      <c r="H133" s="366">
        <v>314.73</v>
      </c>
      <c r="I133" s="366">
        <v>611.66999999999996</v>
      </c>
      <c r="J133" s="366">
        <v>415.23</v>
      </c>
      <c r="K133" s="366">
        <v>389.5</v>
      </c>
      <c r="L133" s="366">
        <v>468.3</v>
      </c>
      <c r="M133" s="366">
        <v>370</v>
      </c>
      <c r="N133" s="366">
        <v>516.28</v>
      </c>
      <c r="O133" s="366">
        <v>762.32</v>
      </c>
      <c r="P133" s="366">
        <v>363.07</v>
      </c>
      <c r="Q133" s="366">
        <v>405.79</v>
      </c>
      <c r="R133" s="366">
        <v>341.51</v>
      </c>
      <c r="S133" s="366">
        <v>379.74</v>
      </c>
      <c r="T133" s="366">
        <v>341.51</v>
      </c>
      <c r="U133" s="366">
        <v>4.71</v>
      </c>
      <c r="V133" s="366">
        <v>619.5</v>
      </c>
      <c r="W133" s="366">
        <v>436.33</v>
      </c>
      <c r="X133" s="366">
        <v>657.91</v>
      </c>
      <c r="Y133" s="366">
        <v>216.99</v>
      </c>
      <c r="Z133" s="366">
        <v>942.28</v>
      </c>
      <c r="AA133" s="366">
        <v>505.86</v>
      </c>
      <c r="AB133" s="366">
        <v>325.73</v>
      </c>
      <c r="AC133" s="366">
        <v>407.28</v>
      </c>
      <c r="AD133" s="391">
        <f t="shared" si="2"/>
        <v>433.75629629629628</v>
      </c>
    </row>
    <row r="134" spans="1:30">
      <c r="A134" s="398" t="s">
        <v>474</v>
      </c>
      <c r="B134" s="366" t="s">
        <v>154</v>
      </c>
      <c r="C134" s="366">
        <v>246.95</v>
      </c>
      <c r="D134" s="366">
        <v>267.26</v>
      </c>
      <c r="E134" s="366">
        <v>267.26</v>
      </c>
      <c r="F134" s="366">
        <v>104.73</v>
      </c>
      <c r="G134" s="366">
        <v>255.55</v>
      </c>
      <c r="H134" s="366">
        <v>359.93</v>
      </c>
      <c r="I134" s="366">
        <v>307.19</v>
      </c>
      <c r="J134" s="366">
        <v>65.180000000000007</v>
      </c>
      <c r="K134" s="366">
        <v>323.02999999999997</v>
      </c>
      <c r="L134" s="366">
        <v>265.99</v>
      </c>
      <c r="M134" s="366">
        <v>303.52999999999997</v>
      </c>
      <c r="N134" s="366">
        <v>166.23</v>
      </c>
      <c r="O134" s="366">
        <v>457.84</v>
      </c>
      <c r="P134" s="366">
        <v>296.60000000000002</v>
      </c>
      <c r="Q134" s="366">
        <v>55.74</v>
      </c>
      <c r="R134" s="366">
        <v>275.04000000000002</v>
      </c>
      <c r="S134" s="366">
        <v>313.27</v>
      </c>
      <c r="T134" s="366">
        <v>275.04000000000002</v>
      </c>
      <c r="U134" s="366">
        <v>354.76</v>
      </c>
      <c r="V134" s="366">
        <v>417.19</v>
      </c>
      <c r="W134" s="366">
        <v>86.28</v>
      </c>
      <c r="X134" s="366">
        <v>353.43</v>
      </c>
      <c r="Y134" s="366">
        <v>194.52</v>
      </c>
      <c r="Z134" s="366">
        <v>708.86</v>
      </c>
      <c r="AA134" s="366">
        <v>382.36</v>
      </c>
      <c r="AB134" s="366">
        <v>259.26</v>
      </c>
      <c r="AC134" s="366">
        <v>312.24</v>
      </c>
      <c r="AD134" s="391">
        <f t="shared" si="2"/>
        <v>284.26888888888885</v>
      </c>
    </row>
    <row r="135" spans="1:30">
      <c r="A135" s="398" t="s">
        <v>473</v>
      </c>
      <c r="B135" s="366" t="s">
        <v>155</v>
      </c>
      <c r="C135" s="366">
        <v>600.38</v>
      </c>
      <c r="D135" s="366">
        <v>540.66</v>
      </c>
      <c r="E135" s="366">
        <v>540.66</v>
      </c>
      <c r="F135" s="366">
        <v>351.21</v>
      </c>
      <c r="G135" s="366">
        <v>200.18</v>
      </c>
      <c r="H135" s="366">
        <v>667.79</v>
      </c>
      <c r="I135" s="366">
        <v>46.24</v>
      </c>
      <c r="J135" s="366">
        <v>291.7</v>
      </c>
      <c r="K135" s="366">
        <v>276.67</v>
      </c>
      <c r="L135" s="366">
        <v>619.41999999999996</v>
      </c>
      <c r="M135" s="366">
        <v>337.66</v>
      </c>
      <c r="N135" s="366">
        <v>193.17</v>
      </c>
      <c r="O135" s="366">
        <v>104.41</v>
      </c>
      <c r="P135" s="366">
        <v>318.98</v>
      </c>
      <c r="Q135" s="366">
        <v>301.14</v>
      </c>
      <c r="R135" s="366">
        <v>316.39999999999998</v>
      </c>
      <c r="S135" s="366">
        <v>293.20999999999998</v>
      </c>
      <c r="T135" s="366">
        <v>316.39999999999998</v>
      </c>
      <c r="U135" s="366">
        <v>662.62</v>
      </c>
      <c r="V135" s="366">
        <v>770.62</v>
      </c>
      <c r="W135" s="366">
        <v>274.01</v>
      </c>
      <c r="X135" s="366">
        <v>0</v>
      </c>
      <c r="Y135" s="366">
        <v>462.98</v>
      </c>
      <c r="Z135" s="366">
        <v>355.43</v>
      </c>
      <c r="AA135" s="366">
        <v>186.56</v>
      </c>
      <c r="AB135" s="366">
        <v>401.4</v>
      </c>
      <c r="AC135" s="366">
        <v>665.67</v>
      </c>
      <c r="AD135" s="391">
        <f t="shared" si="2"/>
        <v>373.90999999999991</v>
      </c>
    </row>
    <row r="136" spans="1:30">
      <c r="A136" s="398" t="s">
        <v>474</v>
      </c>
      <c r="B136" s="366" t="s">
        <v>156</v>
      </c>
      <c r="C136" s="366">
        <v>611.16999999999996</v>
      </c>
      <c r="D136" s="366">
        <v>551.45000000000005</v>
      </c>
      <c r="E136" s="366">
        <v>551.45000000000005</v>
      </c>
      <c r="F136" s="366">
        <v>362</v>
      </c>
      <c r="G136" s="366">
        <v>210.97</v>
      </c>
      <c r="H136" s="366">
        <v>678.58</v>
      </c>
      <c r="I136" s="366">
        <v>57.03</v>
      </c>
      <c r="J136" s="366">
        <v>302.49</v>
      </c>
      <c r="K136" s="366">
        <v>287.45999999999998</v>
      </c>
      <c r="L136" s="366">
        <v>630.21</v>
      </c>
      <c r="M136" s="366">
        <v>348.45</v>
      </c>
      <c r="N136" s="366">
        <v>203.96</v>
      </c>
      <c r="O136" s="366">
        <v>94.53</v>
      </c>
      <c r="P136" s="366">
        <v>329.77</v>
      </c>
      <c r="Q136" s="366">
        <v>311.93</v>
      </c>
      <c r="R136" s="366">
        <v>327.19</v>
      </c>
      <c r="S136" s="366">
        <v>304</v>
      </c>
      <c r="T136" s="366">
        <v>327.19</v>
      </c>
      <c r="U136" s="366">
        <v>673.41</v>
      </c>
      <c r="V136" s="366">
        <v>781.41</v>
      </c>
      <c r="W136" s="366">
        <v>284.8</v>
      </c>
      <c r="X136" s="366">
        <v>10.79</v>
      </c>
      <c r="Y136" s="366">
        <v>473.77</v>
      </c>
      <c r="Z136" s="366">
        <v>345.55</v>
      </c>
      <c r="AA136" s="366">
        <v>197.35</v>
      </c>
      <c r="AB136" s="366">
        <v>412.19</v>
      </c>
      <c r="AC136" s="366">
        <v>676.46</v>
      </c>
      <c r="AD136" s="391">
        <f t="shared" si="2"/>
        <v>383.16888888888883</v>
      </c>
    </row>
    <row r="137" spans="1:30">
      <c r="A137" s="398" t="s">
        <v>474</v>
      </c>
      <c r="B137" s="366" t="s">
        <v>157</v>
      </c>
      <c r="C137" s="366">
        <v>458.58</v>
      </c>
      <c r="D137" s="366">
        <v>308.58999999999997</v>
      </c>
      <c r="E137" s="366">
        <v>308.58999999999997</v>
      </c>
      <c r="F137" s="366">
        <v>281.95</v>
      </c>
      <c r="G137" s="366">
        <v>160.91999999999999</v>
      </c>
      <c r="H137" s="366">
        <v>435.72</v>
      </c>
      <c r="I137" s="366">
        <v>193.67</v>
      </c>
      <c r="J137" s="366">
        <v>222.44</v>
      </c>
      <c r="K137" s="366">
        <v>138.12</v>
      </c>
      <c r="L137" s="366">
        <v>477.62</v>
      </c>
      <c r="M137" s="366">
        <v>141.44999999999999</v>
      </c>
      <c r="N137" s="366">
        <v>123.91</v>
      </c>
      <c r="O137" s="366">
        <v>344.32</v>
      </c>
      <c r="P137" s="366">
        <v>122.77</v>
      </c>
      <c r="Q137" s="366">
        <v>231.88</v>
      </c>
      <c r="R137" s="366">
        <v>84.33</v>
      </c>
      <c r="S137" s="366">
        <v>128.36000000000001</v>
      </c>
      <c r="T137" s="366">
        <v>84.33</v>
      </c>
      <c r="U137" s="366">
        <v>430.55</v>
      </c>
      <c r="V137" s="366">
        <v>628.82000000000005</v>
      </c>
      <c r="W137" s="366">
        <v>204.75</v>
      </c>
      <c r="X137" s="366">
        <v>239.91</v>
      </c>
      <c r="Y137" s="366">
        <v>230.91</v>
      </c>
      <c r="Z137" s="366">
        <v>524.28</v>
      </c>
      <c r="AA137" s="366">
        <v>98.19</v>
      </c>
      <c r="AB137" s="366">
        <v>169.33</v>
      </c>
      <c r="AC137" s="366">
        <v>523.87</v>
      </c>
      <c r="AD137" s="391">
        <f t="shared" si="2"/>
        <v>270.30222222222216</v>
      </c>
    </row>
    <row r="138" spans="1:30">
      <c r="A138" s="398" t="s">
        <v>474</v>
      </c>
      <c r="B138" s="366" t="s">
        <v>20</v>
      </c>
      <c r="C138" s="366">
        <v>333.23</v>
      </c>
      <c r="D138" s="366">
        <v>353.54</v>
      </c>
      <c r="E138" s="366">
        <v>353.54</v>
      </c>
      <c r="F138" s="366">
        <v>84.06</v>
      </c>
      <c r="G138" s="366">
        <v>176.13</v>
      </c>
      <c r="H138" s="366">
        <v>446.21</v>
      </c>
      <c r="I138" s="366">
        <v>227.77</v>
      </c>
      <c r="J138" s="366">
        <v>24.55</v>
      </c>
      <c r="K138" s="366">
        <v>342.87</v>
      </c>
      <c r="L138" s="366">
        <v>352.27</v>
      </c>
      <c r="M138" s="366">
        <v>346.2</v>
      </c>
      <c r="N138" s="366">
        <v>86.81</v>
      </c>
      <c r="O138" s="366">
        <v>378.42</v>
      </c>
      <c r="P138" s="366">
        <v>327.52</v>
      </c>
      <c r="Q138" s="366">
        <v>33.99</v>
      </c>
      <c r="R138" s="366">
        <v>289.08</v>
      </c>
      <c r="S138" s="366">
        <v>333.11</v>
      </c>
      <c r="T138" s="366">
        <v>289.08</v>
      </c>
      <c r="U138" s="366">
        <v>441.04</v>
      </c>
      <c r="V138" s="366">
        <v>503.47</v>
      </c>
      <c r="W138" s="366">
        <v>0</v>
      </c>
      <c r="X138" s="366">
        <v>274.01</v>
      </c>
      <c r="Y138" s="366">
        <v>280.8</v>
      </c>
      <c r="Z138" s="366">
        <v>629.44000000000005</v>
      </c>
      <c r="AA138" s="366">
        <v>302.94</v>
      </c>
      <c r="AB138" s="366">
        <v>345.54</v>
      </c>
      <c r="AC138" s="366">
        <v>398.52</v>
      </c>
      <c r="AD138" s="391">
        <f t="shared" si="2"/>
        <v>294.59777777777776</v>
      </c>
    </row>
    <row r="139" spans="1:30">
      <c r="A139" s="398" t="s">
        <v>474</v>
      </c>
      <c r="B139" s="366" t="s">
        <v>158</v>
      </c>
      <c r="C139" s="366">
        <v>333.23</v>
      </c>
      <c r="D139" s="366">
        <v>353.54</v>
      </c>
      <c r="E139" s="366">
        <v>353.54</v>
      </c>
      <c r="F139" s="366">
        <v>84.06</v>
      </c>
      <c r="G139" s="366">
        <v>176.13</v>
      </c>
      <c r="H139" s="366">
        <v>446.21</v>
      </c>
      <c r="I139" s="366">
        <v>227.77</v>
      </c>
      <c r="J139" s="366">
        <v>24.55</v>
      </c>
      <c r="K139" s="366">
        <v>342.87</v>
      </c>
      <c r="L139" s="366">
        <v>352.27</v>
      </c>
      <c r="M139" s="366">
        <v>346.2</v>
      </c>
      <c r="N139" s="366">
        <v>86.81</v>
      </c>
      <c r="O139" s="366">
        <v>378.42</v>
      </c>
      <c r="P139" s="366">
        <v>327.52</v>
      </c>
      <c r="Q139" s="366">
        <v>33.99</v>
      </c>
      <c r="R139" s="366">
        <v>289.08</v>
      </c>
      <c r="S139" s="366">
        <v>333.11</v>
      </c>
      <c r="T139" s="366">
        <v>289.08</v>
      </c>
      <c r="U139" s="366">
        <v>441.04</v>
      </c>
      <c r="V139" s="366">
        <v>503.47</v>
      </c>
      <c r="W139" s="366">
        <v>0</v>
      </c>
      <c r="X139" s="366">
        <v>274.01</v>
      </c>
      <c r="Y139" s="366">
        <v>280.8</v>
      </c>
      <c r="Z139" s="366">
        <v>629.44000000000005</v>
      </c>
      <c r="AA139" s="366">
        <v>302.94</v>
      </c>
      <c r="AB139" s="366">
        <v>345.54</v>
      </c>
      <c r="AC139" s="366">
        <v>398.52</v>
      </c>
      <c r="AD139" s="391">
        <f t="shared" si="2"/>
        <v>294.59777777777776</v>
      </c>
    </row>
    <row r="140" spans="1:30">
      <c r="A140" s="398" t="s">
        <v>474</v>
      </c>
      <c r="B140" s="366" t="s">
        <v>159</v>
      </c>
      <c r="C140" s="366">
        <v>379.46</v>
      </c>
      <c r="D140" s="366">
        <v>229.47</v>
      </c>
      <c r="E140" s="366">
        <v>229.47</v>
      </c>
      <c r="F140" s="366">
        <v>384.98</v>
      </c>
      <c r="G140" s="366">
        <v>284.16000000000003</v>
      </c>
      <c r="H140" s="366">
        <v>356.6</v>
      </c>
      <c r="I140" s="366">
        <v>273.20999999999998</v>
      </c>
      <c r="J140" s="366">
        <v>345.43</v>
      </c>
      <c r="K140" s="366">
        <v>42.78</v>
      </c>
      <c r="L140" s="366">
        <v>398.5</v>
      </c>
      <c r="M140" s="366">
        <v>23.28</v>
      </c>
      <c r="N140" s="366">
        <v>247.15</v>
      </c>
      <c r="O140" s="366">
        <v>423.86</v>
      </c>
      <c r="P140" s="366">
        <v>16.350000000000001</v>
      </c>
      <c r="Q140" s="366">
        <v>335.99</v>
      </c>
      <c r="R140" s="366">
        <v>93.69</v>
      </c>
      <c r="S140" s="366">
        <v>33.020000000000003</v>
      </c>
      <c r="T140" s="366">
        <v>93.69</v>
      </c>
      <c r="U140" s="366">
        <v>351.43</v>
      </c>
      <c r="V140" s="366">
        <v>549.70000000000005</v>
      </c>
      <c r="W140" s="366">
        <v>327.99</v>
      </c>
      <c r="X140" s="366">
        <v>319.45</v>
      </c>
      <c r="Y140" s="366">
        <v>151.79</v>
      </c>
      <c r="Z140" s="366">
        <v>603.82000000000005</v>
      </c>
      <c r="AA140" s="366">
        <v>167.4</v>
      </c>
      <c r="AB140" s="366">
        <v>90.21</v>
      </c>
      <c r="AC140" s="366">
        <v>444.75</v>
      </c>
      <c r="AD140" s="391">
        <f t="shared" si="2"/>
        <v>266.57888888888886</v>
      </c>
    </row>
    <row r="141" spans="1:30">
      <c r="A141" s="398" t="s">
        <v>474</v>
      </c>
      <c r="B141" s="366" t="s">
        <v>160</v>
      </c>
      <c r="C141" s="366">
        <v>371.28</v>
      </c>
      <c r="D141" s="366">
        <v>529.66999999999996</v>
      </c>
      <c r="E141" s="366">
        <v>529.66999999999996</v>
      </c>
      <c r="F141" s="366">
        <v>514.88</v>
      </c>
      <c r="G141" s="366">
        <v>665.7</v>
      </c>
      <c r="H141" s="366">
        <v>529.12</v>
      </c>
      <c r="I141" s="366">
        <v>717.34</v>
      </c>
      <c r="J141" s="366">
        <v>475.33</v>
      </c>
      <c r="K141" s="366">
        <v>585.44000000000005</v>
      </c>
      <c r="L141" s="366">
        <v>144.16</v>
      </c>
      <c r="M141" s="366">
        <v>565.94000000000005</v>
      </c>
      <c r="N141" s="366">
        <v>576.38</v>
      </c>
      <c r="O141" s="366">
        <v>867.99</v>
      </c>
      <c r="P141" s="366">
        <v>559.01</v>
      </c>
      <c r="Q141" s="366">
        <v>465.89</v>
      </c>
      <c r="R141" s="366">
        <v>537.45000000000005</v>
      </c>
      <c r="S141" s="366">
        <v>575.67999999999995</v>
      </c>
      <c r="T141" s="366">
        <v>537.45000000000005</v>
      </c>
      <c r="U141" s="366">
        <v>617.16999999999996</v>
      </c>
      <c r="V141" s="366">
        <v>7.04</v>
      </c>
      <c r="W141" s="366">
        <v>496.43</v>
      </c>
      <c r="X141" s="366">
        <v>763.58</v>
      </c>
      <c r="Y141" s="366">
        <v>456.93</v>
      </c>
      <c r="Z141" s="366">
        <v>1119.01</v>
      </c>
      <c r="AA141" s="366">
        <v>701.8</v>
      </c>
      <c r="AB141" s="366">
        <v>521.66999999999996</v>
      </c>
      <c r="AC141" s="366">
        <v>436.57</v>
      </c>
      <c r="AD141" s="391">
        <f t="shared" si="2"/>
        <v>550.68814814814823</v>
      </c>
    </row>
    <row r="142" spans="1:30">
      <c r="A142" s="398" t="s">
        <v>474</v>
      </c>
      <c r="B142" s="366" t="s">
        <v>161</v>
      </c>
      <c r="C142" s="366">
        <v>257.89</v>
      </c>
      <c r="D142" s="366">
        <v>123.26</v>
      </c>
      <c r="E142" s="366">
        <v>123.26</v>
      </c>
      <c r="F142" s="366">
        <v>263.41000000000003</v>
      </c>
      <c r="G142" s="366">
        <v>395.39</v>
      </c>
      <c r="H142" s="366">
        <v>235.03</v>
      </c>
      <c r="I142" s="366">
        <v>420.3</v>
      </c>
      <c r="J142" s="366">
        <v>223.86</v>
      </c>
      <c r="K142" s="366">
        <v>198.13</v>
      </c>
      <c r="L142" s="366">
        <v>276.93</v>
      </c>
      <c r="M142" s="366">
        <v>178.63</v>
      </c>
      <c r="N142" s="366">
        <v>324.91000000000003</v>
      </c>
      <c r="O142" s="366">
        <v>570.95000000000005</v>
      </c>
      <c r="P142" s="366">
        <v>171.7</v>
      </c>
      <c r="Q142" s="366">
        <v>214.42</v>
      </c>
      <c r="R142" s="366">
        <v>150.13999999999999</v>
      </c>
      <c r="S142" s="366">
        <v>188.37</v>
      </c>
      <c r="T142" s="366">
        <v>150.13999999999999</v>
      </c>
      <c r="U142" s="366">
        <v>229.86</v>
      </c>
      <c r="V142" s="366">
        <v>428.13</v>
      </c>
      <c r="W142" s="366">
        <v>244.96</v>
      </c>
      <c r="X142" s="366">
        <v>466.54</v>
      </c>
      <c r="Y142" s="366">
        <v>50.52</v>
      </c>
      <c r="Z142" s="366">
        <v>750.91</v>
      </c>
      <c r="AA142" s="366">
        <v>314.49</v>
      </c>
      <c r="AB142" s="366">
        <v>134.36000000000001</v>
      </c>
      <c r="AC142" s="366">
        <v>323.18</v>
      </c>
      <c r="AD142" s="391">
        <f t="shared" si="2"/>
        <v>274.43222222222221</v>
      </c>
    </row>
    <row r="143" spans="1:30">
      <c r="A143" s="398" t="s">
        <v>474</v>
      </c>
      <c r="B143" s="366" t="s">
        <v>162</v>
      </c>
      <c r="C143" s="366">
        <v>257.89</v>
      </c>
      <c r="D143" s="366">
        <v>123.26</v>
      </c>
      <c r="E143" s="366">
        <v>123.26</v>
      </c>
      <c r="F143" s="366">
        <v>263.41000000000003</v>
      </c>
      <c r="G143" s="366">
        <v>395.39</v>
      </c>
      <c r="H143" s="366">
        <v>235.03</v>
      </c>
      <c r="I143" s="366">
        <v>420.3</v>
      </c>
      <c r="J143" s="366">
        <v>223.86</v>
      </c>
      <c r="K143" s="366">
        <v>198.13</v>
      </c>
      <c r="L143" s="366">
        <v>276.93</v>
      </c>
      <c r="M143" s="366">
        <v>178.63</v>
      </c>
      <c r="N143" s="366">
        <v>324.91000000000003</v>
      </c>
      <c r="O143" s="366">
        <v>570.95000000000005</v>
      </c>
      <c r="P143" s="366">
        <v>171.7</v>
      </c>
      <c r="Q143" s="366">
        <v>214.42</v>
      </c>
      <c r="R143" s="366">
        <v>150.13999999999999</v>
      </c>
      <c r="S143" s="366">
        <v>188.37</v>
      </c>
      <c r="T143" s="366">
        <v>150.13999999999999</v>
      </c>
      <c r="U143" s="366">
        <v>229.86</v>
      </c>
      <c r="V143" s="366">
        <v>428.13</v>
      </c>
      <c r="W143" s="366">
        <v>244.96</v>
      </c>
      <c r="X143" s="366">
        <v>466.54</v>
      </c>
      <c r="Y143" s="366">
        <v>50.52</v>
      </c>
      <c r="Z143" s="366">
        <v>750.91</v>
      </c>
      <c r="AA143" s="366">
        <v>314.49</v>
      </c>
      <c r="AB143" s="366">
        <v>134.36000000000001</v>
      </c>
      <c r="AC143" s="366">
        <v>323.18</v>
      </c>
      <c r="AD143" s="391">
        <f t="shared" si="2"/>
        <v>274.43222222222221</v>
      </c>
    </row>
    <row r="144" spans="1:30">
      <c r="A144" s="398" t="s">
        <v>474</v>
      </c>
      <c r="B144" s="366" t="s">
        <v>163</v>
      </c>
      <c r="C144" s="366">
        <v>352</v>
      </c>
      <c r="D144" s="366">
        <v>179.11</v>
      </c>
      <c r="E144" s="366">
        <v>179.11</v>
      </c>
      <c r="F144" s="366">
        <v>357.52</v>
      </c>
      <c r="G144" s="366">
        <v>489.5</v>
      </c>
      <c r="H144" s="366">
        <v>167</v>
      </c>
      <c r="I144" s="366">
        <v>514.41</v>
      </c>
      <c r="J144" s="366">
        <v>317.97000000000003</v>
      </c>
      <c r="K144" s="366">
        <v>292.24</v>
      </c>
      <c r="L144" s="366">
        <v>371.04</v>
      </c>
      <c r="M144" s="366">
        <v>272.74</v>
      </c>
      <c r="N144" s="366">
        <v>419.02</v>
      </c>
      <c r="O144" s="366">
        <v>665.06</v>
      </c>
      <c r="P144" s="366">
        <v>265.81</v>
      </c>
      <c r="Q144" s="366">
        <v>308.52999999999997</v>
      </c>
      <c r="R144" s="366">
        <v>244.25</v>
      </c>
      <c r="S144" s="366">
        <v>282.48</v>
      </c>
      <c r="T144" s="366">
        <v>244.25</v>
      </c>
      <c r="U144" s="366">
        <v>164.74</v>
      </c>
      <c r="V144" s="366">
        <v>522.24</v>
      </c>
      <c r="W144" s="366">
        <v>339.07</v>
      </c>
      <c r="X144" s="366">
        <v>560.65</v>
      </c>
      <c r="Y144" s="366">
        <v>119.73</v>
      </c>
      <c r="Z144" s="366">
        <v>845.02</v>
      </c>
      <c r="AA144" s="366">
        <v>408.6</v>
      </c>
      <c r="AB144" s="366">
        <v>228.47</v>
      </c>
      <c r="AC144" s="366">
        <v>259.55</v>
      </c>
      <c r="AD144" s="391">
        <f t="shared" si="2"/>
        <v>347.04111111111098</v>
      </c>
    </row>
    <row r="145" spans="1:30">
      <c r="A145" s="398" t="s">
        <v>474</v>
      </c>
      <c r="B145" s="366" t="s">
        <v>164</v>
      </c>
      <c r="C145" s="366">
        <v>352</v>
      </c>
      <c r="D145" s="366">
        <v>179.11</v>
      </c>
      <c r="E145" s="366">
        <v>179.11</v>
      </c>
      <c r="F145" s="366">
        <v>357.52</v>
      </c>
      <c r="G145" s="366">
        <v>489.5</v>
      </c>
      <c r="H145" s="366">
        <v>167</v>
      </c>
      <c r="I145" s="366">
        <v>514.41</v>
      </c>
      <c r="J145" s="366">
        <v>317.97000000000003</v>
      </c>
      <c r="K145" s="366">
        <v>292.24</v>
      </c>
      <c r="L145" s="366">
        <v>371.04</v>
      </c>
      <c r="M145" s="366">
        <v>272.74</v>
      </c>
      <c r="N145" s="366">
        <v>419.02</v>
      </c>
      <c r="O145" s="366">
        <v>665.06</v>
      </c>
      <c r="P145" s="366">
        <v>265.81</v>
      </c>
      <c r="Q145" s="366">
        <v>308.52999999999997</v>
      </c>
      <c r="R145" s="366">
        <v>244.25</v>
      </c>
      <c r="S145" s="366">
        <v>282.48</v>
      </c>
      <c r="T145" s="366">
        <v>244.25</v>
      </c>
      <c r="U145" s="366">
        <v>164.74</v>
      </c>
      <c r="V145" s="366">
        <v>522.24</v>
      </c>
      <c r="W145" s="366">
        <v>339.07</v>
      </c>
      <c r="X145" s="366">
        <v>560.65</v>
      </c>
      <c r="Y145" s="366">
        <v>119.73</v>
      </c>
      <c r="Z145" s="366">
        <v>845.02</v>
      </c>
      <c r="AA145" s="366">
        <v>408.6</v>
      </c>
      <c r="AB145" s="366">
        <v>228.47</v>
      </c>
      <c r="AC145" s="366">
        <v>259.55</v>
      </c>
      <c r="AD145" s="391">
        <f t="shared" si="2"/>
        <v>347.04111111111098</v>
      </c>
    </row>
    <row r="146" spans="1:30">
      <c r="A146" s="398" t="s">
        <v>474</v>
      </c>
      <c r="B146" s="366" t="s">
        <v>165</v>
      </c>
      <c r="C146" s="366">
        <v>538.6</v>
      </c>
      <c r="D146" s="366">
        <v>388.61</v>
      </c>
      <c r="E146" s="366">
        <v>388.61</v>
      </c>
      <c r="F146" s="366">
        <v>380.14</v>
      </c>
      <c r="G146" s="366">
        <v>259.11</v>
      </c>
      <c r="H146" s="366">
        <v>515.74</v>
      </c>
      <c r="I146" s="366">
        <v>140.32</v>
      </c>
      <c r="J146" s="366">
        <v>320.63</v>
      </c>
      <c r="K146" s="366">
        <v>124.62</v>
      </c>
      <c r="L146" s="366">
        <v>557.64</v>
      </c>
      <c r="M146" s="366">
        <v>185.61</v>
      </c>
      <c r="N146" s="366">
        <v>222.1</v>
      </c>
      <c r="O146" s="366">
        <v>290.97000000000003</v>
      </c>
      <c r="P146" s="366">
        <v>166.93</v>
      </c>
      <c r="Q146" s="366">
        <v>330.07</v>
      </c>
      <c r="R146" s="366">
        <v>164.35</v>
      </c>
      <c r="S146" s="366">
        <v>141.16</v>
      </c>
      <c r="T146" s="366">
        <v>164.35</v>
      </c>
      <c r="U146" s="366">
        <v>510.57</v>
      </c>
      <c r="V146" s="366">
        <v>708.84</v>
      </c>
      <c r="W146" s="366">
        <v>302.94</v>
      </c>
      <c r="X146" s="366">
        <v>186.56</v>
      </c>
      <c r="Y146" s="366">
        <v>310.93</v>
      </c>
      <c r="Z146" s="366">
        <v>470.93</v>
      </c>
      <c r="AA146" s="366">
        <v>0</v>
      </c>
      <c r="AB146" s="366">
        <v>249.35</v>
      </c>
      <c r="AC146" s="366">
        <v>603.89</v>
      </c>
      <c r="AD146" s="391">
        <f t="shared" si="2"/>
        <v>319.39148148148155</v>
      </c>
    </row>
    <row r="147" spans="1:30">
      <c r="A147" s="398" t="s">
        <v>474</v>
      </c>
      <c r="B147" s="366" t="s">
        <v>166</v>
      </c>
      <c r="C147" s="366">
        <v>461.46</v>
      </c>
      <c r="D147" s="366">
        <v>311.47000000000003</v>
      </c>
      <c r="E147" s="366">
        <v>311.47000000000003</v>
      </c>
      <c r="F147" s="366">
        <v>421.1</v>
      </c>
      <c r="G147" s="366">
        <v>300.07</v>
      </c>
      <c r="H147" s="366">
        <v>438.6</v>
      </c>
      <c r="I147" s="366">
        <v>191.21</v>
      </c>
      <c r="J147" s="366">
        <v>361.59</v>
      </c>
      <c r="K147" s="366">
        <v>39.22</v>
      </c>
      <c r="L147" s="366">
        <v>480.5</v>
      </c>
      <c r="M147" s="366">
        <v>100.21</v>
      </c>
      <c r="N147" s="366">
        <v>263.06</v>
      </c>
      <c r="O147" s="366">
        <v>341.86</v>
      </c>
      <c r="P147" s="366">
        <v>81.53</v>
      </c>
      <c r="Q147" s="366">
        <v>371.03</v>
      </c>
      <c r="R147" s="366">
        <v>147.79</v>
      </c>
      <c r="S147" s="366">
        <v>55.76</v>
      </c>
      <c r="T147" s="366">
        <v>147.79</v>
      </c>
      <c r="U147" s="366">
        <v>433.43</v>
      </c>
      <c r="V147" s="366">
        <v>631.70000000000005</v>
      </c>
      <c r="W147" s="366">
        <v>343.9</v>
      </c>
      <c r="X147" s="366">
        <v>237.45</v>
      </c>
      <c r="Y147" s="366">
        <v>233.79</v>
      </c>
      <c r="Z147" s="366">
        <v>521.82000000000005</v>
      </c>
      <c r="AA147" s="366">
        <v>85.4</v>
      </c>
      <c r="AB147" s="366">
        <v>172.21</v>
      </c>
      <c r="AC147" s="366">
        <v>526.75</v>
      </c>
      <c r="AD147" s="391">
        <f t="shared" si="2"/>
        <v>296.74703703703699</v>
      </c>
    </row>
    <row r="148" spans="1:30">
      <c r="A148" s="398" t="s">
        <v>474</v>
      </c>
      <c r="B148" s="366" t="s">
        <v>167</v>
      </c>
      <c r="C148" s="366">
        <v>321.62</v>
      </c>
      <c r="D148" s="366">
        <v>341.93</v>
      </c>
      <c r="E148" s="366">
        <v>341.93</v>
      </c>
      <c r="F148" s="366">
        <v>69</v>
      </c>
      <c r="G148" s="366">
        <v>184.33</v>
      </c>
      <c r="H148" s="366">
        <v>434.6</v>
      </c>
      <c r="I148" s="366">
        <v>235.97</v>
      </c>
      <c r="J148" s="366">
        <v>9.49</v>
      </c>
      <c r="K148" s="366">
        <v>351.07</v>
      </c>
      <c r="L148" s="366">
        <v>340.66</v>
      </c>
      <c r="M148" s="366">
        <v>354.4</v>
      </c>
      <c r="N148" s="366">
        <v>95.01</v>
      </c>
      <c r="O148" s="366">
        <v>386.62</v>
      </c>
      <c r="P148" s="366">
        <v>335.72</v>
      </c>
      <c r="Q148" s="366">
        <v>18.93</v>
      </c>
      <c r="R148" s="366">
        <v>297.27999999999997</v>
      </c>
      <c r="S148" s="366">
        <v>341.31</v>
      </c>
      <c r="T148" s="366">
        <v>297.27999999999997</v>
      </c>
      <c r="U148" s="366">
        <v>429.43</v>
      </c>
      <c r="V148" s="366">
        <v>491.86</v>
      </c>
      <c r="W148" s="366">
        <v>15.06</v>
      </c>
      <c r="X148" s="366">
        <v>282.20999999999998</v>
      </c>
      <c r="Y148" s="366">
        <v>269.19</v>
      </c>
      <c r="Z148" s="366">
        <v>637.64</v>
      </c>
      <c r="AA148" s="366">
        <v>311.14</v>
      </c>
      <c r="AB148" s="366">
        <v>333.93</v>
      </c>
      <c r="AC148" s="366">
        <v>386.91</v>
      </c>
      <c r="AD148" s="391">
        <f t="shared" si="2"/>
        <v>293.13037037037043</v>
      </c>
    </row>
    <row r="149" spans="1:30">
      <c r="A149" s="398" t="s">
        <v>474</v>
      </c>
      <c r="B149" s="366" t="s">
        <v>168</v>
      </c>
      <c r="C149" s="366">
        <v>770.4</v>
      </c>
      <c r="D149" s="366">
        <v>710.68</v>
      </c>
      <c r="E149" s="366">
        <v>710.68</v>
      </c>
      <c r="F149" s="366">
        <v>521.23</v>
      </c>
      <c r="G149" s="366">
        <v>370.2</v>
      </c>
      <c r="H149" s="366">
        <v>837.81</v>
      </c>
      <c r="I149" s="366">
        <v>216.26</v>
      </c>
      <c r="J149" s="366">
        <v>461.72</v>
      </c>
      <c r="K149" s="366">
        <v>446.69</v>
      </c>
      <c r="L149" s="366">
        <v>789.44</v>
      </c>
      <c r="M149" s="366">
        <v>507.68</v>
      </c>
      <c r="N149" s="366">
        <v>363.19</v>
      </c>
      <c r="O149" s="366">
        <v>102.21</v>
      </c>
      <c r="P149" s="366">
        <v>489</v>
      </c>
      <c r="Q149" s="366">
        <v>471.16</v>
      </c>
      <c r="R149" s="366">
        <v>486.42</v>
      </c>
      <c r="S149" s="366">
        <v>463.23</v>
      </c>
      <c r="T149" s="366">
        <v>486.42</v>
      </c>
      <c r="U149" s="366">
        <v>832.64</v>
      </c>
      <c r="V149" s="366">
        <v>940.64</v>
      </c>
      <c r="W149" s="366">
        <v>444.03</v>
      </c>
      <c r="X149" s="366">
        <v>170.02</v>
      </c>
      <c r="Y149" s="366">
        <v>633</v>
      </c>
      <c r="Z149" s="366">
        <v>188.97</v>
      </c>
      <c r="AA149" s="366">
        <v>356.58</v>
      </c>
      <c r="AB149" s="366">
        <v>571.41999999999996</v>
      </c>
      <c r="AC149" s="366">
        <v>835.69</v>
      </c>
      <c r="AD149" s="391">
        <f t="shared" si="2"/>
        <v>525.08925925925917</v>
      </c>
    </row>
    <row r="150" spans="1:30">
      <c r="A150" s="398" t="s">
        <v>474</v>
      </c>
      <c r="B150" s="366" t="s">
        <v>169</v>
      </c>
      <c r="C150" s="366">
        <v>25.52</v>
      </c>
      <c r="D150" s="366">
        <v>340.95</v>
      </c>
      <c r="E150" s="366">
        <v>340.95</v>
      </c>
      <c r="F150" s="366">
        <v>326.16000000000003</v>
      </c>
      <c r="G150" s="366">
        <v>476.98</v>
      </c>
      <c r="H150" s="366">
        <v>183.36</v>
      </c>
      <c r="I150" s="366">
        <v>528.62</v>
      </c>
      <c r="J150" s="366">
        <v>286.61</v>
      </c>
      <c r="K150" s="366">
        <v>396.72</v>
      </c>
      <c r="L150" s="366">
        <v>201.6</v>
      </c>
      <c r="M150" s="366">
        <v>377.22</v>
      </c>
      <c r="N150" s="366">
        <v>387.66</v>
      </c>
      <c r="O150" s="366">
        <v>679.27</v>
      </c>
      <c r="P150" s="366">
        <v>370.29</v>
      </c>
      <c r="Q150" s="366">
        <v>277.17</v>
      </c>
      <c r="R150" s="366">
        <v>348.73</v>
      </c>
      <c r="S150" s="366">
        <v>386.96</v>
      </c>
      <c r="T150" s="366">
        <v>348.73</v>
      </c>
      <c r="U150" s="366">
        <v>428.45</v>
      </c>
      <c r="V150" s="366">
        <v>352.8</v>
      </c>
      <c r="W150" s="366">
        <v>307.70999999999998</v>
      </c>
      <c r="X150" s="366">
        <v>574.86</v>
      </c>
      <c r="Y150" s="366">
        <v>268.20999999999998</v>
      </c>
      <c r="Z150" s="366">
        <v>930.29</v>
      </c>
      <c r="AA150" s="366">
        <v>513.08000000000004</v>
      </c>
      <c r="AB150" s="366">
        <v>332.95</v>
      </c>
      <c r="AC150" s="366">
        <v>90.81</v>
      </c>
      <c r="AD150" s="391">
        <f t="shared" si="2"/>
        <v>373.43185185185183</v>
      </c>
    </row>
    <row r="151" spans="1:30">
      <c r="A151" s="398" t="s">
        <v>474</v>
      </c>
      <c r="B151" s="366" t="s">
        <v>170</v>
      </c>
      <c r="C151" s="366">
        <v>398.91</v>
      </c>
      <c r="D151" s="366">
        <v>248.92</v>
      </c>
      <c r="E151" s="366">
        <v>248.92</v>
      </c>
      <c r="F151" s="366">
        <v>341.62</v>
      </c>
      <c r="G151" s="366">
        <v>220.59</v>
      </c>
      <c r="H151" s="366">
        <v>376.05</v>
      </c>
      <c r="I151" s="366">
        <v>245.5</v>
      </c>
      <c r="J151" s="366">
        <v>282.11</v>
      </c>
      <c r="K151" s="366">
        <v>83.91</v>
      </c>
      <c r="L151" s="366">
        <v>417.95</v>
      </c>
      <c r="M151" s="366">
        <v>87.24</v>
      </c>
      <c r="N151" s="366">
        <v>183.58</v>
      </c>
      <c r="O151" s="366">
        <v>396.15</v>
      </c>
      <c r="P151" s="366">
        <v>68.56</v>
      </c>
      <c r="Q151" s="366">
        <v>291.55</v>
      </c>
      <c r="R151" s="366">
        <v>24.66</v>
      </c>
      <c r="S151" s="366">
        <v>74.150000000000006</v>
      </c>
      <c r="T151" s="366">
        <v>24.66</v>
      </c>
      <c r="U151" s="366">
        <v>370.88</v>
      </c>
      <c r="V151" s="366">
        <v>569.15</v>
      </c>
      <c r="W151" s="366">
        <v>264.42</v>
      </c>
      <c r="X151" s="366">
        <v>291.74</v>
      </c>
      <c r="Y151" s="366">
        <v>171.24</v>
      </c>
      <c r="Z151" s="366">
        <v>576.11</v>
      </c>
      <c r="AA151" s="366">
        <v>139.69</v>
      </c>
      <c r="AB151" s="366">
        <v>109.66</v>
      </c>
      <c r="AC151" s="366">
        <v>464.2</v>
      </c>
      <c r="AD151" s="391">
        <f t="shared" si="2"/>
        <v>258.22666666666657</v>
      </c>
    </row>
    <row r="152" spans="1:30">
      <c r="A152" s="398" t="s">
        <v>474</v>
      </c>
      <c r="B152" s="366" t="s">
        <v>546</v>
      </c>
      <c r="C152" s="366">
        <v>891.91</v>
      </c>
      <c r="D152" s="366">
        <v>761.13</v>
      </c>
      <c r="E152" s="366">
        <v>761.13</v>
      </c>
      <c r="F152" s="366">
        <v>642.74</v>
      </c>
      <c r="G152" s="366">
        <v>491.71</v>
      </c>
      <c r="H152" s="366">
        <v>888.26</v>
      </c>
      <c r="I152" s="366">
        <v>337.77</v>
      </c>
      <c r="J152" s="366">
        <v>583.23</v>
      </c>
      <c r="K152" s="366">
        <v>497.14</v>
      </c>
      <c r="L152" s="366">
        <v>910.95</v>
      </c>
      <c r="M152" s="366">
        <v>558.13</v>
      </c>
      <c r="N152" s="366">
        <v>484.7</v>
      </c>
      <c r="O152" s="366">
        <v>223.72</v>
      </c>
      <c r="P152" s="366">
        <v>539.45000000000005</v>
      </c>
      <c r="Q152" s="366">
        <v>592.66999999999996</v>
      </c>
      <c r="R152" s="366">
        <v>536.87</v>
      </c>
      <c r="S152" s="366">
        <v>513.67999999999995</v>
      </c>
      <c r="T152" s="366">
        <v>536.87</v>
      </c>
      <c r="U152" s="366">
        <v>883.09</v>
      </c>
      <c r="V152" s="366">
        <v>1062.1500000000001</v>
      </c>
      <c r="W152" s="366">
        <v>565.54</v>
      </c>
      <c r="X152" s="366">
        <v>291.52999999999997</v>
      </c>
      <c r="Y152" s="366">
        <v>683.45</v>
      </c>
      <c r="Z152" s="366">
        <v>63.9</v>
      </c>
      <c r="AA152" s="366">
        <v>407.03</v>
      </c>
      <c r="AB152" s="366">
        <v>621.87</v>
      </c>
      <c r="AC152" s="366">
        <v>957.2</v>
      </c>
      <c r="AD152" s="391">
        <f t="shared" si="2"/>
        <v>603.25259259259269</v>
      </c>
    </row>
    <row r="153" spans="1:30">
      <c r="A153" s="398" t="s">
        <v>474</v>
      </c>
      <c r="B153" s="366" t="s">
        <v>171</v>
      </c>
      <c r="C153" s="366">
        <v>502.5</v>
      </c>
      <c r="D153" s="366">
        <v>469.51</v>
      </c>
      <c r="E153" s="366">
        <v>469.51</v>
      </c>
      <c r="F153" s="366">
        <v>253.33</v>
      </c>
      <c r="G153" s="366">
        <v>0</v>
      </c>
      <c r="H153" s="366">
        <v>596.64</v>
      </c>
      <c r="I153" s="366">
        <v>153.94</v>
      </c>
      <c r="J153" s="366">
        <v>193.82</v>
      </c>
      <c r="K153" s="366">
        <v>299.04000000000002</v>
      </c>
      <c r="L153" s="366">
        <v>521.54</v>
      </c>
      <c r="M153" s="366">
        <v>302.37</v>
      </c>
      <c r="N153" s="366">
        <v>95.29</v>
      </c>
      <c r="O153" s="366">
        <v>304.58999999999997</v>
      </c>
      <c r="P153" s="366">
        <v>283.69</v>
      </c>
      <c r="Q153" s="366">
        <v>203.26</v>
      </c>
      <c r="R153" s="366">
        <v>245.25</v>
      </c>
      <c r="S153" s="366">
        <v>289.27999999999997</v>
      </c>
      <c r="T153" s="366">
        <v>245.25</v>
      </c>
      <c r="U153" s="366">
        <v>591.47</v>
      </c>
      <c r="V153" s="366">
        <v>672.74</v>
      </c>
      <c r="W153" s="366">
        <v>176.13</v>
      </c>
      <c r="X153" s="366">
        <v>200.18</v>
      </c>
      <c r="Y153" s="366">
        <v>391.83</v>
      </c>
      <c r="Z153" s="366">
        <v>555.61</v>
      </c>
      <c r="AA153" s="366">
        <v>259.11</v>
      </c>
      <c r="AB153" s="366">
        <v>330.25</v>
      </c>
      <c r="AC153" s="366">
        <v>567.79</v>
      </c>
      <c r="AD153" s="391">
        <f t="shared" si="2"/>
        <v>339.77481481481476</v>
      </c>
    </row>
    <row r="154" spans="1:30">
      <c r="A154" s="398" t="s">
        <v>474</v>
      </c>
      <c r="B154" s="366" t="s">
        <v>172</v>
      </c>
      <c r="C154" s="366">
        <v>380.38</v>
      </c>
      <c r="D154" s="366">
        <v>230.39</v>
      </c>
      <c r="E154" s="366">
        <v>230.39</v>
      </c>
      <c r="F154" s="366">
        <v>385.9</v>
      </c>
      <c r="G154" s="366">
        <v>283.54000000000002</v>
      </c>
      <c r="H154" s="366">
        <v>357.52</v>
      </c>
      <c r="I154" s="366">
        <v>272.58999999999997</v>
      </c>
      <c r="J154" s="366">
        <v>345.06</v>
      </c>
      <c r="K154" s="366">
        <v>42.16</v>
      </c>
      <c r="L154" s="366">
        <v>399.42</v>
      </c>
      <c r="M154" s="366">
        <v>24.2</v>
      </c>
      <c r="N154" s="366">
        <v>246.53</v>
      </c>
      <c r="O154" s="366">
        <v>423.24</v>
      </c>
      <c r="P154" s="366">
        <v>15.73</v>
      </c>
      <c r="Q154" s="366">
        <v>336.91</v>
      </c>
      <c r="R154" s="366">
        <v>93.07</v>
      </c>
      <c r="S154" s="366">
        <v>32.4</v>
      </c>
      <c r="T154" s="366">
        <v>93.07</v>
      </c>
      <c r="U154" s="366">
        <v>352.35</v>
      </c>
      <c r="V154" s="366">
        <v>550.62</v>
      </c>
      <c r="W154" s="366">
        <v>327.37</v>
      </c>
      <c r="X154" s="366">
        <v>318.83</v>
      </c>
      <c r="Y154" s="366">
        <v>152.71</v>
      </c>
      <c r="Z154" s="366">
        <v>603.20000000000005</v>
      </c>
      <c r="AA154" s="366">
        <v>166.78</v>
      </c>
      <c r="AB154" s="366">
        <v>91.13</v>
      </c>
      <c r="AC154" s="366">
        <v>445.67</v>
      </c>
      <c r="AD154" s="391">
        <f t="shared" si="2"/>
        <v>266.7096296296296</v>
      </c>
    </row>
    <row r="155" spans="1:30">
      <c r="A155" s="398" t="s">
        <v>474</v>
      </c>
      <c r="B155" s="366" t="s">
        <v>173</v>
      </c>
      <c r="C155" s="366">
        <v>159.30000000000001</v>
      </c>
      <c r="D155" s="366">
        <v>317.69</v>
      </c>
      <c r="E155" s="366">
        <v>317.69</v>
      </c>
      <c r="F155" s="366">
        <v>302.89999999999998</v>
      </c>
      <c r="G155" s="366">
        <v>453.72</v>
      </c>
      <c r="H155" s="366">
        <v>317.14</v>
      </c>
      <c r="I155" s="366">
        <v>505.36</v>
      </c>
      <c r="J155" s="366">
        <v>263.35000000000002</v>
      </c>
      <c r="K155" s="366">
        <v>373.46</v>
      </c>
      <c r="L155" s="366">
        <v>67.84</v>
      </c>
      <c r="M155" s="366">
        <v>353.96</v>
      </c>
      <c r="N155" s="366">
        <v>364.4</v>
      </c>
      <c r="O155" s="366">
        <v>656.01</v>
      </c>
      <c r="P155" s="366">
        <v>347.03</v>
      </c>
      <c r="Q155" s="366">
        <v>253.91</v>
      </c>
      <c r="R155" s="366">
        <v>325.47000000000003</v>
      </c>
      <c r="S155" s="366">
        <v>363.7</v>
      </c>
      <c r="T155" s="366">
        <v>325.47000000000003</v>
      </c>
      <c r="U155" s="366">
        <v>405.19</v>
      </c>
      <c r="V155" s="366">
        <v>219.04</v>
      </c>
      <c r="W155" s="366">
        <v>284.45</v>
      </c>
      <c r="X155" s="366">
        <v>551.6</v>
      </c>
      <c r="Y155" s="366">
        <v>244.95</v>
      </c>
      <c r="Z155" s="366">
        <v>907.03</v>
      </c>
      <c r="AA155" s="366">
        <v>489.82</v>
      </c>
      <c r="AB155" s="366">
        <v>309.69</v>
      </c>
      <c r="AC155" s="366">
        <v>224.59</v>
      </c>
      <c r="AD155" s="391">
        <f t="shared" si="2"/>
        <v>359.43555555555554</v>
      </c>
    </row>
    <row r="156" spans="1:30">
      <c r="A156" s="398" t="s">
        <v>474</v>
      </c>
      <c r="B156" s="366" t="s">
        <v>174</v>
      </c>
      <c r="C156" s="366">
        <v>159.30000000000001</v>
      </c>
      <c r="D156" s="366">
        <v>317.69</v>
      </c>
      <c r="E156" s="366">
        <v>317.69</v>
      </c>
      <c r="F156" s="366">
        <v>302.89999999999998</v>
      </c>
      <c r="G156" s="366">
        <v>453.72</v>
      </c>
      <c r="H156" s="366">
        <v>317.14</v>
      </c>
      <c r="I156" s="366">
        <v>505.36</v>
      </c>
      <c r="J156" s="366">
        <v>263.35000000000002</v>
      </c>
      <c r="K156" s="366">
        <v>373.46</v>
      </c>
      <c r="L156" s="366">
        <v>67.84</v>
      </c>
      <c r="M156" s="366">
        <v>353.96</v>
      </c>
      <c r="N156" s="366">
        <v>364.4</v>
      </c>
      <c r="O156" s="366">
        <v>656.01</v>
      </c>
      <c r="P156" s="366">
        <v>347.03</v>
      </c>
      <c r="Q156" s="366">
        <v>253.91</v>
      </c>
      <c r="R156" s="366">
        <v>325.47000000000003</v>
      </c>
      <c r="S156" s="366">
        <v>363.7</v>
      </c>
      <c r="T156" s="366">
        <v>325.47000000000003</v>
      </c>
      <c r="U156" s="366">
        <v>405.19</v>
      </c>
      <c r="V156" s="366">
        <v>219.04</v>
      </c>
      <c r="W156" s="366">
        <v>284.45</v>
      </c>
      <c r="X156" s="366">
        <v>551.6</v>
      </c>
      <c r="Y156" s="366">
        <v>244.95</v>
      </c>
      <c r="Z156" s="366">
        <v>907.03</v>
      </c>
      <c r="AA156" s="366">
        <v>489.82</v>
      </c>
      <c r="AB156" s="366">
        <v>309.69</v>
      </c>
      <c r="AC156" s="366">
        <v>224.59</v>
      </c>
      <c r="AD156" s="391">
        <f t="shared" si="2"/>
        <v>359.43555555555554</v>
      </c>
    </row>
    <row r="157" spans="1:30">
      <c r="A157" s="398" t="s">
        <v>474</v>
      </c>
      <c r="B157" s="366" t="s">
        <v>175</v>
      </c>
      <c r="C157" s="366">
        <v>403.81</v>
      </c>
      <c r="D157" s="366">
        <v>64.53</v>
      </c>
      <c r="E157" s="366">
        <v>64.53</v>
      </c>
      <c r="F157" s="366">
        <v>409.33</v>
      </c>
      <c r="G157" s="366">
        <v>534.04</v>
      </c>
      <c r="H157" s="366">
        <v>269.27999999999997</v>
      </c>
      <c r="I157" s="366">
        <v>558.95000000000005</v>
      </c>
      <c r="J157" s="366">
        <v>369.78</v>
      </c>
      <c r="K157" s="366">
        <v>336.78</v>
      </c>
      <c r="L157" s="366">
        <v>422.85</v>
      </c>
      <c r="M157" s="366">
        <v>317.27999999999997</v>
      </c>
      <c r="N157" s="366">
        <v>470.83</v>
      </c>
      <c r="O157" s="366">
        <v>709.6</v>
      </c>
      <c r="P157" s="366">
        <v>310.35000000000002</v>
      </c>
      <c r="Q157" s="366">
        <v>360.34</v>
      </c>
      <c r="R157" s="366">
        <v>288.79000000000002</v>
      </c>
      <c r="S157" s="366">
        <v>327.02</v>
      </c>
      <c r="T157" s="366">
        <v>288.79000000000002</v>
      </c>
      <c r="U157" s="366">
        <v>185.26</v>
      </c>
      <c r="V157" s="366">
        <v>574.04999999999995</v>
      </c>
      <c r="W157" s="366">
        <v>390.88</v>
      </c>
      <c r="X157" s="366">
        <v>605.19000000000005</v>
      </c>
      <c r="Y157" s="366">
        <v>171.54</v>
      </c>
      <c r="Z157" s="366">
        <v>889.56</v>
      </c>
      <c r="AA157" s="366">
        <v>453.14</v>
      </c>
      <c r="AB157" s="366">
        <v>273.01</v>
      </c>
      <c r="AC157" s="366">
        <v>361.83</v>
      </c>
      <c r="AD157" s="391">
        <f t="shared" si="2"/>
        <v>385.60518518518518</v>
      </c>
    </row>
    <row r="158" spans="1:30">
      <c r="A158" s="398" t="s">
        <v>474</v>
      </c>
      <c r="B158" s="366" t="s">
        <v>177</v>
      </c>
      <c r="C158" s="366">
        <v>349.17</v>
      </c>
      <c r="D158" s="366">
        <v>144.99</v>
      </c>
      <c r="E158" s="366">
        <v>144.99</v>
      </c>
      <c r="F158" s="366">
        <v>354.69</v>
      </c>
      <c r="G158" s="366">
        <v>486.67</v>
      </c>
      <c r="H158" s="366">
        <v>188.82</v>
      </c>
      <c r="I158" s="366">
        <v>511.58</v>
      </c>
      <c r="J158" s="366">
        <v>315.14</v>
      </c>
      <c r="K158" s="366">
        <v>289.41000000000003</v>
      </c>
      <c r="L158" s="366">
        <v>368.21</v>
      </c>
      <c r="M158" s="366">
        <v>269.91000000000003</v>
      </c>
      <c r="N158" s="366">
        <v>416.19</v>
      </c>
      <c r="O158" s="366">
        <v>662.23</v>
      </c>
      <c r="P158" s="366">
        <v>262.98</v>
      </c>
      <c r="Q158" s="366">
        <v>305.7</v>
      </c>
      <c r="R158" s="366">
        <v>241.42</v>
      </c>
      <c r="S158" s="366">
        <v>279.64999999999998</v>
      </c>
      <c r="T158" s="366">
        <v>241.42</v>
      </c>
      <c r="U158" s="366">
        <v>130.62</v>
      </c>
      <c r="V158" s="366">
        <v>519.41</v>
      </c>
      <c r="W158" s="366">
        <v>336.24</v>
      </c>
      <c r="X158" s="366">
        <v>557.82000000000005</v>
      </c>
      <c r="Y158" s="366">
        <v>116.9</v>
      </c>
      <c r="Z158" s="366">
        <v>842.19</v>
      </c>
      <c r="AA158" s="366">
        <v>405.77</v>
      </c>
      <c r="AB158" s="366">
        <v>225.64</v>
      </c>
      <c r="AC158" s="366">
        <v>281.37</v>
      </c>
      <c r="AD158" s="391">
        <f t="shared" si="2"/>
        <v>342.56037037037032</v>
      </c>
    </row>
    <row r="159" spans="1:30">
      <c r="A159" s="398" t="s">
        <v>474</v>
      </c>
      <c r="B159" s="366" t="s">
        <v>178</v>
      </c>
      <c r="C159" s="366">
        <v>161.41999999999999</v>
      </c>
      <c r="D159" s="366">
        <v>205.05</v>
      </c>
      <c r="E159" s="366">
        <v>205.05</v>
      </c>
      <c r="F159" s="366">
        <v>190.26</v>
      </c>
      <c r="G159" s="366">
        <v>341.08</v>
      </c>
      <c r="H159" s="366">
        <v>297.72000000000003</v>
      </c>
      <c r="I159" s="366">
        <v>392.72</v>
      </c>
      <c r="J159" s="366">
        <v>150.71</v>
      </c>
      <c r="K159" s="366">
        <v>260.82</v>
      </c>
      <c r="L159" s="366">
        <v>180.46</v>
      </c>
      <c r="M159" s="366">
        <v>241.32</v>
      </c>
      <c r="N159" s="366">
        <v>251.76</v>
      </c>
      <c r="O159" s="366">
        <v>543.37</v>
      </c>
      <c r="P159" s="366">
        <v>234.39</v>
      </c>
      <c r="Q159" s="366">
        <v>141.27000000000001</v>
      </c>
      <c r="R159" s="366">
        <v>212.83</v>
      </c>
      <c r="S159" s="366">
        <v>251.06</v>
      </c>
      <c r="T159" s="366">
        <v>212.83</v>
      </c>
      <c r="U159" s="366">
        <v>292.55</v>
      </c>
      <c r="V159" s="366">
        <v>331.66</v>
      </c>
      <c r="W159" s="366">
        <v>171.81</v>
      </c>
      <c r="X159" s="366">
        <v>438.96</v>
      </c>
      <c r="Y159" s="366">
        <v>132.31</v>
      </c>
      <c r="Z159" s="366">
        <v>794.39</v>
      </c>
      <c r="AA159" s="366">
        <v>377.18</v>
      </c>
      <c r="AB159" s="366">
        <v>197.05</v>
      </c>
      <c r="AC159" s="366">
        <v>226.71</v>
      </c>
      <c r="AD159" s="391">
        <f t="shared" si="2"/>
        <v>275.4348148148149</v>
      </c>
    </row>
    <row r="160" spans="1:30">
      <c r="A160" s="398" t="s">
        <v>474</v>
      </c>
      <c r="B160" s="366" t="s">
        <v>179</v>
      </c>
      <c r="C160" s="366">
        <v>402.01</v>
      </c>
      <c r="D160" s="366">
        <v>197.83</v>
      </c>
      <c r="E160" s="366">
        <v>197.83</v>
      </c>
      <c r="F160" s="366">
        <v>407.53</v>
      </c>
      <c r="G160" s="366">
        <v>539.51</v>
      </c>
      <c r="H160" s="366">
        <v>267.48</v>
      </c>
      <c r="I160" s="366">
        <v>564.41999999999996</v>
      </c>
      <c r="J160" s="366">
        <v>367.98</v>
      </c>
      <c r="K160" s="366">
        <v>342.25</v>
      </c>
      <c r="L160" s="366">
        <v>421.05</v>
      </c>
      <c r="M160" s="366">
        <v>322.75</v>
      </c>
      <c r="N160" s="366">
        <v>469.03</v>
      </c>
      <c r="O160" s="366">
        <v>715.07</v>
      </c>
      <c r="P160" s="366">
        <v>315.82</v>
      </c>
      <c r="Q160" s="366">
        <v>358.54</v>
      </c>
      <c r="R160" s="366">
        <v>294.26</v>
      </c>
      <c r="S160" s="366">
        <v>332.49</v>
      </c>
      <c r="T160" s="366">
        <v>294.26</v>
      </c>
      <c r="U160" s="366">
        <v>92.24</v>
      </c>
      <c r="V160" s="366">
        <v>572.25</v>
      </c>
      <c r="W160" s="366">
        <v>389.08</v>
      </c>
      <c r="X160" s="366">
        <v>610.66</v>
      </c>
      <c r="Y160" s="366">
        <v>169.74</v>
      </c>
      <c r="Z160" s="366">
        <v>895.03</v>
      </c>
      <c r="AA160" s="366">
        <v>458.61</v>
      </c>
      <c r="AB160" s="366">
        <v>278.48</v>
      </c>
      <c r="AC160" s="366">
        <v>360.03</v>
      </c>
      <c r="AD160" s="391">
        <f t="shared" si="2"/>
        <v>393.93444444444452</v>
      </c>
    </row>
    <row r="161" spans="1:30">
      <c r="A161" s="398" t="s">
        <v>474</v>
      </c>
      <c r="B161" s="366" t="s">
        <v>180</v>
      </c>
      <c r="C161" s="366">
        <v>291.66000000000003</v>
      </c>
      <c r="D161" s="366">
        <v>80.08</v>
      </c>
      <c r="E161" s="366">
        <v>80.08</v>
      </c>
      <c r="F161" s="366">
        <v>297.18</v>
      </c>
      <c r="G161" s="366">
        <v>394.7</v>
      </c>
      <c r="H161" s="366">
        <v>263.16000000000003</v>
      </c>
      <c r="I161" s="366">
        <v>419.61</v>
      </c>
      <c r="J161" s="366">
        <v>257.63</v>
      </c>
      <c r="K161" s="366">
        <v>197.44</v>
      </c>
      <c r="L161" s="366">
        <v>310.7</v>
      </c>
      <c r="M161" s="366">
        <v>177.94</v>
      </c>
      <c r="N161" s="366">
        <v>357.69</v>
      </c>
      <c r="O161" s="366">
        <v>570.26</v>
      </c>
      <c r="P161" s="366">
        <v>171.01</v>
      </c>
      <c r="Q161" s="366">
        <v>248.19</v>
      </c>
      <c r="R161" s="366">
        <v>149.44999999999999</v>
      </c>
      <c r="S161" s="366">
        <v>187.68</v>
      </c>
      <c r="T161" s="366">
        <v>149.44999999999999</v>
      </c>
      <c r="U161" s="366">
        <v>257.99</v>
      </c>
      <c r="V161" s="366">
        <v>461.9</v>
      </c>
      <c r="W161" s="366">
        <v>278.73</v>
      </c>
      <c r="X161" s="366">
        <v>465.85</v>
      </c>
      <c r="Y161" s="366">
        <v>36.29</v>
      </c>
      <c r="Z161" s="366">
        <v>750.22</v>
      </c>
      <c r="AA161" s="366">
        <v>313.8</v>
      </c>
      <c r="AB161" s="366">
        <v>133.66999999999999</v>
      </c>
      <c r="AC161" s="366">
        <v>355.71</v>
      </c>
      <c r="AD161" s="391">
        <f t="shared" si="2"/>
        <v>283.6322222222222</v>
      </c>
    </row>
    <row r="162" spans="1:30">
      <c r="A162" s="398" t="s">
        <v>474</v>
      </c>
      <c r="B162" s="366" t="s">
        <v>181</v>
      </c>
      <c r="C162" s="366">
        <v>383.29</v>
      </c>
      <c r="D162" s="366">
        <v>233.3</v>
      </c>
      <c r="E162" s="366">
        <v>233.3</v>
      </c>
      <c r="F162" s="366">
        <v>388.81</v>
      </c>
      <c r="G162" s="366">
        <v>287.99</v>
      </c>
      <c r="H162" s="366">
        <v>360.43</v>
      </c>
      <c r="I162" s="366">
        <v>277.04000000000002</v>
      </c>
      <c r="J162" s="366">
        <v>349.26</v>
      </c>
      <c r="K162" s="366">
        <v>46.61</v>
      </c>
      <c r="L162" s="366">
        <v>402.33</v>
      </c>
      <c r="M162" s="366">
        <v>27.11</v>
      </c>
      <c r="N162" s="366">
        <v>250.98</v>
      </c>
      <c r="O162" s="366">
        <v>427.69</v>
      </c>
      <c r="P162" s="366">
        <v>20.18</v>
      </c>
      <c r="Q162" s="366">
        <v>339.82</v>
      </c>
      <c r="R162" s="366">
        <v>97.52</v>
      </c>
      <c r="S162" s="366">
        <v>36.85</v>
      </c>
      <c r="T162" s="366">
        <v>97.52</v>
      </c>
      <c r="U162" s="366">
        <v>355.26</v>
      </c>
      <c r="V162" s="366">
        <v>553.53</v>
      </c>
      <c r="W162" s="366">
        <v>331.82</v>
      </c>
      <c r="X162" s="366">
        <v>323.27999999999997</v>
      </c>
      <c r="Y162" s="366">
        <v>155.62</v>
      </c>
      <c r="Z162" s="366">
        <v>607.65</v>
      </c>
      <c r="AA162" s="366">
        <v>171.23</v>
      </c>
      <c r="AB162" s="366">
        <v>94.04</v>
      </c>
      <c r="AC162" s="366">
        <v>448.58</v>
      </c>
      <c r="AD162" s="391">
        <f t="shared" si="2"/>
        <v>270.4088888888889</v>
      </c>
    </row>
    <row r="163" spans="1:30">
      <c r="A163" s="398" t="s">
        <v>474</v>
      </c>
      <c r="B163" s="366" t="s">
        <v>182</v>
      </c>
      <c r="C163" s="366">
        <v>358.47</v>
      </c>
      <c r="D163" s="366">
        <v>208.48</v>
      </c>
      <c r="E163" s="366">
        <v>208.48</v>
      </c>
      <c r="F163" s="366">
        <v>363.99</v>
      </c>
      <c r="G163" s="366">
        <v>330.25</v>
      </c>
      <c r="H163" s="366">
        <v>335.61</v>
      </c>
      <c r="I163" s="366">
        <v>355.16</v>
      </c>
      <c r="J163" s="366">
        <v>324.44</v>
      </c>
      <c r="K163" s="366">
        <v>132.99</v>
      </c>
      <c r="L163" s="366">
        <v>377.51</v>
      </c>
      <c r="M163" s="366">
        <v>113.49</v>
      </c>
      <c r="N163" s="366">
        <v>293.24</v>
      </c>
      <c r="O163" s="366">
        <v>505.81</v>
      </c>
      <c r="P163" s="366">
        <v>106.56</v>
      </c>
      <c r="Q163" s="366">
        <v>315</v>
      </c>
      <c r="R163" s="366">
        <v>85</v>
      </c>
      <c r="S163" s="366">
        <v>123.23</v>
      </c>
      <c r="T163" s="366">
        <v>85</v>
      </c>
      <c r="U163" s="366">
        <v>330.44</v>
      </c>
      <c r="V163" s="366">
        <v>528.71</v>
      </c>
      <c r="W163" s="366">
        <v>345.54</v>
      </c>
      <c r="X163" s="366">
        <v>401.4</v>
      </c>
      <c r="Y163" s="366">
        <v>130.80000000000001</v>
      </c>
      <c r="Z163" s="366">
        <v>685.77</v>
      </c>
      <c r="AA163" s="366">
        <v>249.35</v>
      </c>
      <c r="AB163" s="366">
        <v>0</v>
      </c>
      <c r="AC163" s="366">
        <v>423.76</v>
      </c>
      <c r="AD163" s="391">
        <f t="shared" si="2"/>
        <v>285.86962962962963</v>
      </c>
    </row>
    <row r="164" spans="1:30">
      <c r="A164" s="398" t="s">
        <v>474</v>
      </c>
      <c r="B164" s="366" t="s">
        <v>183</v>
      </c>
      <c r="C164" s="366">
        <v>742.98</v>
      </c>
      <c r="D164" s="366">
        <v>592.99</v>
      </c>
      <c r="E164" s="366">
        <v>592.99</v>
      </c>
      <c r="F164" s="366">
        <v>574.19000000000005</v>
      </c>
      <c r="G164" s="366">
        <v>453.16</v>
      </c>
      <c r="H164" s="366">
        <v>720.12</v>
      </c>
      <c r="I164" s="366">
        <v>310.70999999999998</v>
      </c>
      <c r="J164" s="366">
        <v>514.67999999999995</v>
      </c>
      <c r="K164" s="366">
        <v>329</v>
      </c>
      <c r="L164" s="366">
        <v>762.02</v>
      </c>
      <c r="M164" s="366">
        <v>389.99</v>
      </c>
      <c r="N164" s="366">
        <v>416.15</v>
      </c>
      <c r="O164" s="366">
        <v>208.39</v>
      </c>
      <c r="P164" s="366">
        <v>371.31</v>
      </c>
      <c r="Q164" s="366">
        <v>524.12</v>
      </c>
      <c r="R164" s="366">
        <v>368.73</v>
      </c>
      <c r="S164" s="366">
        <v>345.54</v>
      </c>
      <c r="T164" s="366">
        <v>368.73</v>
      </c>
      <c r="U164" s="366">
        <v>714.95</v>
      </c>
      <c r="V164" s="366">
        <v>913.22</v>
      </c>
      <c r="W164" s="366">
        <v>496.99</v>
      </c>
      <c r="X164" s="366">
        <v>276.2</v>
      </c>
      <c r="Y164" s="366">
        <v>515.30999999999995</v>
      </c>
      <c r="Z164" s="366">
        <v>352.96</v>
      </c>
      <c r="AA164" s="366">
        <v>238.89</v>
      </c>
      <c r="AB164" s="366">
        <v>453.73</v>
      </c>
      <c r="AC164" s="366">
        <v>808.27</v>
      </c>
      <c r="AD164" s="391">
        <f t="shared" si="2"/>
        <v>494.6785185185185</v>
      </c>
    </row>
    <row r="165" spans="1:30">
      <c r="A165" s="398" t="s">
        <v>474</v>
      </c>
      <c r="B165" s="366" t="s">
        <v>184</v>
      </c>
      <c r="C165" s="366">
        <v>742.98</v>
      </c>
      <c r="D165" s="366">
        <v>592.99</v>
      </c>
      <c r="E165" s="366">
        <v>592.99</v>
      </c>
      <c r="F165" s="366">
        <v>574.19000000000005</v>
      </c>
      <c r="G165" s="366">
        <v>453.16</v>
      </c>
      <c r="H165" s="366">
        <v>720.12</v>
      </c>
      <c r="I165" s="366">
        <v>310.70999999999998</v>
      </c>
      <c r="J165" s="366">
        <v>514.67999999999995</v>
      </c>
      <c r="K165" s="366">
        <v>329</v>
      </c>
      <c r="L165" s="366">
        <v>762.02</v>
      </c>
      <c r="M165" s="366">
        <v>389.99</v>
      </c>
      <c r="N165" s="366">
        <v>416.15</v>
      </c>
      <c r="O165" s="366">
        <v>208.39</v>
      </c>
      <c r="P165" s="366">
        <v>371.31</v>
      </c>
      <c r="Q165" s="366">
        <v>524.12</v>
      </c>
      <c r="R165" s="366">
        <v>368.73</v>
      </c>
      <c r="S165" s="366">
        <v>345.54</v>
      </c>
      <c r="T165" s="366">
        <v>368.73</v>
      </c>
      <c r="U165" s="366">
        <v>714.95</v>
      </c>
      <c r="V165" s="366">
        <v>913.22</v>
      </c>
      <c r="W165" s="366">
        <v>496.99</v>
      </c>
      <c r="X165" s="366">
        <v>276.2</v>
      </c>
      <c r="Y165" s="366">
        <v>515.30999999999995</v>
      </c>
      <c r="Z165" s="366">
        <v>352.96</v>
      </c>
      <c r="AA165" s="366">
        <v>238.89</v>
      </c>
      <c r="AB165" s="366">
        <v>453.73</v>
      </c>
      <c r="AC165" s="366">
        <v>808.27</v>
      </c>
      <c r="AD165" s="391">
        <f t="shared" si="2"/>
        <v>494.6785185185185</v>
      </c>
    </row>
    <row r="166" spans="1:30">
      <c r="A166" s="398" t="s">
        <v>474</v>
      </c>
      <c r="B166" s="366" t="s">
        <v>185</v>
      </c>
      <c r="C166" s="366">
        <v>483.37</v>
      </c>
      <c r="D166" s="366">
        <v>450.38</v>
      </c>
      <c r="E166" s="366">
        <v>450.38</v>
      </c>
      <c r="F166" s="366">
        <v>234.2</v>
      </c>
      <c r="G166" s="366">
        <v>113.17</v>
      </c>
      <c r="H166" s="366">
        <v>577.51</v>
      </c>
      <c r="I166" s="366">
        <v>164.81</v>
      </c>
      <c r="J166" s="366">
        <v>174.69</v>
      </c>
      <c r="K166" s="366">
        <v>279.91000000000003</v>
      </c>
      <c r="L166" s="366">
        <v>502.41</v>
      </c>
      <c r="M166" s="366">
        <v>283.24</v>
      </c>
      <c r="N166" s="366">
        <v>76.16</v>
      </c>
      <c r="O166" s="366">
        <v>315.45999999999998</v>
      </c>
      <c r="P166" s="366">
        <v>264.56</v>
      </c>
      <c r="Q166" s="366">
        <v>184.13</v>
      </c>
      <c r="R166" s="366">
        <v>226.12</v>
      </c>
      <c r="S166" s="366">
        <v>270.14999999999998</v>
      </c>
      <c r="T166" s="366">
        <v>226.12</v>
      </c>
      <c r="U166" s="366">
        <v>572.34</v>
      </c>
      <c r="V166" s="366">
        <v>653.61</v>
      </c>
      <c r="W166" s="366">
        <v>157</v>
      </c>
      <c r="X166" s="366">
        <v>211.05</v>
      </c>
      <c r="Y166" s="366">
        <v>372.7</v>
      </c>
      <c r="Z166" s="366">
        <v>566.48</v>
      </c>
      <c r="AA166" s="366">
        <v>239.98</v>
      </c>
      <c r="AB166" s="366">
        <v>311.12</v>
      </c>
      <c r="AC166" s="366">
        <v>548.66</v>
      </c>
      <c r="AD166" s="391">
        <f t="shared" si="2"/>
        <v>329.9892592592592</v>
      </c>
    </row>
    <row r="167" spans="1:30">
      <c r="A167" s="398" t="s">
        <v>474</v>
      </c>
      <c r="B167" s="366" t="s">
        <v>186</v>
      </c>
      <c r="C167" s="366">
        <v>489.16</v>
      </c>
      <c r="D167" s="366">
        <v>456.17</v>
      </c>
      <c r="E167" s="366">
        <v>456.17</v>
      </c>
      <c r="F167" s="366">
        <v>239.99</v>
      </c>
      <c r="G167" s="366">
        <v>118.96</v>
      </c>
      <c r="H167" s="366">
        <v>583.29999999999995</v>
      </c>
      <c r="I167" s="366">
        <v>170.6</v>
      </c>
      <c r="J167" s="366">
        <v>180.48</v>
      </c>
      <c r="K167" s="366">
        <v>285.7</v>
      </c>
      <c r="L167" s="366">
        <v>508.2</v>
      </c>
      <c r="M167" s="366">
        <v>289.02999999999997</v>
      </c>
      <c r="N167" s="366">
        <v>81.95</v>
      </c>
      <c r="O167" s="366">
        <v>321.25</v>
      </c>
      <c r="P167" s="366">
        <v>270.35000000000002</v>
      </c>
      <c r="Q167" s="366">
        <v>189.92</v>
      </c>
      <c r="R167" s="366">
        <v>231.91</v>
      </c>
      <c r="S167" s="366">
        <v>275.94</v>
      </c>
      <c r="T167" s="366">
        <v>231.91</v>
      </c>
      <c r="U167" s="366">
        <v>578.13</v>
      </c>
      <c r="V167" s="366">
        <v>659.4</v>
      </c>
      <c r="W167" s="366">
        <v>162.79</v>
      </c>
      <c r="X167" s="366">
        <v>216.84</v>
      </c>
      <c r="Y167" s="366">
        <v>378.49</v>
      </c>
      <c r="Z167" s="366">
        <v>572.27</v>
      </c>
      <c r="AA167" s="366">
        <v>245.77</v>
      </c>
      <c r="AB167" s="366">
        <v>316.91000000000003</v>
      </c>
      <c r="AC167" s="366">
        <v>554.45000000000005</v>
      </c>
      <c r="AD167" s="391">
        <f t="shared" si="2"/>
        <v>335.77925925925922</v>
      </c>
    </row>
    <row r="168" spans="1:30">
      <c r="A168" s="398" t="s">
        <v>474</v>
      </c>
      <c r="B168" s="366" t="s">
        <v>187</v>
      </c>
      <c r="C168" s="366">
        <v>2.2200000000000002</v>
      </c>
      <c r="D168" s="366">
        <v>368.69</v>
      </c>
      <c r="E168" s="366">
        <v>368.69</v>
      </c>
      <c r="F168" s="366">
        <v>353.9</v>
      </c>
      <c r="G168" s="366">
        <v>504.72</v>
      </c>
      <c r="H168" s="366">
        <v>211.1</v>
      </c>
      <c r="I168" s="366">
        <v>556.36</v>
      </c>
      <c r="J168" s="366">
        <v>314.35000000000002</v>
      </c>
      <c r="K168" s="366">
        <v>424.46</v>
      </c>
      <c r="L168" s="366">
        <v>229.34</v>
      </c>
      <c r="M168" s="366">
        <v>404.96</v>
      </c>
      <c r="N168" s="366">
        <v>415.4</v>
      </c>
      <c r="O168" s="366">
        <v>707.01</v>
      </c>
      <c r="P168" s="366">
        <v>398.03</v>
      </c>
      <c r="Q168" s="366">
        <v>304.91000000000003</v>
      </c>
      <c r="R168" s="366">
        <v>376.47</v>
      </c>
      <c r="S168" s="366">
        <v>414.7</v>
      </c>
      <c r="T168" s="366">
        <v>376.47</v>
      </c>
      <c r="U168" s="366">
        <v>456.19</v>
      </c>
      <c r="V168" s="366">
        <v>380.54</v>
      </c>
      <c r="W168" s="366">
        <v>335.45</v>
      </c>
      <c r="X168" s="366">
        <v>602.6</v>
      </c>
      <c r="Y168" s="366">
        <v>295.95</v>
      </c>
      <c r="Z168" s="366">
        <v>958.03</v>
      </c>
      <c r="AA168" s="366">
        <v>540.82000000000005</v>
      </c>
      <c r="AB168" s="366">
        <v>360.69</v>
      </c>
      <c r="AC168" s="366">
        <v>118.55</v>
      </c>
      <c r="AD168" s="391">
        <f t="shared" si="2"/>
        <v>399.28148148148148</v>
      </c>
    </row>
    <row r="169" spans="1:30">
      <c r="A169" s="398" t="s">
        <v>474</v>
      </c>
      <c r="B169" s="366" t="s">
        <v>188</v>
      </c>
      <c r="C169" s="366">
        <v>0.41</v>
      </c>
      <c r="D169" s="366">
        <v>366.88</v>
      </c>
      <c r="E169" s="366">
        <v>366.88</v>
      </c>
      <c r="F169" s="366">
        <v>352.09</v>
      </c>
      <c r="G169" s="366">
        <v>502.91</v>
      </c>
      <c r="H169" s="366">
        <v>209.29</v>
      </c>
      <c r="I169" s="366">
        <v>554.54999999999995</v>
      </c>
      <c r="J169" s="366">
        <v>312.54000000000002</v>
      </c>
      <c r="K169" s="366">
        <v>422.65</v>
      </c>
      <c r="L169" s="366">
        <v>227.53</v>
      </c>
      <c r="M169" s="366">
        <v>403.15</v>
      </c>
      <c r="N169" s="366">
        <v>413.59</v>
      </c>
      <c r="O169" s="366">
        <v>705.2</v>
      </c>
      <c r="P169" s="366">
        <v>396.22</v>
      </c>
      <c r="Q169" s="366">
        <v>303.10000000000002</v>
      </c>
      <c r="R169" s="366">
        <v>374.66</v>
      </c>
      <c r="S169" s="366">
        <v>412.89</v>
      </c>
      <c r="T169" s="366">
        <v>374.66</v>
      </c>
      <c r="U169" s="366">
        <v>454.38</v>
      </c>
      <c r="V169" s="366">
        <v>378.73</v>
      </c>
      <c r="W169" s="366">
        <v>333.64</v>
      </c>
      <c r="X169" s="366">
        <v>600.79</v>
      </c>
      <c r="Y169" s="366">
        <v>294.14</v>
      </c>
      <c r="Z169" s="366">
        <v>956.22</v>
      </c>
      <c r="AA169" s="366">
        <v>539.01</v>
      </c>
      <c r="AB169" s="366">
        <v>358.88</v>
      </c>
      <c r="AC169" s="366">
        <v>116.74</v>
      </c>
      <c r="AD169" s="391">
        <f t="shared" si="2"/>
        <v>397.47148148148148</v>
      </c>
    </row>
    <row r="170" spans="1:30">
      <c r="A170" s="398" t="s">
        <v>474</v>
      </c>
      <c r="B170" s="366" t="s">
        <v>241</v>
      </c>
      <c r="C170" s="366">
        <v>538.6</v>
      </c>
      <c r="D170" s="366">
        <v>388.61</v>
      </c>
      <c r="E170" s="366">
        <v>388.61</v>
      </c>
      <c r="F170" s="366">
        <v>380.14</v>
      </c>
      <c r="G170" s="366">
        <v>259.11</v>
      </c>
      <c r="H170" s="366">
        <v>515.74</v>
      </c>
      <c r="I170" s="366">
        <v>140.32</v>
      </c>
      <c r="J170" s="366">
        <v>320.63</v>
      </c>
      <c r="K170" s="366">
        <v>124.62</v>
      </c>
      <c r="L170" s="366">
        <v>557.64</v>
      </c>
      <c r="M170" s="366">
        <v>185.61</v>
      </c>
      <c r="N170" s="366">
        <v>222.1</v>
      </c>
      <c r="O170" s="366">
        <v>290.97000000000003</v>
      </c>
      <c r="P170" s="366">
        <v>166.93</v>
      </c>
      <c r="Q170" s="366">
        <v>330.07</v>
      </c>
      <c r="R170" s="366">
        <v>164.35</v>
      </c>
      <c r="S170" s="366">
        <v>141.16</v>
      </c>
      <c r="T170" s="366">
        <v>164.35</v>
      </c>
      <c r="U170" s="366">
        <v>510.57</v>
      </c>
      <c r="V170" s="366">
        <v>708.84</v>
      </c>
      <c r="W170" s="366">
        <v>302.94</v>
      </c>
      <c r="X170" s="366">
        <v>186.56</v>
      </c>
      <c r="Y170" s="366">
        <v>310.93</v>
      </c>
      <c r="Z170" s="366">
        <v>470.93</v>
      </c>
      <c r="AA170" s="366">
        <v>0</v>
      </c>
      <c r="AB170" s="366">
        <v>249.35</v>
      </c>
      <c r="AC170" s="366">
        <v>603.89</v>
      </c>
      <c r="AD170" s="391">
        <f t="shared" si="2"/>
        <v>319.39148148148155</v>
      </c>
    </row>
    <row r="171" spans="1:30">
      <c r="A171" s="398" t="s">
        <v>474</v>
      </c>
      <c r="B171" s="366" t="s">
        <v>189</v>
      </c>
      <c r="C171" s="366">
        <v>533.25</v>
      </c>
      <c r="D171" s="366">
        <v>500.26</v>
      </c>
      <c r="E171" s="366">
        <v>500.26</v>
      </c>
      <c r="F171" s="366">
        <v>284.08</v>
      </c>
      <c r="G171" s="366">
        <v>58.73</v>
      </c>
      <c r="H171" s="366">
        <v>627.39</v>
      </c>
      <c r="I171" s="366">
        <v>184.69</v>
      </c>
      <c r="J171" s="366">
        <v>224.57</v>
      </c>
      <c r="K171" s="366">
        <v>329.79</v>
      </c>
      <c r="L171" s="366">
        <v>552.29</v>
      </c>
      <c r="M171" s="366">
        <v>333.12</v>
      </c>
      <c r="N171" s="366">
        <v>126.04</v>
      </c>
      <c r="O171" s="366">
        <v>335.34</v>
      </c>
      <c r="P171" s="366">
        <v>314.44</v>
      </c>
      <c r="Q171" s="366">
        <v>234.01</v>
      </c>
      <c r="R171" s="366">
        <v>276</v>
      </c>
      <c r="S171" s="366">
        <v>320.02999999999997</v>
      </c>
      <c r="T171" s="366">
        <v>276</v>
      </c>
      <c r="U171" s="366">
        <v>622.22</v>
      </c>
      <c r="V171" s="366">
        <v>703.49</v>
      </c>
      <c r="W171" s="366">
        <v>206.88</v>
      </c>
      <c r="X171" s="366">
        <v>230.93</v>
      </c>
      <c r="Y171" s="366">
        <v>422.58</v>
      </c>
      <c r="Z171" s="366">
        <v>586.36</v>
      </c>
      <c r="AA171" s="366">
        <v>289.86</v>
      </c>
      <c r="AB171" s="366">
        <v>361</v>
      </c>
      <c r="AC171" s="366">
        <v>598.54</v>
      </c>
      <c r="AD171" s="391">
        <f t="shared" si="2"/>
        <v>371.56111111111119</v>
      </c>
    </row>
    <row r="172" spans="1:30">
      <c r="A172" s="398" t="s">
        <v>474</v>
      </c>
      <c r="B172" s="366" t="s">
        <v>190</v>
      </c>
      <c r="C172" s="366">
        <v>342.33</v>
      </c>
      <c r="D172" s="366">
        <v>362.64</v>
      </c>
      <c r="E172" s="366">
        <v>362.64</v>
      </c>
      <c r="F172" s="366">
        <v>26.09</v>
      </c>
      <c r="G172" s="366">
        <v>243.98</v>
      </c>
      <c r="H172" s="366">
        <v>455.31</v>
      </c>
      <c r="I172" s="366">
        <v>295.62</v>
      </c>
      <c r="J172" s="366">
        <v>50.16</v>
      </c>
      <c r="K172" s="366">
        <v>410.72</v>
      </c>
      <c r="L172" s="366">
        <v>361.37</v>
      </c>
      <c r="M172" s="366">
        <v>398.91</v>
      </c>
      <c r="N172" s="366">
        <v>154.66</v>
      </c>
      <c r="O172" s="366">
        <v>446.27</v>
      </c>
      <c r="P172" s="366">
        <v>391.98</v>
      </c>
      <c r="Q172" s="366">
        <v>42.71</v>
      </c>
      <c r="R172" s="366">
        <v>356.93</v>
      </c>
      <c r="S172" s="366">
        <v>400.96</v>
      </c>
      <c r="T172" s="366">
        <v>356.93</v>
      </c>
      <c r="U172" s="366">
        <v>450.14</v>
      </c>
      <c r="V172" s="366">
        <v>512.57000000000005</v>
      </c>
      <c r="W172" s="366">
        <v>74.709999999999994</v>
      </c>
      <c r="X172" s="366">
        <v>341.86</v>
      </c>
      <c r="Y172" s="366">
        <v>289.89999999999998</v>
      </c>
      <c r="Z172" s="366">
        <v>697.29</v>
      </c>
      <c r="AA172" s="366">
        <v>370.79</v>
      </c>
      <c r="AB172" s="366">
        <v>354.64</v>
      </c>
      <c r="AC172" s="366">
        <v>407.62</v>
      </c>
      <c r="AD172" s="391">
        <f t="shared" si="2"/>
        <v>331.84185185185186</v>
      </c>
    </row>
    <row r="173" spans="1:30">
      <c r="A173" s="398" t="s">
        <v>474</v>
      </c>
      <c r="B173" s="366" t="s">
        <v>191</v>
      </c>
      <c r="C173" s="366">
        <v>434.36</v>
      </c>
      <c r="D173" s="366">
        <v>197.29</v>
      </c>
      <c r="E173" s="366">
        <v>197.29</v>
      </c>
      <c r="F173" s="366">
        <v>439.88</v>
      </c>
      <c r="G173" s="366">
        <v>571.86</v>
      </c>
      <c r="H173" s="366">
        <v>299.83</v>
      </c>
      <c r="I173" s="366">
        <v>596.77</v>
      </c>
      <c r="J173" s="366">
        <v>400.33</v>
      </c>
      <c r="K173" s="366">
        <v>374.6</v>
      </c>
      <c r="L173" s="366">
        <v>453.4</v>
      </c>
      <c r="M173" s="366">
        <v>355.1</v>
      </c>
      <c r="N173" s="366">
        <v>501.38</v>
      </c>
      <c r="O173" s="366">
        <v>747.42</v>
      </c>
      <c r="P173" s="366">
        <v>348.17</v>
      </c>
      <c r="Q173" s="366">
        <v>390.89</v>
      </c>
      <c r="R173" s="366">
        <v>326.61</v>
      </c>
      <c r="S173" s="366">
        <v>364.84</v>
      </c>
      <c r="T173" s="366">
        <v>326.61</v>
      </c>
      <c r="U173" s="366">
        <v>19.61</v>
      </c>
      <c r="V173" s="366">
        <v>604.6</v>
      </c>
      <c r="W173" s="366">
        <v>421.43</v>
      </c>
      <c r="X173" s="366">
        <v>643.01</v>
      </c>
      <c r="Y173" s="366">
        <v>202.09</v>
      </c>
      <c r="Z173" s="366">
        <v>927.38</v>
      </c>
      <c r="AA173" s="366">
        <v>490.96</v>
      </c>
      <c r="AB173" s="366">
        <v>310.83</v>
      </c>
      <c r="AC173" s="366">
        <v>392.38</v>
      </c>
      <c r="AD173" s="391">
        <f t="shared" si="2"/>
        <v>419.95999999999992</v>
      </c>
    </row>
    <row r="174" spans="1:30">
      <c r="A174" s="398" t="s">
        <v>474</v>
      </c>
      <c r="B174" s="366" t="s">
        <v>192</v>
      </c>
      <c r="C174" s="366">
        <v>346.2</v>
      </c>
      <c r="D174" s="366">
        <v>366.51</v>
      </c>
      <c r="E174" s="366">
        <v>366.51</v>
      </c>
      <c r="F174" s="366">
        <v>5.66</v>
      </c>
      <c r="G174" s="366">
        <v>247.85</v>
      </c>
      <c r="H174" s="366">
        <v>459.18</v>
      </c>
      <c r="I174" s="366">
        <v>299.49</v>
      </c>
      <c r="J174" s="366">
        <v>54.03</v>
      </c>
      <c r="K174" s="366">
        <v>414.59</v>
      </c>
      <c r="L174" s="366">
        <v>365.24</v>
      </c>
      <c r="M174" s="366">
        <v>402.78</v>
      </c>
      <c r="N174" s="366">
        <v>158.53</v>
      </c>
      <c r="O174" s="366">
        <v>450.14</v>
      </c>
      <c r="P174" s="366">
        <v>395.85</v>
      </c>
      <c r="Q174" s="366">
        <v>46.58</v>
      </c>
      <c r="R174" s="366">
        <v>360.8</v>
      </c>
      <c r="S174" s="366">
        <v>404.83</v>
      </c>
      <c r="T174" s="366">
        <v>360.8</v>
      </c>
      <c r="U174" s="366">
        <v>454.01</v>
      </c>
      <c r="V174" s="366">
        <v>516.44000000000005</v>
      </c>
      <c r="W174" s="366">
        <v>78.58</v>
      </c>
      <c r="X174" s="366">
        <v>345.73</v>
      </c>
      <c r="Y174" s="366">
        <v>293.77</v>
      </c>
      <c r="Z174" s="366">
        <v>701.16</v>
      </c>
      <c r="AA174" s="366">
        <v>374.66</v>
      </c>
      <c r="AB174" s="366">
        <v>358.51</v>
      </c>
      <c r="AC174" s="366">
        <v>411.49</v>
      </c>
      <c r="AD174" s="391">
        <f t="shared" si="2"/>
        <v>334.81185185185183</v>
      </c>
    </row>
    <row r="175" spans="1:30">
      <c r="A175" s="398" t="s">
        <v>474</v>
      </c>
      <c r="B175" s="366" t="s">
        <v>193</v>
      </c>
      <c r="C175" s="366">
        <v>220.94</v>
      </c>
      <c r="D175" s="366">
        <v>249.77</v>
      </c>
      <c r="E175" s="366">
        <v>249.77</v>
      </c>
      <c r="F175" s="366">
        <v>165.42</v>
      </c>
      <c r="G175" s="366">
        <v>316.24</v>
      </c>
      <c r="H175" s="366">
        <v>342.44</v>
      </c>
      <c r="I175" s="366">
        <v>367.88</v>
      </c>
      <c r="J175" s="366">
        <v>125.87</v>
      </c>
      <c r="K175" s="366">
        <v>305.54000000000002</v>
      </c>
      <c r="L175" s="366">
        <v>239.98</v>
      </c>
      <c r="M175" s="366">
        <v>286.04000000000002</v>
      </c>
      <c r="N175" s="366">
        <v>226.92</v>
      </c>
      <c r="O175" s="366">
        <v>518.53</v>
      </c>
      <c r="P175" s="366">
        <v>279.11</v>
      </c>
      <c r="Q175" s="366">
        <v>116.43</v>
      </c>
      <c r="R175" s="366">
        <v>257.55</v>
      </c>
      <c r="S175" s="366">
        <v>295.77999999999997</v>
      </c>
      <c r="T175" s="366">
        <v>257.55</v>
      </c>
      <c r="U175" s="366">
        <v>337.27</v>
      </c>
      <c r="V175" s="366">
        <v>391.18</v>
      </c>
      <c r="W175" s="366">
        <v>146.97</v>
      </c>
      <c r="X175" s="366">
        <v>414.12</v>
      </c>
      <c r="Y175" s="366">
        <v>177.03</v>
      </c>
      <c r="Z175" s="366">
        <v>769.55</v>
      </c>
      <c r="AA175" s="366">
        <v>421.9</v>
      </c>
      <c r="AB175" s="366">
        <v>241.77</v>
      </c>
      <c r="AC175" s="366">
        <v>286.23</v>
      </c>
      <c r="AD175" s="391">
        <f t="shared" si="2"/>
        <v>296.58444444444444</v>
      </c>
    </row>
    <row r="176" spans="1:30">
      <c r="A176" s="398" t="s">
        <v>474</v>
      </c>
      <c r="B176" s="366" t="s">
        <v>194</v>
      </c>
      <c r="C176" s="366">
        <v>288.54000000000002</v>
      </c>
      <c r="D176" s="366">
        <v>173.01</v>
      </c>
      <c r="E176" s="366">
        <v>173.01</v>
      </c>
      <c r="F176" s="366">
        <v>294.06</v>
      </c>
      <c r="G176" s="366">
        <v>330.96</v>
      </c>
      <c r="H176" s="366">
        <v>265.68</v>
      </c>
      <c r="I176" s="366">
        <v>355.87</v>
      </c>
      <c r="J176" s="366">
        <v>254.51</v>
      </c>
      <c r="K176" s="366">
        <v>133.69999999999999</v>
      </c>
      <c r="L176" s="366">
        <v>307.58</v>
      </c>
      <c r="M176" s="366">
        <v>114.2</v>
      </c>
      <c r="N176" s="366">
        <v>293.95</v>
      </c>
      <c r="O176" s="366">
        <v>506.52</v>
      </c>
      <c r="P176" s="366">
        <v>107.27</v>
      </c>
      <c r="Q176" s="366">
        <v>245.07</v>
      </c>
      <c r="R176" s="366">
        <v>85.71</v>
      </c>
      <c r="S176" s="366">
        <v>123.94</v>
      </c>
      <c r="T176" s="366">
        <v>85.71</v>
      </c>
      <c r="U176" s="366">
        <v>260.51</v>
      </c>
      <c r="V176" s="366">
        <v>458.78</v>
      </c>
      <c r="W176" s="366">
        <v>275.61</v>
      </c>
      <c r="X176" s="366">
        <v>402.11</v>
      </c>
      <c r="Y176" s="366">
        <v>100.27</v>
      </c>
      <c r="Z176" s="366">
        <v>686.48</v>
      </c>
      <c r="AA176" s="366">
        <v>250.06</v>
      </c>
      <c r="AB176" s="366">
        <v>69.930000000000007</v>
      </c>
      <c r="AC176" s="366">
        <v>353.83</v>
      </c>
      <c r="AD176" s="391">
        <f t="shared" si="2"/>
        <v>259.14333333333332</v>
      </c>
    </row>
    <row r="177" spans="1:30">
      <c r="A177" s="398" t="s">
        <v>474</v>
      </c>
      <c r="B177" s="366" t="s">
        <v>195</v>
      </c>
      <c r="C177" s="366">
        <v>739.3</v>
      </c>
      <c r="D177" s="366">
        <v>589.30999999999995</v>
      </c>
      <c r="E177" s="366">
        <v>589.30999999999995</v>
      </c>
      <c r="F177" s="366">
        <v>510.17</v>
      </c>
      <c r="G177" s="366">
        <v>359.14</v>
      </c>
      <c r="H177" s="366">
        <v>716.44</v>
      </c>
      <c r="I177" s="366">
        <v>205.2</v>
      </c>
      <c r="J177" s="366">
        <v>450.66</v>
      </c>
      <c r="K177" s="366">
        <v>325.32</v>
      </c>
      <c r="L177" s="366">
        <v>758.34</v>
      </c>
      <c r="M177" s="366">
        <v>386.31</v>
      </c>
      <c r="N177" s="366">
        <v>352.13</v>
      </c>
      <c r="O177" s="366">
        <v>91.15</v>
      </c>
      <c r="P177" s="366">
        <v>367.63</v>
      </c>
      <c r="Q177" s="366">
        <v>460.1</v>
      </c>
      <c r="R177" s="366">
        <v>365.05</v>
      </c>
      <c r="S177" s="366">
        <v>341.86</v>
      </c>
      <c r="T177" s="366">
        <v>365.05</v>
      </c>
      <c r="U177" s="366">
        <v>711.27</v>
      </c>
      <c r="V177" s="366">
        <v>909.54</v>
      </c>
      <c r="W177" s="366">
        <v>432.97</v>
      </c>
      <c r="X177" s="366">
        <v>158.96</v>
      </c>
      <c r="Y177" s="366">
        <v>511.63</v>
      </c>
      <c r="Z177" s="366">
        <v>342.17</v>
      </c>
      <c r="AA177" s="366">
        <v>235.21</v>
      </c>
      <c r="AB177" s="366">
        <v>450.05</v>
      </c>
      <c r="AC177" s="366">
        <v>804.59</v>
      </c>
      <c r="AD177" s="391">
        <f t="shared" si="2"/>
        <v>464.03185185185168</v>
      </c>
    </row>
    <row r="178" spans="1:30">
      <c r="A178" s="398" t="s">
        <v>474</v>
      </c>
      <c r="B178" s="366" t="s">
        <v>196</v>
      </c>
      <c r="C178" s="366">
        <v>297.04000000000002</v>
      </c>
      <c r="D178" s="366">
        <v>114.41</v>
      </c>
      <c r="E178" s="366">
        <v>114.41</v>
      </c>
      <c r="F178" s="366">
        <v>302.56</v>
      </c>
      <c r="G178" s="366">
        <v>355.1</v>
      </c>
      <c r="H178" s="366">
        <v>263.60000000000002</v>
      </c>
      <c r="I178" s="366">
        <v>380.01</v>
      </c>
      <c r="J178" s="366">
        <v>263.01</v>
      </c>
      <c r="K178" s="366">
        <v>157.84</v>
      </c>
      <c r="L178" s="366">
        <v>316.08</v>
      </c>
      <c r="M178" s="366">
        <v>138.34</v>
      </c>
      <c r="N178" s="366">
        <v>318.08999999999997</v>
      </c>
      <c r="O178" s="366">
        <v>530.66</v>
      </c>
      <c r="P178" s="366">
        <v>131.41</v>
      </c>
      <c r="Q178" s="366">
        <v>253.57</v>
      </c>
      <c r="R178" s="366">
        <v>109.85</v>
      </c>
      <c r="S178" s="366">
        <v>148.08000000000001</v>
      </c>
      <c r="T178" s="366">
        <v>109.85</v>
      </c>
      <c r="U178" s="366">
        <v>258.43</v>
      </c>
      <c r="V178" s="366">
        <v>467.28</v>
      </c>
      <c r="W178" s="366">
        <v>284.11</v>
      </c>
      <c r="X178" s="366">
        <v>426.25</v>
      </c>
      <c r="Y178" s="366">
        <v>36.729999999999997</v>
      </c>
      <c r="Z178" s="366">
        <v>710.62</v>
      </c>
      <c r="AA178" s="366">
        <v>274.2</v>
      </c>
      <c r="AB178" s="366">
        <v>94.07</v>
      </c>
      <c r="AC178" s="366">
        <v>356.15</v>
      </c>
      <c r="AD178" s="391">
        <f t="shared" si="2"/>
        <v>267.10185185185179</v>
      </c>
    </row>
    <row r="179" spans="1:30">
      <c r="A179" s="398" t="s">
        <v>474</v>
      </c>
      <c r="B179" s="366" t="s">
        <v>21</v>
      </c>
      <c r="C179" s="366">
        <v>955.81</v>
      </c>
      <c r="D179" s="366">
        <v>825.03</v>
      </c>
      <c r="E179" s="366">
        <v>825.03</v>
      </c>
      <c r="F179" s="366">
        <v>706.64</v>
      </c>
      <c r="G179" s="366">
        <v>555.61</v>
      </c>
      <c r="H179" s="366">
        <v>952.16</v>
      </c>
      <c r="I179" s="366">
        <v>401.67</v>
      </c>
      <c r="J179" s="366">
        <v>647.13</v>
      </c>
      <c r="K179" s="366">
        <v>561.04</v>
      </c>
      <c r="L179" s="366">
        <v>974.85</v>
      </c>
      <c r="M179" s="366">
        <v>622.03</v>
      </c>
      <c r="N179" s="366">
        <v>548.6</v>
      </c>
      <c r="O179" s="366">
        <v>287.62</v>
      </c>
      <c r="P179" s="366">
        <v>603.35</v>
      </c>
      <c r="Q179" s="366">
        <v>656.57</v>
      </c>
      <c r="R179" s="366">
        <v>600.77</v>
      </c>
      <c r="S179" s="366">
        <v>577.58000000000004</v>
      </c>
      <c r="T179" s="366">
        <v>600.77</v>
      </c>
      <c r="U179" s="366">
        <v>946.99</v>
      </c>
      <c r="V179" s="366">
        <v>1126.05</v>
      </c>
      <c r="W179" s="366">
        <v>629.44000000000005</v>
      </c>
      <c r="X179" s="366">
        <v>355.43</v>
      </c>
      <c r="Y179" s="366">
        <v>747.35</v>
      </c>
      <c r="Z179" s="366">
        <v>0</v>
      </c>
      <c r="AA179" s="366">
        <v>470.93</v>
      </c>
      <c r="AB179" s="366">
        <v>685.77</v>
      </c>
      <c r="AC179" s="366">
        <v>1021.1</v>
      </c>
      <c r="AD179" s="391">
        <f t="shared" si="2"/>
        <v>662.41925925925921</v>
      </c>
    </row>
    <row r="180" spans="1:30">
      <c r="A180" s="398" t="s">
        <v>474</v>
      </c>
      <c r="B180" s="366" t="s">
        <v>197</v>
      </c>
      <c r="C180" s="366">
        <v>955.81</v>
      </c>
      <c r="D180" s="366">
        <v>825.03</v>
      </c>
      <c r="E180" s="366">
        <v>825.03</v>
      </c>
      <c r="F180" s="366">
        <v>706.64</v>
      </c>
      <c r="G180" s="366">
        <v>555.61</v>
      </c>
      <c r="H180" s="366">
        <v>952.16</v>
      </c>
      <c r="I180" s="366">
        <v>401.67</v>
      </c>
      <c r="J180" s="366">
        <v>647.13</v>
      </c>
      <c r="K180" s="366">
        <v>561.04</v>
      </c>
      <c r="L180" s="366">
        <v>974.85</v>
      </c>
      <c r="M180" s="366">
        <v>622.03</v>
      </c>
      <c r="N180" s="366">
        <v>548.6</v>
      </c>
      <c r="O180" s="366">
        <v>287.62</v>
      </c>
      <c r="P180" s="366">
        <v>603.35</v>
      </c>
      <c r="Q180" s="366">
        <v>656.57</v>
      </c>
      <c r="R180" s="366">
        <v>600.77</v>
      </c>
      <c r="S180" s="366">
        <v>577.58000000000004</v>
      </c>
      <c r="T180" s="366">
        <v>600.77</v>
      </c>
      <c r="U180" s="366">
        <v>946.99</v>
      </c>
      <c r="V180" s="366">
        <v>1126.05</v>
      </c>
      <c r="W180" s="366">
        <v>629.44000000000005</v>
      </c>
      <c r="X180" s="366">
        <v>355.43</v>
      </c>
      <c r="Y180" s="366">
        <v>747.35</v>
      </c>
      <c r="Z180" s="366">
        <v>0</v>
      </c>
      <c r="AA180" s="366">
        <v>470.93</v>
      </c>
      <c r="AB180" s="366">
        <v>685.77</v>
      </c>
      <c r="AC180" s="366">
        <v>1021.1</v>
      </c>
      <c r="AD180" s="391">
        <f t="shared" si="2"/>
        <v>662.41925925925921</v>
      </c>
    </row>
    <row r="181" spans="1:30">
      <c r="A181" s="398" t="s">
        <v>474</v>
      </c>
      <c r="B181" s="366" t="s">
        <v>198</v>
      </c>
      <c r="C181" s="366">
        <v>955.81</v>
      </c>
      <c r="D181" s="366">
        <v>825.03</v>
      </c>
      <c r="E181" s="366">
        <v>825.03</v>
      </c>
      <c r="F181" s="366">
        <v>706.64</v>
      </c>
      <c r="G181" s="366">
        <v>555.61</v>
      </c>
      <c r="H181" s="366">
        <v>952.16</v>
      </c>
      <c r="I181" s="366">
        <v>401.67</v>
      </c>
      <c r="J181" s="366">
        <v>647.13</v>
      </c>
      <c r="K181" s="366">
        <v>561.04</v>
      </c>
      <c r="L181" s="366">
        <v>974.85</v>
      </c>
      <c r="M181" s="366">
        <v>622.03</v>
      </c>
      <c r="N181" s="366">
        <v>548.6</v>
      </c>
      <c r="O181" s="366">
        <v>287.62</v>
      </c>
      <c r="P181" s="366">
        <v>603.35</v>
      </c>
      <c r="Q181" s="366">
        <v>656.57</v>
      </c>
      <c r="R181" s="366">
        <v>600.77</v>
      </c>
      <c r="S181" s="366">
        <v>577.58000000000004</v>
      </c>
      <c r="T181" s="366">
        <v>600.77</v>
      </c>
      <c r="U181" s="366">
        <v>946.99</v>
      </c>
      <c r="V181" s="366">
        <v>1126.05</v>
      </c>
      <c r="W181" s="366">
        <v>629.44000000000005</v>
      </c>
      <c r="X181" s="366">
        <v>355.43</v>
      </c>
      <c r="Y181" s="366">
        <v>747.35</v>
      </c>
      <c r="Z181" s="366">
        <v>0</v>
      </c>
      <c r="AA181" s="366">
        <v>470.93</v>
      </c>
      <c r="AB181" s="366">
        <v>685.77</v>
      </c>
      <c r="AC181" s="366">
        <v>1021.1</v>
      </c>
      <c r="AD181" s="391">
        <f t="shared" si="2"/>
        <v>662.41925925925921</v>
      </c>
    </row>
    <row r="182" spans="1:30">
      <c r="A182" s="398" t="s">
        <v>474</v>
      </c>
      <c r="B182" s="366" t="s">
        <v>199</v>
      </c>
      <c r="C182" s="366">
        <v>298.31</v>
      </c>
      <c r="D182" s="366">
        <v>170.03</v>
      </c>
      <c r="E182" s="366">
        <v>170.03</v>
      </c>
      <c r="F182" s="366">
        <v>303.83</v>
      </c>
      <c r="G182" s="366">
        <v>435.81</v>
      </c>
      <c r="H182" s="366">
        <v>197.07</v>
      </c>
      <c r="I182" s="366">
        <v>460.72</v>
      </c>
      <c r="J182" s="366">
        <v>264.27999999999997</v>
      </c>
      <c r="K182" s="366">
        <v>238.55</v>
      </c>
      <c r="L182" s="366">
        <v>317.35000000000002</v>
      </c>
      <c r="M182" s="366">
        <v>219.05</v>
      </c>
      <c r="N182" s="366">
        <v>365.33</v>
      </c>
      <c r="O182" s="366">
        <v>611.37</v>
      </c>
      <c r="P182" s="366">
        <v>212.12</v>
      </c>
      <c r="Q182" s="366">
        <v>254.84</v>
      </c>
      <c r="R182" s="366">
        <v>190.56</v>
      </c>
      <c r="S182" s="366">
        <v>228.79</v>
      </c>
      <c r="T182" s="366">
        <v>190.56</v>
      </c>
      <c r="U182" s="366">
        <v>155.66</v>
      </c>
      <c r="V182" s="366">
        <v>468.55</v>
      </c>
      <c r="W182" s="366">
        <v>285.38</v>
      </c>
      <c r="X182" s="366">
        <v>506.96</v>
      </c>
      <c r="Y182" s="366">
        <v>66.040000000000006</v>
      </c>
      <c r="Z182" s="366">
        <v>791.33</v>
      </c>
      <c r="AA182" s="366">
        <v>354.91</v>
      </c>
      <c r="AB182" s="366">
        <v>174.78</v>
      </c>
      <c r="AC182" s="366">
        <v>289.62</v>
      </c>
      <c r="AD182" s="391">
        <f t="shared" si="2"/>
        <v>304.51222222222231</v>
      </c>
    </row>
    <row r="183" spans="1:30">
      <c r="A183" s="398" t="s">
        <v>474</v>
      </c>
      <c r="B183" s="366" t="s">
        <v>200</v>
      </c>
      <c r="C183" s="366">
        <v>373.2</v>
      </c>
      <c r="D183" s="366">
        <v>223.21</v>
      </c>
      <c r="E183" s="366">
        <v>223.21</v>
      </c>
      <c r="F183" s="366">
        <v>378.72</v>
      </c>
      <c r="G183" s="366">
        <v>310.86</v>
      </c>
      <c r="H183" s="366">
        <v>350.34</v>
      </c>
      <c r="I183" s="366">
        <v>299.91000000000003</v>
      </c>
      <c r="J183" s="366">
        <v>339.17</v>
      </c>
      <c r="K183" s="366">
        <v>69.48</v>
      </c>
      <c r="L183" s="366">
        <v>392.24</v>
      </c>
      <c r="M183" s="366">
        <v>49.98</v>
      </c>
      <c r="N183" s="366">
        <v>273.85000000000002</v>
      </c>
      <c r="O183" s="366">
        <v>450.56</v>
      </c>
      <c r="P183" s="366">
        <v>43.05</v>
      </c>
      <c r="Q183" s="366">
        <v>329.73</v>
      </c>
      <c r="R183" s="366">
        <v>99.73</v>
      </c>
      <c r="S183" s="366">
        <v>59.72</v>
      </c>
      <c r="T183" s="366">
        <v>99.73</v>
      </c>
      <c r="U183" s="366">
        <v>345.17</v>
      </c>
      <c r="V183" s="366">
        <v>543.44000000000005</v>
      </c>
      <c r="W183" s="366">
        <v>354.69</v>
      </c>
      <c r="X183" s="366">
        <v>346.15</v>
      </c>
      <c r="Y183" s="366">
        <v>145.53</v>
      </c>
      <c r="Z183" s="366">
        <v>630.52</v>
      </c>
      <c r="AA183" s="366">
        <v>194.1</v>
      </c>
      <c r="AB183" s="366">
        <v>83.95</v>
      </c>
      <c r="AC183" s="366">
        <v>438.49</v>
      </c>
      <c r="AD183" s="391">
        <f t="shared" si="2"/>
        <v>275.87888888888887</v>
      </c>
    </row>
    <row r="184" spans="1:30">
      <c r="A184" s="398" t="s">
        <v>474</v>
      </c>
      <c r="B184" s="366" t="s">
        <v>201</v>
      </c>
      <c r="C184" s="366">
        <v>425.46</v>
      </c>
      <c r="D184" s="366">
        <v>188.39</v>
      </c>
      <c r="E184" s="366">
        <v>188.39</v>
      </c>
      <c r="F184" s="366">
        <v>430.98</v>
      </c>
      <c r="G184" s="366">
        <v>562.96</v>
      </c>
      <c r="H184" s="366">
        <v>290.93</v>
      </c>
      <c r="I184" s="366">
        <v>587.87</v>
      </c>
      <c r="J184" s="366">
        <v>391.43</v>
      </c>
      <c r="K184" s="366">
        <v>365.7</v>
      </c>
      <c r="L184" s="366">
        <v>444.5</v>
      </c>
      <c r="M184" s="366">
        <v>346.2</v>
      </c>
      <c r="N184" s="366">
        <v>492.48</v>
      </c>
      <c r="O184" s="366">
        <v>738.52</v>
      </c>
      <c r="P184" s="366">
        <v>339.27</v>
      </c>
      <c r="Q184" s="366">
        <v>381.99</v>
      </c>
      <c r="R184" s="366">
        <v>317.70999999999998</v>
      </c>
      <c r="S184" s="366">
        <v>355.94</v>
      </c>
      <c r="T184" s="366">
        <v>317.70999999999998</v>
      </c>
      <c r="U184" s="366">
        <v>28.51</v>
      </c>
      <c r="V184" s="366">
        <v>595.70000000000005</v>
      </c>
      <c r="W184" s="366">
        <v>412.53</v>
      </c>
      <c r="X184" s="366">
        <v>634.11</v>
      </c>
      <c r="Y184" s="366">
        <v>193.19</v>
      </c>
      <c r="Z184" s="366">
        <v>918.48</v>
      </c>
      <c r="AA184" s="366">
        <v>482.06</v>
      </c>
      <c r="AB184" s="366">
        <v>301.93</v>
      </c>
      <c r="AC184" s="366">
        <v>383.48</v>
      </c>
      <c r="AD184" s="391">
        <f t="shared" si="2"/>
        <v>411.71925925925927</v>
      </c>
    </row>
    <row r="185" spans="1:30">
      <c r="A185" s="398" t="s">
        <v>474</v>
      </c>
      <c r="B185" s="366" t="s">
        <v>202</v>
      </c>
      <c r="C185" s="366">
        <v>327.01</v>
      </c>
      <c r="D185" s="366">
        <v>211.48</v>
      </c>
      <c r="E185" s="366">
        <v>211.48</v>
      </c>
      <c r="F185" s="366">
        <v>332.53</v>
      </c>
      <c r="G185" s="366">
        <v>369.43</v>
      </c>
      <c r="H185" s="366">
        <v>304.14999999999998</v>
      </c>
      <c r="I185" s="366">
        <v>394.34</v>
      </c>
      <c r="J185" s="366">
        <v>292.98</v>
      </c>
      <c r="K185" s="366">
        <v>172.17</v>
      </c>
      <c r="L185" s="366">
        <v>346.05</v>
      </c>
      <c r="M185" s="366">
        <v>152.66999999999999</v>
      </c>
      <c r="N185" s="366">
        <v>332.42</v>
      </c>
      <c r="O185" s="366">
        <v>544.99</v>
      </c>
      <c r="P185" s="366">
        <v>145.74</v>
      </c>
      <c r="Q185" s="366">
        <v>283.54000000000002</v>
      </c>
      <c r="R185" s="366">
        <v>124.18</v>
      </c>
      <c r="S185" s="366">
        <v>162.41</v>
      </c>
      <c r="T185" s="366">
        <v>124.18</v>
      </c>
      <c r="U185" s="366">
        <v>298.98</v>
      </c>
      <c r="V185" s="366">
        <v>497.25</v>
      </c>
      <c r="W185" s="366">
        <v>314.08</v>
      </c>
      <c r="X185" s="366">
        <v>440.58</v>
      </c>
      <c r="Y185" s="366">
        <v>138.74</v>
      </c>
      <c r="Z185" s="366">
        <v>724.95</v>
      </c>
      <c r="AA185" s="366">
        <v>288.52999999999997</v>
      </c>
      <c r="AB185" s="366">
        <v>108.4</v>
      </c>
      <c r="AC185" s="366">
        <v>392.3</v>
      </c>
      <c r="AD185" s="391">
        <f t="shared" si="2"/>
        <v>297.61333333333334</v>
      </c>
    </row>
    <row r="186" spans="1:30">
      <c r="A186" s="398" t="s">
        <v>474</v>
      </c>
      <c r="B186" s="366" t="s">
        <v>203</v>
      </c>
      <c r="C186" s="366">
        <v>600.38</v>
      </c>
      <c r="D186" s="366">
        <v>540.66</v>
      </c>
      <c r="E186" s="366">
        <v>540.66</v>
      </c>
      <c r="F186" s="366">
        <v>351.21</v>
      </c>
      <c r="G186" s="366">
        <v>200.18</v>
      </c>
      <c r="H186" s="366">
        <v>667.79</v>
      </c>
      <c r="I186" s="366">
        <v>46.24</v>
      </c>
      <c r="J186" s="366">
        <v>291.7</v>
      </c>
      <c r="K186" s="366">
        <v>276.67</v>
      </c>
      <c r="L186" s="366">
        <v>619.41999999999996</v>
      </c>
      <c r="M186" s="366">
        <v>337.66</v>
      </c>
      <c r="N186" s="366">
        <v>193.17</v>
      </c>
      <c r="O186" s="366">
        <v>104.41</v>
      </c>
      <c r="P186" s="366">
        <v>318.98</v>
      </c>
      <c r="Q186" s="366">
        <v>301.14</v>
      </c>
      <c r="R186" s="366">
        <v>316.39999999999998</v>
      </c>
      <c r="S186" s="366">
        <v>293.20999999999998</v>
      </c>
      <c r="T186" s="366">
        <v>316.39999999999998</v>
      </c>
      <c r="U186" s="366">
        <v>662.62</v>
      </c>
      <c r="V186" s="366">
        <v>770.62</v>
      </c>
      <c r="W186" s="366">
        <v>274.01</v>
      </c>
      <c r="X186" s="366">
        <v>0</v>
      </c>
      <c r="Y186" s="366">
        <v>462.98</v>
      </c>
      <c r="Z186" s="366">
        <v>355.43</v>
      </c>
      <c r="AA186" s="366">
        <v>186.56</v>
      </c>
      <c r="AB186" s="366">
        <v>401.4</v>
      </c>
      <c r="AC186" s="366">
        <v>665.67</v>
      </c>
      <c r="AD186" s="391">
        <f t="shared" si="2"/>
        <v>373.90999999999991</v>
      </c>
    </row>
    <row r="187" spans="1:30">
      <c r="A187" s="398" t="s">
        <v>474</v>
      </c>
      <c r="B187" s="366" t="s">
        <v>204</v>
      </c>
      <c r="C187" s="366">
        <v>126.04</v>
      </c>
      <c r="D187" s="366">
        <v>240.43</v>
      </c>
      <c r="E187" s="366">
        <v>240.43</v>
      </c>
      <c r="F187" s="366">
        <v>225.64</v>
      </c>
      <c r="G187" s="366">
        <v>376.46</v>
      </c>
      <c r="H187" s="366">
        <v>283.88</v>
      </c>
      <c r="I187" s="366">
        <v>428.1</v>
      </c>
      <c r="J187" s="366">
        <v>186.09</v>
      </c>
      <c r="K187" s="366">
        <v>296.2</v>
      </c>
      <c r="L187" s="366">
        <v>145.08000000000001</v>
      </c>
      <c r="M187" s="366">
        <v>276.7</v>
      </c>
      <c r="N187" s="366">
        <v>287.14</v>
      </c>
      <c r="O187" s="366">
        <v>578.75</v>
      </c>
      <c r="P187" s="366">
        <v>269.77</v>
      </c>
      <c r="Q187" s="366">
        <v>176.65</v>
      </c>
      <c r="R187" s="366">
        <v>248.21</v>
      </c>
      <c r="S187" s="366">
        <v>286.44</v>
      </c>
      <c r="T187" s="366">
        <v>248.21</v>
      </c>
      <c r="U187" s="366">
        <v>327.93</v>
      </c>
      <c r="V187" s="366">
        <v>296.27999999999997</v>
      </c>
      <c r="W187" s="366">
        <v>207.19</v>
      </c>
      <c r="X187" s="366">
        <v>474.34</v>
      </c>
      <c r="Y187" s="366">
        <v>167.69</v>
      </c>
      <c r="Z187" s="366">
        <v>829.77</v>
      </c>
      <c r="AA187" s="366">
        <v>412.56</v>
      </c>
      <c r="AB187" s="366">
        <v>232.43</v>
      </c>
      <c r="AC187" s="366">
        <v>191.33</v>
      </c>
      <c r="AD187" s="391">
        <f t="shared" si="2"/>
        <v>298.50888888888886</v>
      </c>
    </row>
    <row r="188" spans="1:30">
      <c r="A188" s="398" t="s">
        <v>474</v>
      </c>
      <c r="B188" s="366" t="s">
        <v>205</v>
      </c>
      <c r="C188" s="366">
        <v>312.23</v>
      </c>
      <c r="D188" s="366">
        <v>332.54</v>
      </c>
      <c r="E188" s="366">
        <v>332.54</v>
      </c>
      <c r="F188" s="366">
        <v>59.61</v>
      </c>
      <c r="G188" s="366">
        <v>193.72</v>
      </c>
      <c r="H188" s="366">
        <v>425.21</v>
      </c>
      <c r="I188" s="366">
        <v>245.36</v>
      </c>
      <c r="J188" s="366">
        <v>0.1</v>
      </c>
      <c r="K188" s="366">
        <v>360.46</v>
      </c>
      <c r="L188" s="366">
        <v>331.27</v>
      </c>
      <c r="M188" s="366">
        <v>363.79</v>
      </c>
      <c r="N188" s="366">
        <v>104.4</v>
      </c>
      <c r="O188" s="366">
        <v>396.01</v>
      </c>
      <c r="P188" s="366">
        <v>345.11</v>
      </c>
      <c r="Q188" s="366">
        <v>9.5399999999999991</v>
      </c>
      <c r="R188" s="366">
        <v>306.67</v>
      </c>
      <c r="S188" s="366">
        <v>350.7</v>
      </c>
      <c r="T188" s="366">
        <v>306.67</v>
      </c>
      <c r="U188" s="366">
        <v>420.04</v>
      </c>
      <c r="V188" s="366">
        <v>482.47</v>
      </c>
      <c r="W188" s="366">
        <v>24.45</v>
      </c>
      <c r="X188" s="366">
        <v>291.60000000000002</v>
      </c>
      <c r="Y188" s="366">
        <v>259.8</v>
      </c>
      <c r="Z188" s="366">
        <v>647.03</v>
      </c>
      <c r="AA188" s="366">
        <v>320.52999999999997</v>
      </c>
      <c r="AB188" s="366">
        <v>324.54000000000002</v>
      </c>
      <c r="AC188" s="366">
        <v>377.52</v>
      </c>
      <c r="AD188" s="391">
        <f t="shared" si="2"/>
        <v>293.47814814814814</v>
      </c>
    </row>
    <row r="189" spans="1:30">
      <c r="A189" s="398" t="s">
        <v>474</v>
      </c>
      <c r="B189" s="366" t="s">
        <v>206</v>
      </c>
      <c r="C189" s="366">
        <v>283.51</v>
      </c>
      <c r="D189" s="366">
        <v>100.88</v>
      </c>
      <c r="E189" s="366">
        <v>100.88</v>
      </c>
      <c r="F189" s="366">
        <v>289.02999999999997</v>
      </c>
      <c r="G189" s="366">
        <v>368.63</v>
      </c>
      <c r="H189" s="366">
        <v>250.07</v>
      </c>
      <c r="I189" s="366">
        <v>393.54</v>
      </c>
      <c r="J189" s="366">
        <v>249.48</v>
      </c>
      <c r="K189" s="366">
        <v>171.37</v>
      </c>
      <c r="L189" s="366">
        <v>302.55</v>
      </c>
      <c r="M189" s="366">
        <v>151.87</v>
      </c>
      <c r="N189" s="366">
        <v>331.62</v>
      </c>
      <c r="O189" s="366">
        <v>544.19000000000005</v>
      </c>
      <c r="P189" s="366">
        <v>144.94</v>
      </c>
      <c r="Q189" s="366">
        <v>240.04</v>
      </c>
      <c r="R189" s="366">
        <v>123.38</v>
      </c>
      <c r="S189" s="366">
        <v>161.61000000000001</v>
      </c>
      <c r="T189" s="366">
        <v>123.38</v>
      </c>
      <c r="U189" s="366">
        <v>244.9</v>
      </c>
      <c r="V189" s="366">
        <v>453.75</v>
      </c>
      <c r="W189" s="366">
        <v>270.58</v>
      </c>
      <c r="X189" s="366">
        <v>439.78</v>
      </c>
      <c r="Y189" s="366">
        <v>23.2</v>
      </c>
      <c r="Z189" s="366">
        <v>724.15</v>
      </c>
      <c r="AA189" s="366">
        <v>287.73</v>
      </c>
      <c r="AB189" s="366">
        <v>107.6</v>
      </c>
      <c r="AC189" s="366">
        <v>342.62</v>
      </c>
      <c r="AD189" s="391">
        <f t="shared" si="2"/>
        <v>267.60296296296298</v>
      </c>
    </row>
    <row r="190" spans="1:30">
      <c r="A190" s="398" t="s">
        <v>474</v>
      </c>
      <c r="B190" s="366" t="s">
        <v>207</v>
      </c>
      <c r="C190" s="366">
        <v>283.51</v>
      </c>
      <c r="D190" s="366">
        <v>100.88</v>
      </c>
      <c r="E190" s="366">
        <v>100.88</v>
      </c>
      <c r="F190" s="366">
        <v>289.02999999999997</v>
      </c>
      <c r="G190" s="366">
        <v>368.63</v>
      </c>
      <c r="H190" s="366">
        <v>250.07</v>
      </c>
      <c r="I190" s="366">
        <v>393.54</v>
      </c>
      <c r="J190" s="366">
        <v>249.48</v>
      </c>
      <c r="K190" s="366">
        <v>171.37</v>
      </c>
      <c r="L190" s="366">
        <v>302.55</v>
      </c>
      <c r="M190" s="366">
        <v>151.87</v>
      </c>
      <c r="N190" s="366">
        <v>331.62</v>
      </c>
      <c r="O190" s="366">
        <v>544.19000000000005</v>
      </c>
      <c r="P190" s="366">
        <v>144.94</v>
      </c>
      <c r="Q190" s="366">
        <v>240.04</v>
      </c>
      <c r="R190" s="366">
        <v>123.38</v>
      </c>
      <c r="S190" s="366">
        <v>161.61000000000001</v>
      </c>
      <c r="T190" s="366">
        <v>123.38</v>
      </c>
      <c r="U190" s="366">
        <v>244.9</v>
      </c>
      <c r="V190" s="366">
        <v>453.75</v>
      </c>
      <c r="W190" s="366">
        <v>270.58</v>
      </c>
      <c r="X190" s="366">
        <v>439.78</v>
      </c>
      <c r="Y190" s="366">
        <v>23.2</v>
      </c>
      <c r="Z190" s="366">
        <v>724.15</v>
      </c>
      <c r="AA190" s="366">
        <v>287.73</v>
      </c>
      <c r="AB190" s="366">
        <v>107.6</v>
      </c>
      <c r="AC190" s="366">
        <v>342.62</v>
      </c>
      <c r="AD190" s="391">
        <f t="shared" si="2"/>
        <v>267.60296296296298</v>
      </c>
    </row>
    <row r="191" spans="1:30">
      <c r="A191" s="398" t="s">
        <v>474</v>
      </c>
      <c r="B191" s="366" t="s">
        <v>208</v>
      </c>
      <c r="C191" s="366">
        <v>473.91</v>
      </c>
      <c r="D191" s="366">
        <v>236.84</v>
      </c>
      <c r="E191" s="366">
        <v>236.84</v>
      </c>
      <c r="F191" s="366">
        <v>479.43</v>
      </c>
      <c r="G191" s="366">
        <v>611.41</v>
      </c>
      <c r="H191" s="366">
        <v>339.38</v>
      </c>
      <c r="I191" s="366">
        <v>636.32000000000005</v>
      </c>
      <c r="J191" s="366">
        <v>439.88</v>
      </c>
      <c r="K191" s="366">
        <v>414.15</v>
      </c>
      <c r="L191" s="366">
        <v>492.95</v>
      </c>
      <c r="M191" s="366">
        <v>394.65</v>
      </c>
      <c r="N191" s="366">
        <v>540.92999999999995</v>
      </c>
      <c r="O191" s="366">
        <v>786.97</v>
      </c>
      <c r="P191" s="366">
        <v>387.72</v>
      </c>
      <c r="Q191" s="366">
        <v>430.44</v>
      </c>
      <c r="R191" s="366">
        <v>366.16</v>
      </c>
      <c r="S191" s="366">
        <v>404.39</v>
      </c>
      <c r="T191" s="366">
        <v>366.16</v>
      </c>
      <c r="U191" s="366">
        <v>59.16</v>
      </c>
      <c r="V191" s="366">
        <v>644.15</v>
      </c>
      <c r="W191" s="366">
        <v>460.98</v>
      </c>
      <c r="X191" s="366">
        <v>682.56</v>
      </c>
      <c r="Y191" s="366">
        <v>241.64</v>
      </c>
      <c r="Z191" s="366">
        <v>966.93</v>
      </c>
      <c r="AA191" s="366">
        <v>530.51</v>
      </c>
      <c r="AB191" s="366">
        <v>350.38</v>
      </c>
      <c r="AC191" s="366">
        <v>431.93</v>
      </c>
      <c r="AD191" s="391">
        <f t="shared" si="2"/>
        <v>459.50999999999993</v>
      </c>
    </row>
    <row r="192" spans="1:30">
      <c r="A192" s="398" t="s">
        <v>474</v>
      </c>
      <c r="B192" s="366" t="s">
        <v>209</v>
      </c>
      <c r="C192" s="366">
        <v>538.76</v>
      </c>
      <c r="D192" s="366">
        <v>388.77</v>
      </c>
      <c r="E192" s="366">
        <v>388.77</v>
      </c>
      <c r="F192" s="366">
        <v>380.3</v>
      </c>
      <c r="G192" s="366">
        <v>259.27</v>
      </c>
      <c r="H192" s="366">
        <v>515.9</v>
      </c>
      <c r="I192" s="366">
        <v>140.47999999999999</v>
      </c>
      <c r="J192" s="366">
        <v>320.79000000000002</v>
      </c>
      <c r="K192" s="366">
        <v>124.78</v>
      </c>
      <c r="L192" s="366">
        <v>557.79999999999995</v>
      </c>
      <c r="M192" s="366">
        <v>185.77</v>
      </c>
      <c r="N192" s="366">
        <v>222.26</v>
      </c>
      <c r="O192" s="366">
        <v>291.13</v>
      </c>
      <c r="P192" s="366">
        <v>167.09</v>
      </c>
      <c r="Q192" s="366">
        <v>330.23</v>
      </c>
      <c r="R192" s="366">
        <v>164.51</v>
      </c>
      <c r="S192" s="366">
        <v>141.32</v>
      </c>
      <c r="T192" s="366">
        <v>164.51</v>
      </c>
      <c r="U192" s="366">
        <v>510.73</v>
      </c>
      <c r="V192" s="366">
        <v>709</v>
      </c>
      <c r="W192" s="366">
        <v>303.10000000000002</v>
      </c>
      <c r="X192" s="366">
        <v>186.72</v>
      </c>
      <c r="Y192" s="366">
        <v>311.08999999999997</v>
      </c>
      <c r="Z192" s="366">
        <v>471.09</v>
      </c>
      <c r="AA192" s="366">
        <v>0.16</v>
      </c>
      <c r="AB192" s="366">
        <v>249.51</v>
      </c>
      <c r="AC192" s="366">
        <v>604.04999999999995</v>
      </c>
      <c r="AD192" s="391">
        <f t="shared" si="2"/>
        <v>319.55148148148152</v>
      </c>
    </row>
    <row r="193" spans="1:30">
      <c r="A193" s="398" t="s">
        <v>474</v>
      </c>
      <c r="B193" s="366" t="s">
        <v>210</v>
      </c>
      <c r="C193" s="366">
        <v>538.6</v>
      </c>
      <c r="D193" s="366">
        <v>388.61</v>
      </c>
      <c r="E193" s="366">
        <v>388.61</v>
      </c>
      <c r="F193" s="366">
        <v>380.14</v>
      </c>
      <c r="G193" s="366">
        <v>259.11</v>
      </c>
      <c r="H193" s="366">
        <v>515.74</v>
      </c>
      <c r="I193" s="366">
        <v>140.32</v>
      </c>
      <c r="J193" s="366">
        <v>320.63</v>
      </c>
      <c r="K193" s="366">
        <v>124.62</v>
      </c>
      <c r="L193" s="366">
        <v>557.64</v>
      </c>
      <c r="M193" s="366">
        <v>185.61</v>
      </c>
      <c r="N193" s="366">
        <v>222.1</v>
      </c>
      <c r="O193" s="366">
        <v>290.97000000000003</v>
      </c>
      <c r="P193" s="366">
        <v>166.93</v>
      </c>
      <c r="Q193" s="366">
        <v>330.07</v>
      </c>
      <c r="R193" s="366">
        <v>164.35</v>
      </c>
      <c r="S193" s="366">
        <v>141.16</v>
      </c>
      <c r="T193" s="366">
        <v>164.35</v>
      </c>
      <c r="U193" s="366">
        <v>510.57</v>
      </c>
      <c r="V193" s="366">
        <v>708.84</v>
      </c>
      <c r="W193" s="366">
        <v>302.94</v>
      </c>
      <c r="X193" s="366">
        <v>186.56</v>
      </c>
      <c r="Y193" s="366">
        <v>310.93</v>
      </c>
      <c r="Z193" s="366">
        <v>470.93</v>
      </c>
      <c r="AA193" s="366">
        <v>0</v>
      </c>
      <c r="AB193" s="366">
        <v>249.35</v>
      </c>
      <c r="AC193" s="366">
        <v>603.89</v>
      </c>
      <c r="AD193" s="391">
        <f t="shared" si="2"/>
        <v>319.39148148148155</v>
      </c>
    </row>
    <row r="194" spans="1:30">
      <c r="A194" s="398" t="s">
        <v>474</v>
      </c>
      <c r="B194" s="366" t="s">
        <v>211</v>
      </c>
      <c r="C194" s="366">
        <v>1.23</v>
      </c>
      <c r="D194" s="366">
        <v>365.24</v>
      </c>
      <c r="E194" s="366">
        <v>365.24</v>
      </c>
      <c r="F194" s="366">
        <v>350.45</v>
      </c>
      <c r="G194" s="366">
        <v>501.27</v>
      </c>
      <c r="H194" s="366">
        <v>207.65</v>
      </c>
      <c r="I194" s="366">
        <v>552.91</v>
      </c>
      <c r="J194" s="366">
        <v>310.89999999999998</v>
      </c>
      <c r="K194" s="366">
        <v>421.01</v>
      </c>
      <c r="L194" s="366">
        <v>225.89</v>
      </c>
      <c r="M194" s="366">
        <v>401.51</v>
      </c>
      <c r="N194" s="366">
        <v>411.95</v>
      </c>
      <c r="O194" s="366">
        <v>703.56</v>
      </c>
      <c r="P194" s="366">
        <v>394.58</v>
      </c>
      <c r="Q194" s="366">
        <v>301.45999999999998</v>
      </c>
      <c r="R194" s="366">
        <v>373.02</v>
      </c>
      <c r="S194" s="366">
        <v>411.25</v>
      </c>
      <c r="T194" s="366">
        <v>373.02</v>
      </c>
      <c r="U194" s="366">
        <v>452.74</v>
      </c>
      <c r="V194" s="366">
        <v>377.09</v>
      </c>
      <c r="W194" s="366">
        <v>332</v>
      </c>
      <c r="X194" s="366">
        <v>599.15</v>
      </c>
      <c r="Y194" s="366">
        <v>292.5</v>
      </c>
      <c r="Z194" s="366">
        <v>954.58</v>
      </c>
      <c r="AA194" s="366">
        <v>537.37</v>
      </c>
      <c r="AB194" s="366">
        <v>357.24</v>
      </c>
      <c r="AC194" s="366">
        <v>115.1</v>
      </c>
      <c r="AD194" s="391">
        <f t="shared" si="2"/>
        <v>395.92259259259259</v>
      </c>
    </row>
    <row r="195" spans="1:30">
      <c r="A195" s="398" t="s">
        <v>474</v>
      </c>
      <c r="B195" s="366" t="s">
        <v>212</v>
      </c>
      <c r="C195" s="366">
        <v>365.79</v>
      </c>
      <c r="D195" s="366">
        <v>215.8</v>
      </c>
      <c r="E195" s="366">
        <v>215.8</v>
      </c>
      <c r="F195" s="366">
        <v>371.31</v>
      </c>
      <c r="G195" s="366">
        <v>297.83</v>
      </c>
      <c r="H195" s="366">
        <v>342.93</v>
      </c>
      <c r="I195" s="366">
        <v>286.88</v>
      </c>
      <c r="J195" s="366">
        <v>331.76</v>
      </c>
      <c r="K195" s="366">
        <v>56.45</v>
      </c>
      <c r="L195" s="366">
        <v>384.83</v>
      </c>
      <c r="M195" s="366">
        <v>36.950000000000003</v>
      </c>
      <c r="N195" s="366">
        <v>260.82</v>
      </c>
      <c r="O195" s="366">
        <v>437.53</v>
      </c>
      <c r="P195" s="366">
        <v>30.02</v>
      </c>
      <c r="Q195" s="366">
        <v>322.32</v>
      </c>
      <c r="R195" s="366">
        <v>92.32</v>
      </c>
      <c r="S195" s="366">
        <v>46.69</v>
      </c>
      <c r="T195" s="366">
        <v>92.32</v>
      </c>
      <c r="U195" s="366">
        <v>337.76</v>
      </c>
      <c r="V195" s="366">
        <v>536.03</v>
      </c>
      <c r="W195" s="366">
        <v>341.66</v>
      </c>
      <c r="X195" s="366">
        <v>333.12</v>
      </c>
      <c r="Y195" s="366">
        <v>138.12</v>
      </c>
      <c r="Z195" s="366">
        <v>617.49</v>
      </c>
      <c r="AA195" s="366">
        <v>181.07</v>
      </c>
      <c r="AB195" s="366">
        <v>76.540000000000006</v>
      </c>
      <c r="AC195" s="366">
        <v>431.08</v>
      </c>
      <c r="AD195" s="391">
        <f t="shared" ref="AD195:AD223" si="3">AVERAGE(C195:AC195)</f>
        <v>265.9711111111111</v>
      </c>
    </row>
    <row r="196" spans="1:30">
      <c r="A196" s="398" t="s">
        <v>474</v>
      </c>
      <c r="B196" s="366" t="s">
        <v>213</v>
      </c>
      <c r="C196" s="366">
        <v>365.79</v>
      </c>
      <c r="D196" s="366">
        <v>215.8</v>
      </c>
      <c r="E196" s="366">
        <v>215.8</v>
      </c>
      <c r="F196" s="366">
        <v>371.31</v>
      </c>
      <c r="G196" s="366">
        <v>297.83</v>
      </c>
      <c r="H196" s="366">
        <v>342.93</v>
      </c>
      <c r="I196" s="366">
        <v>286.88</v>
      </c>
      <c r="J196" s="366">
        <v>331.76</v>
      </c>
      <c r="K196" s="366">
        <v>56.45</v>
      </c>
      <c r="L196" s="366">
        <v>384.83</v>
      </c>
      <c r="M196" s="366">
        <v>36.950000000000003</v>
      </c>
      <c r="N196" s="366">
        <v>260.82</v>
      </c>
      <c r="O196" s="366">
        <v>437.53</v>
      </c>
      <c r="P196" s="366">
        <v>30.02</v>
      </c>
      <c r="Q196" s="366">
        <v>322.32</v>
      </c>
      <c r="R196" s="366">
        <v>92.32</v>
      </c>
      <c r="S196" s="366">
        <v>46.69</v>
      </c>
      <c r="T196" s="366">
        <v>92.32</v>
      </c>
      <c r="U196" s="366">
        <v>337.76</v>
      </c>
      <c r="V196" s="366">
        <v>536.03</v>
      </c>
      <c r="W196" s="366">
        <v>341.66</v>
      </c>
      <c r="X196" s="366">
        <v>333.12</v>
      </c>
      <c r="Y196" s="366">
        <v>138.12</v>
      </c>
      <c r="Z196" s="366">
        <v>617.49</v>
      </c>
      <c r="AA196" s="366">
        <v>181.07</v>
      </c>
      <c r="AB196" s="366">
        <v>76.540000000000006</v>
      </c>
      <c r="AC196" s="366">
        <v>431.08</v>
      </c>
      <c r="AD196" s="391">
        <f t="shared" si="3"/>
        <v>265.9711111111111</v>
      </c>
    </row>
    <row r="197" spans="1:30">
      <c r="A197" s="398" t="s">
        <v>474</v>
      </c>
      <c r="B197" s="366" t="s">
        <v>214</v>
      </c>
      <c r="C197" s="366">
        <v>365.79</v>
      </c>
      <c r="D197" s="366">
        <v>215.8</v>
      </c>
      <c r="E197" s="366">
        <v>215.8</v>
      </c>
      <c r="F197" s="366">
        <v>371.31</v>
      </c>
      <c r="G197" s="366">
        <v>297.83</v>
      </c>
      <c r="H197" s="366">
        <v>342.93</v>
      </c>
      <c r="I197" s="366">
        <v>286.88</v>
      </c>
      <c r="J197" s="366">
        <v>331.76</v>
      </c>
      <c r="K197" s="366">
        <v>56.45</v>
      </c>
      <c r="L197" s="366">
        <v>384.83</v>
      </c>
      <c r="M197" s="366">
        <v>36.950000000000003</v>
      </c>
      <c r="N197" s="366">
        <v>260.82</v>
      </c>
      <c r="O197" s="366">
        <v>437.53</v>
      </c>
      <c r="P197" s="366">
        <v>30.02</v>
      </c>
      <c r="Q197" s="366">
        <v>322.32</v>
      </c>
      <c r="R197" s="366">
        <v>92.32</v>
      </c>
      <c r="S197" s="366">
        <v>46.69</v>
      </c>
      <c r="T197" s="366">
        <v>92.32</v>
      </c>
      <c r="U197" s="366">
        <v>337.76</v>
      </c>
      <c r="V197" s="366">
        <v>536.03</v>
      </c>
      <c r="W197" s="366">
        <v>341.66</v>
      </c>
      <c r="X197" s="366">
        <v>333.12</v>
      </c>
      <c r="Y197" s="366">
        <v>138.12</v>
      </c>
      <c r="Z197" s="366">
        <v>617.49</v>
      </c>
      <c r="AA197" s="366">
        <v>181.07</v>
      </c>
      <c r="AB197" s="366">
        <v>76.540000000000006</v>
      </c>
      <c r="AC197" s="366">
        <v>431.08</v>
      </c>
      <c r="AD197" s="391">
        <f t="shared" si="3"/>
        <v>265.9711111111111</v>
      </c>
    </row>
    <row r="198" spans="1:30">
      <c r="A198" s="398" t="s">
        <v>474</v>
      </c>
      <c r="B198" s="366" t="s">
        <v>215</v>
      </c>
      <c r="C198" s="366">
        <v>504.04</v>
      </c>
      <c r="D198" s="366">
        <v>354.05</v>
      </c>
      <c r="E198" s="366">
        <v>354.05</v>
      </c>
      <c r="F198" s="366">
        <v>327.41000000000003</v>
      </c>
      <c r="G198" s="366">
        <v>206.38</v>
      </c>
      <c r="H198" s="366">
        <v>481.18</v>
      </c>
      <c r="I198" s="366">
        <v>148.21</v>
      </c>
      <c r="J198" s="366">
        <v>267.89999999999998</v>
      </c>
      <c r="K198" s="366">
        <v>132.91</v>
      </c>
      <c r="L198" s="366">
        <v>523.08000000000004</v>
      </c>
      <c r="M198" s="366">
        <v>186.91</v>
      </c>
      <c r="N198" s="366">
        <v>169.37</v>
      </c>
      <c r="O198" s="366">
        <v>298.86</v>
      </c>
      <c r="P198" s="366">
        <v>168.23</v>
      </c>
      <c r="Q198" s="366">
        <v>277.33999999999997</v>
      </c>
      <c r="R198" s="366">
        <v>129.79</v>
      </c>
      <c r="S198" s="366">
        <v>149.44999999999999</v>
      </c>
      <c r="T198" s="366">
        <v>129.79</v>
      </c>
      <c r="U198" s="366">
        <v>476.01</v>
      </c>
      <c r="V198" s="366">
        <v>674.28</v>
      </c>
      <c r="W198" s="366">
        <v>250.21</v>
      </c>
      <c r="X198" s="366">
        <v>194.45</v>
      </c>
      <c r="Y198" s="366">
        <v>276.37</v>
      </c>
      <c r="Z198" s="366">
        <v>478.82</v>
      </c>
      <c r="AA198" s="366">
        <v>52.73</v>
      </c>
      <c r="AB198" s="366">
        <v>214.79</v>
      </c>
      <c r="AC198" s="366">
        <v>569.33000000000004</v>
      </c>
      <c r="AD198" s="391">
        <f t="shared" si="3"/>
        <v>296.14592592592589</v>
      </c>
    </row>
    <row r="199" spans="1:30">
      <c r="A199" s="398" t="s">
        <v>474</v>
      </c>
      <c r="B199" s="366" t="s">
        <v>216</v>
      </c>
      <c r="C199" s="366">
        <v>430.87</v>
      </c>
      <c r="D199" s="366">
        <v>193.8</v>
      </c>
      <c r="E199" s="366">
        <v>193.8</v>
      </c>
      <c r="F199" s="366">
        <v>436.39</v>
      </c>
      <c r="G199" s="366">
        <v>568.37</v>
      </c>
      <c r="H199" s="366">
        <v>296.33999999999997</v>
      </c>
      <c r="I199" s="366">
        <v>593.28</v>
      </c>
      <c r="J199" s="366">
        <v>396.84</v>
      </c>
      <c r="K199" s="366">
        <v>371.11</v>
      </c>
      <c r="L199" s="366">
        <v>449.91</v>
      </c>
      <c r="M199" s="366">
        <v>351.61</v>
      </c>
      <c r="N199" s="366">
        <v>497.89</v>
      </c>
      <c r="O199" s="366">
        <v>743.93</v>
      </c>
      <c r="P199" s="366">
        <v>344.68</v>
      </c>
      <c r="Q199" s="366">
        <v>387.4</v>
      </c>
      <c r="R199" s="366">
        <v>323.12</v>
      </c>
      <c r="S199" s="366">
        <v>361.35</v>
      </c>
      <c r="T199" s="366">
        <v>323.12</v>
      </c>
      <c r="U199" s="366">
        <v>23.1</v>
      </c>
      <c r="V199" s="366">
        <v>601.11</v>
      </c>
      <c r="W199" s="366">
        <v>417.94</v>
      </c>
      <c r="X199" s="366">
        <v>639.52</v>
      </c>
      <c r="Y199" s="366">
        <v>198.6</v>
      </c>
      <c r="Z199" s="366">
        <v>923.89</v>
      </c>
      <c r="AA199" s="366">
        <v>487.47</v>
      </c>
      <c r="AB199" s="366">
        <v>307.33999999999997</v>
      </c>
      <c r="AC199" s="366">
        <v>388.89</v>
      </c>
      <c r="AD199" s="391">
        <f t="shared" si="3"/>
        <v>416.72851851851851</v>
      </c>
    </row>
    <row r="200" spans="1:30">
      <c r="A200" s="398" t="s">
        <v>474</v>
      </c>
      <c r="B200" s="366" t="s">
        <v>217</v>
      </c>
      <c r="C200" s="366">
        <v>252.56</v>
      </c>
      <c r="D200" s="366">
        <v>410.95</v>
      </c>
      <c r="E200" s="366">
        <v>410.95</v>
      </c>
      <c r="F200" s="366">
        <v>396.16</v>
      </c>
      <c r="G200" s="366">
        <v>546.98</v>
      </c>
      <c r="H200" s="366">
        <v>410.4</v>
      </c>
      <c r="I200" s="366">
        <v>598.62</v>
      </c>
      <c r="J200" s="366">
        <v>356.61</v>
      </c>
      <c r="K200" s="366">
        <v>466.72</v>
      </c>
      <c r="L200" s="366">
        <v>25.44</v>
      </c>
      <c r="M200" s="366">
        <v>447.22</v>
      </c>
      <c r="N200" s="366">
        <v>457.66</v>
      </c>
      <c r="O200" s="366">
        <v>749.27</v>
      </c>
      <c r="P200" s="366">
        <v>440.29</v>
      </c>
      <c r="Q200" s="366">
        <v>347.17</v>
      </c>
      <c r="R200" s="366">
        <v>418.73</v>
      </c>
      <c r="S200" s="366">
        <v>456.96</v>
      </c>
      <c r="T200" s="366">
        <v>418.73</v>
      </c>
      <c r="U200" s="366">
        <v>498.45</v>
      </c>
      <c r="V200" s="366">
        <v>125.76</v>
      </c>
      <c r="W200" s="366">
        <v>377.71</v>
      </c>
      <c r="X200" s="366">
        <v>644.86</v>
      </c>
      <c r="Y200" s="366">
        <v>338.21</v>
      </c>
      <c r="Z200" s="366">
        <v>1000.29</v>
      </c>
      <c r="AA200" s="366">
        <v>583.08000000000004</v>
      </c>
      <c r="AB200" s="366">
        <v>402.95</v>
      </c>
      <c r="AC200" s="366">
        <v>317.85000000000002</v>
      </c>
      <c r="AD200" s="391">
        <f t="shared" si="3"/>
        <v>440.76222222222214</v>
      </c>
    </row>
    <row r="201" spans="1:30">
      <c r="A201" s="398" t="s">
        <v>474</v>
      </c>
      <c r="B201" s="366" t="s">
        <v>218</v>
      </c>
      <c r="C201" s="366">
        <v>566.83000000000004</v>
      </c>
      <c r="D201" s="366">
        <v>416.84</v>
      </c>
      <c r="E201" s="366">
        <v>416.84</v>
      </c>
      <c r="F201" s="366">
        <v>382.55</v>
      </c>
      <c r="G201" s="366">
        <v>231.52</v>
      </c>
      <c r="H201" s="366">
        <v>543.97</v>
      </c>
      <c r="I201" s="366">
        <v>77.58</v>
      </c>
      <c r="J201" s="366">
        <v>323.04000000000002</v>
      </c>
      <c r="K201" s="366">
        <v>152.85</v>
      </c>
      <c r="L201" s="366">
        <v>585.87</v>
      </c>
      <c r="M201" s="366">
        <v>213.84</v>
      </c>
      <c r="N201" s="366">
        <v>224.51</v>
      </c>
      <c r="O201" s="366">
        <v>228.23</v>
      </c>
      <c r="P201" s="366">
        <v>195.16</v>
      </c>
      <c r="Q201" s="366">
        <v>332.48</v>
      </c>
      <c r="R201" s="366">
        <v>192.58</v>
      </c>
      <c r="S201" s="366">
        <v>169.39</v>
      </c>
      <c r="T201" s="366">
        <v>192.58</v>
      </c>
      <c r="U201" s="366">
        <v>538.79999999999995</v>
      </c>
      <c r="V201" s="366">
        <v>737.07</v>
      </c>
      <c r="W201" s="366">
        <v>305.35000000000002</v>
      </c>
      <c r="X201" s="366">
        <v>123.82</v>
      </c>
      <c r="Y201" s="366">
        <v>339.16</v>
      </c>
      <c r="Z201" s="366">
        <v>465.17</v>
      </c>
      <c r="AA201" s="366">
        <v>62.74</v>
      </c>
      <c r="AB201" s="366">
        <v>277.58</v>
      </c>
      <c r="AC201" s="366">
        <v>632.12</v>
      </c>
      <c r="AD201" s="391">
        <f t="shared" si="3"/>
        <v>330.68407407407403</v>
      </c>
    </row>
    <row r="202" spans="1:30">
      <c r="A202" s="398" t="s">
        <v>474</v>
      </c>
      <c r="B202" s="366" t="s">
        <v>219</v>
      </c>
      <c r="C202" s="366">
        <v>433.37</v>
      </c>
      <c r="D202" s="366">
        <v>283.38</v>
      </c>
      <c r="E202" s="366">
        <v>283.38</v>
      </c>
      <c r="F202" s="366">
        <v>307.16000000000003</v>
      </c>
      <c r="G202" s="366">
        <v>186.13</v>
      </c>
      <c r="H202" s="366">
        <v>410.51</v>
      </c>
      <c r="I202" s="366">
        <v>211.04</v>
      </c>
      <c r="J202" s="366">
        <v>247.65</v>
      </c>
      <c r="K202" s="366">
        <v>112.91</v>
      </c>
      <c r="L202" s="366">
        <v>452.41</v>
      </c>
      <c r="M202" s="366">
        <v>116.24</v>
      </c>
      <c r="N202" s="366">
        <v>149.12</v>
      </c>
      <c r="O202" s="366">
        <v>361.69</v>
      </c>
      <c r="P202" s="366">
        <v>97.56</v>
      </c>
      <c r="Q202" s="366">
        <v>257.08999999999997</v>
      </c>
      <c r="R202" s="366">
        <v>59.12</v>
      </c>
      <c r="S202" s="366">
        <v>103.15</v>
      </c>
      <c r="T202" s="366">
        <v>59.12</v>
      </c>
      <c r="U202" s="366">
        <v>405.34</v>
      </c>
      <c r="V202" s="366">
        <v>603.61</v>
      </c>
      <c r="W202" s="366">
        <v>229.96</v>
      </c>
      <c r="X202" s="366">
        <v>257.27999999999997</v>
      </c>
      <c r="Y202" s="366">
        <v>205.7</v>
      </c>
      <c r="Z202" s="366">
        <v>541.65</v>
      </c>
      <c r="AA202" s="366">
        <v>105.23</v>
      </c>
      <c r="AB202" s="366">
        <v>144.12</v>
      </c>
      <c r="AC202" s="366">
        <v>498.66</v>
      </c>
      <c r="AD202" s="391">
        <f t="shared" si="3"/>
        <v>263.7992592592592</v>
      </c>
    </row>
    <row r="203" spans="1:30">
      <c r="A203" s="398" t="s">
        <v>474</v>
      </c>
      <c r="B203" s="366" t="s">
        <v>239</v>
      </c>
      <c r="C203" s="366">
        <v>333.23</v>
      </c>
      <c r="D203" s="366">
        <v>353.54</v>
      </c>
      <c r="E203" s="366">
        <v>353.54</v>
      </c>
      <c r="F203" s="366">
        <v>84.06</v>
      </c>
      <c r="G203" s="366">
        <v>176.13</v>
      </c>
      <c r="H203" s="366">
        <v>446.21</v>
      </c>
      <c r="I203" s="366">
        <v>227.77</v>
      </c>
      <c r="J203" s="366">
        <v>24.55</v>
      </c>
      <c r="K203" s="366">
        <v>342.87</v>
      </c>
      <c r="L203" s="366">
        <v>352.27</v>
      </c>
      <c r="M203" s="366">
        <v>346.2</v>
      </c>
      <c r="N203" s="366">
        <v>86.81</v>
      </c>
      <c r="O203" s="366">
        <v>378.42</v>
      </c>
      <c r="P203" s="366">
        <v>327.52</v>
      </c>
      <c r="Q203" s="366">
        <v>33.99</v>
      </c>
      <c r="R203" s="366">
        <v>289.08</v>
      </c>
      <c r="S203" s="366">
        <v>333.11</v>
      </c>
      <c r="T203" s="366">
        <v>289.08</v>
      </c>
      <c r="U203" s="366">
        <v>441.04</v>
      </c>
      <c r="V203" s="366">
        <v>503.47</v>
      </c>
      <c r="W203" s="366">
        <v>0</v>
      </c>
      <c r="X203" s="366">
        <v>274.01</v>
      </c>
      <c r="Y203" s="366">
        <v>280.8</v>
      </c>
      <c r="Z203" s="366">
        <v>629.44000000000005</v>
      </c>
      <c r="AA203" s="366">
        <v>302.94</v>
      </c>
      <c r="AB203" s="366">
        <v>345.54</v>
      </c>
      <c r="AC203" s="366">
        <v>398.52</v>
      </c>
      <c r="AD203" s="391">
        <f t="shared" si="3"/>
        <v>294.59777777777776</v>
      </c>
    </row>
    <row r="204" spans="1:30">
      <c r="A204" s="398" t="s">
        <v>474</v>
      </c>
      <c r="B204" s="366" t="s">
        <v>220</v>
      </c>
      <c r="C204" s="366">
        <v>290.58</v>
      </c>
      <c r="D204" s="366">
        <v>175.63</v>
      </c>
      <c r="E204" s="366">
        <v>175.63</v>
      </c>
      <c r="F204" s="366">
        <v>199.24</v>
      </c>
      <c r="G204" s="366">
        <v>350.06</v>
      </c>
      <c r="H204" s="366">
        <v>268.3</v>
      </c>
      <c r="I204" s="366">
        <v>401.7</v>
      </c>
      <c r="J204" s="366">
        <v>159.69</v>
      </c>
      <c r="K204" s="366">
        <v>231.4</v>
      </c>
      <c r="L204" s="366">
        <v>309.62</v>
      </c>
      <c r="M204" s="366">
        <v>211.9</v>
      </c>
      <c r="N204" s="366">
        <v>260.74</v>
      </c>
      <c r="O204" s="366">
        <v>552.35</v>
      </c>
      <c r="P204" s="366">
        <v>204.97</v>
      </c>
      <c r="Q204" s="366">
        <v>150.25</v>
      </c>
      <c r="R204" s="366">
        <v>183.41</v>
      </c>
      <c r="S204" s="366">
        <v>221.64</v>
      </c>
      <c r="T204" s="366">
        <v>183.41</v>
      </c>
      <c r="U204" s="366">
        <v>263.13</v>
      </c>
      <c r="V204" s="366">
        <v>460.82</v>
      </c>
      <c r="W204" s="366">
        <v>180.79</v>
      </c>
      <c r="X204" s="366">
        <v>447.94</v>
      </c>
      <c r="Y204" s="366">
        <v>102.89</v>
      </c>
      <c r="Z204" s="366">
        <v>784.18</v>
      </c>
      <c r="AA204" s="366">
        <v>347.76</v>
      </c>
      <c r="AB204" s="366">
        <v>167.63</v>
      </c>
      <c r="AC204" s="366">
        <v>355.87</v>
      </c>
      <c r="AD204" s="391">
        <f t="shared" si="3"/>
        <v>283.01962962962961</v>
      </c>
    </row>
    <row r="205" spans="1:30">
      <c r="A205" s="398" t="s">
        <v>474</v>
      </c>
      <c r="B205" s="366" t="s">
        <v>221</v>
      </c>
      <c r="C205" s="366">
        <v>378.47</v>
      </c>
      <c r="D205" s="366">
        <v>536.86</v>
      </c>
      <c r="E205" s="366">
        <v>536.86</v>
      </c>
      <c r="F205" s="366">
        <v>522.07000000000005</v>
      </c>
      <c r="G205" s="366">
        <v>672.89</v>
      </c>
      <c r="H205" s="366">
        <v>536.30999999999995</v>
      </c>
      <c r="I205" s="366">
        <v>724.53</v>
      </c>
      <c r="J205" s="366">
        <v>482.52</v>
      </c>
      <c r="K205" s="366">
        <v>592.63</v>
      </c>
      <c r="L205" s="366">
        <v>151.35</v>
      </c>
      <c r="M205" s="366">
        <v>573.13</v>
      </c>
      <c r="N205" s="366">
        <v>583.57000000000005</v>
      </c>
      <c r="O205" s="366">
        <v>875.18</v>
      </c>
      <c r="P205" s="366">
        <v>566.20000000000005</v>
      </c>
      <c r="Q205" s="366">
        <v>473.08</v>
      </c>
      <c r="R205" s="366">
        <v>544.64</v>
      </c>
      <c r="S205" s="366">
        <v>582.87</v>
      </c>
      <c r="T205" s="366">
        <v>544.64</v>
      </c>
      <c r="U205" s="366">
        <v>624.36</v>
      </c>
      <c r="V205" s="366">
        <v>0.15</v>
      </c>
      <c r="W205" s="366">
        <v>503.62</v>
      </c>
      <c r="X205" s="366">
        <v>770.77</v>
      </c>
      <c r="Y205" s="366">
        <v>464.12</v>
      </c>
      <c r="Z205" s="366">
        <v>1126.2</v>
      </c>
      <c r="AA205" s="366">
        <v>708.99</v>
      </c>
      <c r="AB205" s="366">
        <v>528.86</v>
      </c>
      <c r="AC205" s="366">
        <v>443.76</v>
      </c>
      <c r="AD205" s="391">
        <f t="shared" si="3"/>
        <v>557.3566666666668</v>
      </c>
    </row>
    <row r="206" spans="1:30">
      <c r="A206" s="398" t="s">
        <v>474</v>
      </c>
      <c r="B206" s="366" t="s">
        <v>222</v>
      </c>
      <c r="C206" s="366">
        <v>341.77</v>
      </c>
      <c r="D206" s="366">
        <v>191.78</v>
      </c>
      <c r="E206" s="366">
        <v>191.78</v>
      </c>
      <c r="F206" s="366">
        <v>347.29</v>
      </c>
      <c r="G206" s="366">
        <v>313.55</v>
      </c>
      <c r="H206" s="366">
        <v>318.91000000000003</v>
      </c>
      <c r="I206" s="366">
        <v>311.33999999999997</v>
      </c>
      <c r="J206" s="366">
        <v>307.74</v>
      </c>
      <c r="K206" s="366">
        <v>80.91</v>
      </c>
      <c r="L206" s="366">
        <v>360.81</v>
      </c>
      <c r="M206" s="366">
        <v>61.41</v>
      </c>
      <c r="N206" s="366">
        <v>276.54000000000002</v>
      </c>
      <c r="O206" s="366">
        <v>461.99</v>
      </c>
      <c r="P206" s="366">
        <v>54.48</v>
      </c>
      <c r="Q206" s="366">
        <v>298.3</v>
      </c>
      <c r="R206" s="366">
        <v>68.3</v>
      </c>
      <c r="S206" s="366">
        <v>71.150000000000006</v>
      </c>
      <c r="T206" s="366">
        <v>68.3</v>
      </c>
      <c r="U206" s="366">
        <v>313.74</v>
      </c>
      <c r="V206" s="366">
        <v>512.01</v>
      </c>
      <c r="W206" s="366">
        <v>328.84</v>
      </c>
      <c r="X206" s="366">
        <v>357.58</v>
      </c>
      <c r="Y206" s="366">
        <v>114.1</v>
      </c>
      <c r="Z206" s="366">
        <v>641.95000000000005</v>
      </c>
      <c r="AA206" s="366">
        <v>205.53</v>
      </c>
      <c r="AB206" s="366">
        <v>52.52</v>
      </c>
      <c r="AC206" s="366">
        <v>407.06</v>
      </c>
      <c r="AD206" s="391">
        <f t="shared" si="3"/>
        <v>261.46962962962965</v>
      </c>
    </row>
    <row r="207" spans="1:30">
      <c r="A207" s="398" t="s">
        <v>474</v>
      </c>
      <c r="B207" s="366" t="s">
        <v>223</v>
      </c>
      <c r="C207" s="366">
        <v>329.8</v>
      </c>
      <c r="D207" s="366">
        <v>350.11</v>
      </c>
      <c r="E207" s="366">
        <v>350.11</v>
      </c>
      <c r="F207" s="366">
        <v>80.63</v>
      </c>
      <c r="G207" s="366">
        <v>172.7</v>
      </c>
      <c r="H207" s="366">
        <v>442.78</v>
      </c>
      <c r="I207" s="366">
        <v>224.34</v>
      </c>
      <c r="J207" s="366">
        <v>21.12</v>
      </c>
      <c r="K207" s="366">
        <v>339.44</v>
      </c>
      <c r="L207" s="366">
        <v>348.84</v>
      </c>
      <c r="M207" s="366">
        <v>342.77</v>
      </c>
      <c r="N207" s="366">
        <v>83.38</v>
      </c>
      <c r="O207" s="366">
        <v>374.99</v>
      </c>
      <c r="P207" s="366">
        <v>324.08999999999997</v>
      </c>
      <c r="Q207" s="366">
        <v>30.56</v>
      </c>
      <c r="R207" s="366">
        <v>285.64999999999998</v>
      </c>
      <c r="S207" s="366">
        <v>329.68</v>
      </c>
      <c r="T207" s="366">
        <v>285.64999999999998</v>
      </c>
      <c r="U207" s="366">
        <v>437.61</v>
      </c>
      <c r="V207" s="366">
        <v>500.04</v>
      </c>
      <c r="W207" s="366">
        <v>3.43</v>
      </c>
      <c r="X207" s="366">
        <v>270.58</v>
      </c>
      <c r="Y207" s="366">
        <v>277.37</v>
      </c>
      <c r="Z207" s="366">
        <v>626.01</v>
      </c>
      <c r="AA207" s="366">
        <v>299.51</v>
      </c>
      <c r="AB207" s="366">
        <v>342.11</v>
      </c>
      <c r="AC207" s="366">
        <v>395.09</v>
      </c>
      <c r="AD207" s="391">
        <f t="shared" si="3"/>
        <v>291.42185185185184</v>
      </c>
    </row>
    <row r="208" spans="1:30">
      <c r="A208" s="398" t="s">
        <v>474</v>
      </c>
      <c r="B208" s="366" t="s">
        <v>224</v>
      </c>
      <c r="C208" s="366">
        <v>356.56</v>
      </c>
      <c r="D208" s="366">
        <v>206.57</v>
      </c>
      <c r="E208" s="366">
        <v>206.57</v>
      </c>
      <c r="F208" s="366">
        <v>362.08</v>
      </c>
      <c r="G208" s="366">
        <v>262.94</v>
      </c>
      <c r="H208" s="366">
        <v>333.7</v>
      </c>
      <c r="I208" s="366">
        <v>287.85000000000002</v>
      </c>
      <c r="J208" s="366">
        <v>322.52999999999997</v>
      </c>
      <c r="K208" s="366">
        <v>126.26</v>
      </c>
      <c r="L208" s="366">
        <v>375.6</v>
      </c>
      <c r="M208" s="366">
        <v>111.58</v>
      </c>
      <c r="N208" s="366">
        <v>225.93</v>
      </c>
      <c r="O208" s="366">
        <v>438.5</v>
      </c>
      <c r="P208" s="366">
        <v>104.65</v>
      </c>
      <c r="Q208" s="366">
        <v>313.08999999999997</v>
      </c>
      <c r="R208" s="366">
        <v>17.690000000000001</v>
      </c>
      <c r="S208" s="366">
        <v>116.5</v>
      </c>
      <c r="T208" s="366">
        <v>17.690000000000001</v>
      </c>
      <c r="U208" s="366">
        <v>328.53</v>
      </c>
      <c r="V208" s="366">
        <v>526.79999999999995</v>
      </c>
      <c r="W208" s="366">
        <v>306.77</v>
      </c>
      <c r="X208" s="366">
        <v>334.09</v>
      </c>
      <c r="Y208" s="366">
        <v>128.88999999999999</v>
      </c>
      <c r="Z208" s="366">
        <v>618.46</v>
      </c>
      <c r="AA208" s="366">
        <v>182.04</v>
      </c>
      <c r="AB208" s="366">
        <v>67.31</v>
      </c>
      <c r="AC208" s="366">
        <v>421.85</v>
      </c>
      <c r="AD208" s="391">
        <f t="shared" si="3"/>
        <v>263.00111111111113</v>
      </c>
    </row>
    <row r="209" spans="1:30">
      <c r="A209" s="398" t="s">
        <v>474</v>
      </c>
      <c r="B209" s="366" t="s">
        <v>225</v>
      </c>
      <c r="C209" s="366">
        <v>291.38</v>
      </c>
      <c r="D209" s="366">
        <v>75.09</v>
      </c>
      <c r="E209" s="366">
        <v>75.09</v>
      </c>
      <c r="F209" s="366">
        <v>296.89999999999998</v>
      </c>
      <c r="G209" s="366">
        <v>394.42</v>
      </c>
      <c r="H209" s="366">
        <v>262.88</v>
      </c>
      <c r="I209" s="366">
        <v>419.33</v>
      </c>
      <c r="J209" s="366">
        <v>257.35000000000002</v>
      </c>
      <c r="K209" s="366">
        <v>197.16</v>
      </c>
      <c r="L209" s="366">
        <v>310.42</v>
      </c>
      <c r="M209" s="366">
        <v>177.66</v>
      </c>
      <c r="N209" s="366">
        <v>357.41</v>
      </c>
      <c r="O209" s="366">
        <v>569.98</v>
      </c>
      <c r="P209" s="366">
        <v>170.73</v>
      </c>
      <c r="Q209" s="366">
        <v>247.91</v>
      </c>
      <c r="R209" s="366">
        <v>149.16999999999999</v>
      </c>
      <c r="S209" s="366">
        <v>187.4</v>
      </c>
      <c r="T209" s="366">
        <v>149.16999999999999</v>
      </c>
      <c r="U209" s="366">
        <v>257.70999999999998</v>
      </c>
      <c r="V209" s="366">
        <v>461.62</v>
      </c>
      <c r="W209" s="366">
        <v>278.45</v>
      </c>
      <c r="X209" s="366">
        <v>465.57</v>
      </c>
      <c r="Y209" s="366">
        <v>36.01</v>
      </c>
      <c r="Z209" s="366">
        <v>749.94</v>
      </c>
      <c r="AA209" s="366">
        <v>313.52</v>
      </c>
      <c r="AB209" s="366">
        <v>133.38999999999999</v>
      </c>
      <c r="AC209" s="366">
        <v>355.43</v>
      </c>
      <c r="AD209" s="391">
        <f t="shared" si="3"/>
        <v>283.00333333333339</v>
      </c>
    </row>
    <row r="210" spans="1:30">
      <c r="A210" s="398" t="s">
        <v>474</v>
      </c>
      <c r="B210" s="366" t="s">
        <v>226</v>
      </c>
      <c r="C210" s="366">
        <v>347.74</v>
      </c>
      <c r="D210" s="366">
        <v>368.05</v>
      </c>
      <c r="E210" s="366">
        <v>368.05</v>
      </c>
      <c r="F210" s="366">
        <v>31.5</v>
      </c>
      <c r="G210" s="366">
        <v>249.39</v>
      </c>
      <c r="H210" s="366">
        <v>460.72</v>
      </c>
      <c r="I210" s="366">
        <v>301.02999999999997</v>
      </c>
      <c r="J210" s="366">
        <v>55.57</v>
      </c>
      <c r="K210" s="366">
        <v>416.13</v>
      </c>
      <c r="L210" s="366">
        <v>366.78</v>
      </c>
      <c r="M210" s="366">
        <v>404.32</v>
      </c>
      <c r="N210" s="366">
        <v>160.07</v>
      </c>
      <c r="O210" s="366">
        <v>451.68</v>
      </c>
      <c r="P210" s="366">
        <v>397.39</v>
      </c>
      <c r="Q210" s="366">
        <v>48.12</v>
      </c>
      <c r="R210" s="366">
        <v>362.34</v>
      </c>
      <c r="S210" s="366">
        <v>406.37</v>
      </c>
      <c r="T210" s="366">
        <v>362.34</v>
      </c>
      <c r="U210" s="366">
        <v>455.55</v>
      </c>
      <c r="V210" s="366">
        <v>517.98</v>
      </c>
      <c r="W210" s="366">
        <v>80.12</v>
      </c>
      <c r="X210" s="366">
        <v>347.27</v>
      </c>
      <c r="Y210" s="366">
        <v>295.31</v>
      </c>
      <c r="Z210" s="366">
        <v>702.7</v>
      </c>
      <c r="AA210" s="366">
        <v>376.2</v>
      </c>
      <c r="AB210" s="366">
        <v>360.05</v>
      </c>
      <c r="AC210" s="366">
        <v>413.03</v>
      </c>
      <c r="AD210" s="391">
        <f t="shared" si="3"/>
        <v>337.25185185185188</v>
      </c>
    </row>
    <row r="211" spans="1:30">
      <c r="A211" s="398" t="s">
        <v>474</v>
      </c>
      <c r="B211" s="366" t="s">
        <v>227</v>
      </c>
      <c r="C211" s="366">
        <v>347.74</v>
      </c>
      <c r="D211" s="366">
        <v>368.05</v>
      </c>
      <c r="E211" s="366">
        <v>368.05</v>
      </c>
      <c r="F211" s="366">
        <v>31.5</v>
      </c>
      <c r="G211" s="366">
        <v>249.39</v>
      </c>
      <c r="H211" s="366">
        <v>460.72</v>
      </c>
      <c r="I211" s="366">
        <v>301.02999999999997</v>
      </c>
      <c r="J211" s="366">
        <v>55.57</v>
      </c>
      <c r="K211" s="366">
        <v>416.13</v>
      </c>
      <c r="L211" s="366">
        <v>366.78</v>
      </c>
      <c r="M211" s="366">
        <v>404.32</v>
      </c>
      <c r="N211" s="366">
        <v>160.07</v>
      </c>
      <c r="O211" s="366">
        <v>451.68</v>
      </c>
      <c r="P211" s="366">
        <v>397.39</v>
      </c>
      <c r="Q211" s="366">
        <v>48.12</v>
      </c>
      <c r="R211" s="366">
        <v>362.34</v>
      </c>
      <c r="S211" s="366">
        <v>406.37</v>
      </c>
      <c r="T211" s="366">
        <v>362.34</v>
      </c>
      <c r="U211" s="366">
        <v>455.55</v>
      </c>
      <c r="V211" s="366">
        <v>517.98</v>
      </c>
      <c r="W211" s="366">
        <v>80.12</v>
      </c>
      <c r="X211" s="366">
        <v>347.27</v>
      </c>
      <c r="Y211" s="366">
        <v>295.31</v>
      </c>
      <c r="Z211" s="366">
        <v>702.7</v>
      </c>
      <c r="AA211" s="366">
        <v>376.2</v>
      </c>
      <c r="AB211" s="366">
        <v>360.05</v>
      </c>
      <c r="AC211" s="366">
        <v>413.03</v>
      </c>
      <c r="AD211" s="391">
        <f t="shared" si="3"/>
        <v>337.25185185185188</v>
      </c>
    </row>
    <row r="212" spans="1:30">
      <c r="A212" s="398" t="s">
        <v>474</v>
      </c>
      <c r="B212" s="366" t="s">
        <v>228</v>
      </c>
      <c r="C212" s="366">
        <v>347.74</v>
      </c>
      <c r="D212" s="366">
        <v>368.05</v>
      </c>
      <c r="E212" s="366">
        <v>368.05</v>
      </c>
      <c r="F212" s="366">
        <v>31.5</v>
      </c>
      <c r="G212" s="366">
        <v>249.39</v>
      </c>
      <c r="H212" s="366">
        <v>460.72</v>
      </c>
      <c r="I212" s="366">
        <v>301.02999999999997</v>
      </c>
      <c r="J212" s="366">
        <v>55.57</v>
      </c>
      <c r="K212" s="366">
        <v>416.13</v>
      </c>
      <c r="L212" s="366">
        <v>366.78</v>
      </c>
      <c r="M212" s="366">
        <v>404.32</v>
      </c>
      <c r="N212" s="366">
        <v>160.07</v>
      </c>
      <c r="O212" s="366">
        <v>451.68</v>
      </c>
      <c r="P212" s="366">
        <v>397.39</v>
      </c>
      <c r="Q212" s="366">
        <v>48.12</v>
      </c>
      <c r="R212" s="366">
        <v>362.34</v>
      </c>
      <c r="S212" s="366">
        <v>406.37</v>
      </c>
      <c r="T212" s="366">
        <v>362.34</v>
      </c>
      <c r="U212" s="366">
        <v>455.55</v>
      </c>
      <c r="V212" s="366">
        <v>517.98</v>
      </c>
      <c r="W212" s="366">
        <v>80.12</v>
      </c>
      <c r="X212" s="366">
        <v>347.27</v>
      </c>
      <c r="Y212" s="366">
        <v>295.31</v>
      </c>
      <c r="Z212" s="366">
        <v>702.7</v>
      </c>
      <c r="AA212" s="366">
        <v>376.2</v>
      </c>
      <c r="AB212" s="366">
        <v>360.05</v>
      </c>
      <c r="AC212" s="366">
        <v>413.03</v>
      </c>
      <c r="AD212" s="391">
        <f t="shared" si="3"/>
        <v>337.25185185185188</v>
      </c>
    </row>
    <row r="213" spans="1:30">
      <c r="A213" s="398" t="s">
        <v>474</v>
      </c>
      <c r="B213" s="366" t="s">
        <v>229</v>
      </c>
      <c r="C213" s="366">
        <v>535.62</v>
      </c>
      <c r="D213" s="366">
        <v>502.63</v>
      </c>
      <c r="E213" s="366">
        <v>502.63</v>
      </c>
      <c r="F213" s="366">
        <v>286.45</v>
      </c>
      <c r="G213" s="366">
        <v>135.41999999999999</v>
      </c>
      <c r="H213" s="366">
        <v>629.76</v>
      </c>
      <c r="I213" s="366">
        <v>18.52</v>
      </c>
      <c r="J213" s="366">
        <v>226.94</v>
      </c>
      <c r="K213" s="366">
        <v>248.95</v>
      </c>
      <c r="L213" s="366">
        <v>554.66</v>
      </c>
      <c r="M213" s="366">
        <v>309.94</v>
      </c>
      <c r="N213" s="366">
        <v>128.41</v>
      </c>
      <c r="O213" s="366">
        <v>169.17</v>
      </c>
      <c r="P213" s="366">
        <v>291.26</v>
      </c>
      <c r="Q213" s="366">
        <v>236.38</v>
      </c>
      <c r="R213" s="366">
        <v>278.37</v>
      </c>
      <c r="S213" s="366">
        <v>265.49</v>
      </c>
      <c r="T213" s="366">
        <v>278.37</v>
      </c>
      <c r="U213" s="366">
        <v>624.59</v>
      </c>
      <c r="V213" s="366">
        <v>705.86</v>
      </c>
      <c r="W213" s="366">
        <v>209.25</v>
      </c>
      <c r="X213" s="366">
        <v>64.760000000000005</v>
      </c>
      <c r="Y213" s="366">
        <v>424.95</v>
      </c>
      <c r="Z213" s="366">
        <v>420.19</v>
      </c>
      <c r="AA213" s="366">
        <v>158.84</v>
      </c>
      <c r="AB213" s="366">
        <v>363.37</v>
      </c>
      <c r="AC213" s="366">
        <v>600.91</v>
      </c>
      <c r="AD213" s="391">
        <f t="shared" si="3"/>
        <v>339.6922222222222</v>
      </c>
    </row>
    <row r="214" spans="1:30">
      <c r="A214" s="398" t="s">
        <v>474</v>
      </c>
      <c r="B214" s="366" t="s">
        <v>230</v>
      </c>
      <c r="C214" s="366">
        <v>345.85</v>
      </c>
      <c r="D214" s="366">
        <v>172.96</v>
      </c>
      <c r="E214" s="366">
        <v>172.96</v>
      </c>
      <c r="F214" s="366">
        <v>351.37</v>
      </c>
      <c r="G214" s="366">
        <v>483.35</v>
      </c>
      <c r="H214" s="366">
        <v>160.85</v>
      </c>
      <c r="I214" s="366">
        <v>508.26</v>
      </c>
      <c r="J214" s="366">
        <v>311.82</v>
      </c>
      <c r="K214" s="366">
        <v>286.08999999999997</v>
      </c>
      <c r="L214" s="366">
        <v>364.89</v>
      </c>
      <c r="M214" s="366">
        <v>266.58999999999997</v>
      </c>
      <c r="N214" s="366">
        <v>412.87</v>
      </c>
      <c r="O214" s="366">
        <v>658.91</v>
      </c>
      <c r="P214" s="366">
        <v>259.66000000000003</v>
      </c>
      <c r="Q214" s="366">
        <v>302.38</v>
      </c>
      <c r="R214" s="366">
        <v>238.1</v>
      </c>
      <c r="S214" s="366">
        <v>276.33</v>
      </c>
      <c r="T214" s="366">
        <v>238.1</v>
      </c>
      <c r="U214" s="366">
        <v>158.59</v>
      </c>
      <c r="V214" s="366">
        <v>516.09</v>
      </c>
      <c r="W214" s="366">
        <v>332.92</v>
      </c>
      <c r="X214" s="366">
        <v>554.5</v>
      </c>
      <c r="Y214" s="366">
        <v>113.58</v>
      </c>
      <c r="Z214" s="366">
        <v>838.87</v>
      </c>
      <c r="AA214" s="366">
        <v>402.45</v>
      </c>
      <c r="AB214" s="366">
        <v>222.32</v>
      </c>
      <c r="AC214" s="366">
        <v>253.4</v>
      </c>
      <c r="AD214" s="391">
        <f t="shared" si="3"/>
        <v>340.89111111111117</v>
      </c>
    </row>
    <row r="215" spans="1:30">
      <c r="A215" s="398" t="s">
        <v>474</v>
      </c>
      <c r="B215" s="366" t="s">
        <v>231</v>
      </c>
      <c r="C215" s="366">
        <v>302.14</v>
      </c>
      <c r="D215" s="366">
        <v>180.97</v>
      </c>
      <c r="E215" s="366">
        <v>180.97</v>
      </c>
      <c r="F215" s="366">
        <v>307.66000000000003</v>
      </c>
      <c r="G215" s="366">
        <v>439.64</v>
      </c>
      <c r="H215" s="366">
        <v>157.72</v>
      </c>
      <c r="I215" s="366">
        <v>464.55</v>
      </c>
      <c r="J215" s="366">
        <v>268.11</v>
      </c>
      <c r="K215" s="366">
        <v>242.38</v>
      </c>
      <c r="L215" s="366">
        <v>321.18</v>
      </c>
      <c r="M215" s="366">
        <v>222.88</v>
      </c>
      <c r="N215" s="366">
        <v>369.16</v>
      </c>
      <c r="O215" s="366">
        <v>615.20000000000005</v>
      </c>
      <c r="P215" s="366">
        <v>215.95</v>
      </c>
      <c r="Q215" s="366">
        <v>258.67</v>
      </c>
      <c r="R215" s="366">
        <v>194.39</v>
      </c>
      <c r="S215" s="366">
        <v>232.62</v>
      </c>
      <c r="T215" s="366">
        <v>194.39</v>
      </c>
      <c r="U215" s="366">
        <v>195.73</v>
      </c>
      <c r="V215" s="366">
        <v>472.38</v>
      </c>
      <c r="W215" s="366">
        <v>289.20999999999998</v>
      </c>
      <c r="X215" s="366">
        <v>510.79</v>
      </c>
      <c r="Y215" s="366">
        <v>69.87</v>
      </c>
      <c r="Z215" s="366">
        <v>795.16</v>
      </c>
      <c r="AA215" s="366">
        <v>358.74</v>
      </c>
      <c r="AB215" s="366">
        <v>178.61</v>
      </c>
      <c r="AC215" s="366">
        <v>250.27</v>
      </c>
      <c r="AD215" s="391">
        <f t="shared" si="3"/>
        <v>307.01259259259263</v>
      </c>
    </row>
    <row r="216" spans="1:30">
      <c r="A216" s="398" t="s">
        <v>474</v>
      </c>
      <c r="B216" s="366" t="s">
        <v>232</v>
      </c>
      <c r="C216" s="366">
        <v>306.74</v>
      </c>
      <c r="D216" s="366">
        <v>304.45999999999998</v>
      </c>
      <c r="E216" s="366">
        <v>304.45999999999998</v>
      </c>
      <c r="F216" s="366">
        <v>435.31</v>
      </c>
      <c r="G216" s="366">
        <v>567.29</v>
      </c>
      <c r="H216" s="366">
        <v>97.86</v>
      </c>
      <c r="I216" s="366">
        <v>592.20000000000005</v>
      </c>
      <c r="J216" s="366">
        <v>395.76</v>
      </c>
      <c r="K216" s="366">
        <v>370.03</v>
      </c>
      <c r="L216" s="366">
        <v>448.83</v>
      </c>
      <c r="M216" s="366">
        <v>350.53</v>
      </c>
      <c r="N216" s="366">
        <v>496.81</v>
      </c>
      <c r="O216" s="366">
        <v>742.85</v>
      </c>
      <c r="P216" s="366">
        <v>343.6</v>
      </c>
      <c r="Q216" s="366">
        <v>386.32</v>
      </c>
      <c r="R216" s="366">
        <v>322.04000000000002</v>
      </c>
      <c r="S216" s="366">
        <v>360.27</v>
      </c>
      <c r="T216" s="366">
        <v>322.04000000000002</v>
      </c>
      <c r="U216" s="366">
        <v>290.08999999999997</v>
      </c>
      <c r="V216" s="366">
        <v>600.03</v>
      </c>
      <c r="W216" s="366">
        <v>416.86</v>
      </c>
      <c r="X216" s="366">
        <v>638.44000000000005</v>
      </c>
      <c r="Y216" s="366">
        <v>197.52</v>
      </c>
      <c r="Z216" s="366">
        <v>922.81</v>
      </c>
      <c r="AA216" s="366">
        <v>486.39</v>
      </c>
      <c r="AB216" s="366">
        <v>306.26</v>
      </c>
      <c r="AC216" s="366">
        <v>190.41</v>
      </c>
      <c r="AD216" s="391">
        <f t="shared" si="3"/>
        <v>414.67444444444448</v>
      </c>
    </row>
    <row r="217" spans="1:30">
      <c r="A217" s="398" t="s">
        <v>474</v>
      </c>
      <c r="B217" s="366" t="s">
        <v>233</v>
      </c>
      <c r="C217" s="366">
        <v>306.74</v>
      </c>
      <c r="D217" s="366">
        <v>304.45999999999998</v>
      </c>
      <c r="E217" s="366">
        <v>304.45999999999998</v>
      </c>
      <c r="F217" s="366">
        <v>435.31</v>
      </c>
      <c r="G217" s="366">
        <v>567.29</v>
      </c>
      <c r="H217" s="366">
        <v>97.86</v>
      </c>
      <c r="I217" s="366">
        <v>592.20000000000005</v>
      </c>
      <c r="J217" s="366">
        <v>395.76</v>
      </c>
      <c r="K217" s="366">
        <v>370.03</v>
      </c>
      <c r="L217" s="366">
        <v>448.83</v>
      </c>
      <c r="M217" s="366">
        <v>350.53</v>
      </c>
      <c r="N217" s="366">
        <v>496.81</v>
      </c>
      <c r="O217" s="366">
        <v>742.85</v>
      </c>
      <c r="P217" s="366">
        <v>343.6</v>
      </c>
      <c r="Q217" s="366">
        <v>386.32</v>
      </c>
      <c r="R217" s="366">
        <v>322.04000000000002</v>
      </c>
      <c r="S217" s="366">
        <v>360.27</v>
      </c>
      <c r="T217" s="366">
        <v>322.04000000000002</v>
      </c>
      <c r="U217" s="366">
        <v>290.08999999999997</v>
      </c>
      <c r="V217" s="366">
        <v>600.03</v>
      </c>
      <c r="W217" s="366">
        <v>416.86</v>
      </c>
      <c r="X217" s="366">
        <v>638.44000000000005</v>
      </c>
      <c r="Y217" s="366">
        <v>197.52</v>
      </c>
      <c r="Z217" s="366">
        <v>922.81</v>
      </c>
      <c r="AA217" s="366">
        <v>486.39</v>
      </c>
      <c r="AB217" s="366">
        <v>306.26</v>
      </c>
      <c r="AC217" s="366">
        <v>190.41</v>
      </c>
      <c r="AD217" s="391">
        <f t="shared" si="3"/>
        <v>414.67444444444448</v>
      </c>
    </row>
    <row r="218" spans="1:30">
      <c r="A218" s="398" t="s">
        <v>474</v>
      </c>
      <c r="B218" s="366" t="s">
        <v>234</v>
      </c>
      <c r="C218" s="366">
        <v>306.74</v>
      </c>
      <c r="D218" s="366">
        <v>304.45999999999998</v>
      </c>
      <c r="E218" s="366">
        <v>304.45999999999998</v>
      </c>
      <c r="F218" s="366">
        <v>435.31</v>
      </c>
      <c r="G218" s="366">
        <v>567.29</v>
      </c>
      <c r="H218" s="366">
        <v>97.86</v>
      </c>
      <c r="I218" s="366">
        <v>592.20000000000005</v>
      </c>
      <c r="J218" s="366">
        <v>395.76</v>
      </c>
      <c r="K218" s="366">
        <v>370.03</v>
      </c>
      <c r="L218" s="366">
        <v>448.83</v>
      </c>
      <c r="M218" s="366">
        <v>350.53</v>
      </c>
      <c r="N218" s="366">
        <v>496.81</v>
      </c>
      <c r="O218" s="366">
        <v>742.85</v>
      </c>
      <c r="P218" s="366">
        <v>343.6</v>
      </c>
      <c r="Q218" s="366">
        <v>386.32</v>
      </c>
      <c r="R218" s="366">
        <v>322.04000000000002</v>
      </c>
      <c r="S218" s="366">
        <v>360.27</v>
      </c>
      <c r="T218" s="366">
        <v>322.04000000000002</v>
      </c>
      <c r="U218" s="366">
        <v>290.08999999999997</v>
      </c>
      <c r="V218" s="366">
        <v>600.03</v>
      </c>
      <c r="W218" s="366">
        <v>416.86</v>
      </c>
      <c r="X218" s="366">
        <v>638.44000000000005</v>
      </c>
      <c r="Y218" s="366">
        <v>197.52</v>
      </c>
      <c r="Z218" s="366">
        <v>922.81</v>
      </c>
      <c r="AA218" s="366">
        <v>486.39</v>
      </c>
      <c r="AB218" s="366">
        <v>306.26</v>
      </c>
      <c r="AC218" s="366">
        <v>190.41</v>
      </c>
      <c r="AD218" s="391">
        <f t="shared" si="3"/>
        <v>414.67444444444448</v>
      </c>
    </row>
    <row r="219" spans="1:30">
      <c r="A219" s="398" t="s">
        <v>474</v>
      </c>
      <c r="B219" s="366" t="s">
        <v>235</v>
      </c>
      <c r="C219" s="366">
        <v>304.38</v>
      </c>
      <c r="D219" s="366">
        <v>121.75</v>
      </c>
      <c r="E219" s="366">
        <v>121.75</v>
      </c>
      <c r="F219" s="366">
        <v>309.89999999999998</v>
      </c>
      <c r="G219" s="366">
        <v>347.76</v>
      </c>
      <c r="H219" s="366">
        <v>270.94</v>
      </c>
      <c r="I219" s="366">
        <v>372.67</v>
      </c>
      <c r="J219" s="366">
        <v>270.35000000000002</v>
      </c>
      <c r="K219" s="366">
        <v>150.5</v>
      </c>
      <c r="L219" s="366">
        <v>323.42</v>
      </c>
      <c r="M219" s="366">
        <v>131</v>
      </c>
      <c r="N219" s="366">
        <v>310.75</v>
      </c>
      <c r="O219" s="366">
        <v>523.32000000000005</v>
      </c>
      <c r="P219" s="366">
        <v>124.07</v>
      </c>
      <c r="Q219" s="366">
        <v>260.91000000000003</v>
      </c>
      <c r="R219" s="366">
        <v>102.51</v>
      </c>
      <c r="S219" s="366">
        <v>140.74</v>
      </c>
      <c r="T219" s="366">
        <v>102.51</v>
      </c>
      <c r="U219" s="366">
        <v>265.77</v>
      </c>
      <c r="V219" s="366">
        <v>474.62</v>
      </c>
      <c r="W219" s="366">
        <v>291.45</v>
      </c>
      <c r="X219" s="366">
        <v>418.91</v>
      </c>
      <c r="Y219" s="366">
        <v>44.07</v>
      </c>
      <c r="Z219" s="366">
        <v>703.28</v>
      </c>
      <c r="AA219" s="366">
        <v>266.86</v>
      </c>
      <c r="AB219" s="366">
        <v>86.73</v>
      </c>
      <c r="AC219" s="366">
        <v>363.49</v>
      </c>
      <c r="AD219" s="391">
        <f t="shared" si="3"/>
        <v>266.82999999999993</v>
      </c>
    </row>
    <row r="220" spans="1:30">
      <c r="A220" s="398" t="s">
        <v>474</v>
      </c>
      <c r="B220" s="366" t="s">
        <v>236</v>
      </c>
      <c r="C220" s="366">
        <v>405.72</v>
      </c>
      <c r="D220" s="366">
        <v>426.03</v>
      </c>
      <c r="E220" s="366">
        <v>426.03</v>
      </c>
      <c r="F220" s="366">
        <v>156.55000000000001</v>
      </c>
      <c r="G220" s="366">
        <v>102.75</v>
      </c>
      <c r="H220" s="366">
        <v>518.70000000000005</v>
      </c>
      <c r="I220" s="366">
        <v>154.38999999999999</v>
      </c>
      <c r="J220" s="366">
        <v>97.04</v>
      </c>
      <c r="K220" s="366">
        <v>269.49</v>
      </c>
      <c r="L220" s="366">
        <v>424.76</v>
      </c>
      <c r="M220" s="366">
        <v>272.82</v>
      </c>
      <c r="N220" s="366">
        <v>7.46</v>
      </c>
      <c r="O220" s="366">
        <v>305.04000000000002</v>
      </c>
      <c r="P220" s="366">
        <v>254.14</v>
      </c>
      <c r="Q220" s="366">
        <v>106.48</v>
      </c>
      <c r="R220" s="366">
        <v>215.7</v>
      </c>
      <c r="S220" s="366">
        <v>259.73</v>
      </c>
      <c r="T220" s="366">
        <v>215.7</v>
      </c>
      <c r="U220" s="366">
        <v>513.53</v>
      </c>
      <c r="V220" s="366">
        <v>575.96</v>
      </c>
      <c r="W220" s="366">
        <v>79.349999999999994</v>
      </c>
      <c r="X220" s="366">
        <v>200.63</v>
      </c>
      <c r="Y220" s="366">
        <v>353.29</v>
      </c>
      <c r="Z220" s="366">
        <v>556.05999999999995</v>
      </c>
      <c r="AA220" s="366">
        <v>229.56</v>
      </c>
      <c r="AB220" s="366">
        <v>300.7</v>
      </c>
      <c r="AC220" s="366">
        <v>471.01</v>
      </c>
      <c r="AD220" s="391">
        <f t="shared" si="3"/>
        <v>292.54148148148153</v>
      </c>
    </row>
    <row r="221" spans="1:30">
      <c r="A221" s="398" t="s">
        <v>474</v>
      </c>
      <c r="B221" s="366" t="s">
        <v>237</v>
      </c>
      <c r="C221" s="366">
        <v>399.85</v>
      </c>
      <c r="D221" s="366">
        <v>33.380000000000003</v>
      </c>
      <c r="E221" s="366">
        <v>33.380000000000003</v>
      </c>
      <c r="F221" s="366">
        <v>405.37</v>
      </c>
      <c r="G221" s="366">
        <v>502.89</v>
      </c>
      <c r="H221" s="366">
        <v>367.19</v>
      </c>
      <c r="I221" s="366">
        <v>527.79999999999995</v>
      </c>
      <c r="J221" s="366">
        <v>365.82</v>
      </c>
      <c r="K221" s="366">
        <v>305.63</v>
      </c>
      <c r="L221" s="366">
        <v>418.89</v>
      </c>
      <c r="M221" s="366">
        <v>286.13</v>
      </c>
      <c r="N221" s="366">
        <v>465.88</v>
      </c>
      <c r="O221" s="366">
        <v>678.45</v>
      </c>
      <c r="P221" s="366">
        <v>279.2</v>
      </c>
      <c r="Q221" s="366">
        <v>356.38</v>
      </c>
      <c r="R221" s="366">
        <v>257.64</v>
      </c>
      <c r="S221" s="366">
        <v>295.87</v>
      </c>
      <c r="T221" s="366">
        <v>257.64</v>
      </c>
      <c r="U221" s="366">
        <v>183.52</v>
      </c>
      <c r="V221" s="366">
        <v>570.09</v>
      </c>
      <c r="W221" s="366">
        <v>386.92</v>
      </c>
      <c r="X221" s="366">
        <v>574.04</v>
      </c>
      <c r="Y221" s="366">
        <v>144.47999999999999</v>
      </c>
      <c r="Z221" s="366">
        <v>858.41</v>
      </c>
      <c r="AA221" s="366">
        <v>421.99</v>
      </c>
      <c r="AB221" s="366">
        <v>241.86</v>
      </c>
      <c r="AC221" s="366">
        <v>459.74</v>
      </c>
      <c r="AD221" s="391">
        <f t="shared" si="3"/>
        <v>373.27555555555557</v>
      </c>
    </row>
    <row r="222" spans="1:30" ht="15.75" thickBot="1">
      <c r="A222" s="399" t="s">
        <v>474</v>
      </c>
      <c r="B222" s="366" t="s">
        <v>238</v>
      </c>
      <c r="C222" s="366">
        <v>535.88</v>
      </c>
      <c r="D222" s="366">
        <v>385.89</v>
      </c>
      <c r="E222" s="366">
        <v>385.89</v>
      </c>
      <c r="F222" s="366">
        <v>377.42</v>
      </c>
      <c r="G222" s="366">
        <v>256.39</v>
      </c>
      <c r="H222" s="366">
        <v>513.02</v>
      </c>
      <c r="I222" s="366">
        <v>137.6</v>
      </c>
      <c r="J222" s="366">
        <v>317.91000000000003</v>
      </c>
      <c r="K222" s="366">
        <v>121.9</v>
      </c>
      <c r="L222" s="366">
        <v>554.91999999999996</v>
      </c>
      <c r="M222" s="366">
        <v>182.89</v>
      </c>
      <c r="N222" s="366">
        <v>219.38</v>
      </c>
      <c r="O222" s="366">
        <v>288.25</v>
      </c>
      <c r="P222" s="366">
        <v>164.21</v>
      </c>
      <c r="Q222" s="366">
        <v>327.35000000000002</v>
      </c>
      <c r="R222" s="366">
        <v>161.63</v>
      </c>
      <c r="S222" s="366">
        <v>138.44</v>
      </c>
      <c r="T222" s="366">
        <v>161.63</v>
      </c>
      <c r="U222" s="366">
        <v>507.85</v>
      </c>
      <c r="V222" s="366">
        <v>706.12</v>
      </c>
      <c r="W222" s="366">
        <v>300.22000000000003</v>
      </c>
      <c r="X222" s="366">
        <v>183.84</v>
      </c>
      <c r="Y222" s="366">
        <v>308.20999999999998</v>
      </c>
      <c r="Z222" s="366">
        <v>468.21</v>
      </c>
      <c r="AA222" s="366">
        <v>8.7799999999999994</v>
      </c>
      <c r="AB222" s="366">
        <v>246.63</v>
      </c>
      <c r="AC222" s="366">
        <v>601.16999999999996</v>
      </c>
      <c r="AD222" s="392">
        <f>AVERAGE(C222:AC222)</f>
        <v>317.09740740740745</v>
      </c>
    </row>
    <row r="223" spans="1:30" ht="15.75" thickBot="1">
      <c r="A223" s="399" t="s">
        <v>474</v>
      </c>
      <c r="B223" s="366" t="s">
        <v>534</v>
      </c>
      <c r="C223" s="366">
        <v>538.6</v>
      </c>
      <c r="D223" s="366">
        <v>388.61</v>
      </c>
      <c r="E223" s="366">
        <v>388.61</v>
      </c>
      <c r="F223" s="366">
        <v>380.14</v>
      </c>
      <c r="G223" s="366">
        <v>259.11</v>
      </c>
      <c r="H223" s="366">
        <v>515.74</v>
      </c>
      <c r="I223" s="366">
        <v>140.32</v>
      </c>
      <c r="J223" s="366">
        <v>320.63</v>
      </c>
      <c r="K223" s="366">
        <v>124.62</v>
      </c>
      <c r="L223" s="366">
        <v>557.64</v>
      </c>
      <c r="M223" s="366">
        <v>185.61</v>
      </c>
      <c r="N223" s="366">
        <v>222.1</v>
      </c>
      <c r="O223" s="366">
        <v>290.97000000000003</v>
      </c>
      <c r="P223" s="366">
        <v>166.93</v>
      </c>
      <c r="Q223" s="366">
        <v>330.07</v>
      </c>
      <c r="R223" s="366">
        <v>164.35</v>
      </c>
      <c r="S223" s="366">
        <v>141.16</v>
      </c>
      <c r="T223" s="366">
        <v>164.35</v>
      </c>
      <c r="U223" s="366">
        <v>510.57</v>
      </c>
      <c r="V223" s="366">
        <v>708.84</v>
      </c>
      <c r="W223" s="366">
        <v>302.94</v>
      </c>
      <c r="X223" s="366">
        <v>186.56</v>
      </c>
      <c r="Y223" s="366">
        <v>310.93</v>
      </c>
      <c r="Z223" s="366">
        <v>470.93</v>
      </c>
      <c r="AA223" s="366">
        <v>0</v>
      </c>
      <c r="AB223" s="366">
        <v>249.35</v>
      </c>
      <c r="AC223" s="366">
        <v>603.89</v>
      </c>
      <c r="AD223" s="392">
        <f t="shared" si="3"/>
        <v>319.39148148148155</v>
      </c>
    </row>
    <row r="224" spans="1:30" ht="15.75" thickBot="1">
      <c r="A224" s="399" t="s">
        <v>474</v>
      </c>
      <c r="B224" s="366" t="s">
        <v>535</v>
      </c>
      <c r="C224" s="366">
        <v>860.07</v>
      </c>
      <c r="D224" s="366">
        <v>794.33</v>
      </c>
      <c r="E224" s="366">
        <v>794.33</v>
      </c>
      <c r="F224" s="366">
        <v>610.9</v>
      </c>
      <c r="G224" s="366">
        <v>459.87</v>
      </c>
      <c r="H224" s="366">
        <v>921.46</v>
      </c>
      <c r="I224" s="366">
        <v>305.93</v>
      </c>
      <c r="J224" s="366">
        <v>551.39</v>
      </c>
      <c r="K224" s="366">
        <v>530.34</v>
      </c>
      <c r="L224" s="366">
        <v>879.11</v>
      </c>
      <c r="M224" s="366">
        <v>591.33000000000004</v>
      </c>
      <c r="N224" s="366">
        <v>452.86</v>
      </c>
      <c r="O224" s="366">
        <v>191.88</v>
      </c>
      <c r="P224" s="366">
        <v>572.65</v>
      </c>
      <c r="Q224" s="366">
        <v>560.83000000000004</v>
      </c>
      <c r="R224" s="366">
        <v>570.07000000000005</v>
      </c>
      <c r="S224" s="366">
        <v>546.88</v>
      </c>
      <c r="T224" s="366">
        <v>570.07000000000005</v>
      </c>
      <c r="U224" s="366">
        <v>916.29</v>
      </c>
      <c r="V224" s="366">
        <v>1030.31</v>
      </c>
      <c r="W224" s="366">
        <v>533.70000000000005</v>
      </c>
      <c r="X224" s="366">
        <v>259.69</v>
      </c>
      <c r="Y224" s="366">
        <v>716.65</v>
      </c>
      <c r="Z224" s="366">
        <v>97.1</v>
      </c>
      <c r="AA224" s="366">
        <v>440.23</v>
      </c>
      <c r="AB224" s="366">
        <v>655.07000000000005</v>
      </c>
      <c r="AC224" s="366">
        <v>925.36</v>
      </c>
      <c r="AD224" s="392">
        <f t="shared" ref="AD224:AD230" si="4">AVERAGE(C224:AC224)</f>
        <v>605.13703703703709</v>
      </c>
    </row>
    <row r="225" spans="1:30" ht="15.75" thickBot="1">
      <c r="A225" s="399" t="s">
        <v>474</v>
      </c>
      <c r="B225" s="366" t="s">
        <v>536</v>
      </c>
      <c r="C225" s="366">
        <v>292.10000000000002</v>
      </c>
      <c r="D225" s="366">
        <v>80.52</v>
      </c>
      <c r="E225" s="366">
        <v>80.52</v>
      </c>
      <c r="F225" s="366">
        <v>297.62</v>
      </c>
      <c r="G225" s="366">
        <v>395.14</v>
      </c>
      <c r="H225" s="366">
        <v>263.60000000000002</v>
      </c>
      <c r="I225" s="366">
        <v>420.05</v>
      </c>
      <c r="J225" s="366">
        <v>258.07</v>
      </c>
      <c r="K225" s="366">
        <v>197.88</v>
      </c>
      <c r="L225" s="366">
        <v>311.14</v>
      </c>
      <c r="M225" s="366">
        <v>178.38</v>
      </c>
      <c r="N225" s="366">
        <v>358.13</v>
      </c>
      <c r="O225" s="366">
        <v>570.70000000000005</v>
      </c>
      <c r="P225" s="366">
        <v>171.45</v>
      </c>
      <c r="Q225" s="366">
        <v>248.63</v>
      </c>
      <c r="R225" s="366">
        <v>149.88999999999999</v>
      </c>
      <c r="S225" s="366">
        <v>188.12</v>
      </c>
      <c r="T225" s="366">
        <v>149.88999999999999</v>
      </c>
      <c r="U225" s="366">
        <v>258.43</v>
      </c>
      <c r="V225" s="366">
        <v>462.34</v>
      </c>
      <c r="W225" s="366">
        <v>279.17</v>
      </c>
      <c r="X225" s="366">
        <v>466.29</v>
      </c>
      <c r="Y225" s="366">
        <v>36.729999999999997</v>
      </c>
      <c r="Z225" s="366">
        <v>750.66</v>
      </c>
      <c r="AA225" s="366">
        <v>314.24</v>
      </c>
      <c r="AB225" s="366">
        <v>134.11000000000001</v>
      </c>
      <c r="AC225" s="366">
        <v>356.15</v>
      </c>
      <c r="AD225" s="392">
        <f t="shared" si="4"/>
        <v>284.07222222222219</v>
      </c>
    </row>
    <row r="226" spans="1:30" ht="15.75" thickBot="1">
      <c r="A226" s="399" t="s">
        <v>474</v>
      </c>
      <c r="B226" s="366" t="s">
        <v>537</v>
      </c>
      <c r="C226" s="366">
        <v>955.81</v>
      </c>
      <c r="D226" s="366">
        <v>825.03</v>
      </c>
      <c r="E226" s="366">
        <v>825.03</v>
      </c>
      <c r="F226" s="366">
        <v>706.64</v>
      </c>
      <c r="G226" s="366">
        <v>555.61</v>
      </c>
      <c r="H226" s="366">
        <v>952.16</v>
      </c>
      <c r="I226" s="366">
        <v>401.67</v>
      </c>
      <c r="J226" s="366">
        <v>647.13</v>
      </c>
      <c r="K226" s="366">
        <v>561.04</v>
      </c>
      <c r="L226" s="366">
        <v>974.85</v>
      </c>
      <c r="M226" s="366">
        <v>622.03</v>
      </c>
      <c r="N226" s="366">
        <v>548.6</v>
      </c>
      <c r="O226" s="366">
        <v>287.62</v>
      </c>
      <c r="P226" s="366">
        <v>603.35</v>
      </c>
      <c r="Q226" s="366">
        <v>656.57</v>
      </c>
      <c r="R226" s="366">
        <v>600.77</v>
      </c>
      <c r="S226" s="366">
        <v>577.58000000000004</v>
      </c>
      <c r="T226" s="366">
        <v>600.77</v>
      </c>
      <c r="U226" s="366">
        <v>946.99</v>
      </c>
      <c r="V226" s="366">
        <v>1126.05</v>
      </c>
      <c r="W226" s="366">
        <v>629.44000000000005</v>
      </c>
      <c r="X226" s="366">
        <v>355.43</v>
      </c>
      <c r="Y226" s="366">
        <v>747.35</v>
      </c>
      <c r="Z226" s="366">
        <v>0</v>
      </c>
      <c r="AA226" s="366">
        <v>470.93</v>
      </c>
      <c r="AB226" s="366">
        <v>685.77</v>
      </c>
      <c r="AC226" s="366">
        <v>1021.1</v>
      </c>
      <c r="AD226" s="392">
        <f t="shared" si="4"/>
        <v>662.41925925925921</v>
      </c>
    </row>
    <row r="227" spans="1:30" ht="15.75" thickBot="1">
      <c r="A227" s="399" t="s">
        <v>474</v>
      </c>
      <c r="B227" s="366" t="s">
        <v>538</v>
      </c>
      <c r="C227" s="366">
        <v>706.06</v>
      </c>
      <c r="D227" s="366">
        <v>646.34</v>
      </c>
      <c r="E227" s="366">
        <v>646.34</v>
      </c>
      <c r="F227" s="366">
        <v>456.89</v>
      </c>
      <c r="G227" s="366">
        <v>305.86</v>
      </c>
      <c r="H227" s="366">
        <v>773.47</v>
      </c>
      <c r="I227" s="366">
        <v>151.91999999999999</v>
      </c>
      <c r="J227" s="366">
        <v>397.38</v>
      </c>
      <c r="K227" s="366">
        <v>382.35</v>
      </c>
      <c r="L227" s="366">
        <v>725.1</v>
      </c>
      <c r="M227" s="366">
        <v>443.34</v>
      </c>
      <c r="N227" s="366">
        <v>298.85000000000002</v>
      </c>
      <c r="O227" s="366">
        <v>37.869999999999997</v>
      </c>
      <c r="P227" s="366">
        <v>424.66</v>
      </c>
      <c r="Q227" s="366">
        <v>406.82</v>
      </c>
      <c r="R227" s="366">
        <v>422.08</v>
      </c>
      <c r="S227" s="366">
        <v>398.89</v>
      </c>
      <c r="T227" s="366">
        <v>422.08</v>
      </c>
      <c r="U227" s="366">
        <v>768.3</v>
      </c>
      <c r="V227" s="366">
        <v>876.3</v>
      </c>
      <c r="W227" s="366">
        <v>379.69</v>
      </c>
      <c r="X227" s="366">
        <v>105.68</v>
      </c>
      <c r="Y227" s="366">
        <v>568.66</v>
      </c>
      <c r="Z227" s="366">
        <v>249.75</v>
      </c>
      <c r="AA227" s="366">
        <v>292.24</v>
      </c>
      <c r="AB227" s="366">
        <v>507.08</v>
      </c>
      <c r="AC227" s="366">
        <v>771.35</v>
      </c>
      <c r="AD227" s="392">
        <f t="shared" si="4"/>
        <v>465.38333333333333</v>
      </c>
    </row>
    <row r="228" spans="1:30" ht="15.75" thickBot="1">
      <c r="A228" s="399" t="s">
        <v>474</v>
      </c>
      <c r="B228" s="366" t="s">
        <v>545</v>
      </c>
      <c r="C228" s="366">
        <v>534.85</v>
      </c>
      <c r="D228" s="366">
        <v>384.86</v>
      </c>
      <c r="E228" s="366">
        <v>384.86</v>
      </c>
      <c r="F228" s="366">
        <v>376.39</v>
      </c>
      <c r="G228" s="366">
        <v>255.36</v>
      </c>
      <c r="H228" s="366">
        <v>511.99</v>
      </c>
      <c r="I228" s="366">
        <v>136.57</v>
      </c>
      <c r="J228" s="366">
        <v>316.88</v>
      </c>
      <c r="K228" s="366">
        <v>120.87</v>
      </c>
      <c r="L228" s="366">
        <v>553.89</v>
      </c>
      <c r="M228" s="366">
        <v>181.86</v>
      </c>
      <c r="N228" s="366">
        <v>218.35</v>
      </c>
      <c r="O228" s="366">
        <v>287.22000000000003</v>
      </c>
      <c r="P228" s="366">
        <v>163.18</v>
      </c>
      <c r="Q228" s="366">
        <v>326.32</v>
      </c>
      <c r="R228" s="366">
        <v>160.6</v>
      </c>
      <c r="S228" s="366">
        <v>137.41</v>
      </c>
      <c r="T228" s="366">
        <v>160.6</v>
      </c>
      <c r="U228" s="366">
        <v>506.82</v>
      </c>
      <c r="V228" s="366">
        <v>705.09</v>
      </c>
      <c r="W228" s="366">
        <v>299.19</v>
      </c>
      <c r="X228" s="366">
        <v>182.81</v>
      </c>
      <c r="Y228" s="366">
        <v>307.18</v>
      </c>
      <c r="Z228" s="366">
        <v>467.18</v>
      </c>
      <c r="AA228" s="366">
        <v>3.75</v>
      </c>
      <c r="AB228" s="366">
        <v>245.6</v>
      </c>
      <c r="AC228" s="366">
        <v>600.14</v>
      </c>
      <c r="AD228" s="392">
        <f t="shared" si="4"/>
        <v>315.91925925925932</v>
      </c>
    </row>
    <row r="229" spans="1:30" ht="15.75" thickBot="1">
      <c r="A229" s="399" t="s">
        <v>474</v>
      </c>
      <c r="B229" s="366" t="s">
        <v>539</v>
      </c>
      <c r="C229" s="366">
        <v>417.17</v>
      </c>
      <c r="D229" s="366">
        <v>267.18</v>
      </c>
      <c r="E229" s="366">
        <v>267.18</v>
      </c>
      <c r="F229" s="366">
        <v>328.55</v>
      </c>
      <c r="G229" s="366">
        <v>207.52</v>
      </c>
      <c r="H229" s="366">
        <v>394.31</v>
      </c>
      <c r="I229" s="366">
        <v>240.27</v>
      </c>
      <c r="J229" s="366">
        <v>269.04000000000002</v>
      </c>
      <c r="K229" s="366">
        <v>96.71</v>
      </c>
      <c r="L229" s="366">
        <v>436.21</v>
      </c>
      <c r="M229" s="366">
        <v>100.04</v>
      </c>
      <c r="N229" s="366">
        <v>170.51</v>
      </c>
      <c r="O229" s="366">
        <v>390.92</v>
      </c>
      <c r="P229" s="366">
        <v>81.36</v>
      </c>
      <c r="Q229" s="366">
        <v>278.48</v>
      </c>
      <c r="R229" s="366">
        <v>42.92</v>
      </c>
      <c r="S229" s="366">
        <v>86.95</v>
      </c>
      <c r="T229" s="366">
        <v>42.92</v>
      </c>
      <c r="U229" s="366">
        <v>389.14</v>
      </c>
      <c r="V229" s="366">
        <v>587.41</v>
      </c>
      <c r="W229" s="366">
        <v>251.35</v>
      </c>
      <c r="X229" s="366">
        <v>286.51</v>
      </c>
      <c r="Y229" s="366">
        <v>189.5</v>
      </c>
      <c r="Z229" s="366">
        <v>570.88</v>
      </c>
      <c r="AA229" s="366">
        <v>144.79</v>
      </c>
      <c r="AB229" s="366">
        <v>127.92</v>
      </c>
      <c r="AC229" s="366">
        <v>482.46</v>
      </c>
      <c r="AD229" s="392">
        <f t="shared" si="4"/>
        <v>264.74814814814818</v>
      </c>
    </row>
    <row r="230" spans="1:30" ht="15.75" thickBot="1">
      <c r="A230" s="399" t="s">
        <v>474</v>
      </c>
      <c r="B230" s="366" t="s">
        <v>540</v>
      </c>
      <c r="C230" s="366">
        <v>384.42</v>
      </c>
      <c r="D230" s="366">
        <v>234.43</v>
      </c>
      <c r="E230" s="366">
        <v>234.43</v>
      </c>
      <c r="F230" s="366">
        <v>363.07</v>
      </c>
      <c r="G230" s="366">
        <v>242.04</v>
      </c>
      <c r="H230" s="366">
        <v>361.56</v>
      </c>
      <c r="I230" s="366">
        <v>266.95</v>
      </c>
      <c r="J230" s="366">
        <v>303.56</v>
      </c>
      <c r="K230" s="366">
        <v>105.36</v>
      </c>
      <c r="L230" s="366">
        <v>403.46</v>
      </c>
      <c r="M230" s="366">
        <v>108.69</v>
      </c>
      <c r="N230" s="366">
        <v>205.03</v>
      </c>
      <c r="O230" s="366">
        <v>417.6</v>
      </c>
      <c r="P230" s="366">
        <v>90.01</v>
      </c>
      <c r="Q230" s="366">
        <v>313</v>
      </c>
      <c r="R230" s="366">
        <v>10.17</v>
      </c>
      <c r="S230" s="366">
        <v>95.6</v>
      </c>
      <c r="T230" s="366">
        <v>10.17</v>
      </c>
      <c r="U230" s="366">
        <v>356.39</v>
      </c>
      <c r="V230" s="366">
        <v>554.66</v>
      </c>
      <c r="W230" s="366">
        <v>285.87</v>
      </c>
      <c r="X230" s="366">
        <v>313.19</v>
      </c>
      <c r="Y230" s="366">
        <v>156.75</v>
      </c>
      <c r="Z230" s="366">
        <v>597.55999999999995</v>
      </c>
      <c r="AA230" s="366">
        <v>161.13999999999999</v>
      </c>
      <c r="AB230" s="366">
        <v>95.17</v>
      </c>
      <c r="AC230" s="366">
        <v>449.71</v>
      </c>
      <c r="AD230" s="392">
        <f t="shared" si="4"/>
        <v>263.70333333333332</v>
      </c>
    </row>
    <row r="231" spans="1:30" ht="15.75" thickBot="1">
      <c r="A231" s="399" t="s">
        <v>474</v>
      </c>
      <c r="B231" s="366" t="s">
        <v>176</v>
      </c>
      <c r="C231" s="366">
        <v>402.74</v>
      </c>
      <c r="D231" s="366">
        <v>252.75</v>
      </c>
      <c r="E231" s="366">
        <v>252.75</v>
      </c>
      <c r="F231" s="366">
        <v>408.26</v>
      </c>
      <c r="G231" s="366">
        <v>302.37</v>
      </c>
      <c r="H231" s="366">
        <v>379.88</v>
      </c>
      <c r="I231" s="366">
        <v>291.42</v>
      </c>
      <c r="J231" s="366">
        <v>363.89</v>
      </c>
      <c r="K231" s="366">
        <v>60.99</v>
      </c>
      <c r="L231" s="366">
        <v>421.78</v>
      </c>
      <c r="M231" s="366">
        <v>0</v>
      </c>
      <c r="N231" s="366">
        <v>265.36</v>
      </c>
      <c r="O231" s="366">
        <v>442.07</v>
      </c>
      <c r="P231" s="366">
        <v>39.630000000000003</v>
      </c>
      <c r="Q231" s="366">
        <v>359.27</v>
      </c>
      <c r="R231" s="366">
        <v>111.9</v>
      </c>
      <c r="S231" s="366">
        <v>51.23</v>
      </c>
      <c r="T231" s="366">
        <v>111.9</v>
      </c>
      <c r="U231" s="366">
        <v>374.71</v>
      </c>
      <c r="V231" s="366">
        <v>572.98</v>
      </c>
      <c r="W231" s="366">
        <v>346.2</v>
      </c>
      <c r="X231" s="366">
        <v>337.66</v>
      </c>
      <c r="Y231" s="366">
        <v>175.07</v>
      </c>
      <c r="Z231" s="366">
        <v>622.03</v>
      </c>
      <c r="AA231" s="366">
        <v>185.61</v>
      </c>
      <c r="AB231" s="366">
        <v>113.49</v>
      </c>
      <c r="AC231" s="366">
        <v>468.03</v>
      </c>
      <c r="AD231" s="392">
        <f t="shared" ref="AD231" si="5">AVERAGE(C231:AC231)</f>
        <v>285.70259259259251</v>
      </c>
    </row>
    <row r="232" spans="1:30">
      <c r="B232" s="373"/>
    </row>
    <row r="233" spans="1:30">
      <c r="B233" s="373"/>
    </row>
    <row r="234" spans="1:30">
      <c r="B234" s="373"/>
    </row>
    <row r="235" spans="1:30" ht="15.75" thickBot="1">
      <c r="B235" s="373"/>
    </row>
    <row r="236" spans="1:30" ht="15.75" thickBot="1">
      <c r="B236" s="393" t="s">
        <v>475</v>
      </c>
      <c r="C236" s="394">
        <f t="shared" ref="C236:AC236" si="6">AVERAGE(C3:C231)</f>
        <v>403.12161572052423</v>
      </c>
      <c r="D236" s="394">
        <f t="shared" si="6"/>
        <v>344.40672489082993</v>
      </c>
      <c r="E236" s="394">
        <f t="shared" si="6"/>
        <v>344.40672489082993</v>
      </c>
      <c r="F236" s="394">
        <f t="shared" si="6"/>
        <v>340.24510917030562</v>
      </c>
      <c r="G236" s="394">
        <f t="shared" si="6"/>
        <v>360.81659388646301</v>
      </c>
      <c r="H236" s="394">
        <f t="shared" si="6"/>
        <v>415.54253275109164</v>
      </c>
      <c r="I236" s="394">
        <f t="shared" si="6"/>
        <v>353.71558951965068</v>
      </c>
      <c r="J236" s="394">
        <f t="shared" si="6"/>
        <v>296.20270742358082</v>
      </c>
      <c r="K236" s="394">
        <f t="shared" si="6"/>
        <v>297.12572052401742</v>
      </c>
      <c r="L236" s="394">
        <f t="shared" si="6"/>
        <v>432.5357205240179</v>
      </c>
      <c r="M236" s="394">
        <f t="shared" si="6"/>
        <v>301.93838427947577</v>
      </c>
      <c r="N236" s="394">
        <f t="shared" si="6"/>
        <v>308.74834061135397</v>
      </c>
      <c r="O236" s="394">
        <f t="shared" si="6"/>
        <v>466.71074235807856</v>
      </c>
      <c r="P236" s="394">
        <f t="shared" si="6"/>
        <v>290.2453275109167</v>
      </c>
      <c r="Q236" s="394">
        <f t="shared" si="6"/>
        <v>294.6297816593887</v>
      </c>
      <c r="R236" s="394">
        <f t="shared" si="6"/>
        <v>272.8289519650657</v>
      </c>
      <c r="S236" s="394">
        <f t="shared" si="6"/>
        <v>293.98576419213987</v>
      </c>
      <c r="T236" s="394">
        <f t="shared" si="6"/>
        <v>272.8289519650657</v>
      </c>
      <c r="U236" s="394">
        <f t="shared" si="6"/>
        <v>425.97301310043656</v>
      </c>
      <c r="V236" s="394">
        <f t="shared" si="6"/>
        <v>580.67135371179018</v>
      </c>
      <c r="W236" s="394">
        <f t="shared" si="6"/>
        <v>300.3041484716158</v>
      </c>
      <c r="X236" s="394">
        <f t="shared" si="6"/>
        <v>386.42489082969411</v>
      </c>
      <c r="Y236" s="394">
        <f t="shared" si="6"/>
        <v>280.21873362445416</v>
      </c>
      <c r="Z236" s="394">
        <f t="shared" si="6"/>
        <v>655.33414847161555</v>
      </c>
      <c r="AA236" s="394">
        <f t="shared" si="6"/>
        <v>328.8503056768559</v>
      </c>
      <c r="AB236" s="394">
        <f t="shared" si="6"/>
        <v>297.55908296943244</v>
      </c>
      <c r="AC236" s="394">
        <f t="shared" si="6"/>
        <v>442.5532751091705</v>
      </c>
    </row>
    <row r="237" spans="1:30">
      <c r="C237" s="396"/>
      <c r="D237" s="396"/>
      <c r="E237" s="396"/>
      <c r="F237" s="396"/>
      <c r="G237" s="396"/>
      <c r="H237" s="396"/>
      <c r="I237" s="396"/>
      <c r="J237" s="396"/>
      <c r="K237" s="396"/>
      <c r="L237" s="396"/>
      <c r="M237" s="396"/>
      <c r="N237" s="396"/>
      <c r="O237" s="396"/>
      <c r="P237" s="396"/>
      <c r="Q237" s="396"/>
      <c r="R237" s="396"/>
      <c r="S237" s="396"/>
      <c r="T237" s="396"/>
      <c r="U237" s="396"/>
      <c r="V237" s="396"/>
      <c r="W237" s="396"/>
      <c r="X237" s="396"/>
      <c r="Y237" s="396"/>
      <c r="Z237" s="396"/>
      <c r="AA237" s="396"/>
      <c r="AB237" s="396"/>
      <c r="AC237" s="396"/>
    </row>
    <row r="238" spans="1:30">
      <c r="C238" s="396"/>
      <c r="D238" s="396"/>
      <c r="E238" s="396"/>
      <c r="F238" s="396"/>
      <c r="G238" s="396"/>
      <c r="H238" s="396"/>
      <c r="I238" s="396"/>
      <c r="J238" s="396"/>
      <c r="K238" s="396"/>
      <c r="L238" s="396"/>
      <c r="M238" s="396"/>
      <c r="N238" s="396"/>
      <c r="O238" s="396"/>
      <c r="P238" s="396"/>
      <c r="Q238" s="396"/>
      <c r="R238" s="396"/>
      <c r="S238" s="396"/>
      <c r="T238" s="396"/>
      <c r="U238" s="396"/>
      <c r="V238" s="396"/>
      <c r="W238" s="396"/>
      <c r="X238" s="396"/>
      <c r="Y238" s="396"/>
      <c r="Z238" s="396"/>
      <c r="AA238" s="396"/>
      <c r="AB238" s="396"/>
      <c r="AC238" s="396"/>
    </row>
    <row r="239" spans="1:30">
      <c r="C239" s="396"/>
      <c r="D239" s="396"/>
      <c r="E239" s="396"/>
      <c r="F239" s="396"/>
      <c r="G239" s="396"/>
      <c r="H239" s="396"/>
      <c r="I239" s="396"/>
      <c r="J239" s="396"/>
      <c r="K239" s="396"/>
      <c r="L239" s="396"/>
      <c r="M239" s="396"/>
      <c r="N239" s="396"/>
      <c r="O239" s="396"/>
      <c r="P239" s="396"/>
      <c r="Q239" s="396"/>
      <c r="R239" s="396"/>
      <c r="S239" s="396"/>
      <c r="T239" s="396"/>
      <c r="U239" s="396"/>
      <c r="V239" s="396"/>
      <c r="W239" s="396"/>
      <c r="X239" s="396"/>
      <c r="Y239" s="396"/>
      <c r="Z239" s="396"/>
      <c r="AA239" s="396"/>
      <c r="AB239" s="396"/>
      <c r="AC239" s="396"/>
    </row>
    <row r="240" spans="1:30">
      <c r="C240" s="396"/>
      <c r="D240" s="396"/>
      <c r="E240" s="396"/>
      <c r="F240" s="396"/>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396"/>
      <c r="AC240" s="396"/>
    </row>
    <row r="241" spans="3:29">
      <c r="C241" s="396"/>
      <c r="D241" s="396"/>
      <c r="E241" s="396"/>
      <c r="F241" s="396"/>
      <c r="G241" s="396"/>
      <c r="H241" s="396"/>
      <c r="I241" s="396"/>
      <c r="J241" s="396"/>
      <c r="K241" s="396"/>
      <c r="L241" s="396"/>
      <c r="M241" s="396"/>
      <c r="N241" s="396"/>
      <c r="O241" s="396"/>
      <c r="P241" s="396"/>
      <c r="Q241" s="396"/>
      <c r="R241" s="396"/>
      <c r="S241" s="396"/>
      <c r="T241" s="396"/>
      <c r="U241" s="396"/>
      <c r="V241" s="396"/>
      <c r="W241" s="396"/>
      <c r="X241" s="396"/>
      <c r="Y241" s="396"/>
      <c r="Z241" s="396"/>
      <c r="AA241" s="396"/>
      <c r="AB241" s="396"/>
      <c r="AC241" s="396"/>
    </row>
    <row r="242" spans="3:29">
      <c r="C242" s="396"/>
      <c r="D242" s="396"/>
      <c r="E242" s="396"/>
      <c r="F242" s="396"/>
      <c r="G242" s="396"/>
      <c r="H242" s="396"/>
      <c r="I242" s="396"/>
      <c r="J242" s="396"/>
      <c r="K242" s="396"/>
      <c r="L242" s="396"/>
      <c r="M242" s="396"/>
      <c r="N242" s="396"/>
      <c r="O242" s="396"/>
      <c r="P242" s="396"/>
      <c r="Q242" s="396"/>
      <c r="R242" s="396"/>
      <c r="S242" s="396"/>
      <c r="T242" s="396"/>
      <c r="U242" s="396"/>
      <c r="V242" s="396"/>
      <c r="W242" s="396"/>
      <c r="X242" s="396"/>
      <c r="Y242" s="396"/>
      <c r="Z242" s="396"/>
      <c r="AA242" s="396"/>
      <c r="AB242" s="396"/>
      <c r="AC242" s="396"/>
    </row>
    <row r="243" spans="3:29">
      <c r="C243" s="396"/>
      <c r="D243" s="396"/>
      <c r="E243" s="396"/>
      <c r="F243" s="396"/>
      <c r="G243" s="396"/>
      <c r="H243" s="396"/>
      <c r="I243" s="396"/>
      <c r="J243" s="396"/>
      <c r="K243" s="396"/>
      <c r="L243" s="396"/>
      <c r="M243" s="396"/>
      <c r="N243" s="396"/>
      <c r="O243" s="396"/>
      <c r="P243" s="396"/>
      <c r="Q243" s="396"/>
      <c r="R243" s="396"/>
      <c r="S243" s="396"/>
      <c r="T243" s="396"/>
      <c r="U243" s="396"/>
      <c r="V243" s="396"/>
      <c r="W243" s="396"/>
      <c r="X243" s="396"/>
      <c r="Y243" s="396"/>
      <c r="Z243" s="396"/>
      <c r="AA243" s="396"/>
      <c r="AB243" s="396"/>
      <c r="AC243" s="396"/>
    </row>
    <row r="244" spans="3:29">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396"/>
      <c r="AC244" s="396"/>
    </row>
    <row r="245" spans="3:29">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396"/>
      <c r="AC245" s="396"/>
    </row>
    <row r="246" spans="3:29">
      <c r="C246" s="396"/>
      <c r="D246" s="396"/>
      <c r="E246" s="396"/>
      <c r="F246" s="396"/>
      <c r="G246" s="396"/>
      <c r="H246" s="396"/>
      <c r="I246" s="396"/>
      <c r="J246" s="396"/>
      <c r="K246" s="396"/>
      <c r="L246" s="396"/>
      <c r="M246" s="396"/>
      <c r="N246" s="396"/>
      <c r="O246" s="396"/>
      <c r="P246" s="396"/>
      <c r="Q246" s="396"/>
      <c r="R246" s="396"/>
      <c r="S246" s="396"/>
      <c r="T246" s="396"/>
      <c r="U246" s="396"/>
      <c r="V246" s="396"/>
      <c r="W246" s="396"/>
      <c r="X246" s="396"/>
      <c r="Y246" s="396"/>
      <c r="Z246" s="396"/>
      <c r="AA246" s="396"/>
      <c r="AB246" s="396"/>
      <c r="AC246" s="396"/>
    </row>
    <row r="247" spans="3:29">
      <c r="C247" s="396"/>
      <c r="D247" s="396"/>
      <c r="E247" s="396"/>
      <c r="F247" s="396"/>
      <c r="G247" s="396"/>
      <c r="H247" s="396"/>
      <c r="I247" s="396"/>
      <c r="J247" s="396"/>
      <c r="K247" s="396"/>
      <c r="L247" s="396"/>
      <c r="M247" s="396"/>
      <c r="N247" s="396"/>
      <c r="O247" s="396"/>
      <c r="P247" s="396"/>
      <c r="Q247" s="396"/>
      <c r="R247" s="396"/>
      <c r="S247" s="396"/>
      <c r="T247" s="396"/>
      <c r="U247" s="396"/>
      <c r="V247" s="396"/>
      <c r="W247" s="396"/>
      <c r="X247" s="396"/>
      <c r="Y247" s="396"/>
      <c r="Z247" s="396"/>
      <c r="AA247" s="396"/>
      <c r="AB247" s="396"/>
      <c r="AC247" s="396"/>
    </row>
    <row r="248" spans="3:29">
      <c r="C248" s="396"/>
      <c r="D248" s="396"/>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396"/>
      <c r="AC248" s="396"/>
    </row>
    <row r="249" spans="3:29">
      <c r="C249" s="396"/>
      <c r="D249" s="396"/>
      <c r="E249" s="396"/>
      <c r="F249" s="396"/>
      <c r="G249" s="396"/>
      <c r="H249" s="396"/>
      <c r="I249" s="396"/>
      <c r="J249" s="396"/>
      <c r="K249" s="396"/>
      <c r="L249" s="396"/>
      <c r="M249" s="396"/>
      <c r="N249" s="396"/>
      <c r="O249" s="396"/>
      <c r="P249" s="396"/>
      <c r="Q249" s="396"/>
      <c r="R249" s="396"/>
      <c r="S249" s="396"/>
      <c r="T249" s="396"/>
      <c r="U249" s="396"/>
      <c r="V249" s="396"/>
      <c r="W249" s="396"/>
      <c r="X249" s="396"/>
      <c r="Y249" s="396"/>
      <c r="Z249" s="396"/>
      <c r="AA249" s="396"/>
      <c r="AB249" s="396"/>
      <c r="AC249" s="396"/>
    </row>
    <row r="250" spans="3:29">
      <c r="C250" s="396"/>
      <c r="D250" s="396"/>
      <c r="E250" s="396"/>
      <c r="F250" s="396"/>
      <c r="G250" s="396"/>
      <c r="H250" s="396"/>
      <c r="I250" s="396"/>
      <c r="J250" s="396"/>
      <c r="K250" s="396"/>
      <c r="L250" s="396"/>
      <c r="M250" s="396"/>
      <c r="N250" s="396"/>
      <c r="O250" s="396"/>
      <c r="P250" s="396"/>
      <c r="Q250" s="396"/>
      <c r="R250" s="396"/>
      <c r="S250" s="396"/>
      <c r="T250" s="396"/>
      <c r="U250" s="396"/>
      <c r="V250" s="396"/>
      <c r="W250" s="396"/>
      <c r="X250" s="396"/>
      <c r="Y250" s="396"/>
      <c r="Z250" s="396"/>
      <c r="AA250" s="396"/>
      <c r="AB250" s="396"/>
      <c r="AC250" s="396"/>
    </row>
    <row r="251" spans="3:29">
      <c r="C251" s="396"/>
      <c r="D251" s="396"/>
      <c r="E251" s="396"/>
      <c r="F251" s="396"/>
      <c r="G251" s="396"/>
      <c r="H251" s="396"/>
      <c r="I251" s="396"/>
      <c r="J251" s="396"/>
      <c r="K251" s="396"/>
      <c r="L251" s="396"/>
      <c r="M251" s="396"/>
      <c r="N251" s="396"/>
      <c r="O251" s="396"/>
      <c r="P251" s="396"/>
      <c r="Q251" s="396"/>
      <c r="R251" s="396"/>
      <c r="S251" s="396"/>
      <c r="T251" s="396"/>
      <c r="U251" s="396"/>
      <c r="V251" s="396"/>
      <c r="W251" s="396"/>
      <c r="X251" s="396"/>
      <c r="Y251" s="396"/>
      <c r="Z251" s="396"/>
      <c r="AA251" s="396"/>
      <c r="AB251" s="396"/>
      <c r="AC251" s="396"/>
    </row>
    <row r="252" spans="3:29">
      <c r="C252" s="396"/>
      <c r="D252" s="396"/>
      <c r="E252" s="396"/>
      <c r="F252" s="396"/>
      <c r="G252" s="396"/>
      <c r="H252" s="396"/>
      <c r="I252" s="396"/>
      <c r="J252" s="396"/>
      <c r="K252" s="396"/>
      <c r="L252" s="396"/>
      <c r="M252" s="396"/>
      <c r="N252" s="396"/>
      <c r="O252" s="396"/>
      <c r="P252" s="396"/>
      <c r="Q252" s="396"/>
      <c r="R252" s="396"/>
      <c r="S252" s="396"/>
      <c r="T252" s="396"/>
      <c r="U252" s="396"/>
      <c r="V252" s="396"/>
      <c r="W252" s="396"/>
      <c r="X252" s="396"/>
      <c r="Y252" s="396"/>
      <c r="Z252" s="396"/>
      <c r="AA252" s="396"/>
      <c r="AB252" s="396"/>
      <c r="AC252" s="396"/>
    </row>
    <row r="253" spans="3:29">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row>
    <row r="254" spans="3:29">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row>
    <row r="255" spans="3:29">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row>
    <row r="256" spans="3:29">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row>
    <row r="257" spans="3:29">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row>
    <row r="258" spans="3:29">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row>
    <row r="259" spans="3:29">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row>
    <row r="260" spans="3:29">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row>
    <row r="261" spans="3:29">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row>
    <row r="262" spans="3:29">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row>
    <row r="263" spans="3:29">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c r="AB263" s="396"/>
      <c r="AC263" s="396"/>
    </row>
    <row r="264" spans="3:29">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c r="AB264" s="396"/>
      <c r="AC264" s="396"/>
    </row>
    <row r="265" spans="3:29">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c r="AB265" s="396"/>
      <c r="AC265" s="396"/>
    </row>
    <row r="266" spans="3:29">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c r="AB266" s="396"/>
      <c r="AC266" s="396"/>
    </row>
    <row r="267" spans="3:29">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c r="AB267" s="396"/>
      <c r="AC267" s="396"/>
    </row>
    <row r="268" spans="3:29">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c r="AB268" s="396"/>
      <c r="AC268" s="396"/>
    </row>
    <row r="269" spans="3:29">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row>
    <row r="270" spans="3:29">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row>
    <row r="271" spans="3:29">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row>
    <row r="272" spans="3:29">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c r="AB272" s="396"/>
      <c r="AC272" s="396"/>
    </row>
    <row r="273" spans="3:29">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c r="AB273" s="396"/>
      <c r="AC273" s="396"/>
    </row>
    <row r="274" spans="3:29">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c r="AB274" s="396"/>
      <c r="AC274" s="396"/>
    </row>
    <row r="275" spans="3:29">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6"/>
    </row>
    <row r="276" spans="3:29">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c r="AB276" s="396"/>
      <c r="AC276" s="396"/>
    </row>
    <row r="277" spans="3:29">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c r="AB277" s="396"/>
      <c r="AC277" s="396"/>
    </row>
    <row r="278" spans="3:29">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row>
    <row r="279" spans="3:29">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row>
    <row r="280" spans="3:29">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c r="AB280" s="396"/>
      <c r="AC280" s="396"/>
    </row>
    <row r="281" spans="3:29">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c r="AB281" s="396"/>
      <c r="AC281" s="396"/>
    </row>
    <row r="282" spans="3:29">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c r="AB282" s="396"/>
      <c r="AC282" s="396"/>
    </row>
    <row r="283" spans="3:29">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c r="AB283" s="396"/>
      <c r="AC283" s="396"/>
    </row>
    <row r="284" spans="3:29">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row>
    <row r="285" spans="3:29">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c r="AB285" s="396"/>
      <c r="AC285" s="396"/>
    </row>
    <row r="286" spans="3:29">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row>
    <row r="287" spans="3:29">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row>
    <row r="288" spans="3:29">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c r="AB288" s="396"/>
      <c r="AC288" s="396"/>
    </row>
    <row r="289" spans="3:29">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c r="AB289" s="396"/>
      <c r="AC289" s="396"/>
    </row>
    <row r="290" spans="3:29">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c r="AB290" s="396"/>
      <c r="AC290" s="396"/>
    </row>
    <row r="291" spans="3:29">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c r="AB291" s="396"/>
      <c r="AC291" s="396"/>
    </row>
    <row r="292" spans="3:29">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c r="AB292" s="396"/>
      <c r="AC292" s="396"/>
    </row>
    <row r="293" spans="3:29">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c r="AB293" s="396"/>
      <c r="AC293" s="396"/>
    </row>
    <row r="294" spans="3:29">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c r="AB294" s="396"/>
      <c r="AC294" s="396"/>
    </row>
    <row r="295" spans="3:29">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c r="AB295" s="396"/>
      <c r="AC295" s="396"/>
    </row>
    <row r="296" spans="3:29">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96"/>
      <c r="AC296" s="396"/>
    </row>
    <row r="297" spans="3:29">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c r="AB297" s="396"/>
      <c r="AC297" s="396"/>
    </row>
    <row r="298" spans="3:29">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c r="AB298" s="396"/>
      <c r="AC298" s="396"/>
    </row>
    <row r="299" spans="3:29">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c r="AB299" s="396"/>
      <c r="AC299" s="396"/>
    </row>
    <row r="300" spans="3:29">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c r="AB300" s="396"/>
      <c r="AC300" s="396"/>
    </row>
    <row r="301" spans="3:29">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c r="AB301" s="396"/>
      <c r="AC301" s="396"/>
    </row>
    <row r="302" spans="3:29">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c r="AB302" s="396"/>
      <c r="AC302" s="396"/>
    </row>
    <row r="303" spans="3:29">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c r="AB303" s="396"/>
      <c r="AC303" s="396"/>
    </row>
    <row r="304" spans="3:29">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96"/>
      <c r="Y304" s="396"/>
      <c r="Z304" s="396"/>
      <c r="AA304" s="396"/>
      <c r="AB304" s="396"/>
      <c r="AC304" s="396"/>
    </row>
    <row r="305" spans="3:29">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96"/>
      <c r="Y305" s="396"/>
      <c r="Z305" s="396"/>
      <c r="AA305" s="396"/>
      <c r="AB305" s="396"/>
      <c r="AC305" s="396"/>
    </row>
    <row r="306" spans="3:29">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96"/>
      <c r="Y306" s="396"/>
      <c r="Z306" s="396"/>
      <c r="AA306" s="396"/>
      <c r="AB306" s="396"/>
      <c r="AC306" s="396"/>
    </row>
    <row r="307" spans="3:29">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96"/>
      <c r="Y307" s="396"/>
      <c r="Z307" s="396"/>
      <c r="AA307" s="396"/>
      <c r="AB307" s="396"/>
      <c r="AC307" s="396"/>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39997558519241921"/>
  </sheetPr>
  <dimension ref="A1:AB30"/>
  <sheetViews>
    <sheetView topLeftCell="A4" workbookViewId="0">
      <selection activeCell="E13" sqref="E13"/>
    </sheetView>
  </sheetViews>
  <sheetFormatPr defaultColWidth="8.85546875" defaultRowHeight="15"/>
  <cols>
    <col min="1" max="1" width="23.85546875" style="373" bestFit="1" customWidth="1"/>
    <col min="2" max="12" width="8.85546875" style="373"/>
    <col min="13" max="13" width="9.140625" style="373"/>
    <col min="14" max="16384" width="8.85546875" style="373"/>
  </cols>
  <sheetData>
    <row r="1" spans="1:28" ht="27" thickBot="1">
      <c r="A1" s="374" t="s">
        <v>0</v>
      </c>
      <c r="B1" s="375" t="s">
        <v>1</v>
      </c>
      <c r="C1" s="376" t="s">
        <v>2</v>
      </c>
      <c r="D1" s="377" t="s">
        <v>3</v>
      </c>
      <c r="E1" s="378" t="s">
        <v>4</v>
      </c>
      <c r="F1" s="378" t="s">
        <v>5</v>
      </c>
      <c r="G1" s="378" t="s">
        <v>6</v>
      </c>
      <c r="H1" s="378" t="s">
        <v>7</v>
      </c>
      <c r="I1" s="378" t="s">
        <v>8</v>
      </c>
      <c r="J1" s="378" t="s">
        <v>9</v>
      </c>
      <c r="K1" s="378" t="s">
        <v>10</v>
      </c>
      <c r="L1" s="378" t="s">
        <v>477</v>
      </c>
      <c r="M1" s="378" t="s">
        <v>155</v>
      </c>
      <c r="N1" s="376" t="s">
        <v>533</v>
      </c>
      <c r="O1" s="378" t="s">
        <v>11</v>
      </c>
      <c r="P1" s="378" t="s">
        <v>12</v>
      </c>
      <c r="Q1" s="378" t="s">
        <v>13</v>
      </c>
      <c r="R1" s="378" t="s">
        <v>14</v>
      </c>
      <c r="S1" s="378" t="s">
        <v>15</v>
      </c>
      <c r="T1" s="378" t="s">
        <v>16</v>
      </c>
      <c r="U1" s="378" t="s">
        <v>17</v>
      </c>
      <c r="V1" s="378" t="s">
        <v>18</v>
      </c>
      <c r="W1" s="378" t="s">
        <v>19</v>
      </c>
      <c r="X1" s="378" t="s">
        <v>20</v>
      </c>
      <c r="Y1" s="378" t="s">
        <v>21</v>
      </c>
      <c r="Z1" s="378" t="s">
        <v>22</v>
      </c>
      <c r="AA1" s="378" t="s">
        <v>23</v>
      </c>
      <c r="AB1" s="376" t="s">
        <v>24</v>
      </c>
    </row>
    <row r="2" spans="1:28">
      <c r="A2" s="379" t="s">
        <v>1</v>
      </c>
      <c r="B2" s="366">
        <v>0</v>
      </c>
      <c r="C2" s="366">
        <v>366.47</v>
      </c>
      <c r="D2" s="366">
        <v>366.47</v>
      </c>
      <c r="E2" s="366">
        <v>351.68</v>
      </c>
      <c r="F2" s="366">
        <v>502.5</v>
      </c>
      <c r="G2" s="366">
        <v>208.88</v>
      </c>
      <c r="H2" s="366">
        <v>554.14</v>
      </c>
      <c r="I2" s="366">
        <v>312.13</v>
      </c>
      <c r="J2" s="366">
        <v>422.24</v>
      </c>
      <c r="K2" s="366">
        <v>227.12</v>
      </c>
      <c r="L2" s="366">
        <v>402.74</v>
      </c>
      <c r="M2" s="366">
        <v>600.38</v>
      </c>
      <c r="N2" s="366">
        <v>293.73</v>
      </c>
      <c r="O2" s="366">
        <v>413.18</v>
      </c>
      <c r="P2" s="366">
        <v>704.79</v>
      </c>
      <c r="Q2" s="366">
        <v>395.81</v>
      </c>
      <c r="R2" s="366">
        <v>302.69</v>
      </c>
      <c r="S2" s="366">
        <v>374.25</v>
      </c>
      <c r="T2" s="366">
        <v>412.48</v>
      </c>
      <c r="U2" s="366">
        <v>374.25</v>
      </c>
      <c r="V2" s="366">
        <v>453.97</v>
      </c>
      <c r="W2" s="366">
        <v>378.32</v>
      </c>
      <c r="X2" s="366">
        <v>333.23</v>
      </c>
      <c r="Y2" s="366">
        <v>955.81</v>
      </c>
      <c r="Z2" s="366">
        <v>538.6</v>
      </c>
      <c r="AA2" s="366">
        <v>358.47</v>
      </c>
      <c r="AB2" s="366">
        <v>116.33</v>
      </c>
    </row>
    <row r="3" spans="1:28">
      <c r="A3" s="380" t="s">
        <v>2</v>
      </c>
      <c r="B3" s="366">
        <v>366.47</v>
      </c>
      <c r="C3" s="366">
        <v>0</v>
      </c>
      <c r="D3" s="366">
        <v>0</v>
      </c>
      <c r="E3" s="366">
        <v>371.99</v>
      </c>
      <c r="F3" s="366">
        <v>469.51</v>
      </c>
      <c r="G3" s="366">
        <v>333.81</v>
      </c>
      <c r="H3" s="366">
        <v>494.42</v>
      </c>
      <c r="I3" s="366">
        <v>332.44</v>
      </c>
      <c r="J3" s="366">
        <v>272.25</v>
      </c>
      <c r="K3" s="366">
        <v>385.51</v>
      </c>
      <c r="L3" s="366">
        <v>252.75</v>
      </c>
      <c r="M3" s="366">
        <v>540.66</v>
      </c>
      <c r="N3" s="366">
        <v>111.1</v>
      </c>
      <c r="O3" s="366">
        <v>432.5</v>
      </c>
      <c r="P3" s="366">
        <v>645.07000000000005</v>
      </c>
      <c r="Q3" s="366">
        <v>245.82</v>
      </c>
      <c r="R3" s="366">
        <v>323</v>
      </c>
      <c r="S3" s="366">
        <v>224.26</v>
      </c>
      <c r="T3" s="366">
        <v>262.49</v>
      </c>
      <c r="U3" s="366">
        <v>224.26</v>
      </c>
      <c r="V3" s="366">
        <v>216.9</v>
      </c>
      <c r="W3" s="366">
        <v>536.71</v>
      </c>
      <c r="X3" s="366">
        <v>353.54</v>
      </c>
      <c r="Y3" s="366">
        <v>825.03</v>
      </c>
      <c r="Z3" s="366">
        <v>388.61</v>
      </c>
      <c r="AA3" s="366">
        <v>208.48</v>
      </c>
      <c r="AB3" s="366">
        <v>426.36</v>
      </c>
    </row>
    <row r="4" spans="1:28">
      <c r="A4" s="381" t="s">
        <v>3</v>
      </c>
      <c r="B4" s="366">
        <v>366.47</v>
      </c>
      <c r="C4" s="366">
        <v>0</v>
      </c>
      <c r="D4" s="366">
        <v>0</v>
      </c>
      <c r="E4" s="366">
        <v>371.99</v>
      </c>
      <c r="F4" s="366">
        <v>469.51</v>
      </c>
      <c r="G4" s="366">
        <v>333.81</v>
      </c>
      <c r="H4" s="366">
        <v>494.42</v>
      </c>
      <c r="I4" s="366">
        <v>332.44</v>
      </c>
      <c r="J4" s="366">
        <v>272.25</v>
      </c>
      <c r="K4" s="366">
        <v>385.51</v>
      </c>
      <c r="L4" s="366">
        <v>252.75</v>
      </c>
      <c r="M4" s="366">
        <v>540.66</v>
      </c>
      <c r="N4" s="366">
        <v>111.1</v>
      </c>
      <c r="O4" s="366">
        <v>432.5</v>
      </c>
      <c r="P4" s="366">
        <v>645.07000000000005</v>
      </c>
      <c r="Q4" s="366">
        <v>245.82</v>
      </c>
      <c r="R4" s="366">
        <v>323</v>
      </c>
      <c r="S4" s="366">
        <v>224.26</v>
      </c>
      <c r="T4" s="366">
        <v>262.49</v>
      </c>
      <c r="U4" s="366">
        <v>224.26</v>
      </c>
      <c r="V4" s="366">
        <v>216.9</v>
      </c>
      <c r="W4" s="366">
        <v>536.71</v>
      </c>
      <c r="X4" s="366">
        <v>353.54</v>
      </c>
      <c r="Y4" s="366">
        <v>825.03</v>
      </c>
      <c r="Z4" s="366">
        <v>388.61</v>
      </c>
      <c r="AA4" s="366">
        <v>208.48</v>
      </c>
      <c r="AB4" s="366">
        <v>426.36</v>
      </c>
    </row>
    <row r="5" spans="1:28">
      <c r="A5" s="380" t="s">
        <v>4</v>
      </c>
      <c r="B5" s="366">
        <v>351.68</v>
      </c>
      <c r="C5" s="366">
        <v>371.99</v>
      </c>
      <c r="D5" s="366">
        <v>371.99</v>
      </c>
      <c r="E5" s="366">
        <v>0</v>
      </c>
      <c r="F5" s="366">
        <v>253.33</v>
      </c>
      <c r="G5" s="366">
        <v>464.66</v>
      </c>
      <c r="H5" s="366">
        <v>304.97000000000003</v>
      </c>
      <c r="I5" s="366">
        <v>59.51</v>
      </c>
      <c r="J5" s="366">
        <v>420.07</v>
      </c>
      <c r="K5" s="366">
        <v>370.72</v>
      </c>
      <c r="L5" s="366">
        <v>408.26</v>
      </c>
      <c r="M5" s="366">
        <v>351.21</v>
      </c>
      <c r="N5" s="366">
        <v>299.25</v>
      </c>
      <c r="O5" s="366">
        <v>164.01</v>
      </c>
      <c r="P5" s="366">
        <v>455.62</v>
      </c>
      <c r="Q5" s="366">
        <v>401.33</v>
      </c>
      <c r="R5" s="366">
        <v>52.06</v>
      </c>
      <c r="S5" s="366">
        <v>366.28</v>
      </c>
      <c r="T5" s="366">
        <v>410.31</v>
      </c>
      <c r="U5" s="366">
        <v>366.28</v>
      </c>
      <c r="V5" s="366">
        <v>459.49</v>
      </c>
      <c r="W5" s="366">
        <v>521.91999999999996</v>
      </c>
      <c r="X5" s="366">
        <v>84.06</v>
      </c>
      <c r="Y5" s="366">
        <v>706.64</v>
      </c>
      <c r="Z5" s="366">
        <v>380.14</v>
      </c>
      <c r="AA5" s="366">
        <v>363.99</v>
      </c>
      <c r="AB5" s="366">
        <v>416.97</v>
      </c>
    </row>
    <row r="6" spans="1:28">
      <c r="A6" s="380" t="s">
        <v>5</v>
      </c>
      <c r="B6" s="366">
        <v>502.5</v>
      </c>
      <c r="C6" s="366">
        <v>469.51</v>
      </c>
      <c r="D6" s="366">
        <v>469.51</v>
      </c>
      <c r="E6" s="366">
        <v>253.33</v>
      </c>
      <c r="F6" s="366">
        <v>0</v>
      </c>
      <c r="G6" s="366">
        <v>596.64</v>
      </c>
      <c r="H6" s="366">
        <v>153.94</v>
      </c>
      <c r="I6" s="366">
        <v>193.82</v>
      </c>
      <c r="J6" s="366">
        <v>299.04000000000002</v>
      </c>
      <c r="K6" s="366">
        <v>521.54</v>
      </c>
      <c r="L6" s="366">
        <v>302.37</v>
      </c>
      <c r="M6" s="366">
        <v>200.18</v>
      </c>
      <c r="N6" s="366">
        <v>391.83</v>
      </c>
      <c r="O6" s="366">
        <v>95.29</v>
      </c>
      <c r="P6" s="366">
        <v>304.58999999999997</v>
      </c>
      <c r="Q6" s="366">
        <v>283.69</v>
      </c>
      <c r="R6" s="366">
        <v>203.26</v>
      </c>
      <c r="S6" s="366">
        <v>245.25</v>
      </c>
      <c r="T6" s="366">
        <v>289.27999999999997</v>
      </c>
      <c r="U6" s="366">
        <v>245.25</v>
      </c>
      <c r="V6" s="366">
        <v>591.47</v>
      </c>
      <c r="W6" s="366">
        <v>672.74</v>
      </c>
      <c r="X6" s="366">
        <v>176.13</v>
      </c>
      <c r="Y6" s="366">
        <v>555.61</v>
      </c>
      <c r="Z6" s="366">
        <v>259.11</v>
      </c>
      <c r="AA6" s="366">
        <v>330.25</v>
      </c>
      <c r="AB6" s="366">
        <v>567.79</v>
      </c>
    </row>
    <row r="7" spans="1:28">
      <c r="A7" s="380" t="s">
        <v>6</v>
      </c>
      <c r="B7" s="366">
        <v>208.88</v>
      </c>
      <c r="C7" s="366">
        <v>333.81</v>
      </c>
      <c r="D7" s="366">
        <v>333.81</v>
      </c>
      <c r="E7" s="366">
        <v>464.66</v>
      </c>
      <c r="F7" s="366">
        <v>596.64</v>
      </c>
      <c r="G7" s="366">
        <v>0</v>
      </c>
      <c r="H7" s="366">
        <v>621.54999999999995</v>
      </c>
      <c r="I7" s="366">
        <v>425.11</v>
      </c>
      <c r="J7" s="366">
        <v>399.38</v>
      </c>
      <c r="K7" s="366">
        <v>384.96</v>
      </c>
      <c r="L7" s="366">
        <v>379.88</v>
      </c>
      <c r="M7" s="366">
        <v>667.79</v>
      </c>
      <c r="N7" s="366">
        <v>226.87</v>
      </c>
      <c r="O7" s="366">
        <v>526.16</v>
      </c>
      <c r="P7" s="366">
        <v>772.2</v>
      </c>
      <c r="Q7" s="366">
        <v>372.95</v>
      </c>
      <c r="R7" s="366">
        <v>415.67</v>
      </c>
      <c r="S7" s="366">
        <v>351.39</v>
      </c>
      <c r="T7" s="366">
        <v>389.62</v>
      </c>
      <c r="U7" s="366">
        <v>351.39</v>
      </c>
      <c r="V7" s="366">
        <v>319.44</v>
      </c>
      <c r="W7" s="366">
        <v>536.16</v>
      </c>
      <c r="X7" s="366">
        <v>446.21</v>
      </c>
      <c r="Y7" s="366">
        <v>952.16</v>
      </c>
      <c r="Z7" s="366">
        <v>515.74</v>
      </c>
      <c r="AA7" s="366">
        <v>335.61</v>
      </c>
      <c r="AB7" s="366">
        <v>92.55</v>
      </c>
    </row>
    <row r="8" spans="1:28">
      <c r="A8" s="380" t="s">
        <v>7</v>
      </c>
      <c r="B8" s="366">
        <v>554.14</v>
      </c>
      <c r="C8" s="366">
        <v>494.42</v>
      </c>
      <c r="D8" s="366">
        <v>494.42</v>
      </c>
      <c r="E8" s="366">
        <v>304.97000000000003</v>
      </c>
      <c r="F8" s="366">
        <v>153.94</v>
      </c>
      <c r="G8" s="366">
        <v>621.54999999999995</v>
      </c>
      <c r="H8" s="366">
        <v>0</v>
      </c>
      <c r="I8" s="366">
        <v>245.46</v>
      </c>
      <c r="J8" s="366">
        <v>230.43</v>
      </c>
      <c r="K8" s="366">
        <v>573.17999999999995</v>
      </c>
      <c r="L8" s="366">
        <v>291.42</v>
      </c>
      <c r="M8" s="366">
        <v>46.24</v>
      </c>
      <c r="N8" s="366">
        <v>416.74</v>
      </c>
      <c r="O8" s="366">
        <v>146.93</v>
      </c>
      <c r="P8" s="366">
        <v>150.65</v>
      </c>
      <c r="Q8" s="366">
        <v>272.74</v>
      </c>
      <c r="R8" s="366">
        <v>254.9</v>
      </c>
      <c r="S8" s="366">
        <v>270.16000000000003</v>
      </c>
      <c r="T8" s="366">
        <v>246.97</v>
      </c>
      <c r="U8" s="366">
        <v>270.16000000000003</v>
      </c>
      <c r="V8" s="366">
        <v>616.38</v>
      </c>
      <c r="W8" s="366">
        <v>724.38</v>
      </c>
      <c r="X8" s="366">
        <v>227.77</v>
      </c>
      <c r="Y8" s="366">
        <v>401.67</v>
      </c>
      <c r="Z8" s="366">
        <v>140.32</v>
      </c>
      <c r="AA8" s="366">
        <v>355.16</v>
      </c>
      <c r="AB8" s="366">
        <v>619.42999999999995</v>
      </c>
    </row>
    <row r="9" spans="1:28">
      <c r="A9" s="380" t="s">
        <v>8</v>
      </c>
      <c r="B9" s="366">
        <v>312.13</v>
      </c>
      <c r="C9" s="366">
        <v>332.44</v>
      </c>
      <c r="D9" s="366">
        <v>332.44</v>
      </c>
      <c r="E9" s="366">
        <v>59.51</v>
      </c>
      <c r="F9" s="366">
        <v>193.82</v>
      </c>
      <c r="G9" s="366">
        <v>425.11</v>
      </c>
      <c r="H9" s="366">
        <v>245.46</v>
      </c>
      <c r="I9" s="366">
        <v>0</v>
      </c>
      <c r="J9" s="366">
        <v>360.56</v>
      </c>
      <c r="K9" s="366">
        <v>331.17</v>
      </c>
      <c r="L9" s="366">
        <v>363.89</v>
      </c>
      <c r="M9" s="366">
        <v>291.7</v>
      </c>
      <c r="N9" s="366">
        <v>259.7</v>
      </c>
      <c r="O9" s="366">
        <v>104.5</v>
      </c>
      <c r="P9" s="366">
        <v>396.11</v>
      </c>
      <c r="Q9" s="366">
        <v>345.21</v>
      </c>
      <c r="R9" s="366">
        <v>9.44</v>
      </c>
      <c r="S9" s="366">
        <v>306.77</v>
      </c>
      <c r="T9" s="366">
        <v>350.8</v>
      </c>
      <c r="U9" s="366">
        <v>306.77</v>
      </c>
      <c r="V9" s="366">
        <v>419.94</v>
      </c>
      <c r="W9" s="366">
        <v>482.37</v>
      </c>
      <c r="X9" s="366">
        <v>24.55</v>
      </c>
      <c r="Y9" s="366">
        <v>647.13</v>
      </c>
      <c r="Z9" s="366">
        <v>320.63</v>
      </c>
      <c r="AA9" s="366">
        <v>324.44</v>
      </c>
      <c r="AB9" s="366">
        <v>377.42</v>
      </c>
    </row>
    <row r="10" spans="1:28">
      <c r="A10" s="380" t="s">
        <v>9</v>
      </c>
      <c r="B10" s="366">
        <v>422.24</v>
      </c>
      <c r="C10" s="366">
        <v>272.25</v>
      </c>
      <c r="D10" s="366">
        <v>272.25</v>
      </c>
      <c r="E10" s="366">
        <v>420.07</v>
      </c>
      <c r="F10" s="366">
        <v>299.04000000000002</v>
      </c>
      <c r="G10" s="366">
        <v>399.38</v>
      </c>
      <c r="H10" s="366">
        <v>230.43</v>
      </c>
      <c r="I10" s="366">
        <v>360.56</v>
      </c>
      <c r="J10" s="366">
        <v>0</v>
      </c>
      <c r="K10" s="366">
        <v>441.28</v>
      </c>
      <c r="L10" s="366">
        <v>60.99</v>
      </c>
      <c r="M10" s="366">
        <v>276.67</v>
      </c>
      <c r="N10" s="366">
        <v>194.57</v>
      </c>
      <c r="O10" s="366">
        <v>262.02999999999997</v>
      </c>
      <c r="P10" s="366">
        <v>381.08</v>
      </c>
      <c r="Q10" s="366">
        <v>42.31</v>
      </c>
      <c r="R10" s="366">
        <v>370</v>
      </c>
      <c r="S10" s="366">
        <v>108.57</v>
      </c>
      <c r="T10" s="366">
        <v>16.54</v>
      </c>
      <c r="U10" s="366">
        <v>108.57</v>
      </c>
      <c r="V10" s="366">
        <v>394.21</v>
      </c>
      <c r="W10" s="366">
        <v>592.48</v>
      </c>
      <c r="X10" s="366">
        <v>342.87</v>
      </c>
      <c r="Y10" s="366">
        <v>561.04</v>
      </c>
      <c r="Z10" s="366">
        <v>124.62</v>
      </c>
      <c r="AA10" s="366">
        <v>132.99</v>
      </c>
      <c r="AB10" s="366">
        <v>487.53</v>
      </c>
    </row>
    <row r="11" spans="1:28">
      <c r="A11" s="380" t="s">
        <v>10</v>
      </c>
      <c r="B11" s="366">
        <v>227.12</v>
      </c>
      <c r="C11" s="366">
        <v>385.51</v>
      </c>
      <c r="D11" s="366">
        <v>385.51</v>
      </c>
      <c r="E11" s="366">
        <v>370.72</v>
      </c>
      <c r="F11" s="366">
        <v>521.54</v>
      </c>
      <c r="G11" s="366">
        <v>384.96</v>
      </c>
      <c r="H11" s="366">
        <v>573.17999999999995</v>
      </c>
      <c r="I11" s="366">
        <v>331.17</v>
      </c>
      <c r="J11" s="366">
        <v>441.28</v>
      </c>
      <c r="K11" s="366">
        <v>0</v>
      </c>
      <c r="L11" s="366">
        <v>421.78</v>
      </c>
      <c r="M11" s="366">
        <v>619.41999999999996</v>
      </c>
      <c r="N11" s="366">
        <v>312.77</v>
      </c>
      <c r="O11" s="366">
        <v>432.22</v>
      </c>
      <c r="P11" s="366">
        <v>723.83</v>
      </c>
      <c r="Q11" s="366">
        <v>414.85</v>
      </c>
      <c r="R11" s="366">
        <v>321.73</v>
      </c>
      <c r="S11" s="366">
        <v>393.29</v>
      </c>
      <c r="T11" s="366">
        <v>431.52</v>
      </c>
      <c r="U11" s="366">
        <v>393.29</v>
      </c>
      <c r="V11" s="366">
        <v>473.01</v>
      </c>
      <c r="W11" s="366">
        <v>151.19999999999999</v>
      </c>
      <c r="X11" s="366">
        <v>352.27</v>
      </c>
      <c r="Y11" s="366">
        <v>974.85</v>
      </c>
      <c r="Z11" s="366">
        <v>557.64</v>
      </c>
      <c r="AA11" s="366">
        <v>377.51</v>
      </c>
      <c r="AB11" s="366">
        <v>292.41000000000003</v>
      </c>
    </row>
    <row r="12" spans="1:28">
      <c r="A12" s="380" t="s">
        <v>477</v>
      </c>
      <c r="B12" s="366">
        <v>402.74</v>
      </c>
      <c r="C12" s="366">
        <v>252.75</v>
      </c>
      <c r="D12" s="366">
        <v>252.75</v>
      </c>
      <c r="E12" s="366">
        <v>408.26</v>
      </c>
      <c r="F12" s="366">
        <v>302.37</v>
      </c>
      <c r="G12" s="366">
        <v>379.88</v>
      </c>
      <c r="H12" s="366">
        <v>291.42</v>
      </c>
      <c r="I12" s="366">
        <v>363.89</v>
      </c>
      <c r="J12" s="366">
        <v>60.99</v>
      </c>
      <c r="K12" s="366">
        <v>421.78</v>
      </c>
      <c r="L12" s="366">
        <v>0</v>
      </c>
      <c r="M12" s="366">
        <v>337.66</v>
      </c>
      <c r="N12" s="366">
        <v>175.07</v>
      </c>
      <c r="O12" s="366">
        <v>265.36</v>
      </c>
      <c r="P12" s="366">
        <v>442.07</v>
      </c>
      <c r="Q12" s="366">
        <v>39.630000000000003</v>
      </c>
      <c r="R12" s="366">
        <v>359.27</v>
      </c>
      <c r="S12" s="366">
        <v>111.9</v>
      </c>
      <c r="T12" s="366">
        <v>51.23</v>
      </c>
      <c r="U12" s="366">
        <v>111.9</v>
      </c>
      <c r="V12" s="366">
        <v>374.71</v>
      </c>
      <c r="W12" s="366">
        <v>572.98</v>
      </c>
      <c r="X12" s="366">
        <v>346.2</v>
      </c>
      <c r="Y12" s="366">
        <v>622.03</v>
      </c>
      <c r="Z12" s="366">
        <v>185.61</v>
      </c>
      <c r="AA12" s="366">
        <v>113.49</v>
      </c>
      <c r="AB12" s="366">
        <v>468.03</v>
      </c>
    </row>
    <row r="13" spans="1:28">
      <c r="A13" s="380" t="s">
        <v>155</v>
      </c>
      <c r="B13" s="366">
        <v>600.38</v>
      </c>
      <c r="C13" s="366">
        <v>540.66</v>
      </c>
      <c r="D13" s="366">
        <v>540.66</v>
      </c>
      <c r="E13" s="366">
        <v>351.21</v>
      </c>
      <c r="F13" s="366">
        <v>200.18</v>
      </c>
      <c r="G13" s="366">
        <v>667.79</v>
      </c>
      <c r="H13" s="366">
        <v>46.24</v>
      </c>
      <c r="I13" s="366">
        <v>291.7</v>
      </c>
      <c r="J13" s="366">
        <v>276.67</v>
      </c>
      <c r="K13" s="366">
        <v>619.41999999999996</v>
      </c>
      <c r="L13" s="366">
        <v>337.66</v>
      </c>
      <c r="M13" s="366">
        <v>0</v>
      </c>
      <c r="N13" s="366">
        <v>462.98</v>
      </c>
      <c r="O13" s="366">
        <v>193.17</v>
      </c>
      <c r="P13" s="366">
        <v>104.41</v>
      </c>
      <c r="Q13" s="366">
        <v>318.98</v>
      </c>
      <c r="R13" s="366">
        <v>301.14</v>
      </c>
      <c r="S13" s="366">
        <v>316.39999999999998</v>
      </c>
      <c r="T13" s="366">
        <v>293.20999999999998</v>
      </c>
      <c r="U13" s="366">
        <v>316.39999999999998</v>
      </c>
      <c r="V13" s="366">
        <v>662.62</v>
      </c>
      <c r="W13" s="366">
        <v>770.62</v>
      </c>
      <c r="X13" s="366">
        <v>274.01</v>
      </c>
      <c r="Y13" s="366">
        <v>355.43</v>
      </c>
      <c r="Z13" s="366">
        <v>186.56</v>
      </c>
      <c r="AA13" s="366">
        <v>401.4</v>
      </c>
      <c r="AB13" s="366">
        <v>665.67</v>
      </c>
    </row>
    <row r="14" spans="1:28">
      <c r="A14" s="378" t="s">
        <v>533</v>
      </c>
      <c r="B14" s="366">
        <v>293.73</v>
      </c>
      <c r="C14" s="366">
        <v>111.1</v>
      </c>
      <c r="D14" s="366">
        <v>111.1</v>
      </c>
      <c r="E14" s="366">
        <v>299.25</v>
      </c>
      <c r="F14" s="366">
        <v>391.83</v>
      </c>
      <c r="G14" s="366">
        <v>226.87</v>
      </c>
      <c r="H14" s="366">
        <v>416.74</v>
      </c>
      <c r="I14" s="366">
        <v>259.7</v>
      </c>
      <c r="J14" s="366">
        <v>194.57</v>
      </c>
      <c r="K14" s="366">
        <v>312.77</v>
      </c>
      <c r="L14" s="366">
        <v>175.07</v>
      </c>
      <c r="M14" s="366">
        <v>462.98</v>
      </c>
      <c r="N14" s="366">
        <v>0</v>
      </c>
      <c r="O14" s="366">
        <v>354.82</v>
      </c>
      <c r="P14" s="366">
        <v>567.39</v>
      </c>
      <c r="Q14" s="366">
        <v>168.14</v>
      </c>
      <c r="R14" s="366">
        <v>250.26</v>
      </c>
      <c r="S14" s="366">
        <v>146.58000000000001</v>
      </c>
      <c r="T14" s="366">
        <v>184.81</v>
      </c>
      <c r="U14" s="366">
        <v>146.58000000000001</v>
      </c>
      <c r="V14" s="366">
        <v>221.7</v>
      </c>
      <c r="W14" s="366">
        <v>463.97</v>
      </c>
      <c r="X14" s="366">
        <v>280.8</v>
      </c>
      <c r="Y14" s="366">
        <v>747.35</v>
      </c>
      <c r="Z14" s="366">
        <v>310.93</v>
      </c>
      <c r="AA14" s="366">
        <v>130.80000000000001</v>
      </c>
      <c r="AB14" s="366">
        <v>319.42</v>
      </c>
    </row>
    <row r="15" spans="1:28">
      <c r="A15" s="380" t="s">
        <v>11</v>
      </c>
      <c r="B15" s="366">
        <v>413.18</v>
      </c>
      <c r="C15" s="366">
        <v>432.5</v>
      </c>
      <c r="D15" s="366">
        <v>432.5</v>
      </c>
      <c r="E15" s="366">
        <v>164.01</v>
      </c>
      <c r="F15" s="366">
        <v>95.29</v>
      </c>
      <c r="G15" s="366">
        <v>526.16</v>
      </c>
      <c r="H15" s="366">
        <v>146.93</v>
      </c>
      <c r="I15" s="366">
        <v>104.5</v>
      </c>
      <c r="J15" s="366">
        <v>262.02999999999997</v>
      </c>
      <c r="K15" s="366">
        <v>432.22</v>
      </c>
      <c r="L15" s="366">
        <v>265.36</v>
      </c>
      <c r="M15" s="366">
        <v>193.17</v>
      </c>
      <c r="N15" s="366">
        <v>354.82</v>
      </c>
      <c r="O15" s="366">
        <v>0</v>
      </c>
      <c r="P15" s="366">
        <v>297.58</v>
      </c>
      <c r="Q15" s="366">
        <v>246.68</v>
      </c>
      <c r="R15" s="366">
        <v>113.94</v>
      </c>
      <c r="S15" s="366">
        <v>208.24</v>
      </c>
      <c r="T15" s="366">
        <v>252.27</v>
      </c>
      <c r="U15" s="366">
        <v>208.24</v>
      </c>
      <c r="V15" s="366">
        <v>520.99</v>
      </c>
      <c r="W15" s="366">
        <v>583.41999999999996</v>
      </c>
      <c r="X15" s="366">
        <v>86.81</v>
      </c>
      <c r="Y15" s="366">
        <v>548.6</v>
      </c>
      <c r="Z15" s="366">
        <v>222.1</v>
      </c>
      <c r="AA15" s="366">
        <v>293.24</v>
      </c>
      <c r="AB15" s="366">
        <v>478.47</v>
      </c>
    </row>
    <row r="16" spans="1:28">
      <c r="A16" s="380" t="s">
        <v>12</v>
      </c>
      <c r="B16" s="366">
        <v>704.79</v>
      </c>
      <c r="C16" s="366">
        <v>645.07000000000005</v>
      </c>
      <c r="D16" s="366">
        <v>645.07000000000005</v>
      </c>
      <c r="E16" s="366">
        <v>455.62</v>
      </c>
      <c r="F16" s="366">
        <v>304.58999999999997</v>
      </c>
      <c r="G16" s="366">
        <v>772.2</v>
      </c>
      <c r="H16" s="366">
        <v>150.65</v>
      </c>
      <c r="I16" s="366">
        <v>396.11</v>
      </c>
      <c r="J16" s="366">
        <v>381.08</v>
      </c>
      <c r="K16" s="366">
        <v>723.83</v>
      </c>
      <c r="L16" s="366">
        <v>442.07</v>
      </c>
      <c r="M16" s="366">
        <v>104.41</v>
      </c>
      <c r="N16" s="366">
        <v>567.39</v>
      </c>
      <c r="O16" s="366">
        <v>297.58</v>
      </c>
      <c r="P16" s="366">
        <v>0</v>
      </c>
      <c r="Q16" s="366">
        <v>423.39</v>
      </c>
      <c r="R16" s="366">
        <v>405.55</v>
      </c>
      <c r="S16" s="366">
        <v>420.81</v>
      </c>
      <c r="T16" s="366">
        <v>397.62</v>
      </c>
      <c r="U16" s="366">
        <v>420.81</v>
      </c>
      <c r="V16" s="366">
        <v>767.03</v>
      </c>
      <c r="W16" s="366">
        <v>875.03</v>
      </c>
      <c r="X16" s="366">
        <v>378.42</v>
      </c>
      <c r="Y16" s="366">
        <v>287.62</v>
      </c>
      <c r="Z16" s="366">
        <v>290.97000000000003</v>
      </c>
      <c r="AA16" s="366">
        <v>505.81</v>
      </c>
      <c r="AB16" s="366">
        <v>770.08</v>
      </c>
    </row>
    <row r="17" spans="1:28">
      <c r="A17" s="380" t="s">
        <v>13</v>
      </c>
      <c r="B17" s="366">
        <v>395.81</v>
      </c>
      <c r="C17" s="366">
        <v>245.82</v>
      </c>
      <c r="D17" s="366">
        <v>245.82</v>
      </c>
      <c r="E17" s="366">
        <v>401.33</v>
      </c>
      <c r="F17" s="366">
        <v>283.69</v>
      </c>
      <c r="G17" s="366">
        <v>372.95</v>
      </c>
      <c r="H17" s="366">
        <v>272.74</v>
      </c>
      <c r="I17" s="366">
        <v>345.21</v>
      </c>
      <c r="J17" s="366">
        <v>42.31</v>
      </c>
      <c r="K17" s="366">
        <v>414.85</v>
      </c>
      <c r="L17" s="366">
        <v>39.630000000000003</v>
      </c>
      <c r="M17" s="366">
        <v>318.98</v>
      </c>
      <c r="N17" s="366">
        <v>168.14</v>
      </c>
      <c r="O17" s="366">
        <v>246.68</v>
      </c>
      <c r="P17" s="366">
        <v>423.39</v>
      </c>
      <c r="Q17" s="366">
        <v>0</v>
      </c>
      <c r="R17" s="366">
        <v>352.34</v>
      </c>
      <c r="S17" s="366">
        <v>93.22</v>
      </c>
      <c r="T17" s="366">
        <v>32.549999999999997</v>
      </c>
      <c r="U17" s="366">
        <v>93.22</v>
      </c>
      <c r="V17" s="366">
        <v>367.78</v>
      </c>
      <c r="W17" s="366">
        <v>566.04999999999995</v>
      </c>
      <c r="X17" s="366">
        <v>327.52</v>
      </c>
      <c r="Y17" s="366">
        <v>603.35</v>
      </c>
      <c r="Z17" s="366">
        <v>166.93</v>
      </c>
      <c r="AA17" s="366">
        <v>106.56</v>
      </c>
      <c r="AB17" s="366">
        <v>461.1</v>
      </c>
    </row>
    <row r="18" spans="1:28">
      <c r="A18" s="380" t="s">
        <v>14</v>
      </c>
      <c r="B18" s="366">
        <v>302.69</v>
      </c>
      <c r="C18" s="366">
        <v>323</v>
      </c>
      <c r="D18" s="366">
        <v>323</v>
      </c>
      <c r="E18" s="366">
        <v>52.06</v>
      </c>
      <c r="F18" s="366">
        <v>203.26</v>
      </c>
      <c r="G18" s="366">
        <v>415.67</v>
      </c>
      <c r="H18" s="366">
        <v>254.9</v>
      </c>
      <c r="I18" s="366">
        <v>9.44</v>
      </c>
      <c r="J18" s="366">
        <v>370</v>
      </c>
      <c r="K18" s="366">
        <v>321.73</v>
      </c>
      <c r="L18" s="366">
        <v>359.27</v>
      </c>
      <c r="M18" s="366">
        <v>301.14</v>
      </c>
      <c r="N18" s="366">
        <v>250.26</v>
      </c>
      <c r="O18" s="366">
        <v>113.94</v>
      </c>
      <c r="P18" s="366">
        <v>405.55</v>
      </c>
      <c r="Q18" s="366">
        <v>352.34</v>
      </c>
      <c r="R18" s="366">
        <v>0</v>
      </c>
      <c r="S18" s="366">
        <v>316.20999999999998</v>
      </c>
      <c r="T18" s="366">
        <v>360.24</v>
      </c>
      <c r="U18" s="366">
        <v>316.20999999999998</v>
      </c>
      <c r="V18" s="366">
        <v>410.5</v>
      </c>
      <c r="W18" s="366">
        <v>472.93</v>
      </c>
      <c r="X18" s="366">
        <v>33.99</v>
      </c>
      <c r="Y18" s="366">
        <v>656.57</v>
      </c>
      <c r="Z18" s="366">
        <v>330.07</v>
      </c>
      <c r="AA18" s="366">
        <v>315</v>
      </c>
      <c r="AB18" s="366">
        <v>367.98</v>
      </c>
    </row>
    <row r="19" spans="1:28">
      <c r="A19" s="380" t="s">
        <v>15</v>
      </c>
      <c r="B19" s="366">
        <v>374.25</v>
      </c>
      <c r="C19" s="366">
        <v>224.26</v>
      </c>
      <c r="D19" s="366">
        <v>224.26</v>
      </c>
      <c r="E19" s="366">
        <v>366.28</v>
      </c>
      <c r="F19" s="366">
        <v>245.25</v>
      </c>
      <c r="G19" s="366">
        <v>351.39</v>
      </c>
      <c r="H19" s="366">
        <v>270.16000000000003</v>
      </c>
      <c r="I19" s="366">
        <v>306.77</v>
      </c>
      <c r="J19" s="366">
        <v>108.57</v>
      </c>
      <c r="K19" s="366">
        <v>393.29</v>
      </c>
      <c r="L19" s="366">
        <v>111.9</v>
      </c>
      <c r="M19" s="366">
        <v>316.39999999999998</v>
      </c>
      <c r="N19" s="366">
        <v>146.58000000000001</v>
      </c>
      <c r="O19" s="366">
        <v>208.24</v>
      </c>
      <c r="P19" s="366">
        <v>420.81</v>
      </c>
      <c r="Q19" s="366">
        <v>93.22</v>
      </c>
      <c r="R19" s="366">
        <v>316.20999999999998</v>
      </c>
      <c r="S19" s="366">
        <v>0</v>
      </c>
      <c r="T19" s="366">
        <v>98.81</v>
      </c>
      <c r="U19" s="366">
        <v>0</v>
      </c>
      <c r="V19" s="366">
        <v>346.22</v>
      </c>
      <c r="W19" s="366">
        <v>544.49</v>
      </c>
      <c r="X19" s="366">
        <v>289.08</v>
      </c>
      <c r="Y19" s="366">
        <v>600.77</v>
      </c>
      <c r="Z19" s="366">
        <v>164.35</v>
      </c>
      <c r="AA19" s="366">
        <v>85</v>
      </c>
      <c r="AB19" s="366">
        <v>439.54</v>
      </c>
    </row>
    <row r="20" spans="1:28">
      <c r="A20" s="380" t="s">
        <v>16</v>
      </c>
      <c r="B20" s="366">
        <v>412.48</v>
      </c>
      <c r="C20" s="366">
        <v>262.49</v>
      </c>
      <c r="D20" s="366">
        <v>262.49</v>
      </c>
      <c r="E20" s="366">
        <v>410.31</v>
      </c>
      <c r="F20" s="366">
        <v>289.27999999999997</v>
      </c>
      <c r="G20" s="366">
        <v>389.62</v>
      </c>
      <c r="H20" s="366">
        <v>246.97</v>
      </c>
      <c r="I20" s="366">
        <v>350.8</v>
      </c>
      <c r="J20" s="366">
        <v>16.54</v>
      </c>
      <c r="K20" s="366">
        <v>431.52</v>
      </c>
      <c r="L20" s="366">
        <v>51.23</v>
      </c>
      <c r="M20" s="366">
        <v>293.20999999999998</v>
      </c>
      <c r="N20" s="366">
        <v>184.81</v>
      </c>
      <c r="O20" s="366">
        <v>252.27</v>
      </c>
      <c r="P20" s="366">
        <v>397.62</v>
      </c>
      <c r="Q20" s="366">
        <v>32.549999999999997</v>
      </c>
      <c r="R20" s="366">
        <v>360.24</v>
      </c>
      <c r="S20" s="366">
        <v>98.81</v>
      </c>
      <c r="T20" s="366">
        <v>0</v>
      </c>
      <c r="U20" s="366">
        <v>98.81</v>
      </c>
      <c r="V20" s="366">
        <v>384.45</v>
      </c>
      <c r="W20" s="366">
        <v>582.72</v>
      </c>
      <c r="X20" s="366">
        <v>333.11</v>
      </c>
      <c r="Y20" s="366">
        <v>577.58000000000004</v>
      </c>
      <c r="Z20" s="366">
        <v>141.16</v>
      </c>
      <c r="AA20" s="366">
        <v>123.23</v>
      </c>
      <c r="AB20" s="366">
        <v>477.77</v>
      </c>
    </row>
    <row r="21" spans="1:28">
      <c r="A21" s="380" t="s">
        <v>17</v>
      </c>
      <c r="B21" s="366">
        <v>374.25</v>
      </c>
      <c r="C21" s="366">
        <v>224.26</v>
      </c>
      <c r="D21" s="366">
        <v>224.26</v>
      </c>
      <c r="E21" s="366">
        <v>366.28</v>
      </c>
      <c r="F21" s="366">
        <v>245.25</v>
      </c>
      <c r="G21" s="366">
        <v>351.39</v>
      </c>
      <c r="H21" s="366">
        <v>270.16000000000003</v>
      </c>
      <c r="I21" s="366">
        <v>306.77</v>
      </c>
      <c r="J21" s="366">
        <v>108.57</v>
      </c>
      <c r="K21" s="366">
        <v>393.29</v>
      </c>
      <c r="L21" s="366">
        <v>111.9</v>
      </c>
      <c r="M21" s="366">
        <v>316.39999999999998</v>
      </c>
      <c r="N21" s="366">
        <v>146.58000000000001</v>
      </c>
      <c r="O21" s="366">
        <v>208.24</v>
      </c>
      <c r="P21" s="366">
        <v>420.81</v>
      </c>
      <c r="Q21" s="366">
        <v>93.22</v>
      </c>
      <c r="R21" s="366">
        <v>316.20999999999998</v>
      </c>
      <c r="S21" s="366">
        <v>0</v>
      </c>
      <c r="T21" s="366">
        <v>98.81</v>
      </c>
      <c r="U21" s="366">
        <v>0</v>
      </c>
      <c r="V21" s="366">
        <v>346.22</v>
      </c>
      <c r="W21" s="366">
        <v>544.49</v>
      </c>
      <c r="X21" s="366">
        <v>289.08</v>
      </c>
      <c r="Y21" s="366">
        <v>600.77</v>
      </c>
      <c r="Z21" s="366">
        <v>164.35</v>
      </c>
      <c r="AA21" s="366">
        <v>85</v>
      </c>
      <c r="AB21" s="366">
        <v>439.54</v>
      </c>
    </row>
    <row r="22" spans="1:28">
      <c r="A22" s="380" t="s">
        <v>18</v>
      </c>
      <c r="B22" s="366">
        <v>453.97</v>
      </c>
      <c r="C22" s="366">
        <v>216.9</v>
      </c>
      <c r="D22" s="366">
        <v>216.9</v>
      </c>
      <c r="E22" s="366">
        <v>459.49</v>
      </c>
      <c r="F22" s="366">
        <v>591.47</v>
      </c>
      <c r="G22" s="366">
        <v>319.44</v>
      </c>
      <c r="H22" s="366">
        <v>616.38</v>
      </c>
      <c r="I22" s="366">
        <v>419.94</v>
      </c>
      <c r="J22" s="366">
        <v>394.21</v>
      </c>
      <c r="K22" s="366">
        <v>473.01</v>
      </c>
      <c r="L22" s="366">
        <v>374.71</v>
      </c>
      <c r="M22" s="366">
        <v>662.62</v>
      </c>
      <c r="N22" s="366">
        <v>221.7</v>
      </c>
      <c r="O22" s="366">
        <v>520.99</v>
      </c>
      <c r="P22" s="366">
        <v>767.03</v>
      </c>
      <c r="Q22" s="366">
        <v>367.78</v>
      </c>
      <c r="R22" s="366">
        <v>410.5</v>
      </c>
      <c r="S22" s="366">
        <v>346.22</v>
      </c>
      <c r="T22" s="366">
        <v>384.45</v>
      </c>
      <c r="U22" s="366">
        <v>346.22</v>
      </c>
      <c r="V22" s="366">
        <v>0</v>
      </c>
      <c r="W22" s="366">
        <v>624.21</v>
      </c>
      <c r="X22" s="366">
        <v>441.04</v>
      </c>
      <c r="Y22" s="366">
        <v>946.99</v>
      </c>
      <c r="Z22" s="366">
        <v>510.57</v>
      </c>
      <c r="AA22" s="366">
        <v>330.44</v>
      </c>
      <c r="AB22" s="366">
        <v>411.99</v>
      </c>
    </row>
    <row r="23" spans="1:28">
      <c r="A23" s="380" t="s">
        <v>19</v>
      </c>
      <c r="B23" s="366">
        <v>378.32</v>
      </c>
      <c r="C23" s="366">
        <v>536.71</v>
      </c>
      <c r="D23" s="366">
        <v>536.71</v>
      </c>
      <c r="E23" s="366">
        <v>521.91999999999996</v>
      </c>
      <c r="F23" s="366">
        <v>672.74</v>
      </c>
      <c r="G23" s="366">
        <v>536.16</v>
      </c>
      <c r="H23" s="366">
        <v>724.38</v>
      </c>
      <c r="I23" s="366">
        <v>482.37</v>
      </c>
      <c r="J23" s="366">
        <v>592.48</v>
      </c>
      <c r="K23" s="366">
        <v>151.19999999999999</v>
      </c>
      <c r="L23" s="366">
        <v>572.98</v>
      </c>
      <c r="M23" s="366">
        <v>770.62</v>
      </c>
      <c r="N23" s="366">
        <v>463.97</v>
      </c>
      <c r="O23" s="366">
        <v>583.41999999999996</v>
      </c>
      <c r="P23" s="366">
        <v>875.03</v>
      </c>
      <c r="Q23" s="366">
        <v>566.04999999999995</v>
      </c>
      <c r="R23" s="366">
        <v>472.93</v>
      </c>
      <c r="S23" s="366">
        <v>544.49</v>
      </c>
      <c r="T23" s="366">
        <v>582.72</v>
      </c>
      <c r="U23" s="366">
        <v>544.49</v>
      </c>
      <c r="V23" s="366">
        <v>624.21</v>
      </c>
      <c r="W23" s="366">
        <v>0</v>
      </c>
      <c r="X23" s="366">
        <v>503.47</v>
      </c>
      <c r="Y23" s="366">
        <v>1126.05</v>
      </c>
      <c r="Z23" s="366">
        <v>708.84</v>
      </c>
      <c r="AA23" s="366">
        <v>528.71</v>
      </c>
      <c r="AB23" s="366">
        <v>443.61</v>
      </c>
    </row>
    <row r="24" spans="1:28">
      <c r="A24" s="380" t="s">
        <v>20</v>
      </c>
      <c r="B24" s="366">
        <v>333.23</v>
      </c>
      <c r="C24" s="366">
        <v>353.54</v>
      </c>
      <c r="D24" s="366">
        <v>353.54</v>
      </c>
      <c r="E24" s="366">
        <v>84.06</v>
      </c>
      <c r="F24" s="366">
        <v>176.13</v>
      </c>
      <c r="G24" s="366">
        <v>446.21</v>
      </c>
      <c r="H24" s="366">
        <v>227.77</v>
      </c>
      <c r="I24" s="366">
        <v>24.55</v>
      </c>
      <c r="J24" s="366">
        <v>342.87</v>
      </c>
      <c r="K24" s="366">
        <v>352.27</v>
      </c>
      <c r="L24" s="366">
        <v>346.2</v>
      </c>
      <c r="M24" s="366">
        <v>274.01</v>
      </c>
      <c r="N24" s="366">
        <v>280.8</v>
      </c>
      <c r="O24" s="366">
        <v>86.81</v>
      </c>
      <c r="P24" s="366">
        <v>378.42</v>
      </c>
      <c r="Q24" s="366">
        <v>327.52</v>
      </c>
      <c r="R24" s="366">
        <v>33.99</v>
      </c>
      <c r="S24" s="366">
        <v>289.08</v>
      </c>
      <c r="T24" s="366">
        <v>333.11</v>
      </c>
      <c r="U24" s="366">
        <v>289.08</v>
      </c>
      <c r="V24" s="366">
        <v>441.04</v>
      </c>
      <c r="W24" s="366">
        <v>503.47</v>
      </c>
      <c r="X24" s="366">
        <v>0</v>
      </c>
      <c r="Y24" s="366">
        <v>629.44000000000005</v>
      </c>
      <c r="Z24" s="366">
        <v>302.94</v>
      </c>
      <c r="AA24" s="366">
        <v>345.54</v>
      </c>
      <c r="AB24" s="366">
        <v>398.52</v>
      </c>
    </row>
    <row r="25" spans="1:28">
      <c r="A25" s="380" t="s">
        <v>21</v>
      </c>
      <c r="B25" s="366">
        <v>955.81</v>
      </c>
      <c r="C25" s="366">
        <v>825.03</v>
      </c>
      <c r="D25" s="366">
        <v>825.03</v>
      </c>
      <c r="E25" s="366">
        <v>706.64</v>
      </c>
      <c r="F25" s="366">
        <v>555.61</v>
      </c>
      <c r="G25" s="366">
        <v>952.16</v>
      </c>
      <c r="H25" s="366">
        <v>401.67</v>
      </c>
      <c r="I25" s="366">
        <v>647.13</v>
      </c>
      <c r="J25" s="366">
        <v>561.04</v>
      </c>
      <c r="K25" s="366">
        <v>974.85</v>
      </c>
      <c r="L25" s="366">
        <v>622.03</v>
      </c>
      <c r="M25" s="366">
        <v>355.43</v>
      </c>
      <c r="N25" s="366">
        <v>747.35</v>
      </c>
      <c r="O25" s="366">
        <v>548.6</v>
      </c>
      <c r="P25" s="366">
        <v>287.62</v>
      </c>
      <c r="Q25" s="366">
        <v>603.35</v>
      </c>
      <c r="R25" s="366">
        <v>656.57</v>
      </c>
      <c r="S25" s="366">
        <v>600.77</v>
      </c>
      <c r="T25" s="366">
        <v>577.58000000000004</v>
      </c>
      <c r="U25" s="366">
        <v>600.77</v>
      </c>
      <c r="V25" s="366">
        <v>946.99</v>
      </c>
      <c r="W25" s="366">
        <v>1126.05</v>
      </c>
      <c r="X25" s="366">
        <v>629.44000000000005</v>
      </c>
      <c r="Y25" s="366">
        <v>0</v>
      </c>
      <c r="Z25" s="366">
        <v>470.93</v>
      </c>
      <c r="AA25" s="366">
        <v>685.77</v>
      </c>
      <c r="AB25" s="366">
        <v>1021.1</v>
      </c>
    </row>
    <row r="26" spans="1:28">
      <c r="A26" s="380" t="s">
        <v>22</v>
      </c>
      <c r="B26" s="366">
        <v>538.6</v>
      </c>
      <c r="C26" s="366">
        <v>388.61</v>
      </c>
      <c r="D26" s="366">
        <v>388.61</v>
      </c>
      <c r="E26" s="366">
        <v>380.14</v>
      </c>
      <c r="F26" s="366">
        <v>259.11</v>
      </c>
      <c r="G26" s="366">
        <v>515.74</v>
      </c>
      <c r="H26" s="366">
        <v>140.32</v>
      </c>
      <c r="I26" s="366">
        <v>320.63</v>
      </c>
      <c r="J26" s="366">
        <v>124.62</v>
      </c>
      <c r="K26" s="366">
        <v>557.64</v>
      </c>
      <c r="L26" s="366">
        <v>185.61</v>
      </c>
      <c r="M26" s="366">
        <v>186.56</v>
      </c>
      <c r="N26" s="366">
        <v>310.93</v>
      </c>
      <c r="O26" s="366">
        <v>222.1</v>
      </c>
      <c r="P26" s="366">
        <v>290.97000000000003</v>
      </c>
      <c r="Q26" s="366">
        <v>166.93</v>
      </c>
      <c r="R26" s="366">
        <v>330.07</v>
      </c>
      <c r="S26" s="366">
        <v>164.35</v>
      </c>
      <c r="T26" s="366">
        <v>141.16</v>
      </c>
      <c r="U26" s="366">
        <v>164.35</v>
      </c>
      <c r="V26" s="366">
        <v>510.57</v>
      </c>
      <c r="W26" s="366">
        <v>708.84</v>
      </c>
      <c r="X26" s="366">
        <v>302.94</v>
      </c>
      <c r="Y26" s="366">
        <v>470.93</v>
      </c>
      <c r="Z26" s="366">
        <v>0</v>
      </c>
      <c r="AA26" s="366">
        <v>249.35</v>
      </c>
      <c r="AB26" s="366">
        <v>603.89</v>
      </c>
    </row>
    <row r="27" spans="1:28">
      <c r="A27" s="380" t="s">
        <v>23</v>
      </c>
      <c r="B27" s="366">
        <v>358.47</v>
      </c>
      <c r="C27" s="366">
        <v>208.48</v>
      </c>
      <c r="D27" s="366">
        <v>208.48</v>
      </c>
      <c r="E27" s="366">
        <v>363.99</v>
      </c>
      <c r="F27" s="366">
        <v>330.25</v>
      </c>
      <c r="G27" s="366">
        <v>335.61</v>
      </c>
      <c r="H27" s="366">
        <v>355.16</v>
      </c>
      <c r="I27" s="366">
        <v>324.44</v>
      </c>
      <c r="J27" s="366">
        <v>132.99</v>
      </c>
      <c r="K27" s="366">
        <v>377.51</v>
      </c>
      <c r="L27" s="366">
        <v>113.49</v>
      </c>
      <c r="M27" s="366">
        <v>401.4</v>
      </c>
      <c r="N27" s="366">
        <v>130.80000000000001</v>
      </c>
      <c r="O27" s="366">
        <v>293.24</v>
      </c>
      <c r="P27" s="366">
        <v>505.81</v>
      </c>
      <c r="Q27" s="366">
        <v>106.56</v>
      </c>
      <c r="R27" s="366">
        <v>315</v>
      </c>
      <c r="S27" s="366">
        <v>85</v>
      </c>
      <c r="T27" s="366">
        <v>123.23</v>
      </c>
      <c r="U27" s="366">
        <v>85</v>
      </c>
      <c r="V27" s="366">
        <v>330.44</v>
      </c>
      <c r="W27" s="366">
        <v>528.71</v>
      </c>
      <c r="X27" s="366">
        <v>345.54</v>
      </c>
      <c r="Y27" s="366">
        <v>685.77</v>
      </c>
      <c r="Z27" s="366">
        <v>249.35</v>
      </c>
      <c r="AA27" s="366">
        <v>0</v>
      </c>
      <c r="AB27" s="366">
        <v>423.76</v>
      </c>
    </row>
    <row r="28" spans="1:28" ht="15.75" thickBot="1">
      <c r="A28" s="382" t="s">
        <v>24</v>
      </c>
      <c r="B28" s="366">
        <v>116.33</v>
      </c>
      <c r="C28" s="366">
        <v>426.36</v>
      </c>
      <c r="D28" s="366">
        <v>426.36</v>
      </c>
      <c r="E28" s="366">
        <v>416.97</v>
      </c>
      <c r="F28" s="366">
        <v>567.79</v>
      </c>
      <c r="G28" s="366">
        <v>92.55</v>
      </c>
      <c r="H28" s="366">
        <v>619.42999999999995</v>
      </c>
      <c r="I28" s="366">
        <v>377.42</v>
      </c>
      <c r="J28" s="366">
        <v>487.53</v>
      </c>
      <c r="K28" s="366">
        <v>292.41000000000003</v>
      </c>
      <c r="L28" s="366">
        <v>468.03</v>
      </c>
      <c r="M28" s="366">
        <v>665.67</v>
      </c>
      <c r="N28" s="366">
        <v>319.42</v>
      </c>
      <c r="O28" s="366">
        <v>478.47</v>
      </c>
      <c r="P28" s="366">
        <v>770.08</v>
      </c>
      <c r="Q28" s="366">
        <v>461.1</v>
      </c>
      <c r="R28" s="366">
        <v>367.98</v>
      </c>
      <c r="S28" s="366">
        <v>439.54</v>
      </c>
      <c r="T28" s="366">
        <v>477.77</v>
      </c>
      <c r="U28" s="366">
        <v>439.54</v>
      </c>
      <c r="V28" s="366">
        <v>411.99</v>
      </c>
      <c r="W28" s="366">
        <v>443.61</v>
      </c>
      <c r="X28" s="366">
        <v>398.52</v>
      </c>
      <c r="Y28" s="366">
        <v>1021.1</v>
      </c>
      <c r="Z28" s="366">
        <v>603.89</v>
      </c>
      <c r="AA28" s="366">
        <v>423.76</v>
      </c>
      <c r="AB28" s="366">
        <v>0</v>
      </c>
    </row>
    <row r="30" spans="1:28">
      <c r="A30" s="383"/>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39997558519241921"/>
  </sheetPr>
  <dimension ref="A1:HV230"/>
  <sheetViews>
    <sheetView workbookViewId="0">
      <pane xSplit="1" ySplit="1" topLeftCell="B2" activePane="bottomRight" state="frozen"/>
      <selection pane="topRight" activeCell="B1" sqref="B1"/>
      <selection pane="bottomLeft" activeCell="A2" sqref="A2"/>
      <selection pane="bottomRight" activeCell="E9" sqref="E9"/>
    </sheetView>
  </sheetViews>
  <sheetFormatPr defaultColWidth="8.85546875" defaultRowHeight="15"/>
  <cols>
    <col min="1" max="16384" width="8.85546875" style="373"/>
  </cols>
  <sheetData>
    <row r="1" spans="1:230">
      <c r="A1" s="384" t="s">
        <v>0</v>
      </c>
      <c r="B1" s="366" t="s">
        <v>26</v>
      </c>
      <c r="C1" s="366" t="s">
        <v>27</v>
      </c>
      <c r="D1" s="366" t="s">
        <v>28</v>
      </c>
      <c r="E1" s="366" t="s">
        <v>29</v>
      </c>
      <c r="F1" s="366" t="s">
        <v>240</v>
      </c>
      <c r="G1" s="366" t="s">
        <v>30</v>
      </c>
      <c r="H1" s="366" t="s">
        <v>31</v>
      </c>
      <c r="I1" s="366" t="s">
        <v>32</v>
      </c>
      <c r="J1" s="366" t="s">
        <v>33</v>
      </c>
      <c r="K1" s="366" t="s">
        <v>34</v>
      </c>
      <c r="L1" s="366" t="s">
        <v>35</v>
      </c>
      <c r="M1" s="366" t="s">
        <v>36</v>
      </c>
      <c r="N1" s="366" t="s">
        <v>37</v>
      </c>
      <c r="O1" s="366" t="s">
        <v>38</v>
      </c>
      <c r="P1" s="366" t="s">
        <v>39</v>
      </c>
      <c r="Q1" s="366" t="s">
        <v>40</v>
      </c>
      <c r="R1" s="366" t="s">
        <v>41</v>
      </c>
      <c r="S1" s="366" t="s">
        <v>42</v>
      </c>
      <c r="T1" s="366" t="s">
        <v>43</v>
      </c>
      <c r="U1" s="366" t="s">
        <v>44</v>
      </c>
      <c r="V1" s="366" t="s">
        <v>45</v>
      </c>
      <c r="W1" s="366" t="s">
        <v>46</v>
      </c>
      <c r="X1" s="366" t="s">
        <v>47</v>
      </c>
      <c r="Y1" s="366" t="s">
        <v>48</v>
      </c>
      <c r="Z1" s="366" t="s">
        <v>49</v>
      </c>
      <c r="AA1" s="366" t="s">
        <v>50</v>
      </c>
      <c r="AB1" s="366" t="s">
        <v>51</v>
      </c>
      <c r="AC1" s="366" t="s">
        <v>52</v>
      </c>
      <c r="AD1" s="366" t="s">
        <v>53</v>
      </c>
      <c r="AE1" s="366" t="s">
        <v>54</v>
      </c>
      <c r="AF1" s="366" t="s">
        <v>55</v>
      </c>
      <c r="AG1" s="366" t="s">
        <v>56</v>
      </c>
      <c r="AH1" s="366" t="s">
        <v>57</v>
      </c>
      <c r="AI1" s="366" t="s">
        <v>58</v>
      </c>
      <c r="AJ1" s="366" t="s">
        <v>59</v>
      </c>
      <c r="AK1" s="366" t="s">
        <v>60</v>
      </c>
      <c r="AL1" s="366" t="s">
        <v>61</v>
      </c>
      <c r="AM1" s="366" t="s">
        <v>62</v>
      </c>
      <c r="AN1" s="366" t="s">
        <v>63</v>
      </c>
      <c r="AO1" s="366" t="s">
        <v>64</v>
      </c>
      <c r="AP1" s="366" t="s">
        <v>65</v>
      </c>
      <c r="AQ1" s="366" t="s">
        <v>66</v>
      </c>
      <c r="AR1" s="366" t="s">
        <v>67</v>
      </c>
      <c r="AS1" s="366" t="s">
        <v>68</v>
      </c>
      <c r="AT1" s="366" t="s">
        <v>69</v>
      </c>
      <c r="AU1" s="366" t="s">
        <v>70</v>
      </c>
      <c r="AV1" s="366" t="s">
        <v>71</v>
      </c>
      <c r="AW1" s="366" t="s">
        <v>72</v>
      </c>
      <c r="AX1" s="366" t="s">
        <v>9</v>
      </c>
      <c r="AY1" s="366" t="s">
        <v>73</v>
      </c>
      <c r="AZ1" s="366" t="s">
        <v>74</v>
      </c>
      <c r="BA1" s="366" t="s">
        <v>75</v>
      </c>
      <c r="BB1" s="366" t="s">
        <v>76</v>
      </c>
      <c r="BC1" s="366" t="s">
        <v>77</v>
      </c>
      <c r="BD1" s="366" t="s">
        <v>78</v>
      </c>
      <c r="BE1" s="366" t="s">
        <v>79</v>
      </c>
      <c r="BF1" s="366" t="s">
        <v>80</v>
      </c>
      <c r="BG1" s="366" t="s">
        <v>81</v>
      </c>
      <c r="BH1" s="366" t="s">
        <v>82</v>
      </c>
      <c r="BI1" s="366" t="s">
        <v>83</v>
      </c>
      <c r="BJ1" s="366" t="s">
        <v>84</v>
      </c>
      <c r="BK1" s="366" t="s">
        <v>85</v>
      </c>
      <c r="BL1" s="366" t="s">
        <v>86</v>
      </c>
      <c r="BM1" s="366" t="s">
        <v>87</v>
      </c>
      <c r="BN1" s="366" t="s">
        <v>88</v>
      </c>
      <c r="BO1" s="366" t="s">
        <v>89</v>
      </c>
      <c r="BP1" s="366" t="s">
        <v>90</v>
      </c>
      <c r="BQ1" s="366" t="s">
        <v>91</v>
      </c>
      <c r="BR1" s="366" t="s">
        <v>92</v>
      </c>
      <c r="BS1" s="366" t="s">
        <v>93</v>
      </c>
      <c r="BT1" s="366" t="s">
        <v>94</v>
      </c>
      <c r="BU1" s="366" t="s">
        <v>95</v>
      </c>
      <c r="BV1" s="366" t="s">
        <v>96</v>
      </c>
      <c r="BW1" s="366" t="s">
        <v>97</v>
      </c>
      <c r="BX1" s="366" t="s">
        <v>98</v>
      </c>
      <c r="BY1" s="366" t="s">
        <v>99</v>
      </c>
      <c r="BZ1" s="366" t="s">
        <v>100</v>
      </c>
      <c r="CA1" s="366" t="s">
        <v>101</v>
      </c>
      <c r="CB1" s="366" t="s">
        <v>102</v>
      </c>
      <c r="CC1" s="366" t="s">
        <v>103</v>
      </c>
      <c r="CD1" s="366" t="s">
        <v>104</v>
      </c>
      <c r="CE1" s="366" t="s">
        <v>105</v>
      </c>
      <c r="CF1" s="366" t="s">
        <v>12</v>
      </c>
      <c r="CG1" s="366" t="s">
        <v>106</v>
      </c>
      <c r="CH1" s="366" t="s">
        <v>107</v>
      </c>
      <c r="CI1" s="366" t="s">
        <v>108</v>
      </c>
      <c r="CJ1" s="366" t="s">
        <v>109</v>
      </c>
      <c r="CK1" s="366" t="s">
        <v>110</v>
      </c>
      <c r="CL1" s="366" t="s">
        <v>111</v>
      </c>
      <c r="CM1" s="366" t="s">
        <v>112</v>
      </c>
      <c r="CN1" s="366" t="s">
        <v>113</v>
      </c>
      <c r="CO1" s="366" t="s">
        <v>114</v>
      </c>
      <c r="CP1" s="366" t="s">
        <v>115</v>
      </c>
      <c r="CQ1" s="366" t="s">
        <v>116</v>
      </c>
      <c r="CR1" s="366" t="s">
        <v>117</v>
      </c>
      <c r="CS1" s="366" t="s">
        <v>118</v>
      </c>
      <c r="CT1" s="366" t="s">
        <v>119</v>
      </c>
      <c r="CU1" s="366" t="s">
        <v>120</v>
      </c>
      <c r="CV1" s="366" t="s">
        <v>121</v>
      </c>
      <c r="CW1" s="366" t="s">
        <v>122</v>
      </c>
      <c r="CX1" s="366" t="s">
        <v>123</v>
      </c>
      <c r="CY1" s="366" t="s">
        <v>124</v>
      </c>
      <c r="CZ1" s="366" t="s">
        <v>125</v>
      </c>
      <c r="DA1" s="366" t="s">
        <v>126</v>
      </c>
      <c r="DB1" s="366" t="s">
        <v>127</v>
      </c>
      <c r="DC1" s="366" t="s">
        <v>128</v>
      </c>
      <c r="DD1" s="366" t="s">
        <v>129</v>
      </c>
      <c r="DE1" s="366" t="s">
        <v>130</v>
      </c>
      <c r="DF1" s="366" t="s">
        <v>131</v>
      </c>
      <c r="DG1" s="366" t="s">
        <v>132</v>
      </c>
      <c r="DH1" s="366" t="s">
        <v>133</v>
      </c>
      <c r="DI1" s="366" t="s">
        <v>134</v>
      </c>
      <c r="DJ1" s="366" t="s">
        <v>135</v>
      </c>
      <c r="DK1" s="366" t="s">
        <v>136</v>
      </c>
      <c r="DL1" s="366" t="s">
        <v>137</v>
      </c>
      <c r="DM1" s="366" t="s">
        <v>138</v>
      </c>
      <c r="DN1" s="366" t="s">
        <v>139</v>
      </c>
      <c r="DO1" s="366" t="s">
        <v>140</v>
      </c>
      <c r="DP1" s="366" t="s">
        <v>141</v>
      </c>
      <c r="DQ1" s="366" t="s">
        <v>142</v>
      </c>
      <c r="DR1" s="366" t="s">
        <v>143</v>
      </c>
      <c r="DS1" s="366" t="s">
        <v>144</v>
      </c>
      <c r="DT1" s="366" t="s">
        <v>145</v>
      </c>
      <c r="DU1" s="366" t="s">
        <v>146</v>
      </c>
      <c r="DV1" s="366" t="s">
        <v>147</v>
      </c>
      <c r="DW1" s="366" t="s">
        <v>148</v>
      </c>
      <c r="DX1" s="366" t="s">
        <v>149</v>
      </c>
      <c r="DY1" s="366" t="s">
        <v>150</v>
      </c>
      <c r="DZ1" s="366" t="s">
        <v>151</v>
      </c>
      <c r="EA1" s="366" t="s">
        <v>152</v>
      </c>
      <c r="EB1" s="366" t="s">
        <v>153</v>
      </c>
      <c r="EC1" s="366" t="s">
        <v>154</v>
      </c>
      <c r="ED1" s="366" t="s">
        <v>155</v>
      </c>
      <c r="EE1" s="366" t="s">
        <v>156</v>
      </c>
      <c r="EF1" s="366" t="s">
        <v>157</v>
      </c>
      <c r="EG1" s="366" t="s">
        <v>20</v>
      </c>
      <c r="EH1" s="366" t="s">
        <v>158</v>
      </c>
      <c r="EI1" s="366" t="s">
        <v>159</v>
      </c>
      <c r="EJ1" s="366" t="s">
        <v>160</v>
      </c>
      <c r="EK1" s="366" t="s">
        <v>161</v>
      </c>
      <c r="EL1" s="366" t="s">
        <v>162</v>
      </c>
      <c r="EM1" s="366" t="s">
        <v>163</v>
      </c>
      <c r="EN1" s="366" t="s">
        <v>164</v>
      </c>
      <c r="EO1" s="366" t="s">
        <v>165</v>
      </c>
      <c r="EP1" s="366" t="s">
        <v>166</v>
      </c>
      <c r="EQ1" s="366" t="s">
        <v>167</v>
      </c>
      <c r="ER1" s="366" t="s">
        <v>168</v>
      </c>
      <c r="ES1" s="366" t="s">
        <v>169</v>
      </c>
      <c r="ET1" s="366" t="s">
        <v>170</v>
      </c>
      <c r="EU1" s="366" t="s">
        <v>546</v>
      </c>
      <c r="EV1" s="366" t="s">
        <v>171</v>
      </c>
      <c r="EW1" s="366" t="s">
        <v>172</v>
      </c>
      <c r="EX1" s="366" t="s">
        <v>173</v>
      </c>
      <c r="EY1" s="366" t="s">
        <v>174</v>
      </c>
      <c r="EZ1" s="366" t="s">
        <v>175</v>
      </c>
      <c r="FA1" s="366" t="s">
        <v>177</v>
      </c>
      <c r="FB1" s="366" t="s">
        <v>178</v>
      </c>
      <c r="FC1" s="366" t="s">
        <v>179</v>
      </c>
      <c r="FD1" s="366" t="s">
        <v>180</v>
      </c>
      <c r="FE1" s="366" t="s">
        <v>181</v>
      </c>
      <c r="FF1" s="366" t="s">
        <v>182</v>
      </c>
      <c r="FG1" s="366" t="s">
        <v>183</v>
      </c>
      <c r="FH1" s="366" t="s">
        <v>184</v>
      </c>
      <c r="FI1" s="366" t="s">
        <v>185</v>
      </c>
      <c r="FJ1" s="366" t="s">
        <v>186</v>
      </c>
      <c r="FK1" s="366" t="s">
        <v>187</v>
      </c>
      <c r="FL1" s="366" t="s">
        <v>188</v>
      </c>
      <c r="FM1" s="366" t="s">
        <v>241</v>
      </c>
      <c r="FN1" s="366" t="s">
        <v>189</v>
      </c>
      <c r="FO1" s="366" t="s">
        <v>190</v>
      </c>
      <c r="FP1" s="366" t="s">
        <v>191</v>
      </c>
      <c r="FQ1" s="366" t="s">
        <v>192</v>
      </c>
      <c r="FR1" s="366" t="s">
        <v>193</v>
      </c>
      <c r="FS1" s="366" t="s">
        <v>194</v>
      </c>
      <c r="FT1" s="366" t="s">
        <v>195</v>
      </c>
      <c r="FU1" s="366" t="s">
        <v>196</v>
      </c>
      <c r="FV1" s="366" t="s">
        <v>21</v>
      </c>
      <c r="FW1" s="366" t="s">
        <v>197</v>
      </c>
      <c r="FX1" s="366" t="s">
        <v>198</v>
      </c>
      <c r="FY1" s="366" t="s">
        <v>199</v>
      </c>
      <c r="FZ1" s="366" t="s">
        <v>200</v>
      </c>
      <c r="GA1" s="366" t="s">
        <v>201</v>
      </c>
      <c r="GB1" s="366" t="s">
        <v>202</v>
      </c>
      <c r="GC1" s="366" t="s">
        <v>203</v>
      </c>
      <c r="GD1" s="366" t="s">
        <v>204</v>
      </c>
      <c r="GE1" s="366" t="s">
        <v>205</v>
      </c>
      <c r="GF1" s="366" t="s">
        <v>206</v>
      </c>
      <c r="GG1" s="366" t="s">
        <v>207</v>
      </c>
      <c r="GH1" s="366" t="s">
        <v>208</v>
      </c>
      <c r="GI1" s="366" t="s">
        <v>209</v>
      </c>
      <c r="GJ1" s="366" t="s">
        <v>210</v>
      </c>
      <c r="GK1" s="366" t="s">
        <v>211</v>
      </c>
      <c r="GL1" s="366" t="s">
        <v>212</v>
      </c>
      <c r="GM1" s="366" t="s">
        <v>213</v>
      </c>
      <c r="GN1" s="366" t="s">
        <v>214</v>
      </c>
      <c r="GO1" s="366" t="s">
        <v>215</v>
      </c>
      <c r="GP1" s="366" t="s">
        <v>216</v>
      </c>
      <c r="GQ1" s="366" t="s">
        <v>217</v>
      </c>
      <c r="GR1" s="366" t="s">
        <v>218</v>
      </c>
      <c r="GS1" s="366" t="s">
        <v>219</v>
      </c>
      <c r="GT1" s="366" t="s">
        <v>239</v>
      </c>
      <c r="GU1" s="366" t="s">
        <v>220</v>
      </c>
      <c r="GV1" s="366" t="s">
        <v>221</v>
      </c>
      <c r="GW1" s="366" t="s">
        <v>222</v>
      </c>
      <c r="GX1" s="366" t="s">
        <v>223</v>
      </c>
      <c r="GY1" s="366" t="s">
        <v>224</v>
      </c>
      <c r="GZ1" s="366" t="s">
        <v>225</v>
      </c>
      <c r="HA1" s="366" t="s">
        <v>226</v>
      </c>
      <c r="HB1" s="366" t="s">
        <v>227</v>
      </c>
      <c r="HC1" s="366" t="s">
        <v>228</v>
      </c>
      <c r="HD1" s="366" t="s">
        <v>229</v>
      </c>
      <c r="HE1" s="366" t="s">
        <v>230</v>
      </c>
      <c r="HF1" s="366" t="s">
        <v>231</v>
      </c>
      <c r="HG1" s="366" t="s">
        <v>232</v>
      </c>
      <c r="HH1" s="366" t="s">
        <v>233</v>
      </c>
      <c r="HI1" s="366" t="s">
        <v>234</v>
      </c>
      <c r="HJ1" s="366" t="s">
        <v>235</v>
      </c>
      <c r="HK1" s="366" t="s">
        <v>236</v>
      </c>
      <c r="HL1" s="366" t="s">
        <v>237</v>
      </c>
      <c r="HM1" s="366" t="s">
        <v>238</v>
      </c>
      <c r="HN1" s="366" t="s">
        <v>534</v>
      </c>
      <c r="HO1" s="366" t="s">
        <v>535</v>
      </c>
      <c r="HP1" s="366" t="s">
        <v>536</v>
      </c>
      <c r="HQ1" s="366" t="s">
        <v>537</v>
      </c>
      <c r="HR1" s="366" t="s">
        <v>538</v>
      </c>
      <c r="HS1" s="366" t="s">
        <v>545</v>
      </c>
      <c r="HT1" s="366" t="s">
        <v>539</v>
      </c>
      <c r="HU1" s="366" t="s">
        <v>540</v>
      </c>
      <c r="HV1" s="366" t="s">
        <v>176</v>
      </c>
    </row>
    <row r="2" spans="1:230">
      <c r="A2" s="366" t="s">
        <v>26</v>
      </c>
      <c r="B2" s="366">
        <v>0</v>
      </c>
      <c r="C2" s="366">
        <v>866.49</v>
      </c>
      <c r="D2" s="366">
        <v>670.4</v>
      </c>
      <c r="E2" s="366">
        <v>670.4</v>
      </c>
      <c r="F2" s="366">
        <v>63.9</v>
      </c>
      <c r="G2" s="366">
        <v>211.25</v>
      </c>
      <c r="H2" s="366">
        <v>626.78</v>
      </c>
      <c r="I2" s="366">
        <v>509.48</v>
      </c>
      <c r="J2" s="366">
        <v>603</v>
      </c>
      <c r="K2" s="366">
        <v>603</v>
      </c>
      <c r="L2" s="366">
        <v>688.31</v>
      </c>
      <c r="M2" s="366">
        <v>891.91</v>
      </c>
      <c r="N2" s="366">
        <v>988.81</v>
      </c>
      <c r="O2" s="366">
        <v>761.13</v>
      </c>
      <c r="P2" s="366">
        <v>761.13</v>
      </c>
      <c r="Q2" s="366">
        <v>761.13</v>
      </c>
      <c r="R2" s="366">
        <v>761.13</v>
      </c>
      <c r="S2" s="366">
        <v>761.13</v>
      </c>
      <c r="T2" s="366">
        <v>434.98</v>
      </c>
      <c r="U2" s="366">
        <v>91.55</v>
      </c>
      <c r="V2" s="366">
        <v>850.52</v>
      </c>
      <c r="W2" s="366">
        <v>491.71</v>
      </c>
      <c r="X2" s="366">
        <v>491.71</v>
      </c>
      <c r="Y2" s="366">
        <v>491.71</v>
      </c>
      <c r="Z2" s="366">
        <v>888.26</v>
      </c>
      <c r="AA2" s="366">
        <v>205.42</v>
      </c>
      <c r="AB2" s="366">
        <v>404.31</v>
      </c>
      <c r="AC2" s="366">
        <v>372.78</v>
      </c>
      <c r="AD2" s="366">
        <v>372.78</v>
      </c>
      <c r="AE2" s="366">
        <v>721.3</v>
      </c>
      <c r="AF2" s="366">
        <v>185.85</v>
      </c>
      <c r="AG2" s="366">
        <v>523.23</v>
      </c>
      <c r="AH2" s="366">
        <v>555.53</v>
      </c>
      <c r="AI2" s="366">
        <v>555.53</v>
      </c>
      <c r="AJ2" s="366">
        <v>555.53</v>
      </c>
      <c r="AK2" s="366">
        <v>910.46</v>
      </c>
      <c r="AL2" s="366">
        <v>910.46</v>
      </c>
      <c r="AM2" s="366">
        <v>407.03</v>
      </c>
      <c r="AN2" s="366">
        <v>720.3</v>
      </c>
      <c r="AO2" s="366">
        <v>227.86</v>
      </c>
      <c r="AP2" s="366">
        <v>454.1</v>
      </c>
      <c r="AQ2" s="366">
        <v>20.440000000000001</v>
      </c>
      <c r="AR2" s="366">
        <v>642.74</v>
      </c>
      <c r="AS2" s="366">
        <v>701.63</v>
      </c>
      <c r="AT2" s="366">
        <v>701.63</v>
      </c>
      <c r="AU2" s="366">
        <v>765.38</v>
      </c>
      <c r="AV2" s="366">
        <v>61.86</v>
      </c>
      <c r="AW2" s="366">
        <v>565.54</v>
      </c>
      <c r="AX2" s="366">
        <v>497.14</v>
      </c>
      <c r="AY2" s="366">
        <v>1024.52</v>
      </c>
      <c r="AZ2" s="366">
        <v>835.11</v>
      </c>
      <c r="BA2" s="366">
        <v>159.18</v>
      </c>
      <c r="BB2" s="366">
        <v>1027.4100000000001</v>
      </c>
      <c r="BC2" s="366">
        <v>240.08</v>
      </c>
      <c r="BD2" s="366">
        <v>307.35000000000002</v>
      </c>
      <c r="BE2" s="366">
        <v>854.58</v>
      </c>
      <c r="BF2" s="366">
        <v>401.28</v>
      </c>
      <c r="BG2" s="366">
        <v>895.81</v>
      </c>
      <c r="BH2" s="366">
        <v>761.13</v>
      </c>
      <c r="BI2" s="366">
        <v>642.77</v>
      </c>
      <c r="BJ2" s="366">
        <v>833.93</v>
      </c>
      <c r="BK2" s="366">
        <v>902.89</v>
      </c>
      <c r="BL2" s="366">
        <v>677.4</v>
      </c>
      <c r="BM2" s="366">
        <v>654.19000000000005</v>
      </c>
      <c r="BN2" s="366">
        <v>165.23</v>
      </c>
      <c r="BO2" s="366">
        <v>945.09</v>
      </c>
      <c r="BP2" s="366">
        <v>910.95</v>
      </c>
      <c r="BQ2" s="366">
        <v>530.17999999999995</v>
      </c>
      <c r="BR2" s="366">
        <v>530.17999999999995</v>
      </c>
      <c r="BS2" s="366">
        <v>842.68</v>
      </c>
      <c r="BT2" s="366">
        <v>634.69000000000005</v>
      </c>
      <c r="BU2" s="366">
        <v>394.74</v>
      </c>
      <c r="BV2" s="366">
        <v>404.43</v>
      </c>
      <c r="BW2" s="366">
        <v>824.67</v>
      </c>
      <c r="BX2" s="366">
        <v>783.77</v>
      </c>
      <c r="BY2" s="366">
        <v>878</v>
      </c>
      <c r="BZ2" s="366">
        <v>878</v>
      </c>
      <c r="CA2" s="366">
        <v>526.74</v>
      </c>
      <c r="CB2" s="366">
        <v>802.2</v>
      </c>
      <c r="CC2" s="366">
        <v>525.97</v>
      </c>
      <c r="CD2" s="366">
        <v>539.45000000000005</v>
      </c>
      <c r="CE2" s="366">
        <v>886.12</v>
      </c>
      <c r="CF2" s="366">
        <v>223.72</v>
      </c>
      <c r="CG2" s="366">
        <v>223.72</v>
      </c>
      <c r="CH2" s="366">
        <v>515.17999999999995</v>
      </c>
      <c r="CI2" s="366">
        <v>634.33000000000004</v>
      </c>
      <c r="CJ2" s="366">
        <v>176.31</v>
      </c>
      <c r="CK2" s="366">
        <v>883.09</v>
      </c>
      <c r="CL2" s="366">
        <v>779.17</v>
      </c>
      <c r="CM2" s="366">
        <v>270.83999999999997</v>
      </c>
      <c r="CN2" s="366">
        <v>783.3</v>
      </c>
      <c r="CO2" s="366">
        <v>641.35</v>
      </c>
      <c r="CP2" s="366">
        <v>536.87</v>
      </c>
      <c r="CQ2" s="366">
        <v>536.87</v>
      </c>
      <c r="CR2" s="366">
        <v>592.66999999999996</v>
      </c>
      <c r="CS2" s="366">
        <v>592.66999999999996</v>
      </c>
      <c r="CT2" s="366">
        <v>583.23</v>
      </c>
      <c r="CU2" s="366">
        <v>591.1</v>
      </c>
      <c r="CV2" s="366">
        <v>585.04999999999995</v>
      </c>
      <c r="CW2" s="366">
        <v>850.52</v>
      </c>
      <c r="CX2" s="366">
        <v>513.67999999999995</v>
      </c>
      <c r="CY2" s="366">
        <v>232.78</v>
      </c>
      <c r="CZ2" s="366">
        <v>254.02</v>
      </c>
      <c r="DA2" s="366">
        <v>926.86</v>
      </c>
      <c r="DB2" s="366">
        <v>829.91</v>
      </c>
      <c r="DC2" s="366">
        <v>829.91</v>
      </c>
      <c r="DD2" s="366">
        <v>403.56</v>
      </c>
      <c r="DE2" s="366">
        <v>1004.49</v>
      </c>
      <c r="DF2" s="366">
        <v>48.36</v>
      </c>
      <c r="DG2" s="366">
        <v>604.67999999999995</v>
      </c>
      <c r="DH2" s="366">
        <v>1067.05</v>
      </c>
      <c r="DI2" s="366">
        <v>321.3</v>
      </c>
      <c r="DJ2" s="366">
        <v>270.22000000000003</v>
      </c>
      <c r="DK2" s="366">
        <v>746.19</v>
      </c>
      <c r="DL2" s="366">
        <v>390.41</v>
      </c>
      <c r="DM2" s="366">
        <v>854.07</v>
      </c>
      <c r="DN2" s="366">
        <v>308.33</v>
      </c>
      <c r="DO2" s="366">
        <v>772.76</v>
      </c>
      <c r="DP2" s="366">
        <v>440.56</v>
      </c>
      <c r="DQ2" s="366">
        <v>836.01</v>
      </c>
      <c r="DR2" s="366">
        <v>1067.05</v>
      </c>
      <c r="DS2" s="366">
        <v>642.25</v>
      </c>
      <c r="DT2" s="366">
        <v>630.54</v>
      </c>
      <c r="DU2" s="366">
        <v>957.2</v>
      </c>
      <c r="DV2" s="366">
        <v>914.1</v>
      </c>
      <c r="DW2" s="366">
        <v>718.05</v>
      </c>
      <c r="DX2" s="366">
        <v>810.99</v>
      </c>
      <c r="DY2" s="366">
        <v>884.38</v>
      </c>
      <c r="DZ2" s="366">
        <v>392.58</v>
      </c>
      <c r="EA2" s="366">
        <v>625.02</v>
      </c>
      <c r="EB2" s="366">
        <v>878.38</v>
      </c>
      <c r="EC2" s="366">
        <v>644.96</v>
      </c>
      <c r="ED2" s="366">
        <v>291.52999999999997</v>
      </c>
      <c r="EE2" s="366">
        <v>281.64999999999998</v>
      </c>
      <c r="EF2" s="366">
        <v>460.38</v>
      </c>
      <c r="EG2" s="366">
        <v>565.54</v>
      </c>
      <c r="EH2" s="366">
        <v>565.54</v>
      </c>
      <c r="EI2" s="366">
        <v>539.91999999999996</v>
      </c>
      <c r="EJ2" s="366">
        <v>1055.1099999999999</v>
      </c>
      <c r="EK2" s="366">
        <v>687.01</v>
      </c>
      <c r="EL2" s="366">
        <v>687.01</v>
      </c>
      <c r="EM2" s="366">
        <v>781.12</v>
      </c>
      <c r="EN2" s="366">
        <v>781.12</v>
      </c>
      <c r="EO2" s="366">
        <v>407.03</v>
      </c>
      <c r="EP2" s="366">
        <v>457.92</v>
      </c>
      <c r="EQ2" s="366">
        <v>573.74</v>
      </c>
      <c r="ER2" s="366">
        <v>125.07</v>
      </c>
      <c r="ES2" s="366">
        <v>866.39</v>
      </c>
      <c r="ET2" s="366">
        <v>512.21</v>
      </c>
      <c r="EU2" s="366">
        <v>0</v>
      </c>
      <c r="EV2" s="366">
        <v>491.71</v>
      </c>
      <c r="EW2" s="366">
        <v>539.29999999999995</v>
      </c>
      <c r="EX2" s="366">
        <v>843.13</v>
      </c>
      <c r="EY2" s="366">
        <v>843.13</v>
      </c>
      <c r="EZ2" s="366">
        <v>825.66</v>
      </c>
      <c r="FA2" s="366">
        <v>778.29</v>
      </c>
      <c r="FB2" s="366">
        <v>730.49</v>
      </c>
      <c r="FC2" s="366">
        <v>831.13</v>
      </c>
      <c r="FD2" s="366">
        <v>686.32</v>
      </c>
      <c r="FE2" s="366">
        <v>543.75</v>
      </c>
      <c r="FF2" s="366">
        <v>621.87</v>
      </c>
      <c r="FG2" s="366">
        <v>289.06</v>
      </c>
      <c r="FH2" s="366">
        <v>289.06</v>
      </c>
      <c r="FI2" s="366">
        <v>502.58</v>
      </c>
      <c r="FJ2" s="366">
        <v>508.37</v>
      </c>
      <c r="FK2" s="366">
        <v>894.13</v>
      </c>
      <c r="FL2" s="366">
        <v>892.32</v>
      </c>
      <c r="FM2" s="366">
        <v>407.03</v>
      </c>
      <c r="FN2" s="366">
        <v>522.46</v>
      </c>
      <c r="FO2" s="366">
        <v>633.39</v>
      </c>
      <c r="FP2" s="366">
        <v>863.48</v>
      </c>
      <c r="FQ2" s="366">
        <v>637.26</v>
      </c>
      <c r="FR2" s="366">
        <v>705.65</v>
      </c>
      <c r="FS2" s="366">
        <v>622.58000000000004</v>
      </c>
      <c r="FT2" s="366">
        <v>278.27</v>
      </c>
      <c r="FU2" s="366">
        <v>646.72</v>
      </c>
      <c r="FV2" s="366">
        <v>63.9</v>
      </c>
      <c r="FW2" s="366">
        <v>63.9</v>
      </c>
      <c r="FX2" s="366">
        <v>63.9</v>
      </c>
      <c r="FY2" s="366">
        <v>727.43</v>
      </c>
      <c r="FZ2" s="366">
        <v>566.62</v>
      </c>
      <c r="GA2" s="366">
        <v>854.58</v>
      </c>
      <c r="GB2" s="366">
        <v>661.05</v>
      </c>
      <c r="GC2" s="366">
        <v>291.52999999999997</v>
      </c>
      <c r="GD2" s="366">
        <v>765.87</v>
      </c>
      <c r="GE2" s="366">
        <v>583.13</v>
      </c>
      <c r="GF2" s="366">
        <v>660.25</v>
      </c>
      <c r="GG2" s="366">
        <v>660.25</v>
      </c>
      <c r="GH2" s="366">
        <v>903.03</v>
      </c>
      <c r="GI2" s="366">
        <v>407.19</v>
      </c>
      <c r="GJ2" s="366">
        <v>407.03</v>
      </c>
      <c r="GK2" s="366">
        <v>890.68</v>
      </c>
      <c r="GL2" s="366">
        <v>553.59</v>
      </c>
      <c r="GM2" s="366">
        <v>553.59</v>
      </c>
      <c r="GN2" s="366">
        <v>553.59</v>
      </c>
      <c r="GO2" s="366">
        <v>414.92</v>
      </c>
      <c r="GP2" s="366">
        <v>859.99</v>
      </c>
      <c r="GQ2" s="366">
        <v>936.39</v>
      </c>
      <c r="GR2" s="366">
        <v>401.27</v>
      </c>
      <c r="GS2" s="366">
        <v>477.75</v>
      </c>
      <c r="GT2" s="366">
        <v>565.54</v>
      </c>
      <c r="GU2" s="366">
        <v>720.28</v>
      </c>
      <c r="GV2" s="366">
        <v>1062.3</v>
      </c>
      <c r="GW2" s="366">
        <v>578.04999999999995</v>
      </c>
      <c r="GX2" s="366">
        <v>562.11</v>
      </c>
      <c r="GY2" s="366">
        <v>554.55999999999995</v>
      </c>
      <c r="GZ2" s="366">
        <v>686.04</v>
      </c>
      <c r="HA2" s="366">
        <v>638.79999999999995</v>
      </c>
      <c r="HB2" s="366">
        <v>638.79999999999995</v>
      </c>
      <c r="HC2" s="366">
        <v>638.79999999999995</v>
      </c>
      <c r="HD2" s="366">
        <v>356.29</v>
      </c>
      <c r="HE2" s="366">
        <v>774.97</v>
      </c>
      <c r="HF2" s="366">
        <v>731.26</v>
      </c>
      <c r="HG2" s="366">
        <v>858.91</v>
      </c>
      <c r="HH2" s="366">
        <v>858.91</v>
      </c>
      <c r="HI2" s="366">
        <v>858.91</v>
      </c>
      <c r="HJ2" s="366">
        <v>639.38</v>
      </c>
      <c r="HK2" s="366">
        <v>492.16</v>
      </c>
      <c r="HL2" s="366">
        <v>794.51</v>
      </c>
      <c r="HM2" s="366">
        <v>404.31</v>
      </c>
      <c r="HN2" s="366">
        <v>407.03</v>
      </c>
      <c r="HO2" s="366">
        <v>33.200000000000003</v>
      </c>
      <c r="HP2" s="366">
        <v>686.76</v>
      </c>
      <c r="HQ2" s="366">
        <v>63.9</v>
      </c>
      <c r="HR2" s="366">
        <v>185.85</v>
      </c>
      <c r="HS2" s="366">
        <v>403.28</v>
      </c>
      <c r="HT2" s="366">
        <v>506.98</v>
      </c>
      <c r="HU2" s="366">
        <v>533.66</v>
      </c>
      <c r="HV2" s="366">
        <v>558.13</v>
      </c>
    </row>
    <row r="3" spans="1:230">
      <c r="A3" s="366" t="s">
        <v>27</v>
      </c>
      <c r="B3" s="366">
        <v>866.49</v>
      </c>
      <c r="C3" s="366">
        <v>0</v>
      </c>
      <c r="D3" s="366">
        <v>196.09</v>
      </c>
      <c r="E3" s="366">
        <v>196.09</v>
      </c>
      <c r="F3" s="366">
        <v>930.39</v>
      </c>
      <c r="G3" s="366">
        <v>666.9</v>
      </c>
      <c r="H3" s="366">
        <v>239.71</v>
      </c>
      <c r="I3" s="366">
        <v>376.22</v>
      </c>
      <c r="J3" s="366">
        <v>263.49</v>
      </c>
      <c r="K3" s="366">
        <v>263.49</v>
      </c>
      <c r="L3" s="366">
        <v>178.18</v>
      </c>
      <c r="M3" s="366">
        <v>25.62</v>
      </c>
      <c r="N3" s="366">
        <v>122.32</v>
      </c>
      <c r="O3" s="366">
        <v>341.05</v>
      </c>
      <c r="P3" s="366">
        <v>341.05</v>
      </c>
      <c r="Q3" s="366">
        <v>341.05</v>
      </c>
      <c r="R3" s="366">
        <v>341.05</v>
      </c>
      <c r="S3" s="366">
        <v>341.05</v>
      </c>
      <c r="T3" s="366">
        <v>450.72</v>
      </c>
      <c r="U3" s="366">
        <v>774.94</v>
      </c>
      <c r="V3" s="366">
        <v>395.98</v>
      </c>
      <c r="W3" s="366">
        <v>477.08</v>
      </c>
      <c r="X3" s="366">
        <v>477.08</v>
      </c>
      <c r="Y3" s="366">
        <v>477.08</v>
      </c>
      <c r="Z3" s="366">
        <v>183.26</v>
      </c>
      <c r="AA3" s="366">
        <v>661.07</v>
      </c>
      <c r="AB3" s="366">
        <v>510.46</v>
      </c>
      <c r="AC3" s="366">
        <v>512.91999999999996</v>
      </c>
      <c r="AD3" s="366">
        <v>512.91999999999996</v>
      </c>
      <c r="AE3" s="366">
        <v>246.99</v>
      </c>
      <c r="AF3" s="366">
        <v>680.64</v>
      </c>
      <c r="AG3" s="366">
        <v>478.6</v>
      </c>
      <c r="AH3" s="366">
        <v>330.17</v>
      </c>
      <c r="AI3" s="366">
        <v>330.17</v>
      </c>
      <c r="AJ3" s="366">
        <v>330.17</v>
      </c>
      <c r="AK3" s="366">
        <v>166.02</v>
      </c>
      <c r="AL3" s="366">
        <v>166.02</v>
      </c>
      <c r="AM3" s="366">
        <v>513.17999999999995</v>
      </c>
      <c r="AN3" s="366">
        <v>300.22000000000003</v>
      </c>
      <c r="AO3" s="366">
        <v>683.51</v>
      </c>
      <c r="AP3" s="366">
        <v>439.44</v>
      </c>
      <c r="AQ3" s="366">
        <v>886.93</v>
      </c>
      <c r="AR3" s="366">
        <v>326.26</v>
      </c>
      <c r="AS3" s="366">
        <v>184.07</v>
      </c>
      <c r="AT3" s="366">
        <v>184.07</v>
      </c>
      <c r="AU3" s="366">
        <v>310.83999999999997</v>
      </c>
      <c r="AV3" s="366">
        <v>805.99</v>
      </c>
      <c r="AW3" s="366">
        <v>307.81</v>
      </c>
      <c r="AX3" s="366">
        <v>396.82</v>
      </c>
      <c r="AY3" s="366">
        <v>158.03</v>
      </c>
      <c r="AZ3" s="366">
        <v>49.18</v>
      </c>
      <c r="BA3" s="366">
        <v>726.52</v>
      </c>
      <c r="BB3" s="366">
        <v>160.91999999999999</v>
      </c>
      <c r="BC3" s="366">
        <v>668.58</v>
      </c>
      <c r="BD3" s="366">
        <v>578.35</v>
      </c>
      <c r="BE3" s="366">
        <v>400.04</v>
      </c>
      <c r="BF3" s="366">
        <v>507.43</v>
      </c>
      <c r="BG3" s="366">
        <v>179.78</v>
      </c>
      <c r="BH3" s="366">
        <v>341.05</v>
      </c>
      <c r="BI3" s="366">
        <v>326.29000000000002</v>
      </c>
      <c r="BJ3" s="366">
        <v>272.55</v>
      </c>
      <c r="BK3" s="366">
        <v>193.64</v>
      </c>
      <c r="BL3" s="366">
        <v>203.09</v>
      </c>
      <c r="BM3" s="366">
        <v>212.3</v>
      </c>
      <c r="BN3" s="366">
        <v>701.26</v>
      </c>
      <c r="BO3" s="366">
        <v>235.84</v>
      </c>
      <c r="BP3" s="366">
        <v>201.7</v>
      </c>
      <c r="BQ3" s="366">
        <v>355.52</v>
      </c>
      <c r="BR3" s="366">
        <v>355.52</v>
      </c>
      <c r="BS3" s="366">
        <v>23.81</v>
      </c>
      <c r="BT3" s="366">
        <v>310.72000000000003</v>
      </c>
      <c r="BU3" s="366">
        <v>490.96</v>
      </c>
      <c r="BV3" s="366">
        <v>510.58</v>
      </c>
      <c r="BW3" s="366">
        <v>370.13</v>
      </c>
      <c r="BX3" s="366">
        <v>82.72</v>
      </c>
      <c r="BY3" s="366">
        <v>423.46</v>
      </c>
      <c r="BZ3" s="366">
        <v>423.46</v>
      </c>
      <c r="CA3" s="366">
        <v>339.75</v>
      </c>
      <c r="CB3" s="366">
        <v>92.95</v>
      </c>
      <c r="CC3" s="366">
        <v>367.99</v>
      </c>
      <c r="CD3" s="366">
        <v>370.39</v>
      </c>
      <c r="CE3" s="366">
        <v>176.87</v>
      </c>
      <c r="CF3" s="366">
        <v>679.37</v>
      </c>
      <c r="CG3" s="366">
        <v>679.37</v>
      </c>
      <c r="CH3" s="366">
        <v>370.52</v>
      </c>
      <c r="CI3" s="366">
        <v>284.01</v>
      </c>
      <c r="CJ3" s="366">
        <v>690.32</v>
      </c>
      <c r="CK3" s="366">
        <v>428.55</v>
      </c>
      <c r="CL3" s="366">
        <v>324.63</v>
      </c>
      <c r="CM3" s="366">
        <v>614.86</v>
      </c>
      <c r="CN3" s="366">
        <v>288.22000000000003</v>
      </c>
      <c r="CO3" s="366">
        <v>324.87</v>
      </c>
      <c r="CP3" s="366">
        <v>348.83</v>
      </c>
      <c r="CQ3" s="366">
        <v>348.83</v>
      </c>
      <c r="CR3" s="366">
        <v>277.27</v>
      </c>
      <c r="CS3" s="366">
        <v>277.27</v>
      </c>
      <c r="CT3" s="366">
        <v>286.70999999999998</v>
      </c>
      <c r="CU3" s="366">
        <v>278.83999999999997</v>
      </c>
      <c r="CV3" s="366">
        <v>281.44</v>
      </c>
      <c r="CW3" s="366">
        <v>395.98</v>
      </c>
      <c r="CX3" s="366">
        <v>387.06</v>
      </c>
      <c r="CY3" s="366">
        <v>661.28</v>
      </c>
      <c r="CZ3" s="366">
        <v>682.52</v>
      </c>
      <c r="DA3" s="366">
        <v>60.37</v>
      </c>
      <c r="DB3" s="366">
        <v>244.14</v>
      </c>
      <c r="DC3" s="366">
        <v>244.14</v>
      </c>
      <c r="DD3" s="366">
        <v>464.24</v>
      </c>
      <c r="DE3" s="366">
        <v>138</v>
      </c>
      <c r="DF3" s="366">
        <v>914.85</v>
      </c>
      <c r="DG3" s="366">
        <v>313.66000000000003</v>
      </c>
      <c r="DH3" s="366">
        <v>200.56</v>
      </c>
      <c r="DI3" s="366">
        <v>545.19000000000005</v>
      </c>
      <c r="DJ3" s="366">
        <v>698.72</v>
      </c>
      <c r="DK3" s="366">
        <v>120.3</v>
      </c>
      <c r="DL3" s="366">
        <v>496.96</v>
      </c>
      <c r="DM3" s="366">
        <v>12.42</v>
      </c>
      <c r="DN3" s="366">
        <v>559.95000000000005</v>
      </c>
      <c r="DO3" s="366">
        <v>98.3</v>
      </c>
      <c r="DP3" s="366">
        <v>425.93</v>
      </c>
      <c r="DQ3" s="366">
        <v>381.47</v>
      </c>
      <c r="DR3" s="366">
        <v>200.56</v>
      </c>
      <c r="DS3" s="366">
        <v>302.74</v>
      </c>
      <c r="DT3" s="366">
        <v>291.02999999999997</v>
      </c>
      <c r="DU3" s="366">
        <v>90.71</v>
      </c>
      <c r="DV3" s="366">
        <v>157.41999999999999</v>
      </c>
      <c r="DW3" s="366">
        <v>167.65</v>
      </c>
      <c r="DX3" s="366">
        <v>356.45</v>
      </c>
      <c r="DY3" s="366">
        <v>429.84</v>
      </c>
      <c r="DZ3" s="366">
        <v>473.91</v>
      </c>
      <c r="EA3" s="366">
        <v>308.54000000000002</v>
      </c>
      <c r="EB3" s="366">
        <v>423.84</v>
      </c>
      <c r="EC3" s="366">
        <v>221.53</v>
      </c>
      <c r="ED3" s="366">
        <v>574.96</v>
      </c>
      <c r="EE3" s="366">
        <v>585.75</v>
      </c>
      <c r="EF3" s="366">
        <v>433.16</v>
      </c>
      <c r="EG3" s="366">
        <v>307.81</v>
      </c>
      <c r="EH3" s="366">
        <v>307.81</v>
      </c>
      <c r="EI3" s="366">
        <v>354.04</v>
      </c>
      <c r="EJ3" s="366">
        <v>345.86</v>
      </c>
      <c r="EK3" s="366">
        <v>232.47</v>
      </c>
      <c r="EL3" s="366">
        <v>232.47</v>
      </c>
      <c r="EM3" s="366">
        <v>326.58</v>
      </c>
      <c r="EN3" s="366">
        <v>326.58</v>
      </c>
      <c r="EO3" s="366">
        <v>513.17999999999995</v>
      </c>
      <c r="EP3" s="366">
        <v>436.04</v>
      </c>
      <c r="EQ3" s="366">
        <v>296.2</v>
      </c>
      <c r="ER3" s="366">
        <v>744.98</v>
      </c>
      <c r="ES3" s="366">
        <v>0.1</v>
      </c>
      <c r="ET3" s="366">
        <v>373.49</v>
      </c>
      <c r="EU3" s="366">
        <v>866.49</v>
      </c>
      <c r="EV3" s="366">
        <v>477.08</v>
      </c>
      <c r="EW3" s="366">
        <v>354.96</v>
      </c>
      <c r="EX3" s="366">
        <v>133.88</v>
      </c>
      <c r="EY3" s="366">
        <v>133.88</v>
      </c>
      <c r="EZ3" s="366">
        <v>378.39</v>
      </c>
      <c r="FA3" s="366">
        <v>323.75</v>
      </c>
      <c r="FB3" s="366">
        <v>136</v>
      </c>
      <c r="FC3" s="366">
        <v>376.59</v>
      </c>
      <c r="FD3" s="366">
        <v>266.24</v>
      </c>
      <c r="FE3" s="366">
        <v>357.87</v>
      </c>
      <c r="FF3" s="366">
        <v>333.05</v>
      </c>
      <c r="FG3" s="366">
        <v>717.56</v>
      </c>
      <c r="FH3" s="366">
        <v>717.56</v>
      </c>
      <c r="FI3" s="366">
        <v>457.95</v>
      </c>
      <c r="FJ3" s="366">
        <v>463.74</v>
      </c>
      <c r="FK3" s="366">
        <v>27.84</v>
      </c>
      <c r="FL3" s="366">
        <v>26.03</v>
      </c>
      <c r="FM3" s="366">
        <v>513.17999999999995</v>
      </c>
      <c r="FN3" s="366">
        <v>507.83</v>
      </c>
      <c r="FO3" s="366">
        <v>316.91000000000003</v>
      </c>
      <c r="FP3" s="366">
        <v>408.94</v>
      </c>
      <c r="FQ3" s="366">
        <v>320.77999999999997</v>
      </c>
      <c r="FR3" s="366">
        <v>195.52</v>
      </c>
      <c r="FS3" s="366">
        <v>263.12</v>
      </c>
      <c r="FT3" s="366">
        <v>713.88</v>
      </c>
      <c r="FU3" s="366">
        <v>271.62</v>
      </c>
      <c r="FV3" s="366">
        <v>930.39</v>
      </c>
      <c r="FW3" s="366">
        <v>930.39</v>
      </c>
      <c r="FX3" s="366">
        <v>930.39</v>
      </c>
      <c r="FY3" s="366">
        <v>272.89</v>
      </c>
      <c r="FZ3" s="366">
        <v>347.78</v>
      </c>
      <c r="GA3" s="366">
        <v>400.04</v>
      </c>
      <c r="GB3" s="366">
        <v>301.58999999999997</v>
      </c>
      <c r="GC3" s="366">
        <v>574.96</v>
      </c>
      <c r="GD3" s="366">
        <v>100.62</v>
      </c>
      <c r="GE3" s="366">
        <v>286.81</v>
      </c>
      <c r="GF3" s="366">
        <v>258.08999999999997</v>
      </c>
      <c r="GG3" s="366">
        <v>258.08999999999997</v>
      </c>
      <c r="GH3" s="366">
        <v>448.49</v>
      </c>
      <c r="GI3" s="366">
        <v>513.34</v>
      </c>
      <c r="GJ3" s="366">
        <v>513.17999999999995</v>
      </c>
      <c r="GK3" s="366">
        <v>24.39</v>
      </c>
      <c r="GL3" s="366">
        <v>340.37</v>
      </c>
      <c r="GM3" s="366">
        <v>340.37</v>
      </c>
      <c r="GN3" s="366">
        <v>340.37</v>
      </c>
      <c r="GO3" s="366">
        <v>478.62</v>
      </c>
      <c r="GP3" s="366">
        <v>405.45</v>
      </c>
      <c r="GQ3" s="366">
        <v>227.14</v>
      </c>
      <c r="GR3" s="366">
        <v>541.41</v>
      </c>
      <c r="GS3" s="366">
        <v>407.95</v>
      </c>
      <c r="GT3" s="366">
        <v>307.81</v>
      </c>
      <c r="GU3" s="366">
        <v>265.16000000000003</v>
      </c>
      <c r="GV3" s="366">
        <v>353.05</v>
      </c>
      <c r="GW3" s="366">
        <v>316.35000000000002</v>
      </c>
      <c r="GX3" s="366">
        <v>304.38</v>
      </c>
      <c r="GY3" s="366">
        <v>331.14</v>
      </c>
      <c r="GZ3" s="366">
        <v>265.95999999999998</v>
      </c>
      <c r="HA3" s="366">
        <v>322.32</v>
      </c>
      <c r="HB3" s="366">
        <v>322.32</v>
      </c>
      <c r="HC3" s="366">
        <v>322.32</v>
      </c>
      <c r="HD3" s="366">
        <v>510.2</v>
      </c>
      <c r="HE3" s="366">
        <v>320.43</v>
      </c>
      <c r="HF3" s="366">
        <v>276.72000000000003</v>
      </c>
      <c r="HG3" s="366">
        <v>281.12</v>
      </c>
      <c r="HH3" s="366">
        <v>281.12</v>
      </c>
      <c r="HI3" s="366">
        <v>281.12</v>
      </c>
      <c r="HJ3" s="366">
        <v>278.95999999999998</v>
      </c>
      <c r="HK3" s="366">
        <v>380.3</v>
      </c>
      <c r="HL3" s="366">
        <v>374.43</v>
      </c>
      <c r="HM3" s="366">
        <v>510.46</v>
      </c>
      <c r="HN3" s="366">
        <v>513.17999999999995</v>
      </c>
      <c r="HO3" s="366">
        <v>834.65</v>
      </c>
      <c r="HP3" s="366">
        <v>266.68</v>
      </c>
      <c r="HQ3" s="366">
        <v>930.39</v>
      </c>
      <c r="HR3" s="366">
        <v>680.64</v>
      </c>
      <c r="HS3" s="366">
        <v>509.43</v>
      </c>
      <c r="HT3" s="366">
        <v>391.75</v>
      </c>
      <c r="HU3" s="366">
        <v>359</v>
      </c>
      <c r="HV3" s="366">
        <v>377.32</v>
      </c>
    </row>
    <row r="4" spans="1:230">
      <c r="A4" s="366" t="s">
        <v>28</v>
      </c>
      <c r="B4" s="366">
        <v>670.4</v>
      </c>
      <c r="C4" s="366">
        <v>196.09</v>
      </c>
      <c r="D4" s="366">
        <v>0</v>
      </c>
      <c r="E4" s="366">
        <v>0</v>
      </c>
      <c r="F4" s="366">
        <v>734.3</v>
      </c>
      <c r="G4" s="366">
        <v>470.81</v>
      </c>
      <c r="H4" s="366">
        <v>43.62</v>
      </c>
      <c r="I4" s="366">
        <v>276.99</v>
      </c>
      <c r="J4" s="366">
        <v>67.400000000000006</v>
      </c>
      <c r="K4" s="366">
        <v>67.400000000000006</v>
      </c>
      <c r="L4" s="366">
        <v>17.91</v>
      </c>
      <c r="M4" s="366">
        <v>221.51</v>
      </c>
      <c r="N4" s="366">
        <v>318.41000000000003</v>
      </c>
      <c r="O4" s="366">
        <v>241.82</v>
      </c>
      <c r="P4" s="366">
        <v>241.82</v>
      </c>
      <c r="Q4" s="366">
        <v>241.82</v>
      </c>
      <c r="R4" s="366">
        <v>241.82</v>
      </c>
      <c r="S4" s="366">
        <v>241.82</v>
      </c>
      <c r="T4" s="366">
        <v>351.49</v>
      </c>
      <c r="U4" s="366">
        <v>578.85</v>
      </c>
      <c r="V4" s="366">
        <v>296.75</v>
      </c>
      <c r="W4" s="366">
        <v>280.99</v>
      </c>
      <c r="X4" s="366">
        <v>280.99</v>
      </c>
      <c r="Y4" s="366">
        <v>280.99</v>
      </c>
      <c r="Z4" s="366">
        <v>334.49</v>
      </c>
      <c r="AA4" s="366">
        <v>464.98</v>
      </c>
      <c r="AB4" s="366">
        <v>405.08</v>
      </c>
      <c r="AC4" s="366">
        <v>397.21</v>
      </c>
      <c r="AD4" s="366">
        <v>397.21</v>
      </c>
      <c r="AE4" s="366">
        <v>50.9</v>
      </c>
      <c r="AF4" s="366">
        <v>484.55</v>
      </c>
      <c r="AG4" s="366">
        <v>282.51</v>
      </c>
      <c r="AH4" s="366">
        <v>230.94</v>
      </c>
      <c r="AI4" s="366">
        <v>230.94</v>
      </c>
      <c r="AJ4" s="366">
        <v>230.94</v>
      </c>
      <c r="AK4" s="366">
        <v>356.69</v>
      </c>
      <c r="AL4" s="366">
        <v>356.69</v>
      </c>
      <c r="AM4" s="366">
        <v>407.8</v>
      </c>
      <c r="AN4" s="366">
        <v>200.99</v>
      </c>
      <c r="AO4" s="366">
        <v>487.42</v>
      </c>
      <c r="AP4" s="366">
        <v>315.89</v>
      </c>
      <c r="AQ4" s="366">
        <v>690.84</v>
      </c>
      <c r="AR4" s="366">
        <v>130.16999999999999</v>
      </c>
      <c r="AS4" s="366">
        <v>93.36</v>
      </c>
      <c r="AT4" s="366">
        <v>93.36</v>
      </c>
      <c r="AU4" s="366">
        <v>211.61</v>
      </c>
      <c r="AV4" s="366">
        <v>609.9</v>
      </c>
      <c r="AW4" s="366">
        <v>111.72</v>
      </c>
      <c r="AX4" s="366">
        <v>297.58999999999997</v>
      </c>
      <c r="AY4" s="366">
        <v>354.12</v>
      </c>
      <c r="AZ4" s="366">
        <v>164.71</v>
      </c>
      <c r="BA4" s="366">
        <v>610.80999999999995</v>
      </c>
      <c r="BB4" s="366">
        <v>357.01</v>
      </c>
      <c r="BC4" s="366">
        <v>552.87</v>
      </c>
      <c r="BD4" s="366">
        <v>462.64</v>
      </c>
      <c r="BE4" s="366">
        <v>300.81</v>
      </c>
      <c r="BF4" s="366">
        <v>402.05</v>
      </c>
      <c r="BG4" s="366">
        <v>342.04</v>
      </c>
      <c r="BH4" s="366">
        <v>241.82</v>
      </c>
      <c r="BI4" s="366">
        <v>130.19999999999999</v>
      </c>
      <c r="BJ4" s="366">
        <v>280.16000000000003</v>
      </c>
      <c r="BK4" s="366">
        <v>232.49</v>
      </c>
      <c r="BL4" s="366">
        <v>7</v>
      </c>
      <c r="BM4" s="366">
        <v>16.21</v>
      </c>
      <c r="BN4" s="366">
        <v>505.17</v>
      </c>
      <c r="BO4" s="366">
        <v>274.69</v>
      </c>
      <c r="BP4" s="366">
        <v>240.55</v>
      </c>
      <c r="BQ4" s="366">
        <v>256.29000000000002</v>
      </c>
      <c r="BR4" s="366">
        <v>256.29000000000002</v>
      </c>
      <c r="BS4" s="366">
        <v>172.28</v>
      </c>
      <c r="BT4" s="366">
        <v>114.63</v>
      </c>
      <c r="BU4" s="366">
        <v>385.58</v>
      </c>
      <c r="BV4" s="366">
        <v>405.2</v>
      </c>
      <c r="BW4" s="366">
        <v>270.89999999999998</v>
      </c>
      <c r="BX4" s="366">
        <v>113.37</v>
      </c>
      <c r="BY4" s="366">
        <v>324.23</v>
      </c>
      <c r="BZ4" s="366">
        <v>324.23</v>
      </c>
      <c r="CA4" s="366">
        <v>143.66</v>
      </c>
      <c r="CB4" s="366">
        <v>131.80000000000001</v>
      </c>
      <c r="CC4" s="366">
        <v>268.76</v>
      </c>
      <c r="CD4" s="366">
        <v>271.16000000000003</v>
      </c>
      <c r="CE4" s="366">
        <v>215.72</v>
      </c>
      <c r="CF4" s="366">
        <v>483.28</v>
      </c>
      <c r="CG4" s="366">
        <v>483.28</v>
      </c>
      <c r="CH4" s="366">
        <v>271.29000000000002</v>
      </c>
      <c r="CI4" s="366">
        <v>184.78</v>
      </c>
      <c r="CJ4" s="366">
        <v>494.23</v>
      </c>
      <c r="CK4" s="366">
        <v>329.32</v>
      </c>
      <c r="CL4" s="366">
        <v>225.4</v>
      </c>
      <c r="CM4" s="366">
        <v>499.15</v>
      </c>
      <c r="CN4" s="366">
        <v>229.53</v>
      </c>
      <c r="CO4" s="366">
        <v>128.78</v>
      </c>
      <c r="CP4" s="366">
        <v>249.6</v>
      </c>
      <c r="CQ4" s="366">
        <v>249.6</v>
      </c>
      <c r="CR4" s="366">
        <v>81.180000000000007</v>
      </c>
      <c r="CS4" s="366">
        <v>81.180000000000007</v>
      </c>
      <c r="CT4" s="366">
        <v>90.62</v>
      </c>
      <c r="CU4" s="366">
        <v>82.75</v>
      </c>
      <c r="CV4" s="366">
        <v>85.35</v>
      </c>
      <c r="CW4" s="366">
        <v>296.75</v>
      </c>
      <c r="CX4" s="366">
        <v>287.83</v>
      </c>
      <c r="CY4" s="366">
        <v>545.57000000000005</v>
      </c>
      <c r="CZ4" s="366">
        <v>566.80999999999995</v>
      </c>
      <c r="DA4" s="366">
        <v>256.45999999999998</v>
      </c>
      <c r="DB4" s="366">
        <v>276.14</v>
      </c>
      <c r="DC4" s="366">
        <v>276.14</v>
      </c>
      <c r="DD4" s="366">
        <v>268.14999999999998</v>
      </c>
      <c r="DE4" s="366">
        <v>334.09</v>
      </c>
      <c r="DF4" s="366">
        <v>718.76</v>
      </c>
      <c r="DG4" s="366">
        <v>214.43</v>
      </c>
      <c r="DH4" s="366">
        <v>396.65</v>
      </c>
      <c r="DI4" s="366">
        <v>349.1</v>
      </c>
      <c r="DJ4" s="366">
        <v>552.99</v>
      </c>
      <c r="DK4" s="366">
        <v>75.790000000000006</v>
      </c>
      <c r="DL4" s="366">
        <v>379.58</v>
      </c>
      <c r="DM4" s="366">
        <v>183.67</v>
      </c>
      <c r="DN4" s="366">
        <v>363.86</v>
      </c>
      <c r="DO4" s="366">
        <v>102.36</v>
      </c>
      <c r="DP4" s="366">
        <v>229.84</v>
      </c>
      <c r="DQ4" s="366">
        <v>282.24</v>
      </c>
      <c r="DR4" s="366">
        <v>396.65</v>
      </c>
      <c r="DS4" s="366">
        <v>106.65</v>
      </c>
      <c r="DT4" s="366">
        <v>94.94</v>
      </c>
      <c r="DU4" s="366">
        <v>286.8</v>
      </c>
      <c r="DV4" s="366">
        <v>353.51</v>
      </c>
      <c r="DW4" s="366">
        <v>76.94</v>
      </c>
      <c r="DX4" s="366">
        <v>257.22000000000003</v>
      </c>
      <c r="DY4" s="366">
        <v>330.61</v>
      </c>
      <c r="DZ4" s="366">
        <v>277.82</v>
      </c>
      <c r="EA4" s="366">
        <v>112.45</v>
      </c>
      <c r="EB4" s="366">
        <v>324.61</v>
      </c>
      <c r="EC4" s="366">
        <v>25.44</v>
      </c>
      <c r="ED4" s="366">
        <v>378.87</v>
      </c>
      <c r="EE4" s="366">
        <v>389.66</v>
      </c>
      <c r="EF4" s="366">
        <v>309.61</v>
      </c>
      <c r="EG4" s="366">
        <v>111.72</v>
      </c>
      <c r="EH4" s="366">
        <v>111.72</v>
      </c>
      <c r="EI4" s="366">
        <v>254.81</v>
      </c>
      <c r="EJ4" s="366">
        <v>384.71</v>
      </c>
      <c r="EK4" s="366">
        <v>133.24</v>
      </c>
      <c r="EL4" s="366">
        <v>133.24</v>
      </c>
      <c r="EM4" s="366">
        <v>227.35</v>
      </c>
      <c r="EN4" s="366">
        <v>227.35</v>
      </c>
      <c r="EO4" s="366">
        <v>407.8</v>
      </c>
      <c r="EP4" s="366">
        <v>336.81</v>
      </c>
      <c r="EQ4" s="366">
        <v>100.11</v>
      </c>
      <c r="ER4" s="366">
        <v>548.89</v>
      </c>
      <c r="ES4" s="366">
        <v>195.99</v>
      </c>
      <c r="ET4" s="366">
        <v>274.26</v>
      </c>
      <c r="EU4" s="366">
        <v>670.4</v>
      </c>
      <c r="EV4" s="366">
        <v>280.99</v>
      </c>
      <c r="EW4" s="366">
        <v>255.73</v>
      </c>
      <c r="EX4" s="366">
        <v>172.73</v>
      </c>
      <c r="EY4" s="366">
        <v>172.73</v>
      </c>
      <c r="EZ4" s="366">
        <v>279.16000000000003</v>
      </c>
      <c r="FA4" s="366">
        <v>224.52</v>
      </c>
      <c r="FB4" s="366">
        <v>60.09</v>
      </c>
      <c r="FC4" s="366">
        <v>277.36</v>
      </c>
      <c r="FD4" s="366">
        <v>167.01</v>
      </c>
      <c r="FE4" s="366">
        <v>258.64</v>
      </c>
      <c r="FF4" s="366">
        <v>233.82</v>
      </c>
      <c r="FG4" s="366">
        <v>601.85</v>
      </c>
      <c r="FH4" s="366">
        <v>601.85</v>
      </c>
      <c r="FI4" s="366">
        <v>261.86</v>
      </c>
      <c r="FJ4" s="366">
        <v>267.64999999999998</v>
      </c>
      <c r="FK4" s="366">
        <v>223.73</v>
      </c>
      <c r="FL4" s="366">
        <v>221.92</v>
      </c>
      <c r="FM4" s="366">
        <v>407.8</v>
      </c>
      <c r="FN4" s="366">
        <v>311.74</v>
      </c>
      <c r="FO4" s="366">
        <v>120.82</v>
      </c>
      <c r="FP4" s="366">
        <v>309.70999999999998</v>
      </c>
      <c r="FQ4" s="366">
        <v>124.69</v>
      </c>
      <c r="FR4" s="366">
        <v>35.25</v>
      </c>
      <c r="FS4" s="366">
        <v>163.89</v>
      </c>
      <c r="FT4" s="366">
        <v>537.83000000000004</v>
      </c>
      <c r="FU4" s="366">
        <v>172.39</v>
      </c>
      <c r="FV4" s="366">
        <v>734.3</v>
      </c>
      <c r="FW4" s="366">
        <v>734.3</v>
      </c>
      <c r="FX4" s="366">
        <v>734.3</v>
      </c>
      <c r="FY4" s="366">
        <v>173.66</v>
      </c>
      <c r="FZ4" s="366">
        <v>248.55</v>
      </c>
      <c r="GA4" s="366">
        <v>300.81</v>
      </c>
      <c r="GB4" s="366">
        <v>202.36</v>
      </c>
      <c r="GC4" s="366">
        <v>378.87</v>
      </c>
      <c r="GD4" s="366">
        <v>95.47</v>
      </c>
      <c r="GE4" s="366">
        <v>90.72</v>
      </c>
      <c r="GF4" s="366">
        <v>158.86000000000001</v>
      </c>
      <c r="GG4" s="366">
        <v>158.86000000000001</v>
      </c>
      <c r="GH4" s="366">
        <v>349.26</v>
      </c>
      <c r="GI4" s="366">
        <v>407.96</v>
      </c>
      <c r="GJ4" s="366">
        <v>407.8</v>
      </c>
      <c r="GK4" s="366">
        <v>220.28</v>
      </c>
      <c r="GL4" s="366">
        <v>241.14</v>
      </c>
      <c r="GM4" s="366">
        <v>241.14</v>
      </c>
      <c r="GN4" s="366">
        <v>241.14</v>
      </c>
      <c r="GO4" s="366">
        <v>355.07</v>
      </c>
      <c r="GP4" s="366">
        <v>306.22000000000003</v>
      </c>
      <c r="GQ4" s="366">
        <v>265.99</v>
      </c>
      <c r="GR4" s="366">
        <v>410.21</v>
      </c>
      <c r="GS4" s="366">
        <v>308.72000000000003</v>
      </c>
      <c r="GT4" s="366">
        <v>111.72</v>
      </c>
      <c r="GU4" s="366">
        <v>69.069999999999993</v>
      </c>
      <c r="GV4" s="366">
        <v>391.9</v>
      </c>
      <c r="GW4" s="366">
        <v>217.12</v>
      </c>
      <c r="GX4" s="366">
        <v>108.29</v>
      </c>
      <c r="GY4" s="366">
        <v>231.91</v>
      </c>
      <c r="GZ4" s="366">
        <v>166.73</v>
      </c>
      <c r="HA4" s="366">
        <v>126.23</v>
      </c>
      <c r="HB4" s="366">
        <v>126.23</v>
      </c>
      <c r="HC4" s="366">
        <v>126.23</v>
      </c>
      <c r="HD4" s="366">
        <v>314.11</v>
      </c>
      <c r="HE4" s="366">
        <v>221.2</v>
      </c>
      <c r="HF4" s="366">
        <v>177.49</v>
      </c>
      <c r="HG4" s="366">
        <v>305.14</v>
      </c>
      <c r="HH4" s="366">
        <v>305.14</v>
      </c>
      <c r="HI4" s="366">
        <v>305.14</v>
      </c>
      <c r="HJ4" s="366">
        <v>179.73</v>
      </c>
      <c r="HK4" s="366">
        <v>184.21</v>
      </c>
      <c r="HL4" s="366">
        <v>275.2</v>
      </c>
      <c r="HM4" s="366">
        <v>405.08</v>
      </c>
      <c r="HN4" s="366">
        <v>407.8</v>
      </c>
      <c r="HO4" s="366">
        <v>638.55999999999995</v>
      </c>
      <c r="HP4" s="366">
        <v>167.45</v>
      </c>
      <c r="HQ4" s="366">
        <v>734.3</v>
      </c>
      <c r="HR4" s="366">
        <v>484.55</v>
      </c>
      <c r="HS4" s="366">
        <v>404.05</v>
      </c>
      <c r="HT4" s="366">
        <v>292.52</v>
      </c>
      <c r="HU4" s="366">
        <v>259.77</v>
      </c>
      <c r="HV4" s="366">
        <v>278.08999999999997</v>
      </c>
    </row>
    <row r="5" spans="1:230">
      <c r="A5" s="366" t="s">
        <v>29</v>
      </c>
      <c r="B5" s="366">
        <v>670.4</v>
      </c>
      <c r="C5" s="366">
        <v>196.09</v>
      </c>
      <c r="D5" s="366">
        <v>0</v>
      </c>
      <c r="E5" s="366">
        <v>0</v>
      </c>
      <c r="F5" s="366">
        <v>734.3</v>
      </c>
      <c r="G5" s="366">
        <v>470.81</v>
      </c>
      <c r="H5" s="366">
        <v>43.62</v>
      </c>
      <c r="I5" s="366">
        <v>276.99</v>
      </c>
      <c r="J5" s="366">
        <v>67.400000000000006</v>
      </c>
      <c r="K5" s="366">
        <v>67.400000000000006</v>
      </c>
      <c r="L5" s="366">
        <v>17.91</v>
      </c>
      <c r="M5" s="366">
        <v>221.51</v>
      </c>
      <c r="N5" s="366">
        <v>318.41000000000003</v>
      </c>
      <c r="O5" s="366">
        <v>241.82</v>
      </c>
      <c r="P5" s="366">
        <v>241.82</v>
      </c>
      <c r="Q5" s="366">
        <v>241.82</v>
      </c>
      <c r="R5" s="366">
        <v>241.82</v>
      </c>
      <c r="S5" s="366">
        <v>241.82</v>
      </c>
      <c r="T5" s="366">
        <v>351.49</v>
      </c>
      <c r="U5" s="366">
        <v>578.85</v>
      </c>
      <c r="V5" s="366">
        <v>296.75</v>
      </c>
      <c r="W5" s="366">
        <v>280.99</v>
      </c>
      <c r="X5" s="366">
        <v>280.99</v>
      </c>
      <c r="Y5" s="366">
        <v>280.99</v>
      </c>
      <c r="Z5" s="366">
        <v>334.49</v>
      </c>
      <c r="AA5" s="366">
        <v>464.98</v>
      </c>
      <c r="AB5" s="366">
        <v>405.08</v>
      </c>
      <c r="AC5" s="366">
        <v>397.21</v>
      </c>
      <c r="AD5" s="366">
        <v>397.21</v>
      </c>
      <c r="AE5" s="366">
        <v>50.9</v>
      </c>
      <c r="AF5" s="366">
        <v>484.55</v>
      </c>
      <c r="AG5" s="366">
        <v>282.51</v>
      </c>
      <c r="AH5" s="366">
        <v>230.94</v>
      </c>
      <c r="AI5" s="366">
        <v>230.94</v>
      </c>
      <c r="AJ5" s="366">
        <v>230.94</v>
      </c>
      <c r="AK5" s="366">
        <v>356.69</v>
      </c>
      <c r="AL5" s="366">
        <v>356.69</v>
      </c>
      <c r="AM5" s="366">
        <v>407.8</v>
      </c>
      <c r="AN5" s="366">
        <v>200.99</v>
      </c>
      <c r="AO5" s="366">
        <v>487.42</v>
      </c>
      <c r="AP5" s="366">
        <v>315.89</v>
      </c>
      <c r="AQ5" s="366">
        <v>690.84</v>
      </c>
      <c r="AR5" s="366">
        <v>130.16999999999999</v>
      </c>
      <c r="AS5" s="366">
        <v>93.36</v>
      </c>
      <c r="AT5" s="366">
        <v>93.36</v>
      </c>
      <c r="AU5" s="366">
        <v>211.61</v>
      </c>
      <c r="AV5" s="366">
        <v>609.9</v>
      </c>
      <c r="AW5" s="366">
        <v>111.72</v>
      </c>
      <c r="AX5" s="366">
        <v>297.58999999999997</v>
      </c>
      <c r="AY5" s="366">
        <v>354.12</v>
      </c>
      <c r="AZ5" s="366">
        <v>164.71</v>
      </c>
      <c r="BA5" s="366">
        <v>610.80999999999995</v>
      </c>
      <c r="BB5" s="366">
        <v>357.01</v>
      </c>
      <c r="BC5" s="366">
        <v>552.87</v>
      </c>
      <c r="BD5" s="366">
        <v>462.64</v>
      </c>
      <c r="BE5" s="366">
        <v>300.81</v>
      </c>
      <c r="BF5" s="366">
        <v>402.05</v>
      </c>
      <c r="BG5" s="366">
        <v>342.04</v>
      </c>
      <c r="BH5" s="366">
        <v>241.82</v>
      </c>
      <c r="BI5" s="366">
        <v>130.19999999999999</v>
      </c>
      <c r="BJ5" s="366">
        <v>280.16000000000003</v>
      </c>
      <c r="BK5" s="366">
        <v>232.49</v>
      </c>
      <c r="BL5" s="366">
        <v>7</v>
      </c>
      <c r="BM5" s="366">
        <v>16.21</v>
      </c>
      <c r="BN5" s="366">
        <v>505.17</v>
      </c>
      <c r="BO5" s="366">
        <v>274.69</v>
      </c>
      <c r="BP5" s="366">
        <v>240.55</v>
      </c>
      <c r="BQ5" s="366">
        <v>256.29000000000002</v>
      </c>
      <c r="BR5" s="366">
        <v>256.29000000000002</v>
      </c>
      <c r="BS5" s="366">
        <v>172.28</v>
      </c>
      <c r="BT5" s="366">
        <v>114.63</v>
      </c>
      <c r="BU5" s="366">
        <v>385.58</v>
      </c>
      <c r="BV5" s="366">
        <v>405.2</v>
      </c>
      <c r="BW5" s="366">
        <v>270.89999999999998</v>
      </c>
      <c r="BX5" s="366">
        <v>113.37</v>
      </c>
      <c r="BY5" s="366">
        <v>324.23</v>
      </c>
      <c r="BZ5" s="366">
        <v>324.23</v>
      </c>
      <c r="CA5" s="366">
        <v>143.66</v>
      </c>
      <c r="CB5" s="366">
        <v>131.80000000000001</v>
      </c>
      <c r="CC5" s="366">
        <v>268.76</v>
      </c>
      <c r="CD5" s="366">
        <v>271.16000000000003</v>
      </c>
      <c r="CE5" s="366">
        <v>215.72</v>
      </c>
      <c r="CF5" s="366">
        <v>483.28</v>
      </c>
      <c r="CG5" s="366">
        <v>483.28</v>
      </c>
      <c r="CH5" s="366">
        <v>271.29000000000002</v>
      </c>
      <c r="CI5" s="366">
        <v>184.78</v>
      </c>
      <c r="CJ5" s="366">
        <v>494.23</v>
      </c>
      <c r="CK5" s="366">
        <v>329.32</v>
      </c>
      <c r="CL5" s="366">
        <v>225.4</v>
      </c>
      <c r="CM5" s="366">
        <v>499.15</v>
      </c>
      <c r="CN5" s="366">
        <v>229.53</v>
      </c>
      <c r="CO5" s="366">
        <v>128.78</v>
      </c>
      <c r="CP5" s="366">
        <v>249.6</v>
      </c>
      <c r="CQ5" s="366">
        <v>249.6</v>
      </c>
      <c r="CR5" s="366">
        <v>81.180000000000007</v>
      </c>
      <c r="CS5" s="366">
        <v>81.180000000000007</v>
      </c>
      <c r="CT5" s="366">
        <v>90.62</v>
      </c>
      <c r="CU5" s="366">
        <v>82.75</v>
      </c>
      <c r="CV5" s="366">
        <v>85.35</v>
      </c>
      <c r="CW5" s="366">
        <v>296.75</v>
      </c>
      <c r="CX5" s="366">
        <v>287.83</v>
      </c>
      <c r="CY5" s="366">
        <v>545.57000000000005</v>
      </c>
      <c r="CZ5" s="366">
        <v>566.80999999999995</v>
      </c>
      <c r="DA5" s="366">
        <v>256.45999999999998</v>
      </c>
      <c r="DB5" s="366">
        <v>276.14</v>
      </c>
      <c r="DC5" s="366">
        <v>276.14</v>
      </c>
      <c r="DD5" s="366">
        <v>268.14999999999998</v>
      </c>
      <c r="DE5" s="366">
        <v>334.09</v>
      </c>
      <c r="DF5" s="366">
        <v>718.76</v>
      </c>
      <c r="DG5" s="366">
        <v>214.43</v>
      </c>
      <c r="DH5" s="366">
        <v>396.65</v>
      </c>
      <c r="DI5" s="366">
        <v>349.1</v>
      </c>
      <c r="DJ5" s="366">
        <v>552.99</v>
      </c>
      <c r="DK5" s="366">
        <v>75.790000000000006</v>
      </c>
      <c r="DL5" s="366">
        <v>379.58</v>
      </c>
      <c r="DM5" s="366">
        <v>183.67</v>
      </c>
      <c r="DN5" s="366">
        <v>363.86</v>
      </c>
      <c r="DO5" s="366">
        <v>102.36</v>
      </c>
      <c r="DP5" s="366">
        <v>229.84</v>
      </c>
      <c r="DQ5" s="366">
        <v>282.24</v>
      </c>
      <c r="DR5" s="366">
        <v>396.65</v>
      </c>
      <c r="DS5" s="366">
        <v>106.65</v>
      </c>
      <c r="DT5" s="366">
        <v>94.94</v>
      </c>
      <c r="DU5" s="366">
        <v>286.8</v>
      </c>
      <c r="DV5" s="366">
        <v>353.51</v>
      </c>
      <c r="DW5" s="366">
        <v>76.94</v>
      </c>
      <c r="DX5" s="366">
        <v>257.22000000000003</v>
      </c>
      <c r="DY5" s="366">
        <v>330.61</v>
      </c>
      <c r="DZ5" s="366">
        <v>277.82</v>
      </c>
      <c r="EA5" s="366">
        <v>112.45</v>
      </c>
      <c r="EB5" s="366">
        <v>324.61</v>
      </c>
      <c r="EC5" s="366">
        <v>25.44</v>
      </c>
      <c r="ED5" s="366">
        <v>378.87</v>
      </c>
      <c r="EE5" s="366">
        <v>389.66</v>
      </c>
      <c r="EF5" s="366">
        <v>309.61</v>
      </c>
      <c r="EG5" s="366">
        <v>111.72</v>
      </c>
      <c r="EH5" s="366">
        <v>111.72</v>
      </c>
      <c r="EI5" s="366">
        <v>254.81</v>
      </c>
      <c r="EJ5" s="366">
        <v>384.71</v>
      </c>
      <c r="EK5" s="366">
        <v>133.24</v>
      </c>
      <c r="EL5" s="366">
        <v>133.24</v>
      </c>
      <c r="EM5" s="366">
        <v>227.35</v>
      </c>
      <c r="EN5" s="366">
        <v>227.35</v>
      </c>
      <c r="EO5" s="366">
        <v>407.8</v>
      </c>
      <c r="EP5" s="366">
        <v>336.81</v>
      </c>
      <c r="EQ5" s="366">
        <v>100.11</v>
      </c>
      <c r="ER5" s="366">
        <v>548.89</v>
      </c>
      <c r="ES5" s="366">
        <v>195.99</v>
      </c>
      <c r="ET5" s="366">
        <v>274.26</v>
      </c>
      <c r="EU5" s="366">
        <v>670.4</v>
      </c>
      <c r="EV5" s="366">
        <v>280.99</v>
      </c>
      <c r="EW5" s="366">
        <v>255.73</v>
      </c>
      <c r="EX5" s="366">
        <v>172.73</v>
      </c>
      <c r="EY5" s="366">
        <v>172.73</v>
      </c>
      <c r="EZ5" s="366">
        <v>279.16000000000003</v>
      </c>
      <c r="FA5" s="366">
        <v>224.52</v>
      </c>
      <c r="FB5" s="366">
        <v>60.09</v>
      </c>
      <c r="FC5" s="366">
        <v>277.36</v>
      </c>
      <c r="FD5" s="366">
        <v>167.01</v>
      </c>
      <c r="FE5" s="366">
        <v>258.64</v>
      </c>
      <c r="FF5" s="366">
        <v>233.82</v>
      </c>
      <c r="FG5" s="366">
        <v>601.85</v>
      </c>
      <c r="FH5" s="366">
        <v>601.85</v>
      </c>
      <c r="FI5" s="366">
        <v>261.86</v>
      </c>
      <c r="FJ5" s="366">
        <v>267.64999999999998</v>
      </c>
      <c r="FK5" s="366">
        <v>223.73</v>
      </c>
      <c r="FL5" s="366">
        <v>221.92</v>
      </c>
      <c r="FM5" s="366">
        <v>407.8</v>
      </c>
      <c r="FN5" s="366">
        <v>311.74</v>
      </c>
      <c r="FO5" s="366">
        <v>120.82</v>
      </c>
      <c r="FP5" s="366">
        <v>309.70999999999998</v>
      </c>
      <c r="FQ5" s="366">
        <v>124.69</v>
      </c>
      <c r="FR5" s="366">
        <v>35.25</v>
      </c>
      <c r="FS5" s="366">
        <v>163.89</v>
      </c>
      <c r="FT5" s="366">
        <v>537.83000000000004</v>
      </c>
      <c r="FU5" s="366">
        <v>172.39</v>
      </c>
      <c r="FV5" s="366">
        <v>734.3</v>
      </c>
      <c r="FW5" s="366">
        <v>734.3</v>
      </c>
      <c r="FX5" s="366">
        <v>734.3</v>
      </c>
      <c r="FY5" s="366">
        <v>173.66</v>
      </c>
      <c r="FZ5" s="366">
        <v>248.55</v>
      </c>
      <c r="GA5" s="366">
        <v>300.81</v>
      </c>
      <c r="GB5" s="366">
        <v>202.36</v>
      </c>
      <c r="GC5" s="366">
        <v>378.87</v>
      </c>
      <c r="GD5" s="366">
        <v>95.47</v>
      </c>
      <c r="GE5" s="366">
        <v>90.72</v>
      </c>
      <c r="GF5" s="366">
        <v>158.86000000000001</v>
      </c>
      <c r="GG5" s="366">
        <v>158.86000000000001</v>
      </c>
      <c r="GH5" s="366">
        <v>349.26</v>
      </c>
      <c r="GI5" s="366">
        <v>407.96</v>
      </c>
      <c r="GJ5" s="366">
        <v>407.8</v>
      </c>
      <c r="GK5" s="366">
        <v>220.28</v>
      </c>
      <c r="GL5" s="366">
        <v>241.14</v>
      </c>
      <c r="GM5" s="366">
        <v>241.14</v>
      </c>
      <c r="GN5" s="366">
        <v>241.14</v>
      </c>
      <c r="GO5" s="366">
        <v>355.07</v>
      </c>
      <c r="GP5" s="366">
        <v>306.22000000000003</v>
      </c>
      <c r="GQ5" s="366">
        <v>265.99</v>
      </c>
      <c r="GR5" s="366">
        <v>410.21</v>
      </c>
      <c r="GS5" s="366">
        <v>308.72000000000003</v>
      </c>
      <c r="GT5" s="366">
        <v>111.72</v>
      </c>
      <c r="GU5" s="366">
        <v>69.069999999999993</v>
      </c>
      <c r="GV5" s="366">
        <v>391.9</v>
      </c>
      <c r="GW5" s="366">
        <v>217.12</v>
      </c>
      <c r="GX5" s="366">
        <v>108.29</v>
      </c>
      <c r="GY5" s="366">
        <v>231.91</v>
      </c>
      <c r="GZ5" s="366">
        <v>166.73</v>
      </c>
      <c r="HA5" s="366">
        <v>126.23</v>
      </c>
      <c r="HB5" s="366">
        <v>126.23</v>
      </c>
      <c r="HC5" s="366">
        <v>126.23</v>
      </c>
      <c r="HD5" s="366">
        <v>314.11</v>
      </c>
      <c r="HE5" s="366">
        <v>221.2</v>
      </c>
      <c r="HF5" s="366">
        <v>177.49</v>
      </c>
      <c r="HG5" s="366">
        <v>305.14</v>
      </c>
      <c r="HH5" s="366">
        <v>305.14</v>
      </c>
      <c r="HI5" s="366">
        <v>305.14</v>
      </c>
      <c r="HJ5" s="366">
        <v>179.73</v>
      </c>
      <c r="HK5" s="366">
        <v>184.21</v>
      </c>
      <c r="HL5" s="366">
        <v>275.2</v>
      </c>
      <c r="HM5" s="366">
        <v>405.08</v>
      </c>
      <c r="HN5" s="366">
        <v>407.8</v>
      </c>
      <c r="HO5" s="366">
        <v>638.55999999999995</v>
      </c>
      <c r="HP5" s="366">
        <v>167.45</v>
      </c>
      <c r="HQ5" s="366">
        <v>734.3</v>
      </c>
      <c r="HR5" s="366">
        <v>484.55</v>
      </c>
      <c r="HS5" s="366">
        <v>404.05</v>
      </c>
      <c r="HT5" s="366">
        <v>292.52</v>
      </c>
      <c r="HU5" s="366">
        <v>259.77</v>
      </c>
      <c r="HV5" s="366">
        <v>278.08999999999997</v>
      </c>
    </row>
    <row r="6" spans="1:230">
      <c r="A6" s="366" t="s">
        <v>240</v>
      </c>
      <c r="B6" s="366">
        <v>63.9</v>
      </c>
      <c r="C6" s="366">
        <v>930.39</v>
      </c>
      <c r="D6" s="366">
        <v>734.3</v>
      </c>
      <c r="E6" s="366">
        <v>734.3</v>
      </c>
      <c r="F6" s="366">
        <v>0</v>
      </c>
      <c r="G6" s="366">
        <v>275.14999999999998</v>
      </c>
      <c r="H6" s="366">
        <v>690.68</v>
      </c>
      <c r="I6" s="366">
        <v>573.38</v>
      </c>
      <c r="J6" s="366">
        <v>666.9</v>
      </c>
      <c r="K6" s="366">
        <v>666.9</v>
      </c>
      <c r="L6" s="366">
        <v>752.21</v>
      </c>
      <c r="M6" s="366">
        <v>955.81</v>
      </c>
      <c r="N6" s="366">
        <v>1052.71</v>
      </c>
      <c r="O6" s="366">
        <v>825.03</v>
      </c>
      <c r="P6" s="366">
        <v>825.03</v>
      </c>
      <c r="Q6" s="366">
        <v>825.03</v>
      </c>
      <c r="R6" s="366">
        <v>825.03</v>
      </c>
      <c r="S6" s="366">
        <v>825.03</v>
      </c>
      <c r="T6" s="366">
        <v>498.88</v>
      </c>
      <c r="U6" s="366">
        <v>155.44999999999999</v>
      </c>
      <c r="V6" s="366">
        <v>914.42</v>
      </c>
      <c r="W6" s="366">
        <v>555.61</v>
      </c>
      <c r="X6" s="366">
        <v>555.61</v>
      </c>
      <c r="Y6" s="366">
        <v>555.61</v>
      </c>
      <c r="Z6" s="366">
        <v>952.16</v>
      </c>
      <c r="AA6" s="366">
        <v>269.32</v>
      </c>
      <c r="AB6" s="366">
        <v>468.21</v>
      </c>
      <c r="AC6" s="366">
        <v>436.68</v>
      </c>
      <c r="AD6" s="366">
        <v>436.68</v>
      </c>
      <c r="AE6" s="366">
        <v>785.2</v>
      </c>
      <c r="AF6" s="366">
        <v>249.75</v>
      </c>
      <c r="AG6" s="366">
        <v>587.13</v>
      </c>
      <c r="AH6" s="366">
        <v>619.42999999999995</v>
      </c>
      <c r="AI6" s="366">
        <v>619.42999999999995</v>
      </c>
      <c r="AJ6" s="366">
        <v>619.42999999999995</v>
      </c>
      <c r="AK6" s="366">
        <v>974.36</v>
      </c>
      <c r="AL6" s="366">
        <v>974.36</v>
      </c>
      <c r="AM6" s="366">
        <v>470.93</v>
      </c>
      <c r="AN6" s="366">
        <v>784.2</v>
      </c>
      <c r="AO6" s="366">
        <v>291.76</v>
      </c>
      <c r="AP6" s="366">
        <v>518</v>
      </c>
      <c r="AQ6" s="366">
        <v>57.93</v>
      </c>
      <c r="AR6" s="366">
        <v>706.64</v>
      </c>
      <c r="AS6" s="366">
        <v>765.53</v>
      </c>
      <c r="AT6" s="366">
        <v>765.53</v>
      </c>
      <c r="AU6" s="366">
        <v>829.28</v>
      </c>
      <c r="AV6" s="366">
        <v>125.76</v>
      </c>
      <c r="AW6" s="366">
        <v>629.44000000000005</v>
      </c>
      <c r="AX6" s="366">
        <v>561.04</v>
      </c>
      <c r="AY6" s="366">
        <v>1088.42</v>
      </c>
      <c r="AZ6" s="366">
        <v>899.01</v>
      </c>
      <c r="BA6" s="366">
        <v>223.08</v>
      </c>
      <c r="BB6" s="366">
        <v>1091.31</v>
      </c>
      <c r="BC6" s="366">
        <v>303.98</v>
      </c>
      <c r="BD6" s="366">
        <v>371.25</v>
      </c>
      <c r="BE6" s="366">
        <v>918.48</v>
      </c>
      <c r="BF6" s="366">
        <v>465.18</v>
      </c>
      <c r="BG6" s="366">
        <v>959.71</v>
      </c>
      <c r="BH6" s="366">
        <v>825.03</v>
      </c>
      <c r="BI6" s="366">
        <v>706.67</v>
      </c>
      <c r="BJ6" s="366">
        <v>897.83</v>
      </c>
      <c r="BK6" s="366">
        <v>966.79</v>
      </c>
      <c r="BL6" s="366">
        <v>741.3</v>
      </c>
      <c r="BM6" s="366">
        <v>718.09</v>
      </c>
      <c r="BN6" s="366">
        <v>229.13</v>
      </c>
      <c r="BO6" s="366">
        <v>1008.99</v>
      </c>
      <c r="BP6" s="366">
        <v>974.85</v>
      </c>
      <c r="BQ6" s="366">
        <v>594.08000000000004</v>
      </c>
      <c r="BR6" s="366">
        <v>594.08000000000004</v>
      </c>
      <c r="BS6" s="366">
        <v>906.58</v>
      </c>
      <c r="BT6" s="366">
        <v>698.59</v>
      </c>
      <c r="BU6" s="366">
        <v>458.64</v>
      </c>
      <c r="BV6" s="366">
        <v>468.33</v>
      </c>
      <c r="BW6" s="366">
        <v>888.57</v>
      </c>
      <c r="BX6" s="366">
        <v>847.67</v>
      </c>
      <c r="BY6" s="366">
        <v>941.9</v>
      </c>
      <c r="BZ6" s="366">
        <v>941.9</v>
      </c>
      <c r="CA6" s="366">
        <v>590.64</v>
      </c>
      <c r="CB6" s="366">
        <v>866.1</v>
      </c>
      <c r="CC6" s="366">
        <v>589.87</v>
      </c>
      <c r="CD6" s="366">
        <v>603.35</v>
      </c>
      <c r="CE6" s="366">
        <v>950.02</v>
      </c>
      <c r="CF6" s="366">
        <v>287.62</v>
      </c>
      <c r="CG6" s="366">
        <v>287.62</v>
      </c>
      <c r="CH6" s="366">
        <v>579.08000000000004</v>
      </c>
      <c r="CI6" s="366">
        <v>698.23</v>
      </c>
      <c r="CJ6" s="366">
        <v>240.21</v>
      </c>
      <c r="CK6" s="366">
        <v>946.99</v>
      </c>
      <c r="CL6" s="366">
        <v>843.07</v>
      </c>
      <c r="CM6" s="366">
        <v>334.74</v>
      </c>
      <c r="CN6" s="366">
        <v>847.2</v>
      </c>
      <c r="CO6" s="366">
        <v>705.25</v>
      </c>
      <c r="CP6" s="366">
        <v>600.77</v>
      </c>
      <c r="CQ6" s="366">
        <v>600.77</v>
      </c>
      <c r="CR6" s="366">
        <v>656.57</v>
      </c>
      <c r="CS6" s="366">
        <v>656.57</v>
      </c>
      <c r="CT6" s="366">
        <v>647.13</v>
      </c>
      <c r="CU6" s="366">
        <v>655</v>
      </c>
      <c r="CV6" s="366">
        <v>648.95000000000005</v>
      </c>
      <c r="CW6" s="366">
        <v>914.42</v>
      </c>
      <c r="CX6" s="366">
        <v>577.58000000000004</v>
      </c>
      <c r="CY6" s="366">
        <v>296.68</v>
      </c>
      <c r="CZ6" s="366">
        <v>317.92</v>
      </c>
      <c r="DA6" s="366">
        <v>990.76</v>
      </c>
      <c r="DB6" s="366">
        <v>893.81</v>
      </c>
      <c r="DC6" s="366">
        <v>893.81</v>
      </c>
      <c r="DD6" s="366">
        <v>467.46</v>
      </c>
      <c r="DE6" s="366">
        <v>1068.3900000000001</v>
      </c>
      <c r="DF6" s="366">
        <v>15.54</v>
      </c>
      <c r="DG6" s="366">
        <v>668.58</v>
      </c>
      <c r="DH6" s="366">
        <v>1130.95</v>
      </c>
      <c r="DI6" s="366">
        <v>385.2</v>
      </c>
      <c r="DJ6" s="366">
        <v>334.12</v>
      </c>
      <c r="DK6" s="366">
        <v>810.09</v>
      </c>
      <c r="DL6" s="366">
        <v>454.31</v>
      </c>
      <c r="DM6" s="366">
        <v>917.97</v>
      </c>
      <c r="DN6" s="366">
        <v>372.23</v>
      </c>
      <c r="DO6" s="366">
        <v>836.66</v>
      </c>
      <c r="DP6" s="366">
        <v>504.46</v>
      </c>
      <c r="DQ6" s="366">
        <v>899.91</v>
      </c>
      <c r="DR6" s="366">
        <v>1130.95</v>
      </c>
      <c r="DS6" s="366">
        <v>706.15</v>
      </c>
      <c r="DT6" s="366">
        <v>694.44</v>
      </c>
      <c r="DU6" s="366">
        <v>1021.1</v>
      </c>
      <c r="DV6" s="366">
        <v>978</v>
      </c>
      <c r="DW6" s="366">
        <v>781.95</v>
      </c>
      <c r="DX6" s="366">
        <v>874.89</v>
      </c>
      <c r="DY6" s="366">
        <v>948.28</v>
      </c>
      <c r="DZ6" s="366">
        <v>456.48</v>
      </c>
      <c r="EA6" s="366">
        <v>688.92</v>
      </c>
      <c r="EB6" s="366">
        <v>942.28</v>
      </c>
      <c r="EC6" s="366">
        <v>708.86</v>
      </c>
      <c r="ED6" s="366">
        <v>355.43</v>
      </c>
      <c r="EE6" s="366">
        <v>345.55</v>
      </c>
      <c r="EF6" s="366">
        <v>524.28</v>
      </c>
      <c r="EG6" s="366">
        <v>629.44000000000005</v>
      </c>
      <c r="EH6" s="366">
        <v>629.44000000000005</v>
      </c>
      <c r="EI6" s="366">
        <v>603.82000000000005</v>
      </c>
      <c r="EJ6" s="366">
        <v>1119.01</v>
      </c>
      <c r="EK6" s="366">
        <v>750.91</v>
      </c>
      <c r="EL6" s="366">
        <v>750.91</v>
      </c>
      <c r="EM6" s="366">
        <v>845.02</v>
      </c>
      <c r="EN6" s="366">
        <v>845.02</v>
      </c>
      <c r="EO6" s="366">
        <v>470.93</v>
      </c>
      <c r="EP6" s="366">
        <v>521.82000000000005</v>
      </c>
      <c r="EQ6" s="366">
        <v>637.64</v>
      </c>
      <c r="ER6" s="366">
        <v>188.97</v>
      </c>
      <c r="ES6" s="366">
        <v>930.29</v>
      </c>
      <c r="ET6" s="366">
        <v>576.11</v>
      </c>
      <c r="EU6" s="366">
        <v>63.9</v>
      </c>
      <c r="EV6" s="366">
        <v>555.61</v>
      </c>
      <c r="EW6" s="366">
        <v>603.20000000000005</v>
      </c>
      <c r="EX6" s="366">
        <v>907.03</v>
      </c>
      <c r="EY6" s="366">
        <v>907.03</v>
      </c>
      <c r="EZ6" s="366">
        <v>889.56</v>
      </c>
      <c r="FA6" s="366">
        <v>842.19</v>
      </c>
      <c r="FB6" s="366">
        <v>794.39</v>
      </c>
      <c r="FC6" s="366">
        <v>895.03</v>
      </c>
      <c r="FD6" s="366">
        <v>750.22</v>
      </c>
      <c r="FE6" s="366">
        <v>607.65</v>
      </c>
      <c r="FF6" s="366">
        <v>685.77</v>
      </c>
      <c r="FG6" s="366">
        <v>352.96</v>
      </c>
      <c r="FH6" s="366">
        <v>352.96</v>
      </c>
      <c r="FI6" s="366">
        <v>566.48</v>
      </c>
      <c r="FJ6" s="366">
        <v>572.27</v>
      </c>
      <c r="FK6" s="366">
        <v>958.03</v>
      </c>
      <c r="FL6" s="366">
        <v>956.22</v>
      </c>
      <c r="FM6" s="366">
        <v>470.93</v>
      </c>
      <c r="FN6" s="366">
        <v>586.36</v>
      </c>
      <c r="FO6" s="366">
        <v>697.29</v>
      </c>
      <c r="FP6" s="366">
        <v>927.38</v>
      </c>
      <c r="FQ6" s="366">
        <v>701.16</v>
      </c>
      <c r="FR6" s="366">
        <v>769.55</v>
      </c>
      <c r="FS6" s="366">
        <v>686.48</v>
      </c>
      <c r="FT6" s="366">
        <v>342.17</v>
      </c>
      <c r="FU6" s="366">
        <v>710.62</v>
      </c>
      <c r="FV6" s="366">
        <v>0</v>
      </c>
      <c r="FW6" s="366">
        <v>0</v>
      </c>
      <c r="FX6" s="366">
        <v>0</v>
      </c>
      <c r="FY6" s="366">
        <v>791.33</v>
      </c>
      <c r="FZ6" s="366">
        <v>630.52</v>
      </c>
      <c r="GA6" s="366">
        <v>918.48</v>
      </c>
      <c r="GB6" s="366">
        <v>724.95</v>
      </c>
      <c r="GC6" s="366">
        <v>355.43</v>
      </c>
      <c r="GD6" s="366">
        <v>829.77</v>
      </c>
      <c r="GE6" s="366">
        <v>647.03</v>
      </c>
      <c r="GF6" s="366">
        <v>724.15</v>
      </c>
      <c r="GG6" s="366">
        <v>724.15</v>
      </c>
      <c r="GH6" s="366">
        <v>966.93</v>
      </c>
      <c r="GI6" s="366">
        <v>471.09</v>
      </c>
      <c r="GJ6" s="366">
        <v>470.93</v>
      </c>
      <c r="GK6" s="366">
        <v>954.58</v>
      </c>
      <c r="GL6" s="366">
        <v>617.49</v>
      </c>
      <c r="GM6" s="366">
        <v>617.49</v>
      </c>
      <c r="GN6" s="366">
        <v>617.49</v>
      </c>
      <c r="GO6" s="366">
        <v>478.82</v>
      </c>
      <c r="GP6" s="366">
        <v>923.89</v>
      </c>
      <c r="GQ6" s="366">
        <v>1000.29</v>
      </c>
      <c r="GR6" s="366">
        <v>465.17</v>
      </c>
      <c r="GS6" s="366">
        <v>541.65</v>
      </c>
      <c r="GT6" s="366">
        <v>629.44000000000005</v>
      </c>
      <c r="GU6" s="366">
        <v>784.18</v>
      </c>
      <c r="GV6" s="366">
        <v>1126.2</v>
      </c>
      <c r="GW6" s="366">
        <v>641.95000000000005</v>
      </c>
      <c r="GX6" s="366">
        <v>626.01</v>
      </c>
      <c r="GY6" s="366">
        <v>618.46</v>
      </c>
      <c r="GZ6" s="366">
        <v>749.94</v>
      </c>
      <c r="HA6" s="366">
        <v>702.7</v>
      </c>
      <c r="HB6" s="366">
        <v>702.7</v>
      </c>
      <c r="HC6" s="366">
        <v>702.7</v>
      </c>
      <c r="HD6" s="366">
        <v>420.19</v>
      </c>
      <c r="HE6" s="366">
        <v>838.87</v>
      </c>
      <c r="HF6" s="366">
        <v>795.16</v>
      </c>
      <c r="HG6" s="366">
        <v>922.81</v>
      </c>
      <c r="HH6" s="366">
        <v>922.81</v>
      </c>
      <c r="HI6" s="366">
        <v>922.81</v>
      </c>
      <c r="HJ6" s="366">
        <v>703.28</v>
      </c>
      <c r="HK6" s="366">
        <v>556.05999999999995</v>
      </c>
      <c r="HL6" s="366">
        <v>858.41</v>
      </c>
      <c r="HM6" s="366">
        <v>468.21</v>
      </c>
      <c r="HN6" s="366">
        <v>470.93</v>
      </c>
      <c r="HO6" s="366">
        <v>97.1</v>
      </c>
      <c r="HP6" s="366">
        <v>750.66</v>
      </c>
      <c r="HQ6" s="366">
        <v>0</v>
      </c>
      <c r="HR6" s="366">
        <v>249.75</v>
      </c>
      <c r="HS6" s="366">
        <v>467.18</v>
      </c>
      <c r="HT6" s="366">
        <v>570.88</v>
      </c>
      <c r="HU6" s="366">
        <v>597.55999999999995</v>
      </c>
      <c r="HV6" s="366">
        <v>622.03</v>
      </c>
    </row>
    <row r="7" spans="1:230">
      <c r="A7" s="366" t="s">
        <v>30</v>
      </c>
      <c r="B7" s="366">
        <v>211.25</v>
      </c>
      <c r="C7" s="366">
        <v>666.9</v>
      </c>
      <c r="D7" s="366">
        <v>470.81</v>
      </c>
      <c r="E7" s="366">
        <v>470.81</v>
      </c>
      <c r="F7" s="366">
        <v>275.14999999999998</v>
      </c>
      <c r="G7" s="366">
        <v>0</v>
      </c>
      <c r="H7" s="366">
        <v>427.19</v>
      </c>
      <c r="I7" s="366">
        <v>380.95</v>
      </c>
      <c r="J7" s="366">
        <v>403.41</v>
      </c>
      <c r="K7" s="366">
        <v>403.41</v>
      </c>
      <c r="L7" s="366">
        <v>488.72</v>
      </c>
      <c r="M7" s="366">
        <v>692.32</v>
      </c>
      <c r="N7" s="366">
        <v>789.22</v>
      </c>
      <c r="O7" s="366">
        <v>632.6</v>
      </c>
      <c r="P7" s="366">
        <v>632.6</v>
      </c>
      <c r="Q7" s="366">
        <v>632.6</v>
      </c>
      <c r="R7" s="366">
        <v>632.6</v>
      </c>
      <c r="S7" s="366">
        <v>632.6</v>
      </c>
      <c r="T7" s="366">
        <v>306.45</v>
      </c>
      <c r="U7" s="366">
        <v>119.7</v>
      </c>
      <c r="V7" s="366">
        <v>721.99</v>
      </c>
      <c r="W7" s="366">
        <v>292.12</v>
      </c>
      <c r="X7" s="366">
        <v>292.12</v>
      </c>
      <c r="Y7" s="366">
        <v>292.12</v>
      </c>
      <c r="Z7" s="366">
        <v>759.73</v>
      </c>
      <c r="AA7" s="366">
        <v>5.83</v>
      </c>
      <c r="AB7" s="366">
        <v>275.77999999999997</v>
      </c>
      <c r="AC7" s="366">
        <v>244.25</v>
      </c>
      <c r="AD7" s="366">
        <v>244.25</v>
      </c>
      <c r="AE7" s="366">
        <v>521.71</v>
      </c>
      <c r="AF7" s="366">
        <v>25.4</v>
      </c>
      <c r="AG7" s="366">
        <v>323.64</v>
      </c>
      <c r="AH7" s="366">
        <v>427</v>
      </c>
      <c r="AI7" s="366">
        <v>427</v>
      </c>
      <c r="AJ7" s="366">
        <v>427</v>
      </c>
      <c r="AK7" s="366">
        <v>781.93</v>
      </c>
      <c r="AL7" s="366">
        <v>781.93</v>
      </c>
      <c r="AM7" s="366">
        <v>278.5</v>
      </c>
      <c r="AN7" s="366">
        <v>591.77</v>
      </c>
      <c r="AO7" s="366">
        <v>16.61</v>
      </c>
      <c r="AP7" s="366">
        <v>325.57</v>
      </c>
      <c r="AQ7" s="366">
        <v>231.69</v>
      </c>
      <c r="AR7" s="366">
        <v>443.15</v>
      </c>
      <c r="AS7" s="366">
        <v>564.16999999999996</v>
      </c>
      <c r="AT7" s="366">
        <v>564.16999999999996</v>
      </c>
      <c r="AU7" s="366">
        <v>636.85</v>
      </c>
      <c r="AV7" s="366">
        <v>150.75</v>
      </c>
      <c r="AW7" s="366">
        <v>365.95</v>
      </c>
      <c r="AX7" s="366">
        <v>368.61</v>
      </c>
      <c r="AY7" s="366">
        <v>824.93</v>
      </c>
      <c r="AZ7" s="366">
        <v>635.52</v>
      </c>
      <c r="BA7" s="366">
        <v>193.22</v>
      </c>
      <c r="BB7" s="366">
        <v>827.82</v>
      </c>
      <c r="BC7" s="366">
        <v>112.32</v>
      </c>
      <c r="BD7" s="366">
        <v>202.55</v>
      </c>
      <c r="BE7" s="366">
        <v>726.05</v>
      </c>
      <c r="BF7" s="366">
        <v>272.75</v>
      </c>
      <c r="BG7" s="366">
        <v>767.28</v>
      </c>
      <c r="BH7" s="366">
        <v>632.6</v>
      </c>
      <c r="BI7" s="366">
        <v>443.18</v>
      </c>
      <c r="BJ7" s="366">
        <v>705.4</v>
      </c>
      <c r="BK7" s="366">
        <v>703.3</v>
      </c>
      <c r="BL7" s="366">
        <v>477.81</v>
      </c>
      <c r="BM7" s="366">
        <v>454.6</v>
      </c>
      <c r="BN7" s="366">
        <v>46.02</v>
      </c>
      <c r="BO7" s="366">
        <v>745.5</v>
      </c>
      <c r="BP7" s="366">
        <v>711.36</v>
      </c>
      <c r="BQ7" s="366">
        <v>401.65</v>
      </c>
      <c r="BR7" s="366">
        <v>401.65</v>
      </c>
      <c r="BS7" s="366">
        <v>643.09</v>
      </c>
      <c r="BT7" s="366">
        <v>435.1</v>
      </c>
      <c r="BU7" s="366">
        <v>266.20999999999998</v>
      </c>
      <c r="BV7" s="366">
        <v>275.89999999999998</v>
      </c>
      <c r="BW7" s="366">
        <v>696.14</v>
      </c>
      <c r="BX7" s="366">
        <v>584.17999999999995</v>
      </c>
      <c r="BY7" s="366">
        <v>749.47</v>
      </c>
      <c r="BZ7" s="366">
        <v>749.47</v>
      </c>
      <c r="CA7" s="366">
        <v>327.14999999999998</v>
      </c>
      <c r="CB7" s="366">
        <v>602.61</v>
      </c>
      <c r="CC7" s="366">
        <v>397.44</v>
      </c>
      <c r="CD7" s="366">
        <v>410.92</v>
      </c>
      <c r="CE7" s="366">
        <v>686.53</v>
      </c>
      <c r="CF7" s="366">
        <v>24.13</v>
      </c>
      <c r="CG7" s="366">
        <v>24.13</v>
      </c>
      <c r="CH7" s="366">
        <v>386.65</v>
      </c>
      <c r="CI7" s="366">
        <v>505.8</v>
      </c>
      <c r="CJ7" s="366">
        <v>35.08</v>
      </c>
      <c r="CK7" s="366">
        <v>754.56</v>
      </c>
      <c r="CL7" s="366">
        <v>650.64</v>
      </c>
      <c r="CM7" s="366">
        <v>166.04</v>
      </c>
      <c r="CN7" s="366">
        <v>654.77</v>
      </c>
      <c r="CO7" s="366">
        <v>441.76</v>
      </c>
      <c r="CP7" s="366">
        <v>408.34</v>
      </c>
      <c r="CQ7" s="366">
        <v>408.34</v>
      </c>
      <c r="CR7" s="366">
        <v>393.08</v>
      </c>
      <c r="CS7" s="366">
        <v>393.08</v>
      </c>
      <c r="CT7" s="366">
        <v>383.64</v>
      </c>
      <c r="CU7" s="366">
        <v>391.51</v>
      </c>
      <c r="CV7" s="366">
        <v>385.46</v>
      </c>
      <c r="CW7" s="366">
        <v>721.99</v>
      </c>
      <c r="CX7" s="366">
        <v>385.15</v>
      </c>
      <c r="CY7" s="366">
        <v>127.98</v>
      </c>
      <c r="CZ7" s="366">
        <v>98.38</v>
      </c>
      <c r="DA7" s="366">
        <v>727.27</v>
      </c>
      <c r="DB7" s="366">
        <v>701.38</v>
      </c>
      <c r="DC7" s="366">
        <v>701.38</v>
      </c>
      <c r="DD7" s="366">
        <v>203.97</v>
      </c>
      <c r="DE7" s="366">
        <v>804.9</v>
      </c>
      <c r="DF7" s="366">
        <v>259.61</v>
      </c>
      <c r="DG7" s="366">
        <v>476.15</v>
      </c>
      <c r="DH7" s="366">
        <v>867.46</v>
      </c>
      <c r="DI7" s="366">
        <v>121.71</v>
      </c>
      <c r="DJ7" s="366">
        <v>82.18</v>
      </c>
      <c r="DK7" s="366">
        <v>546.6</v>
      </c>
      <c r="DL7" s="366">
        <v>261.88</v>
      </c>
      <c r="DM7" s="366">
        <v>654.48</v>
      </c>
      <c r="DN7" s="366">
        <v>108.74</v>
      </c>
      <c r="DO7" s="366">
        <v>573.16999999999996</v>
      </c>
      <c r="DP7" s="366">
        <v>240.97</v>
      </c>
      <c r="DQ7" s="366">
        <v>707.48</v>
      </c>
      <c r="DR7" s="366">
        <v>867.46</v>
      </c>
      <c r="DS7" s="366">
        <v>442.66</v>
      </c>
      <c r="DT7" s="366">
        <v>430.95</v>
      </c>
      <c r="DU7" s="366">
        <v>757.61</v>
      </c>
      <c r="DV7" s="366">
        <v>785.57</v>
      </c>
      <c r="DW7" s="366">
        <v>547.75</v>
      </c>
      <c r="DX7" s="366">
        <v>682.46</v>
      </c>
      <c r="DY7" s="366">
        <v>755.85</v>
      </c>
      <c r="DZ7" s="366">
        <v>192.99</v>
      </c>
      <c r="EA7" s="366">
        <v>425.43</v>
      </c>
      <c r="EB7" s="366">
        <v>749.85</v>
      </c>
      <c r="EC7" s="366">
        <v>445.37</v>
      </c>
      <c r="ED7" s="366">
        <v>91.94</v>
      </c>
      <c r="EE7" s="366">
        <v>82.06</v>
      </c>
      <c r="EF7" s="366">
        <v>331.85</v>
      </c>
      <c r="EG7" s="366">
        <v>365.95</v>
      </c>
      <c r="EH7" s="366">
        <v>365.95</v>
      </c>
      <c r="EI7" s="366">
        <v>411.39</v>
      </c>
      <c r="EJ7" s="366">
        <v>855.52</v>
      </c>
      <c r="EK7" s="366">
        <v>558.48</v>
      </c>
      <c r="EL7" s="366">
        <v>558.48</v>
      </c>
      <c r="EM7" s="366">
        <v>652.59</v>
      </c>
      <c r="EN7" s="366">
        <v>652.59</v>
      </c>
      <c r="EO7" s="366">
        <v>278.5</v>
      </c>
      <c r="EP7" s="366">
        <v>329.39</v>
      </c>
      <c r="EQ7" s="366">
        <v>374.15</v>
      </c>
      <c r="ER7" s="366">
        <v>89.74</v>
      </c>
      <c r="ES7" s="366">
        <v>666.8</v>
      </c>
      <c r="ET7" s="366">
        <v>383.68</v>
      </c>
      <c r="EU7" s="366">
        <v>211.25</v>
      </c>
      <c r="EV7" s="366">
        <v>292.12</v>
      </c>
      <c r="EW7" s="366">
        <v>410.77</v>
      </c>
      <c r="EX7" s="366">
        <v>643.54</v>
      </c>
      <c r="EY7" s="366">
        <v>643.54</v>
      </c>
      <c r="EZ7" s="366">
        <v>697.13</v>
      </c>
      <c r="FA7" s="366">
        <v>649.76</v>
      </c>
      <c r="FB7" s="366">
        <v>530.9</v>
      </c>
      <c r="FC7" s="366">
        <v>702.6</v>
      </c>
      <c r="FD7" s="366">
        <v>557.79</v>
      </c>
      <c r="FE7" s="366">
        <v>415.22</v>
      </c>
      <c r="FF7" s="366">
        <v>493.34</v>
      </c>
      <c r="FG7" s="366">
        <v>184.26</v>
      </c>
      <c r="FH7" s="366">
        <v>184.26</v>
      </c>
      <c r="FI7" s="366">
        <v>302.99</v>
      </c>
      <c r="FJ7" s="366">
        <v>308.77999999999997</v>
      </c>
      <c r="FK7" s="366">
        <v>694.54</v>
      </c>
      <c r="FL7" s="366">
        <v>692.73</v>
      </c>
      <c r="FM7" s="366">
        <v>278.5</v>
      </c>
      <c r="FN7" s="366">
        <v>322.87</v>
      </c>
      <c r="FO7" s="366">
        <v>433.8</v>
      </c>
      <c r="FP7" s="366">
        <v>734.95</v>
      </c>
      <c r="FQ7" s="366">
        <v>437.67</v>
      </c>
      <c r="FR7" s="366">
        <v>506.06</v>
      </c>
      <c r="FS7" s="366">
        <v>494.05</v>
      </c>
      <c r="FT7" s="366">
        <v>67.02</v>
      </c>
      <c r="FU7" s="366">
        <v>518.19000000000005</v>
      </c>
      <c r="FV7" s="366">
        <v>275.14999999999998</v>
      </c>
      <c r="FW7" s="366">
        <v>275.14999999999998</v>
      </c>
      <c r="FX7" s="366">
        <v>275.14999999999998</v>
      </c>
      <c r="FY7" s="366">
        <v>598.9</v>
      </c>
      <c r="FZ7" s="366">
        <v>438.09</v>
      </c>
      <c r="GA7" s="366">
        <v>726.05</v>
      </c>
      <c r="GB7" s="366">
        <v>532.52</v>
      </c>
      <c r="GC7" s="366">
        <v>91.94</v>
      </c>
      <c r="GD7" s="366">
        <v>566.28</v>
      </c>
      <c r="GE7" s="366">
        <v>383.54</v>
      </c>
      <c r="GF7" s="366">
        <v>531.72</v>
      </c>
      <c r="GG7" s="366">
        <v>531.72</v>
      </c>
      <c r="GH7" s="366">
        <v>774.5</v>
      </c>
      <c r="GI7" s="366">
        <v>278.66000000000003</v>
      </c>
      <c r="GJ7" s="366">
        <v>278.5</v>
      </c>
      <c r="GK7" s="366">
        <v>691.09</v>
      </c>
      <c r="GL7" s="366">
        <v>425.06</v>
      </c>
      <c r="GM7" s="366">
        <v>425.06</v>
      </c>
      <c r="GN7" s="366">
        <v>425.06</v>
      </c>
      <c r="GO7" s="366">
        <v>286.39</v>
      </c>
      <c r="GP7" s="366">
        <v>731.46</v>
      </c>
      <c r="GQ7" s="366">
        <v>736.8</v>
      </c>
      <c r="GR7" s="366">
        <v>215.76</v>
      </c>
      <c r="GS7" s="366">
        <v>349.22</v>
      </c>
      <c r="GT7" s="366">
        <v>365.95</v>
      </c>
      <c r="GU7" s="366">
        <v>539.88</v>
      </c>
      <c r="GV7" s="366">
        <v>862.71</v>
      </c>
      <c r="GW7" s="366">
        <v>449.52</v>
      </c>
      <c r="GX7" s="366">
        <v>362.52</v>
      </c>
      <c r="GY7" s="366">
        <v>426.03</v>
      </c>
      <c r="GZ7" s="366">
        <v>557.51</v>
      </c>
      <c r="HA7" s="366">
        <v>439.21</v>
      </c>
      <c r="HB7" s="366">
        <v>439.21</v>
      </c>
      <c r="HC7" s="366">
        <v>439.21</v>
      </c>
      <c r="HD7" s="366">
        <v>156.69999999999999</v>
      </c>
      <c r="HE7" s="366">
        <v>646.44000000000005</v>
      </c>
      <c r="HF7" s="366">
        <v>602.73</v>
      </c>
      <c r="HG7" s="366">
        <v>730.38</v>
      </c>
      <c r="HH7" s="366">
        <v>730.38</v>
      </c>
      <c r="HI7" s="366">
        <v>730.38</v>
      </c>
      <c r="HJ7" s="366">
        <v>510.85</v>
      </c>
      <c r="HK7" s="366">
        <v>292.57</v>
      </c>
      <c r="HL7" s="366">
        <v>665.98</v>
      </c>
      <c r="HM7" s="366">
        <v>275.77999999999997</v>
      </c>
      <c r="HN7" s="366">
        <v>278.5</v>
      </c>
      <c r="HO7" s="366">
        <v>179.41</v>
      </c>
      <c r="HP7" s="366">
        <v>558.23</v>
      </c>
      <c r="HQ7" s="366">
        <v>275.14999999999998</v>
      </c>
      <c r="HR7" s="366">
        <v>25.4</v>
      </c>
      <c r="HS7" s="366">
        <v>274.75</v>
      </c>
      <c r="HT7" s="366">
        <v>378.45</v>
      </c>
      <c r="HU7" s="366">
        <v>405.13</v>
      </c>
      <c r="HV7" s="366">
        <v>429.6</v>
      </c>
    </row>
    <row r="8" spans="1:230">
      <c r="A8" s="366" t="s">
        <v>31</v>
      </c>
      <c r="B8" s="366">
        <v>626.78</v>
      </c>
      <c r="C8" s="366">
        <v>239.71</v>
      </c>
      <c r="D8" s="366">
        <v>43.62</v>
      </c>
      <c r="E8" s="366">
        <v>43.62</v>
      </c>
      <c r="F8" s="366">
        <v>690.68</v>
      </c>
      <c r="G8" s="366">
        <v>427.19</v>
      </c>
      <c r="H8" s="366">
        <v>0</v>
      </c>
      <c r="I8" s="366">
        <v>320.61</v>
      </c>
      <c r="J8" s="366">
        <v>23.78</v>
      </c>
      <c r="K8" s="366">
        <v>23.78</v>
      </c>
      <c r="L8" s="366">
        <v>61.53</v>
      </c>
      <c r="M8" s="366">
        <v>265.13</v>
      </c>
      <c r="N8" s="366">
        <v>362.03</v>
      </c>
      <c r="O8" s="366">
        <v>285.44</v>
      </c>
      <c r="P8" s="366">
        <v>285.44</v>
      </c>
      <c r="Q8" s="366">
        <v>285.44</v>
      </c>
      <c r="R8" s="366">
        <v>285.44</v>
      </c>
      <c r="S8" s="366">
        <v>285.44</v>
      </c>
      <c r="T8" s="366">
        <v>333.97</v>
      </c>
      <c r="U8" s="366">
        <v>535.23</v>
      </c>
      <c r="V8" s="366">
        <v>340.37</v>
      </c>
      <c r="W8" s="366">
        <v>237.37</v>
      </c>
      <c r="X8" s="366">
        <v>237.37</v>
      </c>
      <c r="Y8" s="366">
        <v>237.37</v>
      </c>
      <c r="Z8" s="366">
        <v>378.11</v>
      </c>
      <c r="AA8" s="366">
        <v>421.36</v>
      </c>
      <c r="AB8" s="366">
        <v>361.46</v>
      </c>
      <c r="AC8" s="366">
        <v>353.59</v>
      </c>
      <c r="AD8" s="366">
        <v>353.59</v>
      </c>
      <c r="AE8" s="366">
        <v>94.52</v>
      </c>
      <c r="AF8" s="366">
        <v>440.93</v>
      </c>
      <c r="AG8" s="366">
        <v>238.89</v>
      </c>
      <c r="AH8" s="366">
        <v>274.56</v>
      </c>
      <c r="AI8" s="366">
        <v>274.56</v>
      </c>
      <c r="AJ8" s="366">
        <v>274.56</v>
      </c>
      <c r="AK8" s="366">
        <v>400.31</v>
      </c>
      <c r="AL8" s="366">
        <v>400.31</v>
      </c>
      <c r="AM8" s="366">
        <v>364.18</v>
      </c>
      <c r="AN8" s="366">
        <v>244.61</v>
      </c>
      <c r="AO8" s="366">
        <v>443.8</v>
      </c>
      <c r="AP8" s="366">
        <v>272.27</v>
      </c>
      <c r="AQ8" s="366">
        <v>647.22</v>
      </c>
      <c r="AR8" s="366">
        <v>86.55</v>
      </c>
      <c r="AS8" s="366">
        <v>136.97999999999999</v>
      </c>
      <c r="AT8" s="366">
        <v>136.97999999999999</v>
      </c>
      <c r="AU8" s="366">
        <v>255.23</v>
      </c>
      <c r="AV8" s="366">
        <v>566.28</v>
      </c>
      <c r="AW8" s="366">
        <v>68.099999999999994</v>
      </c>
      <c r="AX8" s="366">
        <v>341.21</v>
      </c>
      <c r="AY8" s="366">
        <v>397.74</v>
      </c>
      <c r="AZ8" s="366">
        <v>208.33</v>
      </c>
      <c r="BA8" s="366">
        <v>567.19000000000005</v>
      </c>
      <c r="BB8" s="366">
        <v>400.63</v>
      </c>
      <c r="BC8" s="366">
        <v>509.25</v>
      </c>
      <c r="BD8" s="366">
        <v>419.02</v>
      </c>
      <c r="BE8" s="366">
        <v>344.43</v>
      </c>
      <c r="BF8" s="366">
        <v>358.43</v>
      </c>
      <c r="BG8" s="366">
        <v>385.66</v>
      </c>
      <c r="BH8" s="366">
        <v>285.44</v>
      </c>
      <c r="BI8" s="366">
        <v>86.58</v>
      </c>
      <c r="BJ8" s="366">
        <v>323.77999999999997</v>
      </c>
      <c r="BK8" s="366">
        <v>276.11</v>
      </c>
      <c r="BL8" s="366">
        <v>50.62</v>
      </c>
      <c r="BM8" s="366">
        <v>27.41</v>
      </c>
      <c r="BN8" s="366">
        <v>461.55</v>
      </c>
      <c r="BO8" s="366">
        <v>318.31</v>
      </c>
      <c r="BP8" s="366">
        <v>284.17</v>
      </c>
      <c r="BQ8" s="366">
        <v>299.91000000000003</v>
      </c>
      <c r="BR8" s="366">
        <v>299.91000000000003</v>
      </c>
      <c r="BS8" s="366">
        <v>215.9</v>
      </c>
      <c r="BT8" s="366">
        <v>71.010000000000005</v>
      </c>
      <c r="BU8" s="366">
        <v>341.96</v>
      </c>
      <c r="BV8" s="366">
        <v>361.58</v>
      </c>
      <c r="BW8" s="366">
        <v>314.52</v>
      </c>
      <c r="BX8" s="366">
        <v>156.99</v>
      </c>
      <c r="BY8" s="366">
        <v>367.85</v>
      </c>
      <c r="BZ8" s="366">
        <v>367.85</v>
      </c>
      <c r="CA8" s="366">
        <v>100.04</v>
      </c>
      <c r="CB8" s="366">
        <v>175.42</v>
      </c>
      <c r="CC8" s="366">
        <v>312.38</v>
      </c>
      <c r="CD8" s="366">
        <v>314.77999999999997</v>
      </c>
      <c r="CE8" s="366">
        <v>259.33999999999997</v>
      </c>
      <c r="CF8" s="366">
        <v>439.66</v>
      </c>
      <c r="CG8" s="366">
        <v>439.66</v>
      </c>
      <c r="CH8" s="366">
        <v>314.91000000000003</v>
      </c>
      <c r="CI8" s="366">
        <v>228.4</v>
      </c>
      <c r="CJ8" s="366">
        <v>450.61</v>
      </c>
      <c r="CK8" s="366">
        <v>372.94</v>
      </c>
      <c r="CL8" s="366">
        <v>269.02</v>
      </c>
      <c r="CM8" s="366">
        <v>455.53</v>
      </c>
      <c r="CN8" s="366">
        <v>273.14999999999998</v>
      </c>
      <c r="CO8" s="366">
        <v>85.16</v>
      </c>
      <c r="CP8" s="366">
        <v>293.22000000000003</v>
      </c>
      <c r="CQ8" s="366">
        <v>293.22000000000003</v>
      </c>
      <c r="CR8" s="366">
        <v>37.56</v>
      </c>
      <c r="CS8" s="366">
        <v>37.56</v>
      </c>
      <c r="CT8" s="366">
        <v>47</v>
      </c>
      <c r="CU8" s="366">
        <v>39.130000000000003</v>
      </c>
      <c r="CV8" s="366">
        <v>41.73</v>
      </c>
      <c r="CW8" s="366">
        <v>340.37</v>
      </c>
      <c r="CX8" s="366">
        <v>331.45</v>
      </c>
      <c r="CY8" s="366">
        <v>501.95</v>
      </c>
      <c r="CZ8" s="366">
        <v>523.19000000000005</v>
      </c>
      <c r="DA8" s="366">
        <v>300.08</v>
      </c>
      <c r="DB8" s="366">
        <v>319.76</v>
      </c>
      <c r="DC8" s="366">
        <v>319.76</v>
      </c>
      <c r="DD8" s="366">
        <v>224.53</v>
      </c>
      <c r="DE8" s="366">
        <v>377.71</v>
      </c>
      <c r="DF8" s="366">
        <v>675.14</v>
      </c>
      <c r="DG8" s="366">
        <v>258.05</v>
      </c>
      <c r="DH8" s="366">
        <v>440.27</v>
      </c>
      <c r="DI8" s="366">
        <v>305.48</v>
      </c>
      <c r="DJ8" s="366">
        <v>509.37</v>
      </c>
      <c r="DK8" s="366">
        <v>119.41</v>
      </c>
      <c r="DL8" s="366">
        <v>335.96</v>
      </c>
      <c r="DM8" s="366">
        <v>227.29</v>
      </c>
      <c r="DN8" s="366">
        <v>320.24</v>
      </c>
      <c r="DO8" s="366">
        <v>145.97999999999999</v>
      </c>
      <c r="DP8" s="366">
        <v>186.22</v>
      </c>
      <c r="DQ8" s="366">
        <v>325.86</v>
      </c>
      <c r="DR8" s="366">
        <v>440.27</v>
      </c>
      <c r="DS8" s="366">
        <v>63.03</v>
      </c>
      <c r="DT8" s="366">
        <v>51.32</v>
      </c>
      <c r="DU8" s="366">
        <v>330.42</v>
      </c>
      <c r="DV8" s="366">
        <v>397.13</v>
      </c>
      <c r="DW8" s="366">
        <v>120.56</v>
      </c>
      <c r="DX8" s="366">
        <v>300.83999999999997</v>
      </c>
      <c r="DY8" s="366">
        <v>374.23</v>
      </c>
      <c r="DZ8" s="366">
        <v>234.2</v>
      </c>
      <c r="EA8" s="366">
        <v>68.83</v>
      </c>
      <c r="EB8" s="366">
        <v>368.23</v>
      </c>
      <c r="EC8" s="366">
        <v>18.18</v>
      </c>
      <c r="ED8" s="366">
        <v>335.25</v>
      </c>
      <c r="EE8" s="366">
        <v>346.04</v>
      </c>
      <c r="EF8" s="366">
        <v>265.99</v>
      </c>
      <c r="EG8" s="366">
        <v>68.099999999999994</v>
      </c>
      <c r="EH8" s="366">
        <v>68.099999999999994</v>
      </c>
      <c r="EI8" s="366">
        <v>298.43</v>
      </c>
      <c r="EJ8" s="366">
        <v>428.33</v>
      </c>
      <c r="EK8" s="366">
        <v>176.86</v>
      </c>
      <c r="EL8" s="366">
        <v>176.86</v>
      </c>
      <c r="EM8" s="366">
        <v>270.97000000000003</v>
      </c>
      <c r="EN8" s="366">
        <v>270.97000000000003</v>
      </c>
      <c r="EO8" s="366">
        <v>364.18</v>
      </c>
      <c r="EP8" s="366">
        <v>380.43</v>
      </c>
      <c r="EQ8" s="366">
        <v>56.49</v>
      </c>
      <c r="ER8" s="366">
        <v>505.27</v>
      </c>
      <c r="ES8" s="366">
        <v>239.61</v>
      </c>
      <c r="ET8" s="366">
        <v>317.88</v>
      </c>
      <c r="EU8" s="366">
        <v>626.78</v>
      </c>
      <c r="EV8" s="366">
        <v>237.37</v>
      </c>
      <c r="EW8" s="366">
        <v>299.35000000000002</v>
      </c>
      <c r="EX8" s="366">
        <v>216.35</v>
      </c>
      <c r="EY8" s="366">
        <v>216.35</v>
      </c>
      <c r="EZ8" s="366">
        <v>322.77999999999997</v>
      </c>
      <c r="FA8" s="366">
        <v>268.14</v>
      </c>
      <c r="FB8" s="366">
        <v>103.71</v>
      </c>
      <c r="FC8" s="366">
        <v>320.98</v>
      </c>
      <c r="FD8" s="366">
        <v>210.63</v>
      </c>
      <c r="FE8" s="366">
        <v>302.26</v>
      </c>
      <c r="FF8" s="366">
        <v>277.44</v>
      </c>
      <c r="FG8" s="366">
        <v>558.23</v>
      </c>
      <c r="FH8" s="366">
        <v>558.23</v>
      </c>
      <c r="FI8" s="366">
        <v>218.24</v>
      </c>
      <c r="FJ8" s="366">
        <v>224.03</v>
      </c>
      <c r="FK8" s="366">
        <v>267.35000000000002</v>
      </c>
      <c r="FL8" s="366">
        <v>265.54000000000002</v>
      </c>
      <c r="FM8" s="366">
        <v>364.18</v>
      </c>
      <c r="FN8" s="366">
        <v>268.12</v>
      </c>
      <c r="FO8" s="366">
        <v>77.2</v>
      </c>
      <c r="FP8" s="366">
        <v>353.33</v>
      </c>
      <c r="FQ8" s="366">
        <v>81.069999999999993</v>
      </c>
      <c r="FR8" s="366">
        <v>78.87</v>
      </c>
      <c r="FS8" s="366">
        <v>207.51</v>
      </c>
      <c r="FT8" s="366">
        <v>494.21</v>
      </c>
      <c r="FU8" s="366">
        <v>216.01</v>
      </c>
      <c r="FV8" s="366">
        <v>690.68</v>
      </c>
      <c r="FW8" s="366">
        <v>690.68</v>
      </c>
      <c r="FX8" s="366">
        <v>690.68</v>
      </c>
      <c r="FY8" s="366">
        <v>217.28</v>
      </c>
      <c r="FZ8" s="366">
        <v>292.17</v>
      </c>
      <c r="GA8" s="366">
        <v>344.43</v>
      </c>
      <c r="GB8" s="366">
        <v>245.98</v>
      </c>
      <c r="GC8" s="366">
        <v>335.25</v>
      </c>
      <c r="GD8" s="366">
        <v>139.09</v>
      </c>
      <c r="GE8" s="366">
        <v>47.1</v>
      </c>
      <c r="GF8" s="366">
        <v>202.48</v>
      </c>
      <c r="GG8" s="366">
        <v>202.48</v>
      </c>
      <c r="GH8" s="366">
        <v>392.88</v>
      </c>
      <c r="GI8" s="366">
        <v>364.34</v>
      </c>
      <c r="GJ8" s="366">
        <v>364.18</v>
      </c>
      <c r="GK8" s="366">
        <v>263.89999999999998</v>
      </c>
      <c r="GL8" s="366">
        <v>284.76</v>
      </c>
      <c r="GM8" s="366">
        <v>284.76</v>
      </c>
      <c r="GN8" s="366">
        <v>284.76</v>
      </c>
      <c r="GO8" s="366">
        <v>311.45</v>
      </c>
      <c r="GP8" s="366">
        <v>349.84</v>
      </c>
      <c r="GQ8" s="366">
        <v>309.61</v>
      </c>
      <c r="GR8" s="366">
        <v>366.59</v>
      </c>
      <c r="GS8" s="366">
        <v>291.2</v>
      </c>
      <c r="GT8" s="366">
        <v>68.099999999999994</v>
      </c>
      <c r="GU8" s="366">
        <v>112.69</v>
      </c>
      <c r="GV8" s="366">
        <v>435.52</v>
      </c>
      <c r="GW8" s="366">
        <v>260.74</v>
      </c>
      <c r="GX8" s="366">
        <v>64.67</v>
      </c>
      <c r="GY8" s="366">
        <v>275.52999999999997</v>
      </c>
      <c r="GZ8" s="366">
        <v>210.35</v>
      </c>
      <c r="HA8" s="366">
        <v>82.61</v>
      </c>
      <c r="HB8" s="366">
        <v>82.61</v>
      </c>
      <c r="HC8" s="366">
        <v>82.61</v>
      </c>
      <c r="HD8" s="366">
        <v>270.49</v>
      </c>
      <c r="HE8" s="366">
        <v>264.82</v>
      </c>
      <c r="HF8" s="366">
        <v>221.11</v>
      </c>
      <c r="HG8" s="366">
        <v>348.76</v>
      </c>
      <c r="HH8" s="366">
        <v>348.76</v>
      </c>
      <c r="HI8" s="366">
        <v>348.76</v>
      </c>
      <c r="HJ8" s="366">
        <v>223.35</v>
      </c>
      <c r="HK8" s="366">
        <v>140.59</v>
      </c>
      <c r="HL8" s="366">
        <v>318.82</v>
      </c>
      <c r="HM8" s="366">
        <v>361.46</v>
      </c>
      <c r="HN8" s="366">
        <v>364.18</v>
      </c>
      <c r="HO8" s="366">
        <v>594.94000000000005</v>
      </c>
      <c r="HP8" s="366">
        <v>211.07</v>
      </c>
      <c r="HQ8" s="366">
        <v>690.68</v>
      </c>
      <c r="HR8" s="366">
        <v>440.93</v>
      </c>
      <c r="HS8" s="366">
        <v>360.43</v>
      </c>
      <c r="HT8" s="366">
        <v>312.58999999999997</v>
      </c>
      <c r="HU8" s="366">
        <v>303.39</v>
      </c>
      <c r="HV8" s="366">
        <v>321.70999999999998</v>
      </c>
    </row>
    <row r="9" spans="1:230">
      <c r="A9" s="366" t="s">
        <v>32</v>
      </c>
      <c r="B9" s="366">
        <v>509.48</v>
      </c>
      <c r="C9" s="366">
        <v>376.22</v>
      </c>
      <c r="D9" s="366">
        <v>276.99</v>
      </c>
      <c r="E9" s="366">
        <v>276.99</v>
      </c>
      <c r="F9" s="366">
        <v>573.38</v>
      </c>
      <c r="G9" s="366">
        <v>380.95</v>
      </c>
      <c r="H9" s="366">
        <v>320.61</v>
      </c>
      <c r="I9" s="366">
        <v>0</v>
      </c>
      <c r="J9" s="366">
        <v>299.14999999999998</v>
      </c>
      <c r="K9" s="366">
        <v>299.14999999999998</v>
      </c>
      <c r="L9" s="366">
        <v>267.60000000000002</v>
      </c>
      <c r="M9" s="366">
        <v>401.64</v>
      </c>
      <c r="N9" s="366">
        <v>498.54</v>
      </c>
      <c r="O9" s="366">
        <v>251.65</v>
      </c>
      <c r="P9" s="366">
        <v>251.65</v>
      </c>
      <c r="Q9" s="366">
        <v>251.65</v>
      </c>
      <c r="R9" s="366">
        <v>251.65</v>
      </c>
      <c r="S9" s="366">
        <v>251.65</v>
      </c>
      <c r="T9" s="366">
        <v>74.5</v>
      </c>
      <c r="U9" s="366">
        <v>488.99</v>
      </c>
      <c r="V9" s="366">
        <v>341.04</v>
      </c>
      <c r="W9" s="366">
        <v>217.86</v>
      </c>
      <c r="X9" s="366">
        <v>217.86</v>
      </c>
      <c r="Y9" s="366">
        <v>217.86</v>
      </c>
      <c r="Z9" s="366">
        <v>378.78</v>
      </c>
      <c r="AA9" s="366">
        <v>375.12</v>
      </c>
      <c r="AB9" s="366">
        <v>134.24</v>
      </c>
      <c r="AC9" s="366">
        <v>136.69999999999999</v>
      </c>
      <c r="AD9" s="366">
        <v>136.69999999999999</v>
      </c>
      <c r="AE9" s="366">
        <v>226.09</v>
      </c>
      <c r="AF9" s="366">
        <v>394.69</v>
      </c>
      <c r="AG9" s="366">
        <v>219.38</v>
      </c>
      <c r="AH9" s="366">
        <v>46.05</v>
      </c>
      <c r="AI9" s="366">
        <v>46.05</v>
      </c>
      <c r="AJ9" s="366">
        <v>46.05</v>
      </c>
      <c r="AK9" s="366">
        <v>400.98</v>
      </c>
      <c r="AL9" s="366">
        <v>400.98</v>
      </c>
      <c r="AM9" s="366">
        <v>136.96</v>
      </c>
      <c r="AN9" s="366">
        <v>210.82</v>
      </c>
      <c r="AO9" s="366">
        <v>388.07</v>
      </c>
      <c r="AP9" s="366">
        <v>63.22</v>
      </c>
      <c r="AQ9" s="366">
        <v>529.91999999999996</v>
      </c>
      <c r="AR9" s="366">
        <v>338.89</v>
      </c>
      <c r="AS9" s="366">
        <v>192.15</v>
      </c>
      <c r="AT9" s="366">
        <v>192.15</v>
      </c>
      <c r="AU9" s="366">
        <v>255.9</v>
      </c>
      <c r="AV9" s="366">
        <v>520.04</v>
      </c>
      <c r="AW9" s="366">
        <v>261.69</v>
      </c>
      <c r="AX9" s="366">
        <v>81.180000000000007</v>
      </c>
      <c r="AY9" s="366">
        <v>534.25</v>
      </c>
      <c r="AZ9" s="366">
        <v>344.84</v>
      </c>
      <c r="BA9" s="366">
        <v>350.3</v>
      </c>
      <c r="BB9" s="366">
        <v>537.14</v>
      </c>
      <c r="BC9" s="366">
        <v>292.36</v>
      </c>
      <c r="BD9" s="366">
        <v>202.13</v>
      </c>
      <c r="BE9" s="366">
        <v>345.1</v>
      </c>
      <c r="BF9" s="366">
        <v>131.21</v>
      </c>
      <c r="BG9" s="366">
        <v>386.33</v>
      </c>
      <c r="BH9" s="366">
        <v>251.65</v>
      </c>
      <c r="BI9" s="366">
        <v>338.92</v>
      </c>
      <c r="BJ9" s="366">
        <v>324.45</v>
      </c>
      <c r="BK9" s="366">
        <v>412.62</v>
      </c>
      <c r="BL9" s="366">
        <v>269.99</v>
      </c>
      <c r="BM9" s="366">
        <v>293.2</v>
      </c>
      <c r="BN9" s="366">
        <v>415.31</v>
      </c>
      <c r="BO9" s="366">
        <v>454.82</v>
      </c>
      <c r="BP9" s="366">
        <v>420.68</v>
      </c>
      <c r="BQ9" s="366">
        <v>20.7</v>
      </c>
      <c r="BR9" s="366">
        <v>20.7</v>
      </c>
      <c r="BS9" s="366">
        <v>352.41</v>
      </c>
      <c r="BT9" s="366">
        <v>330.84</v>
      </c>
      <c r="BU9" s="366">
        <v>114.74</v>
      </c>
      <c r="BV9" s="366">
        <v>134.36000000000001</v>
      </c>
      <c r="BW9" s="366">
        <v>315.19</v>
      </c>
      <c r="BX9" s="366">
        <v>293.5</v>
      </c>
      <c r="BY9" s="366">
        <v>368.52</v>
      </c>
      <c r="BZ9" s="366">
        <v>368.52</v>
      </c>
      <c r="CA9" s="366">
        <v>222.89</v>
      </c>
      <c r="CB9" s="366">
        <v>311.93</v>
      </c>
      <c r="CC9" s="366">
        <v>52.35</v>
      </c>
      <c r="CD9" s="366">
        <v>65.83</v>
      </c>
      <c r="CE9" s="366">
        <v>395.85</v>
      </c>
      <c r="CF9" s="366">
        <v>393.42</v>
      </c>
      <c r="CG9" s="366">
        <v>393.42</v>
      </c>
      <c r="CH9" s="366">
        <v>5.7</v>
      </c>
      <c r="CI9" s="366">
        <v>124.85</v>
      </c>
      <c r="CJ9" s="366">
        <v>404.37</v>
      </c>
      <c r="CK9" s="366">
        <v>373.61</v>
      </c>
      <c r="CL9" s="366">
        <v>269.69</v>
      </c>
      <c r="CM9" s="366">
        <v>238.64</v>
      </c>
      <c r="CN9" s="366">
        <v>273.82</v>
      </c>
      <c r="CO9" s="366">
        <v>337.5</v>
      </c>
      <c r="CP9" s="366">
        <v>27.39</v>
      </c>
      <c r="CQ9" s="366">
        <v>27.39</v>
      </c>
      <c r="CR9" s="366">
        <v>288.82</v>
      </c>
      <c r="CS9" s="366">
        <v>288.82</v>
      </c>
      <c r="CT9" s="366">
        <v>279.38</v>
      </c>
      <c r="CU9" s="366">
        <v>287.25</v>
      </c>
      <c r="CV9" s="366">
        <v>281.2</v>
      </c>
      <c r="CW9" s="366">
        <v>341.04</v>
      </c>
      <c r="CX9" s="366">
        <v>71.42</v>
      </c>
      <c r="CY9" s="366">
        <v>285.06</v>
      </c>
      <c r="CZ9" s="366">
        <v>306.3</v>
      </c>
      <c r="DA9" s="366">
        <v>436.59</v>
      </c>
      <c r="DB9" s="366">
        <v>320.43</v>
      </c>
      <c r="DC9" s="366">
        <v>320.43</v>
      </c>
      <c r="DD9" s="366">
        <v>205.02</v>
      </c>
      <c r="DE9" s="366">
        <v>514.22</v>
      </c>
      <c r="DF9" s="366">
        <v>557.84</v>
      </c>
      <c r="DG9" s="366">
        <v>95.2</v>
      </c>
      <c r="DH9" s="366">
        <v>576.78</v>
      </c>
      <c r="DI9" s="366">
        <v>259.24</v>
      </c>
      <c r="DJ9" s="366">
        <v>322.5</v>
      </c>
      <c r="DK9" s="366">
        <v>255.92</v>
      </c>
      <c r="DL9" s="366">
        <v>120.74</v>
      </c>
      <c r="DM9" s="366">
        <v>363.8</v>
      </c>
      <c r="DN9" s="366">
        <v>274</v>
      </c>
      <c r="DO9" s="366">
        <v>282.49</v>
      </c>
      <c r="DP9" s="366">
        <v>166.71</v>
      </c>
      <c r="DQ9" s="366">
        <v>326.52999999999997</v>
      </c>
      <c r="DR9" s="366">
        <v>576.78</v>
      </c>
      <c r="DS9" s="366">
        <v>338.4</v>
      </c>
      <c r="DT9" s="366">
        <v>326.69</v>
      </c>
      <c r="DU9" s="366">
        <v>466.93</v>
      </c>
      <c r="DV9" s="366">
        <v>404.62</v>
      </c>
      <c r="DW9" s="366">
        <v>208.57</v>
      </c>
      <c r="DX9" s="366">
        <v>301.51</v>
      </c>
      <c r="DY9" s="366">
        <v>374.9</v>
      </c>
      <c r="DZ9" s="366">
        <v>214.69</v>
      </c>
      <c r="EA9" s="366">
        <v>321.17</v>
      </c>
      <c r="EB9" s="366">
        <v>368.9</v>
      </c>
      <c r="EC9" s="366">
        <v>302.43</v>
      </c>
      <c r="ED9" s="366">
        <v>289.01</v>
      </c>
      <c r="EE9" s="366">
        <v>299.8</v>
      </c>
      <c r="EF9" s="366">
        <v>56.94</v>
      </c>
      <c r="EG9" s="366">
        <v>261.69</v>
      </c>
      <c r="EH9" s="366">
        <v>261.69</v>
      </c>
      <c r="EI9" s="366">
        <v>66.3</v>
      </c>
      <c r="EJ9" s="366">
        <v>564.84</v>
      </c>
      <c r="EK9" s="366">
        <v>177.53</v>
      </c>
      <c r="EL9" s="366">
        <v>177.53</v>
      </c>
      <c r="EM9" s="366">
        <v>271.64</v>
      </c>
      <c r="EN9" s="366">
        <v>271.64</v>
      </c>
      <c r="EO9" s="366">
        <v>136.96</v>
      </c>
      <c r="EP9" s="366">
        <v>120.4</v>
      </c>
      <c r="EQ9" s="366">
        <v>269.89</v>
      </c>
      <c r="ER9" s="366">
        <v>459.03</v>
      </c>
      <c r="ES9" s="366">
        <v>376.12</v>
      </c>
      <c r="ET9" s="366">
        <v>2.73</v>
      </c>
      <c r="EU9" s="366">
        <v>509.48</v>
      </c>
      <c r="EV9" s="366">
        <v>217.86</v>
      </c>
      <c r="EW9" s="366">
        <v>65.680000000000007</v>
      </c>
      <c r="EX9" s="366">
        <v>352.86</v>
      </c>
      <c r="EY9" s="366">
        <v>352.86</v>
      </c>
      <c r="EZ9" s="366">
        <v>316.18</v>
      </c>
      <c r="FA9" s="366">
        <v>268.81</v>
      </c>
      <c r="FB9" s="366">
        <v>240.22</v>
      </c>
      <c r="FC9" s="366">
        <v>321.64999999999998</v>
      </c>
      <c r="FD9" s="366">
        <v>176.84</v>
      </c>
      <c r="FE9" s="366">
        <v>70.13</v>
      </c>
      <c r="FF9" s="366">
        <v>112.39</v>
      </c>
      <c r="FG9" s="366">
        <v>341.34</v>
      </c>
      <c r="FH9" s="366">
        <v>341.34</v>
      </c>
      <c r="FI9" s="366">
        <v>198.73</v>
      </c>
      <c r="FJ9" s="366">
        <v>204.52</v>
      </c>
      <c r="FK9" s="366">
        <v>403.86</v>
      </c>
      <c r="FL9" s="366">
        <v>402.05</v>
      </c>
      <c r="FM9" s="366">
        <v>136.96</v>
      </c>
      <c r="FN9" s="366">
        <v>248.61</v>
      </c>
      <c r="FO9" s="366">
        <v>329.54</v>
      </c>
      <c r="FP9" s="366">
        <v>354</v>
      </c>
      <c r="FQ9" s="366">
        <v>333.41</v>
      </c>
      <c r="FR9" s="366">
        <v>284.94</v>
      </c>
      <c r="FS9" s="366">
        <v>113.1</v>
      </c>
      <c r="FT9" s="366">
        <v>337.66</v>
      </c>
      <c r="FU9" s="366">
        <v>137.24</v>
      </c>
      <c r="FV9" s="366">
        <v>573.38</v>
      </c>
      <c r="FW9" s="366">
        <v>573.38</v>
      </c>
      <c r="FX9" s="366">
        <v>573.38</v>
      </c>
      <c r="FY9" s="366">
        <v>217.95</v>
      </c>
      <c r="FZ9" s="366">
        <v>93</v>
      </c>
      <c r="GA9" s="366">
        <v>345.1</v>
      </c>
      <c r="GB9" s="366">
        <v>151.57</v>
      </c>
      <c r="GC9" s="366">
        <v>289.01</v>
      </c>
      <c r="GD9" s="366">
        <v>275.60000000000002</v>
      </c>
      <c r="GE9" s="366">
        <v>279.27999999999997</v>
      </c>
      <c r="GF9" s="366">
        <v>150.77000000000001</v>
      </c>
      <c r="GG9" s="366">
        <v>150.77000000000001</v>
      </c>
      <c r="GH9" s="366">
        <v>393.55</v>
      </c>
      <c r="GI9" s="366">
        <v>137.12</v>
      </c>
      <c r="GJ9" s="366">
        <v>136.96</v>
      </c>
      <c r="GK9" s="366">
        <v>400.41</v>
      </c>
      <c r="GL9" s="366">
        <v>79.97</v>
      </c>
      <c r="GM9" s="366">
        <v>79.97</v>
      </c>
      <c r="GN9" s="366">
        <v>79.97</v>
      </c>
      <c r="GO9" s="366">
        <v>102.4</v>
      </c>
      <c r="GP9" s="366">
        <v>350.51</v>
      </c>
      <c r="GQ9" s="366">
        <v>446.12</v>
      </c>
      <c r="GR9" s="366">
        <v>165.19</v>
      </c>
      <c r="GS9" s="366">
        <v>31.73</v>
      </c>
      <c r="GT9" s="366">
        <v>261.69</v>
      </c>
      <c r="GU9" s="366">
        <v>210.8</v>
      </c>
      <c r="GV9" s="366">
        <v>572.03</v>
      </c>
      <c r="GW9" s="366">
        <v>95.69</v>
      </c>
      <c r="GX9" s="366">
        <v>258.26</v>
      </c>
      <c r="GY9" s="366">
        <v>45.08</v>
      </c>
      <c r="GZ9" s="366">
        <v>176.56</v>
      </c>
      <c r="HA9" s="366">
        <v>334.95</v>
      </c>
      <c r="HB9" s="366">
        <v>334.95</v>
      </c>
      <c r="HC9" s="366">
        <v>334.95</v>
      </c>
      <c r="HD9" s="366">
        <v>250.98</v>
      </c>
      <c r="HE9" s="366">
        <v>265.49</v>
      </c>
      <c r="HF9" s="366">
        <v>221.78</v>
      </c>
      <c r="HG9" s="366">
        <v>349.43</v>
      </c>
      <c r="HH9" s="366">
        <v>349.43</v>
      </c>
      <c r="HI9" s="366">
        <v>349.43</v>
      </c>
      <c r="HJ9" s="366">
        <v>129.9</v>
      </c>
      <c r="HK9" s="366">
        <v>188.31</v>
      </c>
      <c r="HL9" s="366">
        <v>285.02999999999997</v>
      </c>
      <c r="HM9" s="366">
        <v>134.24</v>
      </c>
      <c r="HN9" s="366">
        <v>136.96</v>
      </c>
      <c r="HO9" s="366">
        <v>542.67999999999995</v>
      </c>
      <c r="HP9" s="366">
        <v>177.28</v>
      </c>
      <c r="HQ9" s="366">
        <v>573.38</v>
      </c>
      <c r="HR9" s="366">
        <v>394.69</v>
      </c>
      <c r="HS9" s="366">
        <v>133.21</v>
      </c>
      <c r="HT9" s="366">
        <v>15.53</v>
      </c>
      <c r="HU9" s="366">
        <v>24.18</v>
      </c>
      <c r="HV9" s="366">
        <v>84.51</v>
      </c>
    </row>
    <row r="10" spans="1:230">
      <c r="A10" s="366" t="s">
        <v>33</v>
      </c>
      <c r="B10" s="366">
        <v>603</v>
      </c>
      <c r="C10" s="366">
        <v>263.49</v>
      </c>
      <c r="D10" s="366">
        <v>67.400000000000006</v>
      </c>
      <c r="E10" s="366">
        <v>67.400000000000006</v>
      </c>
      <c r="F10" s="366">
        <v>666.9</v>
      </c>
      <c r="G10" s="366">
        <v>403.41</v>
      </c>
      <c r="H10" s="366">
        <v>23.78</v>
      </c>
      <c r="I10" s="366">
        <v>299.14999999999998</v>
      </c>
      <c r="J10" s="366">
        <v>0</v>
      </c>
      <c r="K10" s="366">
        <v>0</v>
      </c>
      <c r="L10" s="366">
        <v>85.31</v>
      </c>
      <c r="M10" s="366">
        <v>288.91000000000003</v>
      </c>
      <c r="N10" s="366">
        <v>385.81</v>
      </c>
      <c r="O10" s="366">
        <v>309.22000000000003</v>
      </c>
      <c r="P10" s="366">
        <v>309.22000000000003</v>
      </c>
      <c r="Q10" s="366">
        <v>309.22000000000003</v>
      </c>
      <c r="R10" s="366">
        <v>309.22000000000003</v>
      </c>
      <c r="S10" s="366">
        <v>309.22000000000003</v>
      </c>
      <c r="T10" s="366">
        <v>310.19</v>
      </c>
      <c r="U10" s="366">
        <v>511.45</v>
      </c>
      <c r="V10" s="366">
        <v>364.15</v>
      </c>
      <c r="W10" s="366">
        <v>213.59</v>
      </c>
      <c r="X10" s="366">
        <v>213.59</v>
      </c>
      <c r="Y10" s="366">
        <v>213.59</v>
      </c>
      <c r="Z10" s="366">
        <v>401.89</v>
      </c>
      <c r="AA10" s="366">
        <v>397.58</v>
      </c>
      <c r="AB10" s="366">
        <v>337.68</v>
      </c>
      <c r="AC10" s="366">
        <v>329.81</v>
      </c>
      <c r="AD10" s="366">
        <v>329.81</v>
      </c>
      <c r="AE10" s="366">
        <v>118.3</v>
      </c>
      <c r="AF10" s="366">
        <v>417.15</v>
      </c>
      <c r="AG10" s="366">
        <v>215.11</v>
      </c>
      <c r="AH10" s="366">
        <v>298.33999999999997</v>
      </c>
      <c r="AI10" s="366">
        <v>298.33999999999997</v>
      </c>
      <c r="AJ10" s="366">
        <v>298.33999999999997</v>
      </c>
      <c r="AK10" s="366">
        <v>424.09</v>
      </c>
      <c r="AL10" s="366">
        <v>424.09</v>
      </c>
      <c r="AM10" s="366">
        <v>340.4</v>
      </c>
      <c r="AN10" s="366">
        <v>268.39</v>
      </c>
      <c r="AO10" s="366">
        <v>420.02</v>
      </c>
      <c r="AP10" s="366">
        <v>248.49</v>
      </c>
      <c r="AQ10" s="366">
        <v>623.44000000000005</v>
      </c>
      <c r="AR10" s="366">
        <v>62.77</v>
      </c>
      <c r="AS10" s="366">
        <v>160.76</v>
      </c>
      <c r="AT10" s="366">
        <v>160.76</v>
      </c>
      <c r="AU10" s="366">
        <v>279.01</v>
      </c>
      <c r="AV10" s="366">
        <v>542.5</v>
      </c>
      <c r="AW10" s="366">
        <v>44.32</v>
      </c>
      <c r="AX10" s="366">
        <v>364.99</v>
      </c>
      <c r="AY10" s="366">
        <v>421.52</v>
      </c>
      <c r="AZ10" s="366">
        <v>232.11</v>
      </c>
      <c r="BA10" s="366">
        <v>543.41</v>
      </c>
      <c r="BB10" s="366">
        <v>424.41</v>
      </c>
      <c r="BC10" s="366">
        <v>485.47</v>
      </c>
      <c r="BD10" s="366">
        <v>395.24</v>
      </c>
      <c r="BE10" s="366">
        <v>368.21</v>
      </c>
      <c r="BF10" s="366">
        <v>334.65</v>
      </c>
      <c r="BG10" s="366">
        <v>409.44</v>
      </c>
      <c r="BH10" s="366">
        <v>309.22000000000003</v>
      </c>
      <c r="BI10" s="366">
        <v>62.8</v>
      </c>
      <c r="BJ10" s="366">
        <v>347.56</v>
      </c>
      <c r="BK10" s="366">
        <v>299.89</v>
      </c>
      <c r="BL10" s="366">
        <v>74.400000000000006</v>
      </c>
      <c r="BM10" s="366">
        <v>51.19</v>
      </c>
      <c r="BN10" s="366">
        <v>437.77</v>
      </c>
      <c r="BO10" s="366">
        <v>342.09</v>
      </c>
      <c r="BP10" s="366">
        <v>307.95</v>
      </c>
      <c r="BQ10" s="366">
        <v>319.85000000000002</v>
      </c>
      <c r="BR10" s="366">
        <v>319.85000000000002</v>
      </c>
      <c r="BS10" s="366">
        <v>239.68</v>
      </c>
      <c r="BT10" s="366">
        <v>47.23</v>
      </c>
      <c r="BU10" s="366">
        <v>318.18</v>
      </c>
      <c r="BV10" s="366">
        <v>337.8</v>
      </c>
      <c r="BW10" s="366">
        <v>338.3</v>
      </c>
      <c r="BX10" s="366">
        <v>180.77</v>
      </c>
      <c r="BY10" s="366">
        <v>391.63</v>
      </c>
      <c r="BZ10" s="366">
        <v>391.63</v>
      </c>
      <c r="CA10" s="366">
        <v>76.260000000000005</v>
      </c>
      <c r="CB10" s="366">
        <v>199.2</v>
      </c>
      <c r="CC10" s="366">
        <v>336.16</v>
      </c>
      <c r="CD10" s="366">
        <v>338.56</v>
      </c>
      <c r="CE10" s="366">
        <v>283.12</v>
      </c>
      <c r="CF10" s="366">
        <v>415.88</v>
      </c>
      <c r="CG10" s="366">
        <v>415.88</v>
      </c>
      <c r="CH10" s="366">
        <v>304.85000000000002</v>
      </c>
      <c r="CI10" s="366">
        <v>252.18</v>
      </c>
      <c r="CJ10" s="366">
        <v>426.83</v>
      </c>
      <c r="CK10" s="366">
        <v>396.72</v>
      </c>
      <c r="CL10" s="366">
        <v>292.8</v>
      </c>
      <c r="CM10" s="366">
        <v>431.75</v>
      </c>
      <c r="CN10" s="366">
        <v>296.93</v>
      </c>
      <c r="CO10" s="366">
        <v>61.38</v>
      </c>
      <c r="CP10" s="366">
        <v>317</v>
      </c>
      <c r="CQ10" s="366">
        <v>317</v>
      </c>
      <c r="CR10" s="366">
        <v>13.78</v>
      </c>
      <c r="CS10" s="366">
        <v>13.78</v>
      </c>
      <c r="CT10" s="366">
        <v>23.22</v>
      </c>
      <c r="CU10" s="366">
        <v>15.35</v>
      </c>
      <c r="CV10" s="366">
        <v>17.95</v>
      </c>
      <c r="CW10" s="366">
        <v>364.15</v>
      </c>
      <c r="CX10" s="366">
        <v>355.23</v>
      </c>
      <c r="CY10" s="366">
        <v>478.17</v>
      </c>
      <c r="CZ10" s="366">
        <v>499.41</v>
      </c>
      <c r="DA10" s="366">
        <v>323.86</v>
      </c>
      <c r="DB10" s="366">
        <v>343.54</v>
      </c>
      <c r="DC10" s="366">
        <v>343.54</v>
      </c>
      <c r="DD10" s="366">
        <v>200.75</v>
      </c>
      <c r="DE10" s="366">
        <v>401.49</v>
      </c>
      <c r="DF10" s="366">
        <v>651.36</v>
      </c>
      <c r="DG10" s="366">
        <v>281.83</v>
      </c>
      <c r="DH10" s="366">
        <v>464.05</v>
      </c>
      <c r="DI10" s="366">
        <v>281.7</v>
      </c>
      <c r="DJ10" s="366">
        <v>485.59</v>
      </c>
      <c r="DK10" s="366">
        <v>143.19</v>
      </c>
      <c r="DL10" s="366">
        <v>312.18</v>
      </c>
      <c r="DM10" s="366">
        <v>251.07</v>
      </c>
      <c r="DN10" s="366">
        <v>296.45999999999998</v>
      </c>
      <c r="DO10" s="366">
        <v>169.76</v>
      </c>
      <c r="DP10" s="366">
        <v>162.44</v>
      </c>
      <c r="DQ10" s="366">
        <v>349.64</v>
      </c>
      <c r="DR10" s="366">
        <v>464.05</v>
      </c>
      <c r="DS10" s="366">
        <v>39.25</v>
      </c>
      <c r="DT10" s="366">
        <v>27.54</v>
      </c>
      <c r="DU10" s="366">
        <v>354.2</v>
      </c>
      <c r="DV10" s="366">
        <v>420.91</v>
      </c>
      <c r="DW10" s="366">
        <v>144.34</v>
      </c>
      <c r="DX10" s="366">
        <v>324.62</v>
      </c>
      <c r="DY10" s="366">
        <v>398.01</v>
      </c>
      <c r="DZ10" s="366">
        <v>210.42</v>
      </c>
      <c r="EA10" s="366">
        <v>45.05</v>
      </c>
      <c r="EB10" s="366">
        <v>392.01</v>
      </c>
      <c r="EC10" s="366">
        <v>41.96</v>
      </c>
      <c r="ED10" s="366">
        <v>311.47000000000003</v>
      </c>
      <c r="EE10" s="366">
        <v>322.26</v>
      </c>
      <c r="EF10" s="366">
        <v>242.21</v>
      </c>
      <c r="EG10" s="366">
        <v>44.32</v>
      </c>
      <c r="EH10" s="366">
        <v>44.32</v>
      </c>
      <c r="EI10" s="366">
        <v>322.20999999999998</v>
      </c>
      <c r="EJ10" s="366">
        <v>452.11</v>
      </c>
      <c r="EK10" s="366">
        <v>200.64</v>
      </c>
      <c r="EL10" s="366">
        <v>200.64</v>
      </c>
      <c r="EM10" s="366">
        <v>294.75</v>
      </c>
      <c r="EN10" s="366">
        <v>294.75</v>
      </c>
      <c r="EO10" s="366">
        <v>340.4</v>
      </c>
      <c r="EP10" s="366">
        <v>381.36</v>
      </c>
      <c r="EQ10" s="366">
        <v>32.71</v>
      </c>
      <c r="ER10" s="366">
        <v>481.49</v>
      </c>
      <c r="ES10" s="366">
        <v>263.39</v>
      </c>
      <c r="ET10" s="366">
        <v>301.88</v>
      </c>
      <c r="EU10" s="366">
        <v>603</v>
      </c>
      <c r="EV10" s="366">
        <v>213.59</v>
      </c>
      <c r="EW10" s="366">
        <v>323.13</v>
      </c>
      <c r="EX10" s="366">
        <v>240.13</v>
      </c>
      <c r="EY10" s="366">
        <v>240.13</v>
      </c>
      <c r="EZ10" s="366">
        <v>346.56</v>
      </c>
      <c r="FA10" s="366">
        <v>291.92</v>
      </c>
      <c r="FB10" s="366">
        <v>127.49</v>
      </c>
      <c r="FC10" s="366">
        <v>344.76</v>
      </c>
      <c r="FD10" s="366">
        <v>234.41</v>
      </c>
      <c r="FE10" s="366">
        <v>326.04000000000002</v>
      </c>
      <c r="FF10" s="366">
        <v>301.22000000000003</v>
      </c>
      <c r="FG10" s="366">
        <v>534.45000000000005</v>
      </c>
      <c r="FH10" s="366">
        <v>534.45000000000005</v>
      </c>
      <c r="FI10" s="366">
        <v>194.46</v>
      </c>
      <c r="FJ10" s="366">
        <v>200.25</v>
      </c>
      <c r="FK10" s="366">
        <v>291.13</v>
      </c>
      <c r="FL10" s="366">
        <v>289.32</v>
      </c>
      <c r="FM10" s="366">
        <v>340.4</v>
      </c>
      <c r="FN10" s="366">
        <v>244.34</v>
      </c>
      <c r="FO10" s="366">
        <v>53.42</v>
      </c>
      <c r="FP10" s="366">
        <v>377.11</v>
      </c>
      <c r="FQ10" s="366">
        <v>57.29</v>
      </c>
      <c r="FR10" s="366">
        <v>102.65</v>
      </c>
      <c r="FS10" s="366">
        <v>231.29</v>
      </c>
      <c r="FT10" s="366">
        <v>470.43</v>
      </c>
      <c r="FU10" s="366">
        <v>239.79</v>
      </c>
      <c r="FV10" s="366">
        <v>666.9</v>
      </c>
      <c r="FW10" s="366">
        <v>666.9</v>
      </c>
      <c r="FX10" s="366">
        <v>666.9</v>
      </c>
      <c r="FY10" s="366">
        <v>241.06</v>
      </c>
      <c r="FZ10" s="366">
        <v>315.95</v>
      </c>
      <c r="GA10" s="366">
        <v>368.21</v>
      </c>
      <c r="GB10" s="366">
        <v>269.76</v>
      </c>
      <c r="GC10" s="366">
        <v>311.47000000000003</v>
      </c>
      <c r="GD10" s="366">
        <v>162.87</v>
      </c>
      <c r="GE10" s="366">
        <v>23.32</v>
      </c>
      <c r="GF10" s="366">
        <v>226.26</v>
      </c>
      <c r="GG10" s="366">
        <v>226.26</v>
      </c>
      <c r="GH10" s="366">
        <v>416.66</v>
      </c>
      <c r="GI10" s="366">
        <v>340.56</v>
      </c>
      <c r="GJ10" s="366">
        <v>340.4</v>
      </c>
      <c r="GK10" s="366">
        <v>287.68</v>
      </c>
      <c r="GL10" s="366">
        <v>308.54000000000002</v>
      </c>
      <c r="GM10" s="366">
        <v>308.54000000000002</v>
      </c>
      <c r="GN10" s="366">
        <v>308.54000000000002</v>
      </c>
      <c r="GO10" s="366">
        <v>287.67</v>
      </c>
      <c r="GP10" s="366">
        <v>373.62</v>
      </c>
      <c r="GQ10" s="366">
        <v>333.39</v>
      </c>
      <c r="GR10" s="366">
        <v>342.81</v>
      </c>
      <c r="GS10" s="366">
        <v>267.42</v>
      </c>
      <c r="GT10" s="366">
        <v>44.32</v>
      </c>
      <c r="GU10" s="366">
        <v>136.47</v>
      </c>
      <c r="GV10" s="366">
        <v>459.3</v>
      </c>
      <c r="GW10" s="366">
        <v>284.52</v>
      </c>
      <c r="GX10" s="366">
        <v>40.89</v>
      </c>
      <c r="GY10" s="366">
        <v>299.31</v>
      </c>
      <c r="GZ10" s="366">
        <v>234.13</v>
      </c>
      <c r="HA10" s="366">
        <v>58.83</v>
      </c>
      <c r="HB10" s="366">
        <v>58.83</v>
      </c>
      <c r="HC10" s="366">
        <v>58.83</v>
      </c>
      <c r="HD10" s="366">
        <v>246.71</v>
      </c>
      <c r="HE10" s="366">
        <v>288.60000000000002</v>
      </c>
      <c r="HF10" s="366">
        <v>244.89</v>
      </c>
      <c r="HG10" s="366">
        <v>372.54</v>
      </c>
      <c r="HH10" s="366">
        <v>372.54</v>
      </c>
      <c r="HI10" s="366">
        <v>372.54</v>
      </c>
      <c r="HJ10" s="366">
        <v>247.13</v>
      </c>
      <c r="HK10" s="366">
        <v>116.81</v>
      </c>
      <c r="HL10" s="366">
        <v>342.6</v>
      </c>
      <c r="HM10" s="366">
        <v>337.68</v>
      </c>
      <c r="HN10" s="366">
        <v>340.4</v>
      </c>
      <c r="HO10" s="366">
        <v>571.16</v>
      </c>
      <c r="HP10" s="366">
        <v>234.85</v>
      </c>
      <c r="HQ10" s="366">
        <v>666.9</v>
      </c>
      <c r="HR10" s="366">
        <v>417.15</v>
      </c>
      <c r="HS10" s="366">
        <v>336.65</v>
      </c>
      <c r="HT10" s="366">
        <v>288.81</v>
      </c>
      <c r="HU10" s="366">
        <v>323.33</v>
      </c>
      <c r="HV10" s="366">
        <v>345.49</v>
      </c>
    </row>
    <row r="11" spans="1:230">
      <c r="A11" s="366" t="s">
        <v>34</v>
      </c>
      <c r="B11" s="366">
        <v>603</v>
      </c>
      <c r="C11" s="366">
        <v>263.49</v>
      </c>
      <c r="D11" s="366">
        <v>67.400000000000006</v>
      </c>
      <c r="E11" s="366">
        <v>67.400000000000006</v>
      </c>
      <c r="F11" s="366">
        <v>666.9</v>
      </c>
      <c r="G11" s="366">
        <v>403.41</v>
      </c>
      <c r="H11" s="366">
        <v>23.78</v>
      </c>
      <c r="I11" s="366">
        <v>299.14999999999998</v>
      </c>
      <c r="J11" s="366">
        <v>0</v>
      </c>
      <c r="K11" s="366">
        <v>0</v>
      </c>
      <c r="L11" s="366">
        <v>85.31</v>
      </c>
      <c r="M11" s="366">
        <v>288.91000000000003</v>
      </c>
      <c r="N11" s="366">
        <v>385.81</v>
      </c>
      <c r="O11" s="366">
        <v>309.22000000000003</v>
      </c>
      <c r="P11" s="366">
        <v>309.22000000000003</v>
      </c>
      <c r="Q11" s="366">
        <v>309.22000000000003</v>
      </c>
      <c r="R11" s="366">
        <v>309.22000000000003</v>
      </c>
      <c r="S11" s="366">
        <v>309.22000000000003</v>
      </c>
      <c r="T11" s="366">
        <v>310.19</v>
      </c>
      <c r="U11" s="366">
        <v>511.45</v>
      </c>
      <c r="V11" s="366">
        <v>364.15</v>
      </c>
      <c r="W11" s="366">
        <v>213.59</v>
      </c>
      <c r="X11" s="366">
        <v>213.59</v>
      </c>
      <c r="Y11" s="366">
        <v>213.59</v>
      </c>
      <c r="Z11" s="366">
        <v>401.89</v>
      </c>
      <c r="AA11" s="366">
        <v>397.58</v>
      </c>
      <c r="AB11" s="366">
        <v>337.68</v>
      </c>
      <c r="AC11" s="366">
        <v>329.81</v>
      </c>
      <c r="AD11" s="366">
        <v>329.81</v>
      </c>
      <c r="AE11" s="366">
        <v>118.3</v>
      </c>
      <c r="AF11" s="366">
        <v>417.15</v>
      </c>
      <c r="AG11" s="366">
        <v>215.11</v>
      </c>
      <c r="AH11" s="366">
        <v>298.33999999999997</v>
      </c>
      <c r="AI11" s="366">
        <v>298.33999999999997</v>
      </c>
      <c r="AJ11" s="366">
        <v>298.33999999999997</v>
      </c>
      <c r="AK11" s="366">
        <v>424.09</v>
      </c>
      <c r="AL11" s="366">
        <v>424.09</v>
      </c>
      <c r="AM11" s="366">
        <v>340.4</v>
      </c>
      <c r="AN11" s="366">
        <v>268.39</v>
      </c>
      <c r="AO11" s="366">
        <v>420.02</v>
      </c>
      <c r="AP11" s="366">
        <v>248.49</v>
      </c>
      <c r="AQ11" s="366">
        <v>623.44000000000005</v>
      </c>
      <c r="AR11" s="366">
        <v>62.77</v>
      </c>
      <c r="AS11" s="366">
        <v>160.76</v>
      </c>
      <c r="AT11" s="366">
        <v>160.76</v>
      </c>
      <c r="AU11" s="366">
        <v>279.01</v>
      </c>
      <c r="AV11" s="366">
        <v>542.5</v>
      </c>
      <c r="AW11" s="366">
        <v>44.32</v>
      </c>
      <c r="AX11" s="366">
        <v>364.99</v>
      </c>
      <c r="AY11" s="366">
        <v>421.52</v>
      </c>
      <c r="AZ11" s="366">
        <v>232.11</v>
      </c>
      <c r="BA11" s="366">
        <v>543.41</v>
      </c>
      <c r="BB11" s="366">
        <v>424.41</v>
      </c>
      <c r="BC11" s="366">
        <v>485.47</v>
      </c>
      <c r="BD11" s="366">
        <v>395.24</v>
      </c>
      <c r="BE11" s="366">
        <v>368.21</v>
      </c>
      <c r="BF11" s="366">
        <v>334.65</v>
      </c>
      <c r="BG11" s="366">
        <v>409.44</v>
      </c>
      <c r="BH11" s="366">
        <v>309.22000000000003</v>
      </c>
      <c r="BI11" s="366">
        <v>62.8</v>
      </c>
      <c r="BJ11" s="366">
        <v>347.56</v>
      </c>
      <c r="BK11" s="366">
        <v>299.89</v>
      </c>
      <c r="BL11" s="366">
        <v>74.400000000000006</v>
      </c>
      <c r="BM11" s="366">
        <v>51.19</v>
      </c>
      <c r="BN11" s="366">
        <v>437.77</v>
      </c>
      <c r="BO11" s="366">
        <v>342.09</v>
      </c>
      <c r="BP11" s="366">
        <v>307.95</v>
      </c>
      <c r="BQ11" s="366">
        <v>319.85000000000002</v>
      </c>
      <c r="BR11" s="366">
        <v>319.85000000000002</v>
      </c>
      <c r="BS11" s="366">
        <v>239.68</v>
      </c>
      <c r="BT11" s="366">
        <v>47.23</v>
      </c>
      <c r="BU11" s="366">
        <v>318.18</v>
      </c>
      <c r="BV11" s="366">
        <v>337.8</v>
      </c>
      <c r="BW11" s="366">
        <v>338.3</v>
      </c>
      <c r="BX11" s="366">
        <v>180.77</v>
      </c>
      <c r="BY11" s="366">
        <v>391.63</v>
      </c>
      <c r="BZ11" s="366">
        <v>391.63</v>
      </c>
      <c r="CA11" s="366">
        <v>76.260000000000005</v>
      </c>
      <c r="CB11" s="366">
        <v>199.2</v>
      </c>
      <c r="CC11" s="366">
        <v>336.16</v>
      </c>
      <c r="CD11" s="366">
        <v>338.56</v>
      </c>
      <c r="CE11" s="366">
        <v>283.12</v>
      </c>
      <c r="CF11" s="366">
        <v>415.88</v>
      </c>
      <c r="CG11" s="366">
        <v>415.88</v>
      </c>
      <c r="CH11" s="366">
        <v>304.85000000000002</v>
      </c>
      <c r="CI11" s="366">
        <v>252.18</v>
      </c>
      <c r="CJ11" s="366">
        <v>426.83</v>
      </c>
      <c r="CK11" s="366">
        <v>396.72</v>
      </c>
      <c r="CL11" s="366">
        <v>292.8</v>
      </c>
      <c r="CM11" s="366">
        <v>431.75</v>
      </c>
      <c r="CN11" s="366">
        <v>296.93</v>
      </c>
      <c r="CO11" s="366">
        <v>61.38</v>
      </c>
      <c r="CP11" s="366">
        <v>317</v>
      </c>
      <c r="CQ11" s="366">
        <v>317</v>
      </c>
      <c r="CR11" s="366">
        <v>13.78</v>
      </c>
      <c r="CS11" s="366">
        <v>13.78</v>
      </c>
      <c r="CT11" s="366">
        <v>23.22</v>
      </c>
      <c r="CU11" s="366">
        <v>15.35</v>
      </c>
      <c r="CV11" s="366">
        <v>17.95</v>
      </c>
      <c r="CW11" s="366">
        <v>364.15</v>
      </c>
      <c r="CX11" s="366">
        <v>355.23</v>
      </c>
      <c r="CY11" s="366">
        <v>478.17</v>
      </c>
      <c r="CZ11" s="366">
        <v>499.41</v>
      </c>
      <c r="DA11" s="366">
        <v>323.86</v>
      </c>
      <c r="DB11" s="366">
        <v>343.54</v>
      </c>
      <c r="DC11" s="366">
        <v>343.54</v>
      </c>
      <c r="DD11" s="366">
        <v>200.75</v>
      </c>
      <c r="DE11" s="366">
        <v>401.49</v>
      </c>
      <c r="DF11" s="366">
        <v>651.36</v>
      </c>
      <c r="DG11" s="366">
        <v>281.83</v>
      </c>
      <c r="DH11" s="366">
        <v>464.05</v>
      </c>
      <c r="DI11" s="366">
        <v>281.7</v>
      </c>
      <c r="DJ11" s="366">
        <v>485.59</v>
      </c>
      <c r="DK11" s="366">
        <v>143.19</v>
      </c>
      <c r="DL11" s="366">
        <v>312.18</v>
      </c>
      <c r="DM11" s="366">
        <v>251.07</v>
      </c>
      <c r="DN11" s="366">
        <v>296.45999999999998</v>
      </c>
      <c r="DO11" s="366">
        <v>169.76</v>
      </c>
      <c r="DP11" s="366">
        <v>162.44</v>
      </c>
      <c r="DQ11" s="366">
        <v>349.64</v>
      </c>
      <c r="DR11" s="366">
        <v>464.05</v>
      </c>
      <c r="DS11" s="366">
        <v>39.25</v>
      </c>
      <c r="DT11" s="366">
        <v>27.54</v>
      </c>
      <c r="DU11" s="366">
        <v>354.2</v>
      </c>
      <c r="DV11" s="366">
        <v>420.91</v>
      </c>
      <c r="DW11" s="366">
        <v>144.34</v>
      </c>
      <c r="DX11" s="366">
        <v>324.62</v>
      </c>
      <c r="DY11" s="366">
        <v>398.01</v>
      </c>
      <c r="DZ11" s="366">
        <v>210.42</v>
      </c>
      <c r="EA11" s="366">
        <v>45.05</v>
      </c>
      <c r="EB11" s="366">
        <v>392.01</v>
      </c>
      <c r="EC11" s="366">
        <v>41.96</v>
      </c>
      <c r="ED11" s="366">
        <v>311.47000000000003</v>
      </c>
      <c r="EE11" s="366">
        <v>322.26</v>
      </c>
      <c r="EF11" s="366">
        <v>242.21</v>
      </c>
      <c r="EG11" s="366">
        <v>44.32</v>
      </c>
      <c r="EH11" s="366">
        <v>44.32</v>
      </c>
      <c r="EI11" s="366">
        <v>322.20999999999998</v>
      </c>
      <c r="EJ11" s="366">
        <v>452.11</v>
      </c>
      <c r="EK11" s="366">
        <v>200.64</v>
      </c>
      <c r="EL11" s="366">
        <v>200.64</v>
      </c>
      <c r="EM11" s="366">
        <v>294.75</v>
      </c>
      <c r="EN11" s="366">
        <v>294.75</v>
      </c>
      <c r="EO11" s="366">
        <v>340.4</v>
      </c>
      <c r="EP11" s="366">
        <v>381.36</v>
      </c>
      <c r="EQ11" s="366">
        <v>32.71</v>
      </c>
      <c r="ER11" s="366">
        <v>481.49</v>
      </c>
      <c r="ES11" s="366">
        <v>263.39</v>
      </c>
      <c r="ET11" s="366">
        <v>301.88</v>
      </c>
      <c r="EU11" s="366">
        <v>603</v>
      </c>
      <c r="EV11" s="366">
        <v>213.59</v>
      </c>
      <c r="EW11" s="366">
        <v>323.13</v>
      </c>
      <c r="EX11" s="366">
        <v>240.13</v>
      </c>
      <c r="EY11" s="366">
        <v>240.13</v>
      </c>
      <c r="EZ11" s="366">
        <v>346.56</v>
      </c>
      <c r="FA11" s="366">
        <v>291.92</v>
      </c>
      <c r="FB11" s="366">
        <v>127.49</v>
      </c>
      <c r="FC11" s="366">
        <v>344.76</v>
      </c>
      <c r="FD11" s="366">
        <v>234.41</v>
      </c>
      <c r="FE11" s="366">
        <v>326.04000000000002</v>
      </c>
      <c r="FF11" s="366">
        <v>301.22000000000003</v>
      </c>
      <c r="FG11" s="366">
        <v>534.45000000000005</v>
      </c>
      <c r="FH11" s="366">
        <v>534.45000000000005</v>
      </c>
      <c r="FI11" s="366">
        <v>194.46</v>
      </c>
      <c r="FJ11" s="366">
        <v>200.25</v>
      </c>
      <c r="FK11" s="366">
        <v>291.13</v>
      </c>
      <c r="FL11" s="366">
        <v>289.32</v>
      </c>
      <c r="FM11" s="366">
        <v>340.4</v>
      </c>
      <c r="FN11" s="366">
        <v>244.34</v>
      </c>
      <c r="FO11" s="366">
        <v>53.42</v>
      </c>
      <c r="FP11" s="366">
        <v>377.11</v>
      </c>
      <c r="FQ11" s="366">
        <v>57.29</v>
      </c>
      <c r="FR11" s="366">
        <v>102.65</v>
      </c>
      <c r="FS11" s="366">
        <v>231.29</v>
      </c>
      <c r="FT11" s="366">
        <v>470.43</v>
      </c>
      <c r="FU11" s="366">
        <v>239.79</v>
      </c>
      <c r="FV11" s="366">
        <v>666.9</v>
      </c>
      <c r="FW11" s="366">
        <v>666.9</v>
      </c>
      <c r="FX11" s="366">
        <v>666.9</v>
      </c>
      <c r="FY11" s="366">
        <v>241.06</v>
      </c>
      <c r="FZ11" s="366">
        <v>315.95</v>
      </c>
      <c r="GA11" s="366">
        <v>368.21</v>
      </c>
      <c r="GB11" s="366">
        <v>269.76</v>
      </c>
      <c r="GC11" s="366">
        <v>311.47000000000003</v>
      </c>
      <c r="GD11" s="366">
        <v>162.87</v>
      </c>
      <c r="GE11" s="366">
        <v>23.32</v>
      </c>
      <c r="GF11" s="366">
        <v>226.26</v>
      </c>
      <c r="GG11" s="366">
        <v>226.26</v>
      </c>
      <c r="GH11" s="366">
        <v>416.66</v>
      </c>
      <c r="GI11" s="366">
        <v>340.56</v>
      </c>
      <c r="GJ11" s="366">
        <v>340.4</v>
      </c>
      <c r="GK11" s="366">
        <v>287.68</v>
      </c>
      <c r="GL11" s="366">
        <v>308.54000000000002</v>
      </c>
      <c r="GM11" s="366">
        <v>308.54000000000002</v>
      </c>
      <c r="GN11" s="366">
        <v>308.54000000000002</v>
      </c>
      <c r="GO11" s="366">
        <v>287.67</v>
      </c>
      <c r="GP11" s="366">
        <v>373.62</v>
      </c>
      <c r="GQ11" s="366">
        <v>333.39</v>
      </c>
      <c r="GR11" s="366">
        <v>342.81</v>
      </c>
      <c r="GS11" s="366">
        <v>267.42</v>
      </c>
      <c r="GT11" s="366">
        <v>44.32</v>
      </c>
      <c r="GU11" s="366">
        <v>136.47</v>
      </c>
      <c r="GV11" s="366">
        <v>459.3</v>
      </c>
      <c r="GW11" s="366">
        <v>284.52</v>
      </c>
      <c r="GX11" s="366">
        <v>40.89</v>
      </c>
      <c r="GY11" s="366">
        <v>299.31</v>
      </c>
      <c r="GZ11" s="366">
        <v>234.13</v>
      </c>
      <c r="HA11" s="366">
        <v>58.83</v>
      </c>
      <c r="HB11" s="366">
        <v>58.83</v>
      </c>
      <c r="HC11" s="366">
        <v>58.83</v>
      </c>
      <c r="HD11" s="366">
        <v>246.71</v>
      </c>
      <c r="HE11" s="366">
        <v>288.60000000000002</v>
      </c>
      <c r="HF11" s="366">
        <v>244.89</v>
      </c>
      <c r="HG11" s="366">
        <v>372.54</v>
      </c>
      <c r="HH11" s="366">
        <v>372.54</v>
      </c>
      <c r="HI11" s="366">
        <v>372.54</v>
      </c>
      <c r="HJ11" s="366">
        <v>247.13</v>
      </c>
      <c r="HK11" s="366">
        <v>116.81</v>
      </c>
      <c r="HL11" s="366">
        <v>342.6</v>
      </c>
      <c r="HM11" s="366">
        <v>337.68</v>
      </c>
      <c r="HN11" s="366">
        <v>340.4</v>
      </c>
      <c r="HO11" s="366">
        <v>571.16</v>
      </c>
      <c r="HP11" s="366">
        <v>234.85</v>
      </c>
      <c r="HQ11" s="366">
        <v>666.9</v>
      </c>
      <c r="HR11" s="366">
        <v>417.15</v>
      </c>
      <c r="HS11" s="366">
        <v>336.65</v>
      </c>
      <c r="HT11" s="366">
        <v>288.81</v>
      </c>
      <c r="HU11" s="366">
        <v>323.33</v>
      </c>
      <c r="HV11" s="366">
        <v>345.49</v>
      </c>
    </row>
    <row r="12" spans="1:230">
      <c r="A12" s="366" t="s">
        <v>35</v>
      </c>
      <c r="B12" s="366">
        <v>688.31</v>
      </c>
      <c r="C12" s="366">
        <v>178.18</v>
      </c>
      <c r="D12" s="366">
        <v>17.91</v>
      </c>
      <c r="E12" s="366">
        <v>17.91</v>
      </c>
      <c r="F12" s="366">
        <v>752.21</v>
      </c>
      <c r="G12" s="366">
        <v>488.72</v>
      </c>
      <c r="H12" s="366">
        <v>61.53</v>
      </c>
      <c r="I12" s="366">
        <v>267.60000000000002</v>
      </c>
      <c r="J12" s="366">
        <v>85.31</v>
      </c>
      <c r="K12" s="366">
        <v>85.31</v>
      </c>
      <c r="L12" s="366">
        <v>0</v>
      </c>
      <c r="M12" s="366">
        <v>203.6</v>
      </c>
      <c r="N12" s="366">
        <v>300.5</v>
      </c>
      <c r="O12" s="366">
        <v>232.43</v>
      </c>
      <c r="P12" s="366">
        <v>232.43</v>
      </c>
      <c r="Q12" s="366">
        <v>232.43</v>
      </c>
      <c r="R12" s="366">
        <v>232.43</v>
      </c>
      <c r="S12" s="366">
        <v>232.43</v>
      </c>
      <c r="T12" s="366">
        <v>342.1</v>
      </c>
      <c r="U12" s="366">
        <v>596.76</v>
      </c>
      <c r="V12" s="366">
        <v>287.36</v>
      </c>
      <c r="W12" s="366">
        <v>298.89999999999998</v>
      </c>
      <c r="X12" s="366">
        <v>298.89999999999998</v>
      </c>
      <c r="Y12" s="366">
        <v>298.89999999999998</v>
      </c>
      <c r="Z12" s="366">
        <v>325.10000000000002</v>
      </c>
      <c r="AA12" s="366">
        <v>482.89</v>
      </c>
      <c r="AB12" s="366">
        <v>401.84</v>
      </c>
      <c r="AC12" s="366">
        <v>404.3</v>
      </c>
      <c r="AD12" s="366">
        <v>404.3</v>
      </c>
      <c r="AE12" s="366">
        <v>68.81</v>
      </c>
      <c r="AF12" s="366">
        <v>502.46</v>
      </c>
      <c r="AG12" s="366">
        <v>300.42</v>
      </c>
      <c r="AH12" s="366">
        <v>221.55</v>
      </c>
      <c r="AI12" s="366">
        <v>221.55</v>
      </c>
      <c r="AJ12" s="366">
        <v>221.55</v>
      </c>
      <c r="AK12" s="366">
        <v>344.2</v>
      </c>
      <c r="AL12" s="366">
        <v>344.2</v>
      </c>
      <c r="AM12" s="366">
        <v>404.56</v>
      </c>
      <c r="AN12" s="366">
        <v>191.6</v>
      </c>
      <c r="AO12" s="366">
        <v>505.33</v>
      </c>
      <c r="AP12" s="366">
        <v>330.82</v>
      </c>
      <c r="AQ12" s="366">
        <v>708.75</v>
      </c>
      <c r="AR12" s="366">
        <v>148.08000000000001</v>
      </c>
      <c r="AS12" s="366">
        <v>75.45</v>
      </c>
      <c r="AT12" s="366">
        <v>75.45</v>
      </c>
      <c r="AU12" s="366">
        <v>202.22</v>
      </c>
      <c r="AV12" s="366">
        <v>627.80999999999995</v>
      </c>
      <c r="AW12" s="366">
        <v>129.63</v>
      </c>
      <c r="AX12" s="366">
        <v>288.2</v>
      </c>
      <c r="AY12" s="366">
        <v>336.21</v>
      </c>
      <c r="AZ12" s="366">
        <v>146.80000000000001</v>
      </c>
      <c r="BA12" s="366">
        <v>617.9</v>
      </c>
      <c r="BB12" s="366">
        <v>339.1</v>
      </c>
      <c r="BC12" s="366">
        <v>559.96</v>
      </c>
      <c r="BD12" s="366">
        <v>469.73</v>
      </c>
      <c r="BE12" s="366">
        <v>291.42</v>
      </c>
      <c r="BF12" s="366">
        <v>398.81</v>
      </c>
      <c r="BG12" s="366">
        <v>332.65</v>
      </c>
      <c r="BH12" s="366">
        <v>232.43</v>
      </c>
      <c r="BI12" s="366">
        <v>148.11000000000001</v>
      </c>
      <c r="BJ12" s="366">
        <v>270.77</v>
      </c>
      <c r="BK12" s="366">
        <v>214.58</v>
      </c>
      <c r="BL12" s="366">
        <v>24.91</v>
      </c>
      <c r="BM12" s="366">
        <v>34.119999999999997</v>
      </c>
      <c r="BN12" s="366">
        <v>523.08000000000004</v>
      </c>
      <c r="BO12" s="366">
        <v>256.77999999999997</v>
      </c>
      <c r="BP12" s="366">
        <v>222.64</v>
      </c>
      <c r="BQ12" s="366">
        <v>246.9</v>
      </c>
      <c r="BR12" s="366">
        <v>246.9</v>
      </c>
      <c r="BS12" s="366">
        <v>154.37</v>
      </c>
      <c r="BT12" s="366">
        <v>132.54</v>
      </c>
      <c r="BU12" s="366">
        <v>382.34</v>
      </c>
      <c r="BV12" s="366">
        <v>401.96</v>
      </c>
      <c r="BW12" s="366">
        <v>261.51</v>
      </c>
      <c r="BX12" s="366">
        <v>95.46</v>
      </c>
      <c r="BY12" s="366">
        <v>314.83999999999997</v>
      </c>
      <c r="BZ12" s="366">
        <v>314.83999999999997</v>
      </c>
      <c r="CA12" s="366">
        <v>161.57</v>
      </c>
      <c r="CB12" s="366">
        <v>113.89</v>
      </c>
      <c r="CC12" s="366">
        <v>259.37</v>
      </c>
      <c r="CD12" s="366">
        <v>261.77</v>
      </c>
      <c r="CE12" s="366">
        <v>197.81</v>
      </c>
      <c r="CF12" s="366">
        <v>501.19</v>
      </c>
      <c r="CG12" s="366">
        <v>501.19</v>
      </c>
      <c r="CH12" s="366">
        <v>261.89999999999998</v>
      </c>
      <c r="CI12" s="366">
        <v>175.39</v>
      </c>
      <c r="CJ12" s="366">
        <v>512.14</v>
      </c>
      <c r="CK12" s="366">
        <v>319.93</v>
      </c>
      <c r="CL12" s="366">
        <v>216.01</v>
      </c>
      <c r="CM12" s="366">
        <v>506.24</v>
      </c>
      <c r="CN12" s="366">
        <v>220.14</v>
      </c>
      <c r="CO12" s="366">
        <v>146.69</v>
      </c>
      <c r="CP12" s="366">
        <v>240.21</v>
      </c>
      <c r="CQ12" s="366">
        <v>240.21</v>
      </c>
      <c r="CR12" s="366">
        <v>99.09</v>
      </c>
      <c r="CS12" s="366">
        <v>99.09</v>
      </c>
      <c r="CT12" s="366">
        <v>108.53</v>
      </c>
      <c r="CU12" s="366">
        <v>100.66</v>
      </c>
      <c r="CV12" s="366">
        <v>103.26</v>
      </c>
      <c r="CW12" s="366">
        <v>287.36</v>
      </c>
      <c r="CX12" s="366">
        <v>278.44</v>
      </c>
      <c r="CY12" s="366">
        <v>552.66</v>
      </c>
      <c r="CZ12" s="366">
        <v>573.9</v>
      </c>
      <c r="DA12" s="366">
        <v>238.55</v>
      </c>
      <c r="DB12" s="366">
        <v>266.75</v>
      </c>
      <c r="DC12" s="366">
        <v>266.75</v>
      </c>
      <c r="DD12" s="366">
        <v>286.06</v>
      </c>
      <c r="DE12" s="366">
        <v>316.18</v>
      </c>
      <c r="DF12" s="366">
        <v>736.67</v>
      </c>
      <c r="DG12" s="366">
        <v>205.04</v>
      </c>
      <c r="DH12" s="366">
        <v>378.74</v>
      </c>
      <c r="DI12" s="366">
        <v>367.01</v>
      </c>
      <c r="DJ12" s="366">
        <v>570.9</v>
      </c>
      <c r="DK12" s="366">
        <v>57.88</v>
      </c>
      <c r="DL12" s="366">
        <v>388.34</v>
      </c>
      <c r="DM12" s="366">
        <v>165.76</v>
      </c>
      <c r="DN12" s="366">
        <v>381.77</v>
      </c>
      <c r="DO12" s="366">
        <v>84.45</v>
      </c>
      <c r="DP12" s="366">
        <v>247.75</v>
      </c>
      <c r="DQ12" s="366">
        <v>272.85000000000002</v>
      </c>
      <c r="DR12" s="366">
        <v>378.74</v>
      </c>
      <c r="DS12" s="366">
        <v>124.56</v>
      </c>
      <c r="DT12" s="366">
        <v>112.85</v>
      </c>
      <c r="DU12" s="366">
        <v>268.89</v>
      </c>
      <c r="DV12" s="366">
        <v>335.6</v>
      </c>
      <c r="DW12" s="366">
        <v>59.03</v>
      </c>
      <c r="DX12" s="366">
        <v>247.83</v>
      </c>
      <c r="DY12" s="366">
        <v>321.22000000000003</v>
      </c>
      <c r="DZ12" s="366">
        <v>295.73</v>
      </c>
      <c r="EA12" s="366">
        <v>130.36000000000001</v>
      </c>
      <c r="EB12" s="366">
        <v>315.22000000000003</v>
      </c>
      <c r="EC12" s="366">
        <v>43.35</v>
      </c>
      <c r="ED12" s="366">
        <v>396.78</v>
      </c>
      <c r="EE12" s="366">
        <v>407.57</v>
      </c>
      <c r="EF12" s="366">
        <v>324.54000000000002</v>
      </c>
      <c r="EG12" s="366">
        <v>129.63</v>
      </c>
      <c r="EH12" s="366">
        <v>129.63</v>
      </c>
      <c r="EI12" s="366">
        <v>245.42</v>
      </c>
      <c r="EJ12" s="366">
        <v>366.8</v>
      </c>
      <c r="EK12" s="366">
        <v>123.85</v>
      </c>
      <c r="EL12" s="366">
        <v>123.85</v>
      </c>
      <c r="EM12" s="366">
        <v>217.96</v>
      </c>
      <c r="EN12" s="366">
        <v>217.96</v>
      </c>
      <c r="EO12" s="366">
        <v>404.56</v>
      </c>
      <c r="EP12" s="366">
        <v>327.42</v>
      </c>
      <c r="EQ12" s="366">
        <v>118.02</v>
      </c>
      <c r="ER12" s="366">
        <v>566.79999999999995</v>
      </c>
      <c r="ES12" s="366">
        <v>178.08</v>
      </c>
      <c r="ET12" s="366">
        <v>264.87</v>
      </c>
      <c r="EU12" s="366">
        <v>688.31</v>
      </c>
      <c r="EV12" s="366">
        <v>298.89999999999998</v>
      </c>
      <c r="EW12" s="366">
        <v>246.34</v>
      </c>
      <c r="EX12" s="366">
        <v>154.82</v>
      </c>
      <c r="EY12" s="366">
        <v>154.82</v>
      </c>
      <c r="EZ12" s="366">
        <v>269.77</v>
      </c>
      <c r="FA12" s="366">
        <v>215.13</v>
      </c>
      <c r="FB12" s="366">
        <v>42.18</v>
      </c>
      <c r="FC12" s="366">
        <v>267.97000000000003</v>
      </c>
      <c r="FD12" s="366">
        <v>157.62</v>
      </c>
      <c r="FE12" s="366">
        <v>249.25</v>
      </c>
      <c r="FF12" s="366">
        <v>224.43</v>
      </c>
      <c r="FG12" s="366">
        <v>608.94000000000005</v>
      </c>
      <c r="FH12" s="366">
        <v>608.94000000000005</v>
      </c>
      <c r="FI12" s="366">
        <v>279.77</v>
      </c>
      <c r="FJ12" s="366">
        <v>285.56</v>
      </c>
      <c r="FK12" s="366">
        <v>205.82</v>
      </c>
      <c r="FL12" s="366">
        <v>204.01</v>
      </c>
      <c r="FM12" s="366">
        <v>404.56</v>
      </c>
      <c r="FN12" s="366">
        <v>329.65</v>
      </c>
      <c r="FO12" s="366">
        <v>138.72999999999999</v>
      </c>
      <c r="FP12" s="366">
        <v>300.32</v>
      </c>
      <c r="FQ12" s="366">
        <v>142.6</v>
      </c>
      <c r="FR12" s="366">
        <v>17.34</v>
      </c>
      <c r="FS12" s="366">
        <v>154.5</v>
      </c>
      <c r="FT12" s="366">
        <v>555.74</v>
      </c>
      <c r="FU12" s="366">
        <v>163</v>
      </c>
      <c r="FV12" s="366">
        <v>752.21</v>
      </c>
      <c r="FW12" s="366">
        <v>752.21</v>
      </c>
      <c r="FX12" s="366">
        <v>752.21</v>
      </c>
      <c r="FY12" s="366">
        <v>164.27</v>
      </c>
      <c r="FZ12" s="366">
        <v>239.16</v>
      </c>
      <c r="GA12" s="366">
        <v>291.42</v>
      </c>
      <c r="GB12" s="366">
        <v>192.97</v>
      </c>
      <c r="GC12" s="366">
        <v>396.78</v>
      </c>
      <c r="GD12" s="366">
        <v>77.56</v>
      </c>
      <c r="GE12" s="366">
        <v>108.63</v>
      </c>
      <c r="GF12" s="366">
        <v>149.47</v>
      </c>
      <c r="GG12" s="366">
        <v>149.47</v>
      </c>
      <c r="GH12" s="366">
        <v>339.87</v>
      </c>
      <c r="GI12" s="366">
        <v>404.72</v>
      </c>
      <c r="GJ12" s="366">
        <v>404.56</v>
      </c>
      <c r="GK12" s="366">
        <v>202.37</v>
      </c>
      <c r="GL12" s="366">
        <v>231.75</v>
      </c>
      <c r="GM12" s="366">
        <v>231.75</v>
      </c>
      <c r="GN12" s="366">
        <v>231.75</v>
      </c>
      <c r="GO12" s="366">
        <v>370</v>
      </c>
      <c r="GP12" s="366">
        <v>296.83</v>
      </c>
      <c r="GQ12" s="366">
        <v>248.08</v>
      </c>
      <c r="GR12" s="366">
        <v>428.12</v>
      </c>
      <c r="GS12" s="366">
        <v>299.33</v>
      </c>
      <c r="GT12" s="366">
        <v>129.63</v>
      </c>
      <c r="GU12" s="366">
        <v>86.98</v>
      </c>
      <c r="GV12" s="366">
        <v>373.99</v>
      </c>
      <c r="GW12" s="366">
        <v>207.73</v>
      </c>
      <c r="GX12" s="366">
        <v>126.2</v>
      </c>
      <c r="GY12" s="366">
        <v>222.52</v>
      </c>
      <c r="GZ12" s="366">
        <v>157.34</v>
      </c>
      <c r="HA12" s="366">
        <v>144.13999999999999</v>
      </c>
      <c r="HB12" s="366">
        <v>144.13999999999999</v>
      </c>
      <c r="HC12" s="366">
        <v>144.13999999999999</v>
      </c>
      <c r="HD12" s="366">
        <v>332.02</v>
      </c>
      <c r="HE12" s="366">
        <v>211.81</v>
      </c>
      <c r="HF12" s="366">
        <v>168.1</v>
      </c>
      <c r="HG12" s="366">
        <v>295.75</v>
      </c>
      <c r="HH12" s="366">
        <v>295.75</v>
      </c>
      <c r="HI12" s="366">
        <v>295.75</v>
      </c>
      <c r="HJ12" s="366">
        <v>170.34</v>
      </c>
      <c r="HK12" s="366">
        <v>202.12</v>
      </c>
      <c r="HL12" s="366">
        <v>265.81</v>
      </c>
      <c r="HM12" s="366">
        <v>401.84</v>
      </c>
      <c r="HN12" s="366">
        <v>404.56</v>
      </c>
      <c r="HO12" s="366">
        <v>656.47</v>
      </c>
      <c r="HP12" s="366">
        <v>158.06</v>
      </c>
      <c r="HQ12" s="366">
        <v>752.21</v>
      </c>
      <c r="HR12" s="366">
        <v>502.46</v>
      </c>
      <c r="HS12" s="366">
        <v>400.81</v>
      </c>
      <c r="HT12" s="366">
        <v>283.13</v>
      </c>
      <c r="HU12" s="366">
        <v>250.38</v>
      </c>
      <c r="HV12" s="366">
        <v>268.7</v>
      </c>
    </row>
    <row r="13" spans="1:230">
      <c r="A13" s="366" t="s">
        <v>36</v>
      </c>
      <c r="B13" s="366">
        <v>891.91</v>
      </c>
      <c r="C13" s="366">
        <v>25.62</v>
      </c>
      <c r="D13" s="366">
        <v>221.51</v>
      </c>
      <c r="E13" s="366">
        <v>221.51</v>
      </c>
      <c r="F13" s="366">
        <v>955.81</v>
      </c>
      <c r="G13" s="366">
        <v>692.32</v>
      </c>
      <c r="H13" s="366">
        <v>265.13</v>
      </c>
      <c r="I13" s="366">
        <v>401.64</v>
      </c>
      <c r="J13" s="366">
        <v>288.91000000000003</v>
      </c>
      <c r="K13" s="366">
        <v>288.91000000000003</v>
      </c>
      <c r="L13" s="366">
        <v>203.6</v>
      </c>
      <c r="M13" s="366">
        <v>0</v>
      </c>
      <c r="N13" s="366">
        <v>147.94</v>
      </c>
      <c r="O13" s="366">
        <v>366.47</v>
      </c>
      <c r="P13" s="366">
        <v>366.47</v>
      </c>
      <c r="Q13" s="366">
        <v>366.47</v>
      </c>
      <c r="R13" s="366">
        <v>366.47</v>
      </c>
      <c r="S13" s="366">
        <v>366.47</v>
      </c>
      <c r="T13" s="366">
        <v>476.14</v>
      </c>
      <c r="U13" s="366">
        <v>800.36</v>
      </c>
      <c r="V13" s="366">
        <v>421.4</v>
      </c>
      <c r="W13" s="366">
        <v>502.5</v>
      </c>
      <c r="X13" s="366">
        <v>502.5</v>
      </c>
      <c r="Y13" s="366">
        <v>502.5</v>
      </c>
      <c r="Z13" s="366">
        <v>208.88</v>
      </c>
      <c r="AA13" s="366">
        <v>686.49</v>
      </c>
      <c r="AB13" s="366">
        <v>535.88</v>
      </c>
      <c r="AC13" s="366">
        <v>538.34</v>
      </c>
      <c r="AD13" s="366">
        <v>538.34</v>
      </c>
      <c r="AE13" s="366">
        <v>272.41000000000003</v>
      </c>
      <c r="AF13" s="366">
        <v>706.06</v>
      </c>
      <c r="AG13" s="366">
        <v>504.02</v>
      </c>
      <c r="AH13" s="366">
        <v>355.59</v>
      </c>
      <c r="AI13" s="366">
        <v>355.59</v>
      </c>
      <c r="AJ13" s="366">
        <v>355.59</v>
      </c>
      <c r="AK13" s="366">
        <v>191.64</v>
      </c>
      <c r="AL13" s="366">
        <v>191.64</v>
      </c>
      <c r="AM13" s="366">
        <v>538.6</v>
      </c>
      <c r="AN13" s="366">
        <v>325.64</v>
      </c>
      <c r="AO13" s="366">
        <v>708.93</v>
      </c>
      <c r="AP13" s="366">
        <v>464.86</v>
      </c>
      <c r="AQ13" s="366">
        <v>912.35</v>
      </c>
      <c r="AR13" s="366">
        <v>351.68</v>
      </c>
      <c r="AS13" s="366">
        <v>209.49</v>
      </c>
      <c r="AT13" s="366">
        <v>209.49</v>
      </c>
      <c r="AU13" s="366">
        <v>336.26</v>
      </c>
      <c r="AV13" s="366">
        <v>831.41</v>
      </c>
      <c r="AW13" s="366">
        <v>333.23</v>
      </c>
      <c r="AX13" s="366">
        <v>422.24</v>
      </c>
      <c r="AY13" s="366">
        <v>183.65</v>
      </c>
      <c r="AZ13" s="366">
        <v>74.599999999999994</v>
      </c>
      <c r="BA13" s="366">
        <v>751.94</v>
      </c>
      <c r="BB13" s="366">
        <v>186.54</v>
      </c>
      <c r="BC13" s="366">
        <v>694</v>
      </c>
      <c r="BD13" s="366">
        <v>603.77</v>
      </c>
      <c r="BE13" s="366">
        <v>425.46</v>
      </c>
      <c r="BF13" s="366">
        <v>532.85</v>
      </c>
      <c r="BG13" s="366">
        <v>205.4</v>
      </c>
      <c r="BH13" s="366">
        <v>366.47</v>
      </c>
      <c r="BI13" s="366">
        <v>351.71</v>
      </c>
      <c r="BJ13" s="366">
        <v>298.17</v>
      </c>
      <c r="BK13" s="366">
        <v>219.06</v>
      </c>
      <c r="BL13" s="366">
        <v>228.51</v>
      </c>
      <c r="BM13" s="366">
        <v>237.72</v>
      </c>
      <c r="BN13" s="366">
        <v>726.68</v>
      </c>
      <c r="BO13" s="366">
        <v>261.26</v>
      </c>
      <c r="BP13" s="366">
        <v>227.12</v>
      </c>
      <c r="BQ13" s="366">
        <v>380.94</v>
      </c>
      <c r="BR13" s="366">
        <v>380.94</v>
      </c>
      <c r="BS13" s="366">
        <v>49.23</v>
      </c>
      <c r="BT13" s="366">
        <v>336.14</v>
      </c>
      <c r="BU13" s="366">
        <v>516.38</v>
      </c>
      <c r="BV13" s="366">
        <v>536</v>
      </c>
      <c r="BW13" s="366">
        <v>395.55</v>
      </c>
      <c r="BX13" s="366">
        <v>108.14</v>
      </c>
      <c r="BY13" s="366">
        <v>448.88</v>
      </c>
      <c r="BZ13" s="366">
        <v>448.88</v>
      </c>
      <c r="CA13" s="366">
        <v>365.17</v>
      </c>
      <c r="CB13" s="366">
        <v>118.37</v>
      </c>
      <c r="CC13" s="366">
        <v>393.41</v>
      </c>
      <c r="CD13" s="366">
        <v>395.81</v>
      </c>
      <c r="CE13" s="366">
        <v>202.29</v>
      </c>
      <c r="CF13" s="366">
        <v>704.79</v>
      </c>
      <c r="CG13" s="366">
        <v>704.79</v>
      </c>
      <c r="CH13" s="366">
        <v>395.94</v>
      </c>
      <c r="CI13" s="366">
        <v>309.43</v>
      </c>
      <c r="CJ13" s="366">
        <v>715.74</v>
      </c>
      <c r="CK13" s="366">
        <v>453.97</v>
      </c>
      <c r="CL13" s="366">
        <v>350.05</v>
      </c>
      <c r="CM13" s="366">
        <v>640.28</v>
      </c>
      <c r="CN13" s="366">
        <v>313.83999999999997</v>
      </c>
      <c r="CO13" s="366">
        <v>350.29</v>
      </c>
      <c r="CP13" s="366">
        <v>374.25</v>
      </c>
      <c r="CQ13" s="366">
        <v>374.25</v>
      </c>
      <c r="CR13" s="366">
        <v>302.69</v>
      </c>
      <c r="CS13" s="366">
        <v>302.69</v>
      </c>
      <c r="CT13" s="366">
        <v>312.13</v>
      </c>
      <c r="CU13" s="366">
        <v>304.26</v>
      </c>
      <c r="CV13" s="366">
        <v>306.86</v>
      </c>
      <c r="CW13" s="366">
        <v>421.4</v>
      </c>
      <c r="CX13" s="366">
        <v>412.48</v>
      </c>
      <c r="CY13" s="366">
        <v>686.7</v>
      </c>
      <c r="CZ13" s="366">
        <v>707.94</v>
      </c>
      <c r="DA13" s="366">
        <v>85.99</v>
      </c>
      <c r="DB13" s="366">
        <v>269.76</v>
      </c>
      <c r="DC13" s="366">
        <v>269.76</v>
      </c>
      <c r="DD13" s="366">
        <v>489.66</v>
      </c>
      <c r="DE13" s="366">
        <v>163.62</v>
      </c>
      <c r="DF13" s="366">
        <v>940.27</v>
      </c>
      <c r="DG13" s="366">
        <v>339.08</v>
      </c>
      <c r="DH13" s="366">
        <v>226.18</v>
      </c>
      <c r="DI13" s="366">
        <v>570.61</v>
      </c>
      <c r="DJ13" s="366">
        <v>724.14</v>
      </c>
      <c r="DK13" s="366">
        <v>145.72</v>
      </c>
      <c r="DL13" s="366">
        <v>522.38</v>
      </c>
      <c r="DM13" s="366">
        <v>37.840000000000003</v>
      </c>
      <c r="DN13" s="366">
        <v>585.37</v>
      </c>
      <c r="DO13" s="366">
        <v>123.72</v>
      </c>
      <c r="DP13" s="366">
        <v>451.35</v>
      </c>
      <c r="DQ13" s="366">
        <v>406.89</v>
      </c>
      <c r="DR13" s="366">
        <v>226.18</v>
      </c>
      <c r="DS13" s="366">
        <v>328.16</v>
      </c>
      <c r="DT13" s="366">
        <v>316.45</v>
      </c>
      <c r="DU13" s="366">
        <v>116.33</v>
      </c>
      <c r="DV13" s="366">
        <v>183.04</v>
      </c>
      <c r="DW13" s="366">
        <v>193.07</v>
      </c>
      <c r="DX13" s="366">
        <v>381.87</v>
      </c>
      <c r="DY13" s="366">
        <v>455.26</v>
      </c>
      <c r="DZ13" s="366">
        <v>499.33</v>
      </c>
      <c r="EA13" s="366">
        <v>333.96</v>
      </c>
      <c r="EB13" s="366">
        <v>449.26</v>
      </c>
      <c r="EC13" s="366">
        <v>246.95</v>
      </c>
      <c r="ED13" s="366">
        <v>600.38</v>
      </c>
      <c r="EE13" s="366">
        <v>611.16999999999996</v>
      </c>
      <c r="EF13" s="366">
        <v>458.58</v>
      </c>
      <c r="EG13" s="366">
        <v>333.23</v>
      </c>
      <c r="EH13" s="366">
        <v>333.23</v>
      </c>
      <c r="EI13" s="366">
        <v>379.46</v>
      </c>
      <c r="EJ13" s="366">
        <v>371.28</v>
      </c>
      <c r="EK13" s="366">
        <v>257.89</v>
      </c>
      <c r="EL13" s="366">
        <v>257.89</v>
      </c>
      <c r="EM13" s="366">
        <v>352</v>
      </c>
      <c r="EN13" s="366">
        <v>352</v>
      </c>
      <c r="EO13" s="366">
        <v>538.6</v>
      </c>
      <c r="EP13" s="366">
        <v>461.46</v>
      </c>
      <c r="EQ13" s="366">
        <v>321.62</v>
      </c>
      <c r="ER13" s="366">
        <v>770.4</v>
      </c>
      <c r="ES13" s="366">
        <v>25.52</v>
      </c>
      <c r="ET13" s="366">
        <v>398.91</v>
      </c>
      <c r="EU13" s="366">
        <v>891.91</v>
      </c>
      <c r="EV13" s="366">
        <v>502.5</v>
      </c>
      <c r="EW13" s="366">
        <v>380.38</v>
      </c>
      <c r="EX13" s="366">
        <v>159.30000000000001</v>
      </c>
      <c r="EY13" s="366">
        <v>159.30000000000001</v>
      </c>
      <c r="EZ13" s="366">
        <v>403.81</v>
      </c>
      <c r="FA13" s="366">
        <v>349.17</v>
      </c>
      <c r="FB13" s="366">
        <v>161.41999999999999</v>
      </c>
      <c r="FC13" s="366">
        <v>402.01</v>
      </c>
      <c r="FD13" s="366">
        <v>291.66000000000003</v>
      </c>
      <c r="FE13" s="366">
        <v>383.29</v>
      </c>
      <c r="FF13" s="366">
        <v>358.47</v>
      </c>
      <c r="FG13" s="366">
        <v>742.98</v>
      </c>
      <c r="FH13" s="366">
        <v>742.98</v>
      </c>
      <c r="FI13" s="366">
        <v>483.37</v>
      </c>
      <c r="FJ13" s="366">
        <v>489.16</v>
      </c>
      <c r="FK13" s="366">
        <v>2.2200000000000002</v>
      </c>
      <c r="FL13" s="366">
        <v>0.41</v>
      </c>
      <c r="FM13" s="366">
        <v>538.6</v>
      </c>
      <c r="FN13" s="366">
        <v>533.25</v>
      </c>
      <c r="FO13" s="366">
        <v>342.33</v>
      </c>
      <c r="FP13" s="366">
        <v>434.36</v>
      </c>
      <c r="FQ13" s="366">
        <v>346.2</v>
      </c>
      <c r="FR13" s="366">
        <v>220.94</v>
      </c>
      <c r="FS13" s="366">
        <v>288.54000000000002</v>
      </c>
      <c r="FT13" s="366">
        <v>739.3</v>
      </c>
      <c r="FU13" s="366">
        <v>297.04000000000002</v>
      </c>
      <c r="FV13" s="366">
        <v>955.81</v>
      </c>
      <c r="FW13" s="366">
        <v>955.81</v>
      </c>
      <c r="FX13" s="366">
        <v>955.81</v>
      </c>
      <c r="FY13" s="366">
        <v>298.31</v>
      </c>
      <c r="FZ13" s="366">
        <v>373.2</v>
      </c>
      <c r="GA13" s="366">
        <v>425.46</v>
      </c>
      <c r="GB13" s="366">
        <v>327.01</v>
      </c>
      <c r="GC13" s="366">
        <v>600.38</v>
      </c>
      <c r="GD13" s="366">
        <v>126.04</v>
      </c>
      <c r="GE13" s="366">
        <v>312.23</v>
      </c>
      <c r="GF13" s="366">
        <v>283.51</v>
      </c>
      <c r="GG13" s="366">
        <v>283.51</v>
      </c>
      <c r="GH13" s="366">
        <v>473.91</v>
      </c>
      <c r="GI13" s="366">
        <v>538.76</v>
      </c>
      <c r="GJ13" s="366">
        <v>538.6</v>
      </c>
      <c r="GK13" s="366">
        <v>1.23</v>
      </c>
      <c r="GL13" s="366">
        <v>365.79</v>
      </c>
      <c r="GM13" s="366">
        <v>365.79</v>
      </c>
      <c r="GN13" s="366">
        <v>365.79</v>
      </c>
      <c r="GO13" s="366">
        <v>504.04</v>
      </c>
      <c r="GP13" s="366">
        <v>430.87</v>
      </c>
      <c r="GQ13" s="366">
        <v>252.56</v>
      </c>
      <c r="GR13" s="366">
        <v>566.83000000000004</v>
      </c>
      <c r="GS13" s="366">
        <v>433.37</v>
      </c>
      <c r="GT13" s="366">
        <v>333.23</v>
      </c>
      <c r="GU13" s="366">
        <v>290.58</v>
      </c>
      <c r="GV13" s="366">
        <v>378.47</v>
      </c>
      <c r="GW13" s="366">
        <v>341.77</v>
      </c>
      <c r="GX13" s="366">
        <v>329.8</v>
      </c>
      <c r="GY13" s="366">
        <v>356.56</v>
      </c>
      <c r="GZ13" s="366">
        <v>291.38</v>
      </c>
      <c r="HA13" s="366">
        <v>347.74</v>
      </c>
      <c r="HB13" s="366">
        <v>347.74</v>
      </c>
      <c r="HC13" s="366">
        <v>347.74</v>
      </c>
      <c r="HD13" s="366">
        <v>535.62</v>
      </c>
      <c r="HE13" s="366">
        <v>345.85</v>
      </c>
      <c r="HF13" s="366">
        <v>302.14</v>
      </c>
      <c r="HG13" s="366">
        <v>306.74</v>
      </c>
      <c r="HH13" s="366">
        <v>306.74</v>
      </c>
      <c r="HI13" s="366">
        <v>306.74</v>
      </c>
      <c r="HJ13" s="366">
        <v>304.38</v>
      </c>
      <c r="HK13" s="366">
        <v>405.72</v>
      </c>
      <c r="HL13" s="366">
        <v>399.85</v>
      </c>
      <c r="HM13" s="366">
        <v>535.88</v>
      </c>
      <c r="HN13" s="366">
        <v>538.6</v>
      </c>
      <c r="HO13" s="366">
        <v>860.07</v>
      </c>
      <c r="HP13" s="366">
        <v>292.10000000000002</v>
      </c>
      <c r="HQ13" s="366">
        <v>955.81</v>
      </c>
      <c r="HR13" s="366">
        <v>706.06</v>
      </c>
      <c r="HS13" s="366">
        <v>534.85</v>
      </c>
      <c r="HT13" s="366">
        <v>417.17</v>
      </c>
      <c r="HU13" s="366">
        <v>384.42</v>
      </c>
      <c r="HV13" s="366">
        <v>402.74</v>
      </c>
    </row>
    <row r="14" spans="1:230">
      <c r="A14" s="366" t="s">
        <v>37</v>
      </c>
      <c r="B14" s="366">
        <v>988.81</v>
      </c>
      <c r="C14" s="366">
        <v>122.32</v>
      </c>
      <c r="D14" s="366">
        <v>318.41000000000003</v>
      </c>
      <c r="E14" s="366">
        <v>318.41000000000003</v>
      </c>
      <c r="F14" s="366">
        <v>1052.71</v>
      </c>
      <c r="G14" s="366">
        <v>789.22</v>
      </c>
      <c r="H14" s="366">
        <v>362.03</v>
      </c>
      <c r="I14" s="366">
        <v>498.54</v>
      </c>
      <c r="J14" s="366">
        <v>385.81</v>
      </c>
      <c r="K14" s="366">
        <v>385.81</v>
      </c>
      <c r="L14" s="366">
        <v>300.5</v>
      </c>
      <c r="M14" s="366">
        <v>147.94</v>
      </c>
      <c r="N14" s="366">
        <v>0</v>
      </c>
      <c r="O14" s="366">
        <v>463.37</v>
      </c>
      <c r="P14" s="366">
        <v>463.37</v>
      </c>
      <c r="Q14" s="366">
        <v>463.37</v>
      </c>
      <c r="R14" s="366">
        <v>463.37</v>
      </c>
      <c r="S14" s="366">
        <v>463.37</v>
      </c>
      <c r="T14" s="366">
        <v>573.04</v>
      </c>
      <c r="U14" s="366">
        <v>897.26</v>
      </c>
      <c r="V14" s="366">
        <v>471.71</v>
      </c>
      <c r="W14" s="366">
        <v>599.4</v>
      </c>
      <c r="X14" s="366">
        <v>599.4</v>
      </c>
      <c r="Y14" s="366">
        <v>599.4</v>
      </c>
      <c r="Z14" s="366">
        <v>184.84</v>
      </c>
      <c r="AA14" s="366">
        <v>783.39</v>
      </c>
      <c r="AB14" s="366">
        <v>632.78</v>
      </c>
      <c r="AC14" s="366">
        <v>635.24</v>
      </c>
      <c r="AD14" s="366">
        <v>635.24</v>
      </c>
      <c r="AE14" s="366">
        <v>369.31</v>
      </c>
      <c r="AF14" s="366">
        <v>802.96</v>
      </c>
      <c r="AG14" s="366">
        <v>600.91999999999996</v>
      </c>
      <c r="AH14" s="366">
        <v>452.49</v>
      </c>
      <c r="AI14" s="366">
        <v>452.49</v>
      </c>
      <c r="AJ14" s="366">
        <v>452.49</v>
      </c>
      <c r="AK14" s="366">
        <v>167.6</v>
      </c>
      <c r="AL14" s="366">
        <v>167.6</v>
      </c>
      <c r="AM14" s="366">
        <v>635.5</v>
      </c>
      <c r="AN14" s="366">
        <v>422.54</v>
      </c>
      <c r="AO14" s="366">
        <v>805.83</v>
      </c>
      <c r="AP14" s="366">
        <v>561.76</v>
      </c>
      <c r="AQ14" s="366">
        <v>1009.25</v>
      </c>
      <c r="AR14" s="366">
        <v>448.58</v>
      </c>
      <c r="AS14" s="366">
        <v>306.39</v>
      </c>
      <c r="AT14" s="366">
        <v>306.39</v>
      </c>
      <c r="AU14" s="366">
        <v>386.57</v>
      </c>
      <c r="AV14" s="366">
        <v>928.31</v>
      </c>
      <c r="AW14" s="366">
        <v>430.13</v>
      </c>
      <c r="AX14" s="366">
        <v>519.14</v>
      </c>
      <c r="AY14" s="366">
        <v>35.71</v>
      </c>
      <c r="AZ14" s="366">
        <v>171.5</v>
      </c>
      <c r="BA14" s="366">
        <v>848.84</v>
      </c>
      <c r="BB14" s="366">
        <v>38.6</v>
      </c>
      <c r="BC14" s="366">
        <v>790.9</v>
      </c>
      <c r="BD14" s="366">
        <v>700.67</v>
      </c>
      <c r="BE14" s="366">
        <v>475.77</v>
      </c>
      <c r="BF14" s="366">
        <v>629.75</v>
      </c>
      <c r="BG14" s="366">
        <v>181.36</v>
      </c>
      <c r="BH14" s="366">
        <v>463.37</v>
      </c>
      <c r="BI14" s="366">
        <v>448.61</v>
      </c>
      <c r="BJ14" s="366">
        <v>274.13</v>
      </c>
      <c r="BK14" s="366">
        <v>315.95999999999998</v>
      </c>
      <c r="BL14" s="366">
        <v>325.41000000000003</v>
      </c>
      <c r="BM14" s="366">
        <v>334.62</v>
      </c>
      <c r="BN14" s="366">
        <v>823.58</v>
      </c>
      <c r="BO14" s="366">
        <v>358.16</v>
      </c>
      <c r="BP14" s="366">
        <v>324.02</v>
      </c>
      <c r="BQ14" s="366">
        <v>477.84</v>
      </c>
      <c r="BR14" s="366">
        <v>477.84</v>
      </c>
      <c r="BS14" s="366">
        <v>146.13</v>
      </c>
      <c r="BT14" s="366">
        <v>433.04</v>
      </c>
      <c r="BU14" s="366">
        <v>613.28</v>
      </c>
      <c r="BV14" s="366">
        <v>632.9</v>
      </c>
      <c r="BW14" s="366">
        <v>445.86</v>
      </c>
      <c r="BX14" s="366">
        <v>205.04</v>
      </c>
      <c r="BY14" s="366">
        <v>499.19</v>
      </c>
      <c r="BZ14" s="366">
        <v>499.19</v>
      </c>
      <c r="CA14" s="366">
        <v>462.07</v>
      </c>
      <c r="CB14" s="366">
        <v>215.27</v>
      </c>
      <c r="CC14" s="366">
        <v>490.31</v>
      </c>
      <c r="CD14" s="366">
        <v>492.71</v>
      </c>
      <c r="CE14" s="366">
        <v>299.19</v>
      </c>
      <c r="CF14" s="366">
        <v>801.69</v>
      </c>
      <c r="CG14" s="366">
        <v>801.69</v>
      </c>
      <c r="CH14" s="366">
        <v>492.84</v>
      </c>
      <c r="CI14" s="366">
        <v>406.33</v>
      </c>
      <c r="CJ14" s="366">
        <v>812.64</v>
      </c>
      <c r="CK14" s="366">
        <v>504.28</v>
      </c>
      <c r="CL14" s="366">
        <v>400.36</v>
      </c>
      <c r="CM14" s="366">
        <v>737.18</v>
      </c>
      <c r="CN14" s="366">
        <v>289.8</v>
      </c>
      <c r="CO14" s="366">
        <v>447.19</v>
      </c>
      <c r="CP14" s="366">
        <v>471.15</v>
      </c>
      <c r="CQ14" s="366">
        <v>471.15</v>
      </c>
      <c r="CR14" s="366">
        <v>399.59</v>
      </c>
      <c r="CS14" s="366">
        <v>399.59</v>
      </c>
      <c r="CT14" s="366">
        <v>409.03</v>
      </c>
      <c r="CU14" s="366">
        <v>401.16</v>
      </c>
      <c r="CV14" s="366">
        <v>403.76</v>
      </c>
      <c r="CW14" s="366">
        <v>471.71</v>
      </c>
      <c r="CX14" s="366">
        <v>509.38</v>
      </c>
      <c r="CY14" s="366">
        <v>783.6</v>
      </c>
      <c r="CZ14" s="366">
        <v>804.84</v>
      </c>
      <c r="DA14" s="366">
        <v>61.95</v>
      </c>
      <c r="DB14" s="366">
        <v>245.72</v>
      </c>
      <c r="DC14" s="366">
        <v>245.72</v>
      </c>
      <c r="DD14" s="366">
        <v>586.55999999999995</v>
      </c>
      <c r="DE14" s="366">
        <v>15.68</v>
      </c>
      <c r="DF14" s="366">
        <v>1037.17</v>
      </c>
      <c r="DG14" s="366">
        <v>435.98</v>
      </c>
      <c r="DH14" s="366">
        <v>78.239999999999995</v>
      </c>
      <c r="DI14" s="366">
        <v>667.51</v>
      </c>
      <c r="DJ14" s="366">
        <v>821.04</v>
      </c>
      <c r="DK14" s="366">
        <v>242.62</v>
      </c>
      <c r="DL14" s="366">
        <v>619.28</v>
      </c>
      <c r="DM14" s="366">
        <v>134.74</v>
      </c>
      <c r="DN14" s="366">
        <v>682.27</v>
      </c>
      <c r="DO14" s="366">
        <v>220.62</v>
      </c>
      <c r="DP14" s="366">
        <v>548.25</v>
      </c>
      <c r="DQ14" s="366">
        <v>457.2</v>
      </c>
      <c r="DR14" s="366">
        <v>78.239999999999995</v>
      </c>
      <c r="DS14" s="366">
        <v>425.06</v>
      </c>
      <c r="DT14" s="366">
        <v>413.35</v>
      </c>
      <c r="DU14" s="366">
        <v>92.29</v>
      </c>
      <c r="DV14" s="366">
        <v>159</v>
      </c>
      <c r="DW14" s="366">
        <v>289.97000000000003</v>
      </c>
      <c r="DX14" s="366">
        <v>432.18</v>
      </c>
      <c r="DY14" s="366">
        <v>505.57</v>
      </c>
      <c r="DZ14" s="366">
        <v>596.23</v>
      </c>
      <c r="EA14" s="366">
        <v>430.86</v>
      </c>
      <c r="EB14" s="366">
        <v>499.57</v>
      </c>
      <c r="EC14" s="366">
        <v>343.85</v>
      </c>
      <c r="ED14" s="366">
        <v>697.28</v>
      </c>
      <c r="EE14" s="366">
        <v>708.07</v>
      </c>
      <c r="EF14" s="366">
        <v>555.48</v>
      </c>
      <c r="EG14" s="366">
        <v>430.13</v>
      </c>
      <c r="EH14" s="366">
        <v>430.13</v>
      </c>
      <c r="EI14" s="366">
        <v>476.36</v>
      </c>
      <c r="EJ14" s="366">
        <v>468.18</v>
      </c>
      <c r="EK14" s="366">
        <v>354.79</v>
      </c>
      <c r="EL14" s="366">
        <v>354.79</v>
      </c>
      <c r="EM14" s="366">
        <v>351.84</v>
      </c>
      <c r="EN14" s="366">
        <v>351.84</v>
      </c>
      <c r="EO14" s="366">
        <v>635.5</v>
      </c>
      <c r="EP14" s="366">
        <v>558.36</v>
      </c>
      <c r="EQ14" s="366">
        <v>418.52</v>
      </c>
      <c r="ER14" s="366">
        <v>867.3</v>
      </c>
      <c r="ES14" s="366">
        <v>122.42</v>
      </c>
      <c r="ET14" s="366">
        <v>495.81</v>
      </c>
      <c r="EU14" s="366">
        <v>988.81</v>
      </c>
      <c r="EV14" s="366">
        <v>599.4</v>
      </c>
      <c r="EW14" s="366">
        <v>477.28</v>
      </c>
      <c r="EX14" s="366">
        <v>256.2</v>
      </c>
      <c r="EY14" s="366">
        <v>256.2</v>
      </c>
      <c r="EZ14" s="366">
        <v>454.12</v>
      </c>
      <c r="FA14" s="366">
        <v>373.66</v>
      </c>
      <c r="FB14" s="366">
        <v>258.32</v>
      </c>
      <c r="FC14" s="366">
        <v>452.32</v>
      </c>
      <c r="FD14" s="366">
        <v>388.56</v>
      </c>
      <c r="FE14" s="366">
        <v>480.19</v>
      </c>
      <c r="FF14" s="366">
        <v>455.37</v>
      </c>
      <c r="FG14" s="366">
        <v>839.88</v>
      </c>
      <c r="FH14" s="366">
        <v>839.88</v>
      </c>
      <c r="FI14" s="366">
        <v>580.27</v>
      </c>
      <c r="FJ14" s="366">
        <v>586.05999999999995</v>
      </c>
      <c r="FK14" s="366">
        <v>150.16</v>
      </c>
      <c r="FL14" s="366">
        <v>148.35</v>
      </c>
      <c r="FM14" s="366">
        <v>635.5</v>
      </c>
      <c r="FN14" s="366">
        <v>630.15</v>
      </c>
      <c r="FO14" s="366">
        <v>439.23</v>
      </c>
      <c r="FP14" s="366">
        <v>484.67</v>
      </c>
      <c r="FQ14" s="366">
        <v>443.1</v>
      </c>
      <c r="FR14" s="366">
        <v>317.83999999999997</v>
      </c>
      <c r="FS14" s="366">
        <v>385.44</v>
      </c>
      <c r="FT14" s="366">
        <v>836.2</v>
      </c>
      <c r="FU14" s="366">
        <v>393.94</v>
      </c>
      <c r="FV14" s="366">
        <v>1052.71</v>
      </c>
      <c r="FW14" s="366">
        <v>1052.71</v>
      </c>
      <c r="FX14" s="366">
        <v>1052.71</v>
      </c>
      <c r="FY14" s="366">
        <v>381.91</v>
      </c>
      <c r="FZ14" s="366">
        <v>470.1</v>
      </c>
      <c r="GA14" s="366">
        <v>475.77</v>
      </c>
      <c r="GB14" s="366">
        <v>423.91</v>
      </c>
      <c r="GC14" s="366">
        <v>697.28</v>
      </c>
      <c r="GD14" s="366">
        <v>222.94</v>
      </c>
      <c r="GE14" s="366">
        <v>409.13</v>
      </c>
      <c r="GF14" s="366">
        <v>380.41</v>
      </c>
      <c r="GG14" s="366">
        <v>380.41</v>
      </c>
      <c r="GH14" s="366">
        <v>524.22</v>
      </c>
      <c r="GI14" s="366">
        <v>635.66</v>
      </c>
      <c r="GJ14" s="366">
        <v>635.5</v>
      </c>
      <c r="GK14" s="366">
        <v>146.71</v>
      </c>
      <c r="GL14" s="366">
        <v>462.69</v>
      </c>
      <c r="GM14" s="366">
        <v>462.69</v>
      </c>
      <c r="GN14" s="366">
        <v>462.69</v>
      </c>
      <c r="GO14" s="366">
        <v>600.94000000000005</v>
      </c>
      <c r="GP14" s="366">
        <v>481.18</v>
      </c>
      <c r="GQ14" s="366">
        <v>349.46</v>
      </c>
      <c r="GR14" s="366">
        <v>663.73</v>
      </c>
      <c r="GS14" s="366">
        <v>530.27</v>
      </c>
      <c r="GT14" s="366">
        <v>430.13</v>
      </c>
      <c r="GU14" s="366">
        <v>387.48</v>
      </c>
      <c r="GV14" s="366">
        <v>475.37</v>
      </c>
      <c r="GW14" s="366">
        <v>438.67</v>
      </c>
      <c r="GX14" s="366">
        <v>426.7</v>
      </c>
      <c r="GY14" s="366">
        <v>453.46</v>
      </c>
      <c r="GZ14" s="366">
        <v>388.28</v>
      </c>
      <c r="HA14" s="366">
        <v>444.64</v>
      </c>
      <c r="HB14" s="366">
        <v>444.64</v>
      </c>
      <c r="HC14" s="366">
        <v>444.64</v>
      </c>
      <c r="HD14" s="366">
        <v>632.52</v>
      </c>
      <c r="HE14" s="366">
        <v>345.69</v>
      </c>
      <c r="HF14" s="366">
        <v>342.56</v>
      </c>
      <c r="HG14" s="366">
        <v>282.7</v>
      </c>
      <c r="HH14" s="366">
        <v>282.7</v>
      </c>
      <c r="HI14" s="366">
        <v>282.7</v>
      </c>
      <c r="HJ14" s="366">
        <v>401.28</v>
      </c>
      <c r="HK14" s="366">
        <v>502.62</v>
      </c>
      <c r="HL14" s="366">
        <v>496.75</v>
      </c>
      <c r="HM14" s="366">
        <v>632.78</v>
      </c>
      <c r="HN14" s="366">
        <v>635.5</v>
      </c>
      <c r="HO14" s="366">
        <v>956.97</v>
      </c>
      <c r="HP14" s="366">
        <v>389</v>
      </c>
      <c r="HQ14" s="366">
        <v>1052.71</v>
      </c>
      <c r="HR14" s="366">
        <v>802.96</v>
      </c>
      <c r="HS14" s="366">
        <v>631.75</v>
      </c>
      <c r="HT14" s="366">
        <v>514.07000000000005</v>
      </c>
      <c r="HU14" s="366">
        <v>481.32</v>
      </c>
      <c r="HV14" s="366">
        <v>499.64</v>
      </c>
    </row>
    <row r="15" spans="1:230">
      <c r="A15" s="366" t="s">
        <v>38</v>
      </c>
      <c r="B15" s="366">
        <v>761.13</v>
      </c>
      <c r="C15" s="366">
        <v>341.05</v>
      </c>
      <c r="D15" s="366">
        <v>241.82</v>
      </c>
      <c r="E15" s="366">
        <v>241.82</v>
      </c>
      <c r="F15" s="366">
        <v>825.03</v>
      </c>
      <c r="G15" s="366">
        <v>632.6</v>
      </c>
      <c r="H15" s="366">
        <v>285.44</v>
      </c>
      <c r="I15" s="366">
        <v>251.65</v>
      </c>
      <c r="J15" s="366">
        <v>309.22000000000003</v>
      </c>
      <c r="K15" s="366">
        <v>309.22000000000003</v>
      </c>
      <c r="L15" s="366">
        <v>232.43</v>
      </c>
      <c r="M15" s="366">
        <v>366.47</v>
      </c>
      <c r="N15" s="366">
        <v>463.37</v>
      </c>
      <c r="O15" s="366">
        <v>0</v>
      </c>
      <c r="P15" s="366">
        <v>0</v>
      </c>
      <c r="Q15" s="366">
        <v>0</v>
      </c>
      <c r="R15" s="366">
        <v>0</v>
      </c>
      <c r="S15" s="366">
        <v>0</v>
      </c>
      <c r="T15" s="366">
        <v>326.14999999999998</v>
      </c>
      <c r="U15" s="366">
        <v>740.64</v>
      </c>
      <c r="V15" s="366">
        <v>184.33</v>
      </c>
      <c r="W15" s="366">
        <v>469.51</v>
      </c>
      <c r="X15" s="366">
        <v>469.51</v>
      </c>
      <c r="Y15" s="366">
        <v>469.51</v>
      </c>
      <c r="Z15" s="366">
        <v>333.81</v>
      </c>
      <c r="AA15" s="366">
        <v>626.77</v>
      </c>
      <c r="AB15" s="366">
        <v>385.89</v>
      </c>
      <c r="AC15" s="366">
        <v>388.35</v>
      </c>
      <c r="AD15" s="366">
        <v>388.35</v>
      </c>
      <c r="AE15" s="366">
        <v>190.92</v>
      </c>
      <c r="AF15" s="366">
        <v>646.34</v>
      </c>
      <c r="AG15" s="366">
        <v>471.03</v>
      </c>
      <c r="AH15" s="366">
        <v>205.6</v>
      </c>
      <c r="AI15" s="366">
        <v>205.6</v>
      </c>
      <c r="AJ15" s="366">
        <v>205.6</v>
      </c>
      <c r="AK15" s="366">
        <v>356.01</v>
      </c>
      <c r="AL15" s="366">
        <v>356.01</v>
      </c>
      <c r="AM15" s="366">
        <v>388.61</v>
      </c>
      <c r="AN15" s="366">
        <v>40.83</v>
      </c>
      <c r="AO15" s="366">
        <v>639.72</v>
      </c>
      <c r="AP15" s="366">
        <v>314.87</v>
      </c>
      <c r="AQ15" s="366">
        <v>781.57</v>
      </c>
      <c r="AR15" s="366">
        <v>371.99</v>
      </c>
      <c r="AS15" s="366">
        <v>156.97999999999999</v>
      </c>
      <c r="AT15" s="366">
        <v>156.97999999999999</v>
      </c>
      <c r="AU15" s="366">
        <v>132.08000000000001</v>
      </c>
      <c r="AV15" s="366">
        <v>771.69</v>
      </c>
      <c r="AW15" s="366">
        <v>353.54</v>
      </c>
      <c r="AX15" s="366">
        <v>272.25</v>
      </c>
      <c r="AY15" s="366">
        <v>499.08</v>
      </c>
      <c r="AZ15" s="366">
        <v>309.67</v>
      </c>
      <c r="BA15" s="366">
        <v>601.95000000000005</v>
      </c>
      <c r="BB15" s="366">
        <v>501.97</v>
      </c>
      <c r="BC15" s="366">
        <v>544.01</v>
      </c>
      <c r="BD15" s="366">
        <v>453.78</v>
      </c>
      <c r="BE15" s="366">
        <v>188.39</v>
      </c>
      <c r="BF15" s="366">
        <v>382.86</v>
      </c>
      <c r="BG15" s="366">
        <v>341.36</v>
      </c>
      <c r="BH15" s="366">
        <v>0</v>
      </c>
      <c r="BI15" s="366">
        <v>372.02</v>
      </c>
      <c r="BJ15" s="366">
        <v>279.48</v>
      </c>
      <c r="BK15" s="366">
        <v>377.45</v>
      </c>
      <c r="BL15" s="366">
        <v>234.82</v>
      </c>
      <c r="BM15" s="366">
        <v>258.02999999999997</v>
      </c>
      <c r="BN15" s="366">
        <v>666.96</v>
      </c>
      <c r="BO15" s="366">
        <v>419.65</v>
      </c>
      <c r="BP15" s="366">
        <v>385.51</v>
      </c>
      <c r="BQ15" s="366">
        <v>230.95</v>
      </c>
      <c r="BR15" s="366">
        <v>230.95</v>
      </c>
      <c r="BS15" s="366">
        <v>317.24</v>
      </c>
      <c r="BT15" s="366">
        <v>356.45</v>
      </c>
      <c r="BU15" s="366">
        <v>366.39</v>
      </c>
      <c r="BV15" s="366">
        <v>386.01</v>
      </c>
      <c r="BW15" s="366">
        <v>191.37</v>
      </c>
      <c r="BX15" s="366">
        <v>258.33</v>
      </c>
      <c r="BY15" s="366">
        <v>211.81</v>
      </c>
      <c r="BZ15" s="366">
        <v>211.81</v>
      </c>
      <c r="CA15" s="366">
        <v>385.48</v>
      </c>
      <c r="CB15" s="366">
        <v>276.76</v>
      </c>
      <c r="CC15" s="366">
        <v>243.42</v>
      </c>
      <c r="CD15" s="366">
        <v>245.82</v>
      </c>
      <c r="CE15" s="366">
        <v>360.68</v>
      </c>
      <c r="CF15" s="366">
        <v>645.07000000000005</v>
      </c>
      <c r="CG15" s="366">
        <v>645.07000000000005</v>
      </c>
      <c r="CH15" s="366">
        <v>245.95</v>
      </c>
      <c r="CI15" s="366">
        <v>126.8</v>
      </c>
      <c r="CJ15" s="366">
        <v>656.02</v>
      </c>
      <c r="CK15" s="366">
        <v>216.9</v>
      </c>
      <c r="CL15" s="366">
        <v>118.29</v>
      </c>
      <c r="CM15" s="366">
        <v>490.29</v>
      </c>
      <c r="CN15" s="366">
        <v>228.85</v>
      </c>
      <c r="CO15" s="366">
        <v>370.6</v>
      </c>
      <c r="CP15" s="366">
        <v>224.26</v>
      </c>
      <c r="CQ15" s="366">
        <v>224.26</v>
      </c>
      <c r="CR15" s="366">
        <v>323</v>
      </c>
      <c r="CS15" s="366">
        <v>323</v>
      </c>
      <c r="CT15" s="366">
        <v>332.44</v>
      </c>
      <c r="CU15" s="366">
        <v>324.57</v>
      </c>
      <c r="CV15" s="366">
        <v>327.17</v>
      </c>
      <c r="CW15" s="366">
        <v>184.33</v>
      </c>
      <c r="CX15" s="366">
        <v>262.49</v>
      </c>
      <c r="CY15" s="366">
        <v>536.71</v>
      </c>
      <c r="CZ15" s="366">
        <v>557.95000000000005</v>
      </c>
      <c r="DA15" s="366">
        <v>401.42</v>
      </c>
      <c r="DB15" s="366">
        <v>275.45999999999998</v>
      </c>
      <c r="DC15" s="366">
        <v>275.45999999999998</v>
      </c>
      <c r="DD15" s="366">
        <v>456.67</v>
      </c>
      <c r="DE15" s="366">
        <v>479.05</v>
      </c>
      <c r="DF15" s="366">
        <v>809.49</v>
      </c>
      <c r="DG15" s="366">
        <v>156.44999999999999</v>
      </c>
      <c r="DH15" s="366">
        <v>541.61</v>
      </c>
      <c r="DI15" s="366">
        <v>510.89</v>
      </c>
      <c r="DJ15" s="366">
        <v>574.15</v>
      </c>
      <c r="DK15" s="366">
        <v>220.75</v>
      </c>
      <c r="DL15" s="366">
        <v>372.39</v>
      </c>
      <c r="DM15" s="366">
        <v>328.63</v>
      </c>
      <c r="DN15" s="366">
        <v>525.65</v>
      </c>
      <c r="DO15" s="366">
        <v>247.32</v>
      </c>
      <c r="DP15" s="366">
        <v>418.36</v>
      </c>
      <c r="DQ15" s="366">
        <v>187.39</v>
      </c>
      <c r="DR15" s="366">
        <v>541.61</v>
      </c>
      <c r="DS15" s="366">
        <v>348.47</v>
      </c>
      <c r="DT15" s="366">
        <v>336.76</v>
      </c>
      <c r="DU15" s="366">
        <v>426.36</v>
      </c>
      <c r="DV15" s="366">
        <v>359.65</v>
      </c>
      <c r="DW15" s="366">
        <v>173.4</v>
      </c>
      <c r="DX15" s="366">
        <v>177.69</v>
      </c>
      <c r="DY15" s="366">
        <v>218.19</v>
      </c>
      <c r="DZ15" s="366">
        <v>466.34</v>
      </c>
      <c r="EA15" s="366">
        <v>354.27</v>
      </c>
      <c r="EB15" s="366">
        <v>212.19</v>
      </c>
      <c r="EC15" s="366">
        <v>267.26</v>
      </c>
      <c r="ED15" s="366">
        <v>540.66</v>
      </c>
      <c r="EE15" s="366">
        <v>551.45000000000005</v>
      </c>
      <c r="EF15" s="366">
        <v>308.58999999999997</v>
      </c>
      <c r="EG15" s="366">
        <v>353.54</v>
      </c>
      <c r="EH15" s="366">
        <v>353.54</v>
      </c>
      <c r="EI15" s="366">
        <v>229.47</v>
      </c>
      <c r="EJ15" s="366">
        <v>529.66999999999996</v>
      </c>
      <c r="EK15" s="366">
        <v>123.26</v>
      </c>
      <c r="EL15" s="366">
        <v>123.26</v>
      </c>
      <c r="EM15" s="366">
        <v>179.11</v>
      </c>
      <c r="EN15" s="366">
        <v>179.11</v>
      </c>
      <c r="EO15" s="366">
        <v>388.61</v>
      </c>
      <c r="EP15" s="366">
        <v>311.47000000000003</v>
      </c>
      <c r="EQ15" s="366">
        <v>341.93</v>
      </c>
      <c r="ER15" s="366">
        <v>710.68</v>
      </c>
      <c r="ES15" s="366">
        <v>340.95</v>
      </c>
      <c r="ET15" s="366">
        <v>248.92</v>
      </c>
      <c r="EU15" s="366">
        <v>761.13</v>
      </c>
      <c r="EV15" s="366">
        <v>469.51</v>
      </c>
      <c r="EW15" s="366">
        <v>230.39</v>
      </c>
      <c r="EX15" s="366">
        <v>317.69</v>
      </c>
      <c r="EY15" s="366">
        <v>317.69</v>
      </c>
      <c r="EZ15" s="366">
        <v>64.53</v>
      </c>
      <c r="FA15" s="366">
        <v>144.99</v>
      </c>
      <c r="FB15" s="366">
        <v>205.05</v>
      </c>
      <c r="FC15" s="366">
        <v>197.83</v>
      </c>
      <c r="FD15" s="366">
        <v>80.08</v>
      </c>
      <c r="FE15" s="366">
        <v>233.3</v>
      </c>
      <c r="FF15" s="366">
        <v>208.48</v>
      </c>
      <c r="FG15" s="366">
        <v>592.99</v>
      </c>
      <c r="FH15" s="366">
        <v>592.99</v>
      </c>
      <c r="FI15" s="366">
        <v>450.38</v>
      </c>
      <c r="FJ15" s="366">
        <v>456.17</v>
      </c>
      <c r="FK15" s="366">
        <v>368.69</v>
      </c>
      <c r="FL15" s="366">
        <v>366.88</v>
      </c>
      <c r="FM15" s="366">
        <v>388.61</v>
      </c>
      <c r="FN15" s="366">
        <v>500.26</v>
      </c>
      <c r="FO15" s="366">
        <v>362.64</v>
      </c>
      <c r="FP15" s="366">
        <v>197.29</v>
      </c>
      <c r="FQ15" s="366">
        <v>366.51</v>
      </c>
      <c r="FR15" s="366">
        <v>249.77</v>
      </c>
      <c r="FS15" s="366">
        <v>173.01</v>
      </c>
      <c r="FT15" s="366">
        <v>589.30999999999995</v>
      </c>
      <c r="FU15" s="366">
        <v>114.41</v>
      </c>
      <c r="FV15" s="366">
        <v>825.03</v>
      </c>
      <c r="FW15" s="366">
        <v>825.03</v>
      </c>
      <c r="FX15" s="366">
        <v>825.03</v>
      </c>
      <c r="FY15" s="366">
        <v>170.03</v>
      </c>
      <c r="FZ15" s="366">
        <v>223.21</v>
      </c>
      <c r="GA15" s="366">
        <v>188.39</v>
      </c>
      <c r="GB15" s="366">
        <v>211.48</v>
      </c>
      <c r="GC15" s="366">
        <v>540.66</v>
      </c>
      <c r="GD15" s="366">
        <v>240.43</v>
      </c>
      <c r="GE15" s="366">
        <v>332.54</v>
      </c>
      <c r="GF15" s="366">
        <v>100.88</v>
      </c>
      <c r="GG15" s="366">
        <v>100.88</v>
      </c>
      <c r="GH15" s="366">
        <v>236.84</v>
      </c>
      <c r="GI15" s="366">
        <v>388.77</v>
      </c>
      <c r="GJ15" s="366">
        <v>388.61</v>
      </c>
      <c r="GK15" s="366">
        <v>365.24</v>
      </c>
      <c r="GL15" s="366">
        <v>215.8</v>
      </c>
      <c r="GM15" s="366">
        <v>215.8</v>
      </c>
      <c r="GN15" s="366">
        <v>215.8</v>
      </c>
      <c r="GO15" s="366">
        <v>354.05</v>
      </c>
      <c r="GP15" s="366">
        <v>193.8</v>
      </c>
      <c r="GQ15" s="366">
        <v>410.95</v>
      </c>
      <c r="GR15" s="366">
        <v>416.84</v>
      </c>
      <c r="GS15" s="366">
        <v>283.38</v>
      </c>
      <c r="GT15" s="366">
        <v>353.54</v>
      </c>
      <c r="GU15" s="366">
        <v>175.63</v>
      </c>
      <c r="GV15" s="366">
        <v>536.86</v>
      </c>
      <c r="GW15" s="366">
        <v>191.78</v>
      </c>
      <c r="GX15" s="366">
        <v>350.11</v>
      </c>
      <c r="GY15" s="366">
        <v>206.57</v>
      </c>
      <c r="GZ15" s="366">
        <v>75.09</v>
      </c>
      <c r="HA15" s="366">
        <v>368.05</v>
      </c>
      <c r="HB15" s="366">
        <v>368.05</v>
      </c>
      <c r="HC15" s="366">
        <v>368.05</v>
      </c>
      <c r="HD15" s="366">
        <v>502.63</v>
      </c>
      <c r="HE15" s="366">
        <v>172.96</v>
      </c>
      <c r="HF15" s="366">
        <v>180.97</v>
      </c>
      <c r="HG15" s="366">
        <v>304.45999999999998</v>
      </c>
      <c r="HH15" s="366">
        <v>304.45999999999998</v>
      </c>
      <c r="HI15" s="366">
        <v>304.45999999999998</v>
      </c>
      <c r="HJ15" s="366">
        <v>121.75</v>
      </c>
      <c r="HK15" s="366">
        <v>426.03</v>
      </c>
      <c r="HL15" s="366">
        <v>33.380000000000003</v>
      </c>
      <c r="HM15" s="366">
        <v>385.89</v>
      </c>
      <c r="HN15" s="366">
        <v>388.61</v>
      </c>
      <c r="HO15" s="366">
        <v>794.33</v>
      </c>
      <c r="HP15" s="366">
        <v>80.52</v>
      </c>
      <c r="HQ15" s="366">
        <v>825.03</v>
      </c>
      <c r="HR15" s="366">
        <v>646.34</v>
      </c>
      <c r="HS15" s="366">
        <v>384.86</v>
      </c>
      <c r="HT15" s="366">
        <v>267.18</v>
      </c>
      <c r="HU15" s="366">
        <v>234.43</v>
      </c>
      <c r="HV15" s="366">
        <v>252.75</v>
      </c>
    </row>
    <row r="16" spans="1:230">
      <c r="A16" s="366" t="s">
        <v>39</v>
      </c>
      <c r="B16" s="366">
        <v>761.13</v>
      </c>
      <c r="C16" s="366">
        <v>341.05</v>
      </c>
      <c r="D16" s="366">
        <v>241.82</v>
      </c>
      <c r="E16" s="366">
        <v>241.82</v>
      </c>
      <c r="F16" s="366">
        <v>825.03</v>
      </c>
      <c r="G16" s="366">
        <v>632.6</v>
      </c>
      <c r="H16" s="366">
        <v>285.44</v>
      </c>
      <c r="I16" s="366">
        <v>251.65</v>
      </c>
      <c r="J16" s="366">
        <v>309.22000000000003</v>
      </c>
      <c r="K16" s="366">
        <v>309.22000000000003</v>
      </c>
      <c r="L16" s="366">
        <v>232.43</v>
      </c>
      <c r="M16" s="366">
        <v>366.47</v>
      </c>
      <c r="N16" s="366">
        <v>463.37</v>
      </c>
      <c r="O16" s="366">
        <v>0</v>
      </c>
      <c r="P16" s="366">
        <v>0</v>
      </c>
      <c r="Q16" s="366">
        <v>0</v>
      </c>
      <c r="R16" s="366">
        <v>0</v>
      </c>
      <c r="S16" s="366">
        <v>0</v>
      </c>
      <c r="T16" s="366">
        <v>326.14999999999998</v>
      </c>
      <c r="U16" s="366">
        <v>740.64</v>
      </c>
      <c r="V16" s="366">
        <v>184.33</v>
      </c>
      <c r="W16" s="366">
        <v>469.51</v>
      </c>
      <c r="X16" s="366">
        <v>469.51</v>
      </c>
      <c r="Y16" s="366">
        <v>469.51</v>
      </c>
      <c r="Z16" s="366">
        <v>333.81</v>
      </c>
      <c r="AA16" s="366">
        <v>626.77</v>
      </c>
      <c r="AB16" s="366">
        <v>385.89</v>
      </c>
      <c r="AC16" s="366">
        <v>388.35</v>
      </c>
      <c r="AD16" s="366">
        <v>388.35</v>
      </c>
      <c r="AE16" s="366">
        <v>190.92</v>
      </c>
      <c r="AF16" s="366">
        <v>646.34</v>
      </c>
      <c r="AG16" s="366">
        <v>471.03</v>
      </c>
      <c r="AH16" s="366">
        <v>205.6</v>
      </c>
      <c r="AI16" s="366">
        <v>205.6</v>
      </c>
      <c r="AJ16" s="366">
        <v>205.6</v>
      </c>
      <c r="AK16" s="366">
        <v>356.01</v>
      </c>
      <c r="AL16" s="366">
        <v>356.01</v>
      </c>
      <c r="AM16" s="366">
        <v>388.61</v>
      </c>
      <c r="AN16" s="366">
        <v>40.83</v>
      </c>
      <c r="AO16" s="366">
        <v>639.72</v>
      </c>
      <c r="AP16" s="366">
        <v>314.87</v>
      </c>
      <c r="AQ16" s="366">
        <v>781.57</v>
      </c>
      <c r="AR16" s="366">
        <v>371.99</v>
      </c>
      <c r="AS16" s="366">
        <v>156.97999999999999</v>
      </c>
      <c r="AT16" s="366">
        <v>156.97999999999999</v>
      </c>
      <c r="AU16" s="366">
        <v>132.08000000000001</v>
      </c>
      <c r="AV16" s="366">
        <v>771.69</v>
      </c>
      <c r="AW16" s="366">
        <v>353.54</v>
      </c>
      <c r="AX16" s="366">
        <v>272.25</v>
      </c>
      <c r="AY16" s="366">
        <v>499.08</v>
      </c>
      <c r="AZ16" s="366">
        <v>309.67</v>
      </c>
      <c r="BA16" s="366">
        <v>601.95000000000005</v>
      </c>
      <c r="BB16" s="366">
        <v>501.97</v>
      </c>
      <c r="BC16" s="366">
        <v>544.01</v>
      </c>
      <c r="BD16" s="366">
        <v>453.78</v>
      </c>
      <c r="BE16" s="366">
        <v>188.39</v>
      </c>
      <c r="BF16" s="366">
        <v>382.86</v>
      </c>
      <c r="BG16" s="366">
        <v>341.36</v>
      </c>
      <c r="BH16" s="366">
        <v>0</v>
      </c>
      <c r="BI16" s="366">
        <v>372.02</v>
      </c>
      <c r="BJ16" s="366">
        <v>279.48</v>
      </c>
      <c r="BK16" s="366">
        <v>377.45</v>
      </c>
      <c r="BL16" s="366">
        <v>234.82</v>
      </c>
      <c r="BM16" s="366">
        <v>258.02999999999997</v>
      </c>
      <c r="BN16" s="366">
        <v>666.96</v>
      </c>
      <c r="BO16" s="366">
        <v>419.65</v>
      </c>
      <c r="BP16" s="366">
        <v>385.51</v>
      </c>
      <c r="BQ16" s="366">
        <v>230.95</v>
      </c>
      <c r="BR16" s="366">
        <v>230.95</v>
      </c>
      <c r="BS16" s="366">
        <v>317.24</v>
      </c>
      <c r="BT16" s="366">
        <v>356.45</v>
      </c>
      <c r="BU16" s="366">
        <v>366.39</v>
      </c>
      <c r="BV16" s="366">
        <v>386.01</v>
      </c>
      <c r="BW16" s="366">
        <v>191.37</v>
      </c>
      <c r="BX16" s="366">
        <v>258.33</v>
      </c>
      <c r="BY16" s="366">
        <v>211.81</v>
      </c>
      <c r="BZ16" s="366">
        <v>211.81</v>
      </c>
      <c r="CA16" s="366">
        <v>385.48</v>
      </c>
      <c r="CB16" s="366">
        <v>276.76</v>
      </c>
      <c r="CC16" s="366">
        <v>243.42</v>
      </c>
      <c r="CD16" s="366">
        <v>245.82</v>
      </c>
      <c r="CE16" s="366">
        <v>360.68</v>
      </c>
      <c r="CF16" s="366">
        <v>645.07000000000005</v>
      </c>
      <c r="CG16" s="366">
        <v>645.07000000000005</v>
      </c>
      <c r="CH16" s="366">
        <v>245.95</v>
      </c>
      <c r="CI16" s="366">
        <v>126.8</v>
      </c>
      <c r="CJ16" s="366">
        <v>656.02</v>
      </c>
      <c r="CK16" s="366">
        <v>216.9</v>
      </c>
      <c r="CL16" s="366">
        <v>118.29</v>
      </c>
      <c r="CM16" s="366">
        <v>490.29</v>
      </c>
      <c r="CN16" s="366">
        <v>228.85</v>
      </c>
      <c r="CO16" s="366">
        <v>370.6</v>
      </c>
      <c r="CP16" s="366">
        <v>224.26</v>
      </c>
      <c r="CQ16" s="366">
        <v>224.26</v>
      </c>
      <c r="CR16" s="366">
        <v>323</v>
      </c>
      <c r="CS16" s="366">
        <v>323</v>
      </c>
      <c r="CT16" s="366">
        <v>332.44</v>
      </c>
      <c r="CU16" s="366">
        <v>324.57</v>
      </c>
      <c r="CV16" s="366">
        <v>327.17</v>
      </c>
      <c r="CW16" s="366">
        <v>184.33</v>
      </c>
      <c r="CX16" s="366">
        <v>262.49</v>
      </c>
      <c r="CY16" s="366">
        <v>536.71</v>
      </c>
      <c r="CZ16" s="366">
        <v>557.95000000000005</v>
      </c>
      <c r="DA16" s="366">
        <v>401.42</v>
      </c>
      <c r="DB16" s="366">
        <v>275.45999999999998</v>
      </c>
      <c r="DC16" s="366">
        <v>275.45999999999998</v>
      </c>
      <c r="DD16" s="366">
        <v>456.67</v>
      </c>
      <c r="DE16" s="366">
        <v>479.05</v>
      </c>
      <c r="DF16" s="366">
        <v>809.49</v>
      </c>
      <c r="DG16" s="366">
        <v>156.44999999999999</v>
      </c>
      <c r="DH16" s="366">
        <v>541.61</v>
      </c>
      <c r="DI16" s="366">
        <v>510.89</v>
      </c>
      <c r="DJ16" s="366">
        <v>574.15</v>
      </c>
      <c r="DK16" s="366">
        <v>220.75</v>
      </c>
      <c r="DL16" s="366">
        <v>372.39</v>
      </c>
      <c r="DM16" s="366">
        <v>328.63</v>
      </c>
      <c r="DN16" s="366">
        <v>525.65</v>
      </c>
      <c r="DO16" s="366">
        <v>247.32</v>
      </c>
      <c r="DP16" s="366">
        <v>418.36</v>
      </c>
      <c r="DQ16" s="366">
        <v>187.39</v>
      </c>
      <c r="DR16" s="366">
        <v>541.61</v>
      </c>
      <c r="DS16" s="366">
        <v>348.47</v>
      </c>
      <c r="DT16" s="366">
        <v>336.76</v>
      </c>
      <c r="DU16" s="366">
        <v>426.36</v>
      </c>
      <c r="DV16" s="366">
        <v>359.65</v>
      </c>
      <c r="DW16" s="366">
        <v>173.4</v>
      </c>
      <c r="DX16" s="366">
        <v>177.69</v>
      </c>
      <c r="DY16" s="366">
        <v>218.19</v>
      </c>
      <c r="DZ16" s="366">
        <v>466.34</v>
      </c>
      <c r="EA16" s="366">
        <v>354.27</v>
      </c>
      <c r="EB16" s="366">
        <v>212.19</v>
      </c>
      <c r="EC16" s="366">
        <v>267.26</v>
      </c>
      <c r="ED16" s="366">
        <v>540.66</v>
      </c>
      <c r="EE16" s="366">
        <v>551.45000000000005</v>
      </c>
      <c r="EF16" s="366">
        <v>308.58999999999997</v>
      </c>
      <c r="EG16" s="366">
        <v>353.54</v>
      </c>
      <c r="EH16" s="366">
        <v>353.54</v>
      </c>
      <c r="EI16" s="366">
        <v>229.47</v>
      </c>
      <c r="EJ16" s="366">
        <v>529.66999999999996</v>
      </c>
      <c r="EK16" s="366">
        <v>123.26</v>
      </c>
      <c r="EL16" s="366">
        <v>123.26</v>
      </c>
      <c r="EM16" s="366">
        <v>179.11</v>
      </c>
      <c r="EN16" s="366">
        <v>179.11</v>
      </c>
      <c r="EO16" s="366">
        <v>388.61</v>
      </c>
      <c r="EP16" s="366">
        <v>311.47000000000003</v>
      </c>
      <c r="EQ16" s="366">
        <v>341.93</v>
      </c>
      <c r="ER16" s="366">
        <v>710.68</v>
      </c>
      <c r="ES16" s="366">
        <v>340.95</v>
      </c>
      <c r="ET16" s="366">
        <v>248.92</v>
      </c>
      <c r="EU16" s="366">
        <v>761.13</v>
      </c>
      <c r="EV16" s="366">
        <v>469.51</v>
      </c>
      <c r="EW16" s="366">
        <v>230.39</v>
      </c>
      <c r="EX16" s="366">
        <v>317.69</v>
      </c>
      <c r="EY16" s="366">
        <v>317.69</v>
      </c>
      <c r="EZ16" s="366">
        <v>64.53</v>
      </c>
      <c r="FA16" s="366">
        <v>144.99</v>
      </c>
      <c r="FB16" s="366">
        <v>205.05</v>
      </c>
      <c r="FC16" s="366">
        <v>197.83</v>
      </c>
      <c r="FD16" s="366">
        <v>80.08</v>
      </c>
      <c r="FE16" s="366">
        <v>233.3</v>
      </c>
      <c r="FF16" s="366">
        <v>208.48</v>
      </c>
      <c r="FG16" s="366">
        <v>592.99</v>
      </c>
      <c r="FH16" s="366">
        <v>592.99</v>
      </c>
      <c r="FI16" s="366">
        <v>450.38</v>
      </c>
      <c r="FJ16" s="366">
        <v>456.17</v>
      </c>
      <c r="FK16" s="366">
        <v>368.69</v>
      </c>
      <c r="FL16" s="366">
        <v>366.88</v>
      </c>
      <c r="FM16" s="366">
        <v>388.61</v>
      </c>
      <c r="FN16" s="366">
        <v>500.26</v>
      </c>
      <c r="FO16" s="366">
        <v>362.64</v>
      </c>
      <c r="FP16" s="366">
        <v>197.29</v>
      </c>
      <c r="FQ16" s="366">
        <v>366.51</v>
      </c>
      <c r="FR16" s="366">
        <v>249.77</v>
      </c>
      <c r="FS16" s="366">
        <v>173.01</v>
      </c>
      <c r="FT16" s="366">
        <v>589.30999999999995</v>
      </c>
      <c r="FU16" s="366">
        <v>114.41</v>
      </c>
      <c r="FV16" s="366">
        <v>825.03</v>
      </c>
      <c r="FW16" s="366">
        <v>825.03</v>
      </c>
      <c r="FX16" s="366">
        <v>825.03</v>
      </c>
      <c r="FY16" s="366">
        <v>170.03</v>
      </c>
      <c r="FZ16" s="366">
        <v>223.21</v>
      </c>
      <c r="GA16" s="366">
        <v>188.39</v>
      </c>
      <c r="GB16" s="366">
        <v>211.48</v>
      </c>
      <c r="GC16" s="366">
        <v>540.66</v>
      </c>
      <c r="GD16" s="366">
        <v>240.43</v>
      </c>
      <c r="GE16" s="366">
        <v>332.54</v>
      </c>
      <c r="GF16" s="366">
        <v>100.88</v>
      </c>
      <c r="GG16" s="366">
        <v>100.88</v>
      </c>
      <c r="GH16" s="366">
        <v>236.84</v>
      </c>
      <c r="GI16" s="366">
        <v>388.77</v>
      </c>
      <c r="GJ16" s="366">
        <v>388.61</v>
      </c>
      <c r="GK16" s="366">
        <v>365.24</v>
      </c>
      <c r="GL16" s="366">
        <v>215.8</v>
      </c>
      <c r="GM16" s="366">
        <v>215.8</v>
      </c>
      <c r="GN16" s="366">
        <v>215.8</v>
      </c>
      <c r="GO16" s="366">
        <v>354.05</v>
      </c>
      <c r="GP16" s="366">
        <v>193.8</v>
      </c>
      <c r="GQ16" s="366">
        <v>410.95</v>
      </c>
      <c r="GR16" s="366">
        <v>416.84</v>
      </c>
      <c r="GS16" s="366">
        <v>283.38</v>
      </c>
      <c r="GT16" s="366">
        <v>353.54</v>
      </c>
      <c r="GU16" s="366">
        <v>175.63</v>
      </c>
      <c r="GV16" s="366">
        <v>536.86</v>
      </c>
      <c r="GW16" s="366">
        <v>191.78</v>
      </c>
      <c r="GX16" s="366">
        <v>350.11</v>
      </c>
      <c r="GY16" s="366">
        <v>206.57</v>
      </c>
      <c r="GZ16" s="366">
        <v>75.09</v>
      </c>
      <c r="HA16" s="366">
        <v>368.05</v>
      </c>
      <c r="HB16" s="366">
        <v>368.05</v>
      </c>
      <c r="HC16" s="366">
        <v>368.05</v>
      </c>
      <c r="HD16" s="366">
        <v>502.63</v>
      </c>
      <c r="HE16" s="366">
        <v>172.96</v>
      </c>
      <c r="HF16" s="366">
        <v>180.97</v>
      </c>
      <c r="HG16" s="366">
        <v>304.45999999999998</v>
      </c>
      <c r="HH16" s="366">
        <v>304.45999999999998</v>
      </c>
      <c r="HI16" s="366">
        <v>304.45999999999998</v>
      </c>
      <c r="HJ16" s="366">
        <v>121.75</v>
      </c>
      <c r="HK16" s="366">
        <v>426.03</v>
      </c>
      <c r="HL16" s="366">
        <v>33.380000000000003</v>
      </c>
      <c r="HM16" s="366">
        <v>385.89</v>
      </c>
      <c r="HN16" s="366">
        <v>388.61</v>
      </c>
      <c r="HO16" s="366">
        <v>794.33</v>
      </c>
      <c r="HP16" s="366">
        <v>80.52</v>
      </c>
      <c r="HQ16" s="366">
        <v>825.03</v>
      </c>
      <c r="HR16" s="366">
        <v>646.34</v>
      </c>
      <c r="HS16" s="366">
        <v>384.86</v>
      </c>
      <c r="HT16" s="366">
        <v>267.18</v>
      </c>
      <c r="HU16" s="366">
        <v>234.43</v>
      </c>
      <c r="HV16" s="366">
        <v>252.75</v>
      </c>
    </row>
    <row r="17" spans="1:230">
      <c r="A17" s="366" t="s">
        <v>40</v>
      </c>
      <c r="B17" s="366">
        <v>761.13</v>
      </c>
      <c r="C17" s="366">
        <v>341.05</v>
      </c>
      <c r="D17" s="366">
        <v>241.82</v>
      </c>
      <c r="E17" s="366">
        <v>241.82</v>
      </c>
      <c r="F17" s="366">
        <v>825.03</v>
      </c>
      <c r="G17" s="366">
        <v>632.6</v>
      </c>
      <c r="H17" s="366">
        <v>285.44</v>
      </c>
      <c r="I17" s="366">
        <v>251.65</v>
      </c>
      <c r="J17" s="366">
        <v>309.22000000000003</v>
      </c>
      <c r="K17" s="366">
        <v>309.22000000000003</v>
      </c>
      <c r="L17" s="366">
        <v>232.43</v>
      </c>
      <c r="M17" s="366">
        <v>366.47</v>
      </c>
      <c r="N17" s="366">
        <v>463.37</v>
      </c>
      <c r="O17" s="366">
        <v>0</v>
      </c>
      <c r="P17" s="366">
        <v>0</v>
      </c>
      <c r="Q17" s="366">
        <v>0</v>
      </c>
      <c r="R17" s="366">
        <v>0</v>
      </c>
      <c r="S17" s="366">
        <v>0</v>
      </c>
      <c r="T17" s="366">
        <v>326.14999999999998</v>
      </c>
      <c r="U17" s="366">
        <v>740.64</v>
      </c>
      <c r="V17" s="366">
        <v>184.33</v>
      </c>
      <c r="W17" s="366">
        <v>469.51</v>
      </c>
      <c r="X17" s="366">
        <v>469.51</v>
      </c>
      <c r="Y17" s="366">
        <v>469.51</v>
      </c>
      <c r="Z17" s="366">
        <v>333.81</v>
      </c>
      <c r="AA17" s="366">
        <v>626.77</v>
      </c>
      <c r="AB17" s="366">
        <v>385.89</v>
      </c>
      <c r="AC17" s="366">
        <v>388.35</v>
      </c>
      <c r="AD17" s="366">
        <v>388.35</v>
      </c>
      <c r="AE17" s="366">
        <v>190.92</v>
      </c>
      <c r="AF17" s="366">
        <v>646.34</v>
      </c>
      <c r="AG17" s="366">
        <v>471.03</v>
      </c>
      <c r="AH17" s="366">
        <v>205.6</v>
      </c>
      <c r="AI17" s="366">
        <v>205.6</v>
      </c>
      <c r="AJ17" s="366">
        <v>205.6</v>
      </c>
      <c r="AK17" s="366">
        <v>356.01</v>
      </c>
      <c r="AL17" s="366">
        <v>356.01</v>
      </c>
      <c r="AM17" s="366">
        <v>388.61</v>
      </c>
      <c r="AN17" s="366">
        <v>40.83</v>
      </c>
      <c r="AO17" s="366">
        <v>639.72</v>
      </c>
      <c r="AP17" s="366">
        <v>314.87</v>
      </c>
      <c r="AQ17" s="366">
        <v>781.57</v>
      </c>
      <c r="AR17" s="366">
        <v>371.99</v>
      </c>
      <c r="AS17" s="366">
        <v>156.97999999999999</v>
      </c>
      <c r="AT17" s="366">
        <v>156.97999999999999</v>
      </c>
      <c r="AU17" s="366">
        <v>132.08000000000001</v>
      </c>
      <c r="AV17" s="366">
        <v>771.69</v>
      </c>
      <c r="AW17" s="366">
        <v>353.54</v>
      </c>
      <c r="AX17" s="366">
        <v>272.25</v>
      </c>
      <c r="AY17" s="366">
        <v>499.08</v>
      </c>
      <c r="AZ17" s="366">
        <v>309.67</v>
      </c>
      <c r="BA17" s="366">
        <v>601.95000000000005</v>
      </c>
      <c r="BB17" s="366">
        <v>501.97</v>
      </c>
      <c r="BC17" s="366">
        <v>544.01</v>
      </c>
      <c r="BD17" s="366">
        <v>453.78</v>
      </c>
      <c r="BE17" s="366">
        <v>188.39</v>
      </c>
      <c r="BF17" s="366">
        <v>382.86</v>
      </c>
      <c r="BG17" s="366">
        <v>341.36</v>
      </c>
      <c r="BH17" s="366">
        <v>0</v>
      </c>
      <c r="BI17" s="366">
        <v>372.02</v>
      </c>
      <c r="BJ17" s="366">
        <v>279.48</v>
      </c>
      <c r="BK17" s="366">
        <v>377.45</v>
      </c>
      <c r="BL17" s="366">
        <v>234.82</v>
      </c>
      <c r="BM17" s="366">
        <v>258.02999999999997</v>
      </c>
      <c r="BN17" s="366">
        <v>666.96</v>
      </c>
      <c r="BO17" s="366">
        <v>419.65</v>
      </c>
      <c r="BP17" s="366">
        <v>385.51</v>
      </c>
      <c r="BQ17" s="366">
        <v>230.95</v>
      </c>
      <c r="BR17" s="366">
        <v>230.95</v>
      </c>
      <c r="BS17" s="366">
        <v>317.24</v>
      </c>
      <c r="BT17" s="366">
        <v>356.45</v>
      </c>
      <c r="BU17" s="366">
        <v>366.39</v>
      </c>
      <c r="BV17" s="366">
        <v>386.01</v>
      </c>
      <c r="BW17" s="366">
        <v>191.37</v>
      </c>
      <c r="BX17" s="366">
        <v>258.33</v>
      </c>
      <c r="BY17" s="366">
        <v>211.81</v>
      </c>
      <c r="BZ17" s="366">
        <v>211.81</v>
      </c>
      <c r="CA17" s="366">
        <v>385.48</v>
      </c>
      <c r="CB17" s="366">
        <v>276.76</v>
      </c>
      <c r="CC17" s="366">
        <v>243.42</v>
      </c>
      <c r="CD17" s="366">
        <v>245.82</v>
      </c>
      <c r="CE17" s="366">
        <v>360.68</v>
      </c>
      <c r="CF17" s="366">
        <v>645.07000000000005</v>
      </c>
      <c r="CG17" s="366">
        <v>645.07000000000005</v>
      </c>
      <c r="CH17" s="366">
        <v>245.95</v>
      </c>
      <c r="CI17" s="366">
        <v>126.8</v>
      </c>
      <c r="CJ17" s="366">
        <v>656.02</v>
      </c>
      <c r="CK17" s="366">
        <v>216.9</v>
      </c>
      <c r="CL17" s="366">
        <v>118.29</v>
      </c>
      <c r="CM17" s="366">
        <v>490.29</v>
      </c>
      <c r="CN17" s="366">
        <v>228.85</v>
      </c>
      <c r="CO17" s="366">
        <v>370.6</v>
      </c>
      <c r="CP17" s="366">
        <v>224.26</v>
      </c>
      <c r="CQ17" s="366">
        <v>224.26</v>
      </c>
      <c r="CR17" s="366">
        <v>323</v>
      </c>
      <c r="CS17" s="366">
        <v>323</v>
      </c>
      <c r="CT17" s="366">
        <v>332.44</v>
      </c>
      <c r="CU17" s="366">
        <v>324.57</v>
      </c>
      <c r="CV17" s="366">
        <v>327.17</v>
      </c>
      <c r="CW17" s="366">
        <v>184.33</v>
      </c>
      <c r="CX17" s="366">
        <v>262.49</v>
      </c>
      <c r="CY17" s="366">
        <v>536.71</v>
      </c>
      <c r="CZ17" s="366">
        <v>557.95000000000005</v>
      </c>
      <c r="DA17" s="366">
        <v>401.42</v>
      </c>
      <c r="DB17" s="366">
        <v>275.45999999999998</v>
      </c>
      <c r="DC17" s="366">
        <v>275.45999999999998</v>
      </c>
      <c r="DD17" s="366">
        <v>456.67</v>
      </c>
      <c r="DE17" s="366">
        <v>479.05</v>
      </c>
      <c r="DF17" s="366">
        <v>809.49</v>
      </c>
      <c r="DG17" s="366">
        <v>156.44999999999999</v>
      </c>
      <c r="DH17" s="366">
        <v>541.61</v>
      </c>
      <c r="DI17" s="366">
        <v>510.89</v>
      </c>
      <c r="DJ17" s="366">
        <v>574.15</v>
      </c>
      <c r="DK17" s="366">
        <v>220.75</v>
      </c>
      <c r="DL17" s="366">
        <v>372.39</v>
      </c>
      <c r="DM17" s="366">
        <v>328.63</v>
      </c>
      <c r="DN17" s="366">
        <v>525.65</v>
      </c>
      <c r="DO17" s="366">
        <v>247.32</v>
      </c>
      <c r="DP17" s="366">
        <v>418.36</v>
      </c>
      <c r="DQ17" s="366">
        <v>187.39</v>
      </c>
      <c r="DR17" s="366">
        <v>541.61</v>
      </c>
      <c r="DS17" s="366">
        <v>348.47</v>
      </c>
      <c r="DT17" s="366">
        <v>336.76</v>
      </c>
      <c r="DU17" s="366">
        <v>426.36</v>
      </c>
      <c r="DV17" s="366">
        <v>359.65</v>
      </c>
      <c r="DW17" s="366">
        <v>173.4</v>
      </c>
      <c r="DX17" s="366">
        <v>177.69</v>
      </c>
      <c r="DY17" s="366">
        <v>218.19</v>
      </c>
      <c r="DZ17" s="366">
        <v>466.34</v>
      </c>
      <c r="EA17" s="366">
        <v>354.27</v>
      </c>
      <c r="EB17" s="366">
        <v>212.19</v>
      </c>
      <c r="EC17" s="366">
        <v>267.26</v>
      </c>
      <c r="ED17" s="366">
        <v>540.66</v>
      </c>
      <c r="EE17" s="366">
        <v>551.45000000000005</v>
      </c>
      <c r="EF17" s="366">
        <v>308.58999999999997</v>
      </c>
      <c r="EG17" s="366">
        <v>353.54</v>
      </c>
      <c r="EH17" s="366">
        <v>353.54</v>
      </c>
      <c r="EI17" s="366">
        <v>229.47</v>
      </c>
      <c r="EJ17" s="366">
        <v>529.66999999999996</v>
      </c>
      <c r="EK17" s="366">
        <v>123.26</v>
      </c>
      <c r="EL17" s="366">
        <v>123.26</v>
      </c>
      <c r="EM17" s="366">
        <v>179.11</v>
      </c>
      <c r="EN17" s="366">
        <v>179.11</v>
      </c>
      <c r="EO17" s="366">
        <v>388.61</v>
      </c>
      <c r="EP17" s="366">
        <v>311.47000000000003</v>
      </c>
      <c r="EQ17" s="366">
        <v>341.93</v>
      </c>
      <c r="ER17" s="366">
        <v>710.68</v>
      </c>
      <c r="ES17" s="366">
        <v>340.95</v>
      </c>
      <c r="ET17" s="366">
        <v>248.92</v>
      </c>
      <c r="EU17" s="366">
        <v>761.13</v>
      </c>
      <c r="EV17" s="366">
        <v>469.51</v>
      </c>
      <c r="EW17" s="366">
        <v>230.39</v>
      </c>
      <c r="EX17" s="366">
        <v>317.69</v>
      </c>
      <c r="EY17" s="366">
        <v>317.69</v>
      </c>
      <c r="EZ17" s="366">
        <v>64.53</v>
      </c>
      <c r="FA17" s="366">
        <v>144.99</v>
      </c>
      <c r="FB17" s="366">
        <v>205.05</v>
      </c>
      <c r="FC17" s="366">
        <v>197.83</v>
      </c>
      <c r="FD17" s="366">
        <v>80.08</v>
      </c>
      <c r="FE17" s="366">
        <v>233.3</v>
      </c>
      <c r="FF17" s="366">
        <v>208.48</v>
      </c>
      <c r="FG17" s="366">
        <v>592.99</v>
      </c>
      <c r="FH17" s="366">
        <v>592.99</v>
      </c>
      <c r="FI17" s="366">
        <v>450.38</v>
      </c>
      <c r="FJ17" s="366">
        <v>456.17</v>
      </c>
      <c r="FK17" s="366">
        <v>368.69</v>
      </c>
      <c r="FL17" s="366">
        <v>366.88</v>
      </c>
      <c r="FM17" s="366">
        <v>388.61</v>
      </c>
      <c r="FN17" s="366">
        <v>500.26</v>
      </c>
      <c r="FO17" s="366">
        <v>362.64</v>
      </c>
      <c r="FP17" s="366">
        <v>197.29</v>
      </c>
      <c r="FQ17" s="366">
        <v>366.51</v>
      </c>
      <c r="FR17" s="366">
        <v>249.77</v>
      </c>
      <c r="FS17" s="366">
        <v>173.01</v>
      </c>
      <c r="FT17" s="366">
        <v>589.30999999999995</v>
      </c>
      <c r="FU17" s="366">
        <v>114.41</v>
      </c>
      <c r="FV17" s="366">
        <v>825.03</v>
      </c>
      <c r="FW17" s="366">
        <v>825.03</v>
      </c>
      <c r="FX17" s="366">
        <v>825.03</v>
      </c>
      <c r="FY17" s="366">
        <v>170.03</v>
      </c>
      <c r="FZ17" s="366">
        <v>223.21</v>
      </c>
      <c r="GA17" s="366">
        <v>188.39</v>
      </c>
      <c r="GB17" s="366">
        <v>211.48</v>
      </c>
      <c r="GC17" s="366">
        <v>540.66</v>
      </c>
      <c r="GD17" s="366">
        <v>240.43</v>
      </c>
      <c r="GE17" s="366">
        <v>332.54</v>
      </c>
      <c r="GF17" s="366">
        <v>100.88</v>
      </c>
      <c r="GG17" s="366">
        <v>100.88</v>
      </c>
      <c r="GH17" s="366">
        <v>236.84</v>
      </c>
      <c r="GI17" s="366">
        <v>388.77</v>
      </c>
      <c r="GJ17" s="366">
        <v>388.61</v>
      </c>
      <c r="GK17" s="366">
        <v>365.24</v>
      </c>
      <c r="GL17" s="366">
        <v>215.8</v>
      </c>
      <c r="GM17" s="366">
        <v>215.8</v>
      </c>
      <c r="GN17" s="366">
        <v>215.8</v>
      </c>
      <c r="GO17" s="366">
        <v>354.05</v>
      </c>
      <c r="GP17" s="366">
        <v>193.8</v>
      </c>
      <c r="GQ17" s="366">
        <v>410.95</v>
      </c>
      <c r="GR17" s="366">
        <v>416.84</v>
      </c>
      <c r="GS17" s="366">
        <v>283.38</v>
      </c>
      <c r="GT17" s="366">
        <v>353.54</v>
      </c>
      <c r="GU17" s="366">
        <v>175.63</v>
      </c>
      <c r="GV17" s="366">
        <v>536.86</v>
      </c>
      <c r="GW17" s="366">
        <v>191.78</v>
      </c>
      <c r="GX17" s="366">
        <v>350.11</v>
      </c>
      <c r="GY17" s="366">
        <v>206.57</v>
      </c>
      <c r="GZ17" s="366">
        <v>75.09</v>
      </c>
      <c r="HA17" s="366">
        <v>368.05</v>
      </c>
      <c r="HB17" s="366">
        <v>368.05</v>
      </c>
      <c r="HC17" s="366">
        <v>368.05</v>
      </c>
      <c r="HD17" s="366">
        <v>502.63</v>
      </c>
      <c r="HE17" s="366">
        <v>172.96</v>
      </c>
      <c r="HF17" s="366">
        <v>180.97</v>
      </c>
      <c r="HG17" s="366">
        <v>304.45999999999998</v>
      </c>
      <c r="HH17" s="366">
        <v>304.45999999999998</v>
      </c>
      <c r="HI17" s="366">
        <v>304.45999999999998</v>
      </c>
      <c r="HJ17" s="366">
        <v>121.75</v>
      </c>
      <c r="HK17" s="366">
        <v>426.03</v>
      </c>
      <c r="HL17" s="366">
        <v>33.380000000000003</v>
      </c>
      <c r="HM17" s="366">
        <v>385.89</v>
      </c>
      <c r="HN17" s="366">
        <v>388.61</v>
      </c>
      <c r="HO17" s="366">
        <v>794.33</v>
      </c>
      <c r="HP17" s="366">
        <v>80.52</v>
      </c>
      <c r="HQ17" s="366">
        <v>825.03</v>
      </c>
      <c r="HR17" s="366">
        <v>646.34</v>
      </c>
      <c r="HS17" s="366">
        <v>384.86</v>
      </c>
      <c r="HT17" s="366">
        <v>267.18</v>
      </c>
      <c r="HU17" s="366">
        <v>234.43</v>
      </c>
      <c r="HV17" s="366">
        <v>252.75</v>
      </c>
    </row>
    <row r="18" spans="1:230">
      <c r="A18" s="366" t="s">
        <v>41</v>
      </c>
      <c r="B18" s="366">
        <v>761.13</v>
      </c>
      <c r="C18" s="366">
        <v>341.05</v>
      </c>
      <c r="D18" s="366">
        <v>241.82</v>
      </c>
      <c r="E18" s="366">
        <v>241.82</v>
      </c>
      <c r="F18" s="366">
        <v>825.03</v>
      </c>
      <c r="G18" s="366">
        <v>632.6</v>
      </c>
      <c r="H18" s="366">
        <v>285.44</v>
      </c>
      <c r="I18" s="366">
        <v>251.65</v>
      </c>
      <c r="J18" s="366">
        <v>309.22000000000003</v>
      </c>
      <c r="K18" s="366">
        <v>309.22000000000003</v>
      </c>
      <c r="L18" s="366">
        <v>232.43</v>
      </c>
      <c r="M18" s="366">
        <v>366.47</v>
      </c>
      <c r="N18" s="366">
        <v>463.37</v>
      </c>
      <c r="O18" s="366">
        <v>0</v>
      </c>
      <c r="P18" s="366">
        <v>0</v>
      </c>
      <c r="Q18" s="366">
        <v>0</v>
      </c>
      <c r="R18" s="366">
        <v>0</v>
      </c>
      <c r="S18" s="366">
        <v>0</v>
      </c>
      <c r="T18" s="366">
        <v>326.14999999999998</v>
      </c>
      <c r="U18" s="366">
        <v>740.64</v>
      </c>
      <c r="V18" s="366">
        <v>184.33</v>
      </c>
      <c r="W18" s="366">
        <v>469.51</v>
      </c>
      <c r="X18" s="366">
        <v>469.51</v>
      </c>
      <c r="Y18" s="366">
        <v>469.51</v>
      </c>
      <c r="Z18" s="366">
        <v>333.81</v>
      </c>
      <c r="AA18" s="366">
        <v>626.77</v>
      </c>
      <c r="AB18" s="366">
        <v>385.89</v>
      </c>
      <c r="AC18" s="366">
        <v>388.35</v>
      </c>
      <c r="AD18" s="366">
        <v>388.35</v>
      </c>
      <c r="AE18" s="366">
        <v>190.92</v>
      </c>
      <c r="AF18" s="366">
        <v>646.34</v>
      </c>
      <c r="AG18" s="366">
        <v>471.03</v>
      </c>
      <c r="AH18" s="366">
        <v>205.6</v>
      </c>
      <c r="AI18" s="366">
        <v>205.6</v>
      </c>
      <c r="AJ18" s="366">
        <v>205.6</v>
      </c>
      <c r="AK18" s="366">
        <v>356.01</v>
      </c>
      <c r="AL18" s="366">
        <v>356.01</v>
      </c>
      <c r="AM18" s="366">
        <v>388.61</v>
      </c>
      <c r="AN18" s="366">
        <v>40.83</v>
      </c>
      <c r="AO18" s="366">
        <v>639.72</v>
      </c>
      <c r="AP18" s="366">
        <v>314.87</v>
      </c>
      <c r="AQ18" s="366">
        <v>781.57</v>
      </c>
      <c r="AR18" s="366">
        <v>371.99</v>
      </c>
      <c r="AS18" s="366">
        <v>156.97999999999999</v>
      </c>
      <c r="AT18" s="366">
        <v>156.97999999999999</v>
      </c>
      <c r="AU18" s="366">
        <v>132.08000000000001</v>
      </c>
      <c r="AV18" s="366">
        <v>771.69</v>
      </c>
      <c r="AW18" s="366">
        <v>353.54</v>
      </c>
      <c r="AX18" s="366">
        <v>272.25</v>
      </c>
      <c r="AY18" s="366">
        <v>499.08</v>
      </c>
      <c r="AZ18" s="366">
        <v>309.67</v>
      </c>
      <c r="BA18" s="366">
        <v>601.95000000000005</v>
      </c>
      <c r="BB18" s="366">
        <v>501.97</v>
      </c>
      <c r="BC18" s="366">
        <v>544.01</v>
      </c>
      <c r="BD18" s="366">
        <v>453.78</v>
      </c>
      <c r="BE18" s="366">
        <v>188.39</v>
      </c>
      <c r="BF18" s="366">
        <v>382.86</v>
      </c>
      <c r="BG18" s="366">
        <v>341.36</v>
      </c>
      <c r="BH18" s="366">
        <v>0</v>
      </c>
      <c r="BI18" s="366">
        <v>372.02</v>
      </c>
      <c r="BJ18" s="366">
        <v>279.48</v>
      </c>
      <c r="BK18" s="366">
        <v>377.45</v>
      </c>
      <c r="BL18" s="366">
        <v>234.82</v>
      </c>
      <c r="BM18" s="366">
        <v>258.02999999999997</v>
      </c>
      <c r="BN18" s="366">
        <v>666.96</v>
      </c>
      <c r="BO18" s="366">
        <v>419.65</v>
      </c>
      <c r="BP18" s="366">
        <v>385.51</v>
      </c>
      <c r="BQ18" s="366">
        <v>230.95</v>
      </c>
      <c r="BR18" s="366">
        <v>230.95</v>
      </c>
      <c r="BS18" s="366">
        <v>317.24</v>
      </c>
      <c r="BT18" s="366">
        <v>356.45</v>
      </c>
      <c r="BU18" s="366">
        <v>366.39</v>
      </c>
      <c r="BV18" s="366">
        <v>386.01</v>
      </c>
      <c r="BW18" s="366">
        <v>191.37</v>
      </c>
      <c r="BX18" s="366">
        <v>258.33</v>
      </c>
      <c r="BY18" s="366">
        <v>211.81</v>
      </c>
      <c r="BZ18" s="366">
        <v>211.81</v>
      </c>
      <c r="CA18" s="366">
        <v>385.48</v>
      </c>
      <c r="CB18" s="366">
        <v>276.76</v>
      </c>
      <c r="CC18" s="366">
        <v>243.42</v>
      </c>
      <c r="CD18" s="366">
        <v>245.82</v>
      </c>
      <c r="CE18" s="366">
        <v>360.68</v>
      </c>
      <c r="CF18" s="366">
        <v>645.07000000000005</v>
      </c>
      <c r="CG18" s="366">
        <v>645.07000000000005</v>
      </c>
      <c r="CH18" s="366">
        <v>245.95</v>
      </c>
      <c r="CI18" s="366">
        <v>126.8</v>
      </c>
      <c r="CJ18" s="366">
        <v>656.02</v>
      </c>
      <c r="CK18" s="366">
        <v>216.9</v>
      </c>
      <c r="CL18" s="366">
        <v>118.29</v>
      </c>
      <c r="CM18" s="366">
        <v>490.29</v>
      </c>
      <c r="CN18" s="366">
        <v>228.85</v>
      </c>
      <c r="CO18" s="366">
        <v>370.6</v>
      </c>
      <c r="CP18" s="366">
        <v>224.26</v>
      </c>
      <c r="CQ18" s="366">
        <v>224.26</v>
      </c>
      <c r="CR18" s="366">
        <v>323</v>
      </c>
      <c r="CS18" s="366">
        <v>323</v>
      </c>
      <c r="CT18" s="366">
        <v>332.44</v>
      </c>
      <c r="CU18" s="366">
        <v>324.57</v>
      </c>
      <c r="CV18" s="366">
        <v>327.17</v>
      </c>
      <c r="CW18" s="366">
        <v>184.33</v>
      </c>
      <c r="CX18" s="366">
        <v>262.49</v>
      </c>
      <c r="CY18" s="366">
        <v>536.71</v>
      </c>
      <c r="CZ18" s="366">
        <v>557.95000000000005</v>
      </c>
      <c r="DA18" s="366">
        <v>401.42</v>
      </c>
      <c r="DB18" s="366">
        <v>275.45999999999998</v>
      </c>
      <c r="DC18" s="366">
        <v>275.45999999999998</v>
      </c>
      <c r="DD18" s="366">
        <v>456.67</v>
      </c>
      <c r="DE18" s="366">
        <v>479.05</v>
      </c>
      <c r="DF18" s="366">
        <v>809.49</v>
      </c>
      <c r="DG18" s="366">
        <v>156.44999999999999</v>
      </c>
      <c r="DH18" s="366">
        <v>541.61</v>
      </c>
      <c r="DI18" s="366">
        <v>510.89</v>
      </c>
      <c r="DJ18" s="366">
        <v>574.15</v>
      </c>
      <c r="DK18" s="366">
        <v>220.75</v>
      </c>
      <c r="DL18" s="366">
        <v>372.39</v>
      </c>
      <c r="DM18" s="366">
        <v>328.63</v>
      </c>
      <c r="DN18" s="366">
        <v>525.65</v>
      </c>
      <c r="DO18" s="366">
        <v>247.32</v>
      </c>
      <c r="DP18" s="366">
        <v>418.36</v>
      </c>
      <c r="DQ18" s="366">
        <v>187.39</v>
      </c>
      <c r="DR18" s="366">
        <v>541.61</v>
      </c>
      <c r="DS18" s="366">
        <v>348.47</v>
      </c>
      <c r="DT18" s="366">
        <v>336.76</v>
      </c>
      <c r="DU18" s="366">
        <v>426.36</v>
      </c>
      <c r="DV18" s="366">
        <v>359.65</v>
      </c>
      <c r="DW18" s="366">
        <v>173.4</v>
      </c>
      <c r="DX18" s="366">
        <v>177.69</v>
      </c>
      <c r="DY18" s="366">
        <v>218.19</v>
      </c>
      <c r="DZ18" s="366">
        <v>466.34</v>
      </c>
      <c r="EA18" s="366">
        <v>354.27</v>
      </c>
      <c r="EB18" s="366">
        <v>212.19</v>
      </c>
      <c r="EC18" s="366">
        <v>267.26</v>
      </c>
      <c r="ED18" s="366">
        <v>540.66</v>
      </c>
      <c r="EE18" s="366">
        <v>551.45000000000005</v>
      </c>
      <c r="EF18" s="366">
        <v>308.58999999999997</v>
      </c>
      <c r="EG18" s="366">
        <v>353.54</v>
      </c>
      <c r="EH18" s="366">
        <v>353.54</v>
      </c>
      <c r="EI18" s="366">
        <v>229.47</v>
      </c>
      <c r="EJ18" s="366">
        <v>529.66999999999996</v>
      </c>
      <c r="EK18" s="366">
        <v>123.26</v>
      </c>
      <c r="EL18" s="366">
        <v>123.26</v>
      </c>
      <c r="EM18" s="366">
        <v>179.11</v>
      </c>
      <c r="EN18" s="366">
        <v>179.11</v>
      </c>
      <c r="EO18" s="366">
        <v>388.61</v>
      </c>
      <c r="EP18" s="366">
        <v>311.47000000000003</v>
      </c>
      <c r="EQ18" s="366">
        <v>341.93</v>
      </c>
      <c r="ER18" s="366">
        <v>710.68</v>
      </c>
      <c r="ES18" s="366">
        <v>340.95</v>
      </c>
      <c r="ET18" s="366">
        <v>248.92</v>
      </c>
      <c r="EU18" s="366">
        <v>761.13</v>
      </c>
      <c r="EV18" s="366">
        <v>469.51</v>
      </c>
      <c r="EW18" s="366">
        <v>230.39</v>
      </c>
      <c r="EX18" s="366">
        <v>317.69</v>
      </c>
      <c r="EY18" s="366">
        <v>317.69</v>
      </c>
      <c r="EZ18" s="366">
        <v>64.53</v>
      </c>
      <c r="FA18" s="366">
        <v>144.99</v>
      </c>
      <c r="FB18" s="366">
        <v>205.05</v>
      </c>
      <c r="FC18" s="366">
        <v>197.83</v>
      </c>
      <c r="FD18" s="366">
        <v>80.08</v>
      </c>
      <c r="FE18" s="366">
        <v>233.3</v>
      </c>
      <c r="FF18" s="366">
        <v>208.48</v>
      </c>
      <c r="FG18" s="366">
        <v>592.99</v>
      </c>
      <c r="FH18" s="366">
        <v>592.99</v>
      </c>
      <c r="FI18" s="366">
        <v>450.38</v>
      </c>
      <c r="FJ18" s="366">
        <v>456.17</v>
      </c>
      <c r="FK18" s="366">
        <v>368.69</v>
      </c>
      <c r="FL18" s="366">
        <v>366.88</v>
      </c>
      <c r="FM18" s="366">
        <v>388.61</v>
      </c>
      <c r="FN18" s="366">
        <v>500.26</v>
      </c>
      <c r="FO18" s="366">
        <v>362.64</v>
      </c>
      <c r="FP18" s="366">
        <v>197.29</v>
      </c>
      <c r="FQ18" s="366">
        <v>366.51</v>
      </c>
      <c r="FR18" s="366">
        <v>249.77</v>
      </c>
      <c r="FS18" s="366">
        <v>173.01</v>
      </c>
      <c r="FT18" s="366">
        <v>589.30999999999995</v>
      </c>
      <c r="FU18" s="366">
        <v>114.41</v>
      </c>
      <c r="FV18" s="366">
        <v>825.03</v>
      </c>
      <c r="FW18" s="366">
        <v>825.03</v>
      </c>
      <c r="FX18" s="366">
        <v>825.03</v>
      </c>
      <c r="FY18" s="366">
        <v>170.03</v>
      </c>
      <c r="FZ18" s="366">
        <v>223.21</v>
      </c>
      <c r="GA18" s="366">
        <v>188.39</v>
      </c>
      <c r="GB18" s="366">
        <v>211.48</v>
      </c>
      <c r="GC18" s="366">
        <v>540.66</v>
      </c>
      <c r="GD18" s="366">
        <v>240.43</v>
      </c>
      <c r="GE18" s="366">
        <v>332.54</v>
      </c>
      <c r="GF18" s="366">
        <v>100.88</v>
      </c>
      <c r="GG18" s="366">
        <v>100.88</v>
      </c>
      <c r="GH18" s="366">
        <v>236.84</v>
      </c>
      <c r="GI18" s="366">
        <v>388.77</v>
      </c>
      <c r="GJ18" s="366">
        <v>388.61</v>
      </c>
      <c r="GK18" s="366">
        <v>365.24</v>
      </c>
      <c r="GL18" s="366">
        <v>215.8</v>
      </c>
      <c r="GM18" s="366">
        <v>215.8</v>
      </c>
      <c r="GN18" s="366">
        <v>215.8</v>
      </c>
      <c r="GO18" s="366">
        <v>354.05</v>
      </c>
      <c r="GP18" s="366">
        <v>193.8</v>
      </c>
      <c r="GQ18" s="366">
        <v>410.95</v>
      </c>
      <c r="GR18" s="366">
        <v>416.84</v>
      </c>
      <c r="GS18" s="366">
        <v>283.38</v>
      </c>
      <c r="GT18" s="366">
        <v>353.54</v>
      </c>
      <c r="GU18" s="366">
        <v>175.63</v>
      </c>
      <c r="GV18" s="366">
        <v>536.86</v>
      </c>
      <c r="GW18" s="366">
        <v>191.78</v>
      </c>
      <c r="GX18" s="366">
        <v>350.11</v>
      </c>
      <c r="GY18" s="366">
        <v>206.57</v>
      </c>
      <c r="GZ18" s="366">
        <v>75.09</v>
      </c>
      <c r="HA18" s="366">
        <v>368.05</v>
      </c>
      <c r="HB18" s="366">
        <v>368.05</v>
      </c>
      <c r="HC18" s="366">
        <v>368.05</v>
      </c>
      <c r="HD18" s="366">
        <v>502.63</v>
      </c>
      <c r="HE18" s="366">
        <v>172.96</v>
      </c>
      <c r="HF18" s="366">
        <v>180.97</v>
      </c>
      <c r="HG18" s="366">
        <v>304.45999999999998</v>
      </c>
      <c r="HH18" s="366">
        <v>304.45999999999998</v>
      </c>
      <c r="HI18" s="366">
        <v>304.45999999999998</v>
      </c>
      <c r="HJ18" s="366">
        <v>121.75</v>
      </c>
      <c r="HK18" s="366">
        <v>426.03</v>
      </c>
      <c r="HL18" s="366">
        <v>33.380000000000003</v>
      </c>
      <c r="HM18" s="366">
        <v>385.89</v>
      </c>
      <c r="HN18" s="366">
        <v>388.61</v>
      </c>
      <c r="HO18" s="366">
        <v>794.33</v>
      </c>
      <c r="HP18" s="366">
        <v>80.52</v>
      </c>
      <c r="HQ18" s="366">
        <v>825.03</v>
      </c>
      <c r="HR18" s="366">
        <v>646.34</v>
      </c>
      <c r="HS18" s="366">
        <v>384.86</v>
      </c>
      <c r="HT18" s="366">
        <v>267.18</v>
      </c>
      <c r="HU18" s="366">
        <v>234.43</v>
      </c>
      <c r="HV18" s="366">
        <v>252.75</v>
      </c>
    </row>
    <row r="19" spans="1:230">
      <c r="A19" s="366" t="s">
        <v>42</v>
      </c>
      <c r="B19" s="366">
        <v>761.13</v>
      </c>
      <c r="C19" s="366">
        <v>341.05</v>
      </c>
      <c r="D19" s="366">
        <v>241.82</v>
      </c>
      <c r="E19" s="366">
        <v>241.82</v>
      </c>
      <c r="F19" s="366">
        <v>825.03</v>
      </c>
      <c r="G19" s="366">
        <v>632.6</v>
      </c>
      <c r="H19" s="366">
        <v>285.44</v>
      </c>
      <c r="I19" s="366">
        <v>251.65</v>
      </c>
      <c r="J19" s="366">
        <v>309.22000000000003</v>
      </c>
      <c r="K19" s="366">
        <v>309.22000000000003</v>
      </c>
      <c r="L19" s="366">
        <v>232.43</v>
      </c>
      <c r="M19" s="366">
        <v>366.47</v>
      </c>
      <c r="N19" s="366">
        <v>463.37</v>
      </c>
      <c r="O19" s="366">
        <v>0</v>
      </c>
      <c r="P19" s="366">
        <v>0</v>
      </c>
      <c r="Q19" s="366">
        <v>0</v>
      </c>
      <c r="R19" s="366">
        <v>0</v>
      </c>
      <c r="S19" s="366">
        <v>0</v>
      </c>
      <c r="T19" s="366">
        <v>326.14999999999998</v>
      </c>
      <c r="U19" s="366">
        <v>740.64</v>
      </c>
      <c r="V19" s="366">
        <v>184.33</v>
      </c>
      <c r="W19" s="366">
        <v>469.51</v>
      </c>
      <c r="X19" s="366">
        <v>469.51</v>
      </c>
      <c r="Y19" s="366">
        <v>469.51</v>
      </c>
      <c r="Z19" s="366">
        <v>333.81</v>
      </c>
      <c r="AA19" s="366">
        <v>626.77</v>
      </c>
      <c r="AB19" s="366">
        <v>385.89</v>
      </c>
      <c r="AC19" s="366">
        <v>388.35</v>
      </c>
      <c r="AD19" s="366">
        <v>388.35</v>
      </c>
      <c r="AE19" s="366">
        <v>190.92</v>
      </c>
      <c r="AF19" s="366">
        <v>646.34</v>
      </c>
      <c r="AG19" s="366">
        <v>471.03</v>
      </c>
      <c r="AH19" s="366">
        <v>205.6</v>
      </c>
      <c r="AI19" s="366">
        <v>205.6</v>
      </c>
      <c r="AJ19" s="366">
        <v>205.6</v>
      </c>
      <c r="AK19" s="366">
        <v>356.01</v>
      </c>
      <c r="AL19" s="366">
        <v>356.01</v>
      </c>
      <c r="AM19" s="366">
        <v>388.61</v>
      </c>
      <c r="AN19" s="366">
        <v>40.83</v>
      </c>
      <c r="AO19" s="366">
        <v>639.72</v>
      </c>
      <c r="AP19" s="366">
        <v>314.87</v>
      </c>
      <c r="AQ19" s="366">
        <v>781.57</v>
      </c>
      <c r="AR19" s="366">
        <v>371.99</v>
      </c>
      <c r="AS19" s="366">
        <v>156.97999999999999</v>
      </c>
      <c r="AT19" s="366">
        <v>156.97999999999999</v>
      </c>
      <c r="AU19" s="366">
        <v>132.08000000000001</v>
      </c>
      <c r="AV19" s="366">
        <v>771.69</v>
      </c>
      <c r="AW19" s="366">
        <v>353.54</v>
      </c>
      <c r="AX19" s="366">
        <v>272.25</v>
      </c>
      <c r="AY19" s="366">
        <v>499.08</v>
      </c>
      <c r="AZ19" s="366">
        <v>309.67</v>
      </c>
      <c r="BA19" s="366">
        <v>601.95000000000005</v>
      </c>
      <c r="BB19" s="366">
        <v>501.97</v>
      </c>
      <c r="BC19" s="366">
        <v>544.01</v>
      </c>
      <c r="BD19" s="366">
        <v>453.78</v>
      </c>
      <c r="BE19" s="366">
        <v>188.39</v>
      </c>
      <c r="BF19" s="366">
        <v>382.86</v>
      </c>
      <c r="BG19" s="366">
        <v>341.36</v>
      </c>
      <c r="BH19" s="366">
        <v>0</v>
      </c>
      <c r="BI19" s="366">
        <v>372.02</v>
      </c>
      <c r="BJ19" s="366">
        <v>279.48</v>
      </c>
      <c r="BK19" s="366">
        <v>377.45</v>
      </c>
      <c r="BL19" s="366">
        <v>234.82</v>
      </c>
      <c r="BM19" s="366">
        <v>258.02999999999997</v>
      </c>
      <c r="BN19" s="366">
        <v>666.96</v>
      </c>
      <c r="BO19" s="366">
        <v>419.65</v>
      </c>
      <c r="BP19" s="366">
        <v>385.51</v>
      </c>
      <c r="BQ19" s="366">
        <v>230.95</v>
      </c>
      <c r="BR19" s="366">
        <v>230.95</v>
      </c>
      <c r="BS19" s="366">
        <v>317.24</v>
      </c>
      <c r="BT19" s="366">
        <v>356.45</v>
      </c>
      <c r="BU19" s="366">
        <v>366.39</v>
      </c>
      <c r="BV19" s="366">
        <v>386.01</v>
      </c>
      <c r="BW19" s="366">
        <v>191.37</v>
      </c>
      <c r="BX19" s="366">
        <v>258.33</v>
      </c>
      <c r="BY19" s="366">
        <v>211.81</v>
      </c>
      <c r="BZ19" s="366">
        <v>211.81</v>
      </c>
      <c r="CA19" s="366">
        <v>385.48</v>
      </c>
      <c r="CB19" s="366">
        <v>276.76</v>
      </c>
      <c r="CC19" s="366">
        <v>243.42</v>
      </c>
      <c r="CD19" s="366">
        <v>245.82</v>
      </c>
      <c r="CE19" s="366">
        <v>360.68</v>
      </c>
      <c r="CF19" s="366">
        <v>645.07000000000005</v>
      </c>
      <c r="CG19" s="366">
        <v>645.07000000000005</v>
      </c>
      <c r="CH19" s="366">
        <v>245.95</v>
      </c>
      <c r="CI19" s="366">
        <v>126.8</v>
      </c>
      <c r="CJ19" s="366">
        <v>656.02</v>
      </c>
      <c r="CK19" s="366">
        <v>216.9</v>
      </c>
      <c r="CL19" s="366">
        <v>118.29</v>
      </c>
      <c r="CM19" s="366">
        <v>490.29</v>
      </c>
      <c r="CN19" s="366">
        <v>228.85</v>
      </c>
      <c r="CO19" s="366">
        <v>370.6</v>
      </c>
      <c r="CP19" s="366">
        <v>224.26</v>
      </c>
      <c r="CQ19" s="366">
        <v>224.26</v>
      </c>
      <c r="CR19" s="366">
        <v>323</v>
      </c>
      <c r="CS19" s="366">
        <v>323</v>
      </c>
      <c r="CT19" s="366">
        <v>332.44</v>
      </c>
      <c r="CU19" s="366">
        <v>324.57</v>
      </c>
      <c r="CV19" s="366">
        <v>327.17</v>
      </c>
      <c r="CW19" s="366">
        <v>184.33</v>
      </c>
      <c r="CX19" s="366">
        <v>262.49</v>
      </c>
      <c r="CY19" s="366">
        <v>536.71</v>
      </c>
      <c r="CZ19" s="366">
        <v>557.95000000000005</v>
      </c>
      <c r="DA19" s="366">
        <v>401.42</v>
      </c>
      <c r="DB19" s="366">
        <v>275.45999999999998</v>
      </c>
      <c r="DC19" s="366">
        <v>275.45999999999998</v>
      </c>
      <c r="DD19" s="366">
        <v>456.67</v>
      </c>
      <c r="DE19" s="366">
        <v>479.05</v>
      </c>
      <c r="DF19" s="366">
        <v>809.49</v>
      </c>
      <c r="DG19" s="366">
        <v>156.44999999999999</v>
      </c>
      <c r="DH19" s="366">
        <v>541.61</v>
      </c>
      <c r="DI19" s="366">
        <v>510.89</v>
      </c>
      <c r="DJ19" s="366">
        <v>574.15</v>
      </c>
      <c r="DK19" s="366">
        <v>220.75</v>
      </c>
      <c r="DL19" s="366">
        <v>372.39</v>
      </c>
      <c r="DM19" s="366">
        <v>328.63</v>
      </c>
      <c r="DN19" s="366">
        <v>525.65</v>
      </c>
      <c r="DO19" s="366">
        <v>247.32</v>
      </c>
      <c r="DP19" s="366">
        <v>418.36</v>
      </c>
      <c r="DQ19" s="366">
        <v>187.39</v>
      </c>
      <c r="DR19" s="366">
        <v>541.61</v>
      </c>
      <c r="DS19" s="366">
        <v>348.47</v>
      </c>
      <c r="DT19" s="366">
        <v>336.76</v>
      </c>
      <c r="DU19" s="366">
        <v>426.36</v>
      </c>
      <c r="DV19" s="366">
        <v>359.65</v>
      </c>
      <c r="DW19" s="366">
        <v>173.4</v>
      </c>
      <c r="DX19" s="366">
        <v>177.69</v>
      </c>
      <c r="DY19" s="366">
        <v>218.19</v>
      </c>
      <c r="DZ19" s="366">
        <v>466.34</v>
      </c>
      <c r="EA19" s="366">
        <v>354.27</v>
      </c>
      <c r="EB19" s="366">
        <v>212.19</v>
      </c>
      <c r="EC19" s="366">
        <v>267.26</v>
      </c>
      <c r="ED19" s="366">
        <v>540.66</v>
      </c>
      <c r="EE19" s="366">
        <v>551.45000000000005</v>
      </c>
      <c r="EF19" s="366">
        <v>308.58999999999997</v>
      </c>
      <c r="EG19" s="366">
        <v>353.54</v>
      </c>
      <c r="EH19" s="366">
        <v>353.54</v>
      </c>
      <c r="EI19" s="366">
        <v>229.47</v>
      </c>
      <c r="EJ19" s="366">
        <v>529.66999999999996</v>
      </c>
      <c r="EK19" s="366">
        <v>123.26</v>
      </c>
      <c r="EL19" s="366">
        <v>123.26</v>
      </c>
      <c r="EM19" s="366">
        <v>179.11</v>
      </c>
      <c r="EN19" s="366">
        <v>179.11</v>
      </c>
      <c r="EO19" s="366">
        <v>388.61</v>
      </c>
      <c r="EP19" s="366">
        <v>311.47000000000003</v>
      </c>
      <c r="EQ19" s="366">
        <v>341.93</v>
      </c>
      <c r="ER19" s="366">
        <v>710.68</v>
      </c>
      <c r="ES19" s="366">
        <v>340.95</v>
      </c>
      <c r="ET19" s="366">
        <v>248.92</v>
      </c>
      <c r="EU19" s="366">
        <v>761.13</v>
      </c>
      <c r="EV19" s="366">
        <v>469.51</v>
      </c>
      <c r="EW19" s="366">
        <v>230.39</v>
      </c>
      <c r="EX19" s="366">
        <v>317.69</v>
      </c>
      <c r="EY19" s="366">
        <v>317.69</v>
      </c>
      <c r="EZ19" s="366">
        <v>64.53</v>
      </c>
      <c r="FA19" s="366">
        <v>144.99</v>
      </c>
      <c r="FB19" s="366">
        <v>205.05</v>
      </c>
      <c r="FC19" s="366">
        <v>197.83</v>
      </c>
      <c r="FD19" s="366">
        <v>80.08</v>
      </c>
      <c r="FE19" s="366">
        <v>233.3</v>
      </c>
      <c r="FF19" s="366">
        <v>208.48</v>
      </c>
      <c r="FG19" s="366">
        <v>592.99</v>
      </c>
      <c r="FH19" s="366">
        <v>592.99</v>
      </c>
      <c r="FI19" s="366">
        <v>450.38</v>
      </c>
      <c r="FJ19" s="366">
        <v>456.17</v>
      </c>
      <c r="FK19" s="366">
        <v>368.69</v>
      </c>
      <c r="FL19" s="366">
        <v>366.88</v>
      </c>
      <c r="FM19" s="366">
        <v>388.61</v>
      </c>
      <c r="FN19" s="366">
        <v>500.26</v>
      </c>
      <c r="FO19" s="366">
        <v>362.64</v>
      </c>
      <c r="FP19" s="366">
        <v>197.29</v>
      </c>
      <c r="FQ19" s="366">
        <v>366.51</v>
      </c>
      <c r="FR19" s="366">
        <v>249.77</v>
      </c>
      <c r="FS19" s="366">
        <v>173.01</v>
      </c>
      <c r="FT19" s="366">
        <v>589.30999999999995</v>
      </c>
      <c r="FU19" s="366">
        <v>114.41</v>
      </c>
      <c r="FV19" s="366">
        <v>825.03</v>
      </c>
      <c r="FW19" s="366">
        <v>825.03</v>
      </c>
      <c r="FX19" s="366">
        <v>825.03</v>
      </c>
      <c r="FY19" s="366">
        <v>170.03</v>
      </c>
      <c r="FZ19" s="366">
        <v>223.21</v>
      </c>
      <c r="GA19" s="366">
        <v>188.39</v>
      </c>
      <c r="GB19" s="366">
        <v>211.48</v>
      </c>
      <c r="GC19" s="366">
        <v>540.66</v>
      </c>
      <c r="GD19" s="366">
        <v>240.43</v>
      </c>
      <c r="GE19" s="366">
        <v>332.54</v>
      </c>
      <c r="GF19" s="366">
        <v>100.88</v>
      </c>
      <c r="GG19" s="366">
        <v>100.88</v>
      </c>
      <c r="GH19" s="366">
        <v>236.84</v>
      </c>
      <c r="GI19" s="366">
        <v>388.77</v>
      </c>
      <c r="GJ19" s="366">
        <v>388.61</v>
      </c>
      <c r="GK19" s="366">
        <v>365.24</v>
      </c>
      <c r="GL19" s="366">
        <v>215.8</v>
      </c>
      <c r="GM19" s="366">
        <v>215.8</v>
      </c>
      <c r="GN19" s="366">
        <v>215.8</v>
      </c>
      <c r="GO19" s="366">
        <v>354.05</v>
      </c>
      <c r="GP19" s="366">
        <v>193.8</v>
      </c>
      <c r="GQ19" s="366">
        <v>410.95</v>
      </c>
      <c r="GR19" s="366">
        <v>416.84</v>
      </c>
      <c r="GS19" s="366">
        <v>283.38</v>
      </c>
      <c r="GT19" s="366">
        <v>353.54</v>
      </c>
      <c r="GU19" s="366">
        <v>175.63</v>
      </c>
      <c r="GV19" s="366">
        <v>536.86</v>
      </c>
      <c r="GW19" s="366">
        <v>191.78</v>
      </c>
      <c r="GX19" s="366">
        <v>350.11</v>
      </c>
      <c r="GY19" s="366">
        <v>206.57</v>
      </c>
      <c r="GZ19" s="366">
        <v>75.09</v>
      </c>
      <c r="HA19" s="366">
        <v>368.05</v>
      </c>
      <c r="HB19" s="366">
        <v>368.05</v>
      </c>
      <c r="HC19" s="366">
        <v>368.05</v>
      </c>
      <c r="HD19" s="366">
        <v>502.63</v>
      </c>
      <c r="HE19" s="366">
        <v>172.96</v>
      </c>
      <c r="HF19" s="366">
        <v>180.97</v>
      </c>
      <c r="HG19" s="366">
        <v>304.45999999999998</v>
      </c>
      <c r="HH19" s="366">
        <v>304.45999999999998</v>
      </c>
      <c r="HI19" s="366">
        <v>304.45999999999998</v>
      </c>
      <c r="HJ19" s="366">
        <v>121.75</v>
      </c>
      <c r="HK19" s="366">
        <v>426.03</v>
      </c>
      <c r="HL19" s="366">
        <v>33.380000000000003</v>
      </c>
      <c r="HM19" s="366">
        <v>385.89</v>
      </c>
      <c r="HN19" s="366">
        <v>388.61</v>
      </c>
      <c r="HO19" s="366">
        <v>794.33</v>
      </c>
      <c r="HP19" s="366">
        <v>80.52</v>
      </c>
      <c r="HQ19" s="366">
        <v>825.03</v>
      </c>
      <c r="HR19" s="366">
        <v>646.34</v>
      </c>
      <c r="HS19" s="366">
        <v>384.86</v>
      </c>
      <c r="HT19" s="366">
        <v>267.18</v>
      </c>
      <c r="HU19" s="366">
        <v>234.43</v>
      </c>
      <c r="HV19" s="366">
        <v>252.75</v>
      </c>
    </row>
    <row r="20" spans="1:230">
      <c r="A20" s="366" t="s">
        <v>43</v>
      </c>
      <c r="B20" s="366">
        <v>434.98</v>
      </c>
      <c r="C20" s="366">
        <v>450.72</v>
      </c>
      <c r="D20" s="366">
        <v>351.49</v>
      </c>
      <c r="E20" s="366">
        <v>351.49</v>
      </c>
      <c r="F20" s="366">
        <v>498.88</v>
      </c>
      <c r="G20" s="366">
        <v>306.45</v>
      </c>
      <c r="H20" s="366">
        <v>333.97</v>
      </c>
      <c r="I20" s="366">
        <v>74.5</v>
      </c>
      <c r="J20" s="366">
        <v>310.19</v>
      </c>
      <c r="K20" s="366">
        <v>310.19</v>
      </c>
      <c r="L20" s="366">
        <v>342.1</v>
      </c>
      <c r="M20" s="366">
        <v>476.14</v>
      </c>
      <c r="N20" s="366">
        <v>573.04</v>
      </c>
      <c r="O20" s="366">
        <v>326.14999999999998</v>
      </c>
      <c r="P20" s="366">
        <v>326.14999999999998</v>
      </c>
      <c r="Q20" s="366">
        <v>326.14999999999998</v>
      </c>
      <c r="R20" s="366">
        <v>326.14999999999998</v>
      </c>
      <c r="S20" s="366">
        <v>326.14999999999998</v>
      </c>
      <c r="T20" s="366">
        <v>0</v>
      </c>
      <c r="U20" s="366">
        <v>414.49</v>
      </c>
      <c r="V20" s="366">
        <v>415.54</v>
      </c>
      <c r="W20" s="366">
        <v>228.9</v>
      </c>
      <c r="X20" s="366">
        <v>228.9</v>
      </c>
      <c r="Y20" s="366">
        <v>228.9</v>
      </c>
      <c r="Z20" s="366">
        <v>453.28</v>
      </c>
      <c r="AA20" s="366">
        <v>300.62</v>
      </c>
      <c r="AB20" s="366">
        <v>59.74</v>
      </c>
      <c r="AC20" s="366">
        <v>62.2</v>
      </c>
      <c r="AD20" s="366">
        <v>62.2</v>
      </c>
      <c r="AE20" s="366">
        <v>300.58999999999997</v>
      </c>
      <c r="AF20" s="366">
        <v>320.19</v>
      </c>
      <c r="AG20" s="366">
        <v>230.42</v>
      </c>
      <c r="AH20" s="366">
        <v>120.55</v>
      </c>
      <c r="AI20" s="366">
        <v>120.55</v>
      </c>
      <c r="AJ20" s="366">
        <v>120.55</v>
      </c>
      <c r="AK20" s="366">
        <v>475.48</v>
      </c>
      <c r="AL20" s="366">
        <v>475.48</v>
      </c>
      <c r="AM20" s="366">
        <v>62.46</v>
      </c>
      <c r="AN20" s="366">
        <v>285.32</v>
      </c>
      <c r="AO20" s="366">
        <v>313.57</v>
      </c>
      <c r="AP20" s="366">
        <v>74.260000000000005</v>
      </c>
      <c r="AQ20" s="366">
        <v>455.42</v>
      </c>
      <c r="AR20" s="366">
        <v>349.93</v>
      </c>
      <c r="AS20" s="366">
        <v>266.64999999999998</v>
      </c>
      <c r="AT20" s="366">
        <v>266.64999999999998</v>
      </c>
      <c r="AU20" s="366">
        <v>330.4</v>
      </c>
      <c r="AV20" s="366">
        <v>445.54</v>
      </c>
      <c r="AW20" s="366">
        <v>272.73</v>
      </c>
      <c r="AX20" s="366">
        <v>142.63999999999999</v>
      </c>
      <c r="AY20" s="366">
        <v>608.75</v>
      </c>
      <c r="AZ20" s="366">
        <v>419.34</v>
      </c>
      <c r="BA20" s="366">
        <v>275.8</v>
      </c>
      <c r="BB20" s="366">
        <v>611.64</v>
      </c>
      <c r="BC20" s="366">
        <v>217.86</v>
      </c>
      <c r="BD20" s="366">
        <v>127.63</v>
      </c>
      <c r="BE20" s="366">
        <v>419.6</v>
      </c>
      <c r="BF20" s="366">
        <v>56.71</v>
      </c>
      <c r="BG20" s="366">
        <v>460.83</v>
      </c>
      <c r="BH20" s="366">
        <v>326.14999999999998</v>
      </c>
      <c r="BI20" s="366">
        <v>349.96</v>
      </c>
      <c r="BJ20" s="366">
        <v>398.95</v>
      </c>
      <c r="BK20" s="366">
        <v>487.12</v>
      </c>
      <c r="BL20" s="366">
        <v>344.49</v>
      </c>
      <c r="BM20" s="366">
        <v>361.38</v>
      </c>
      <c r="BN20" s="366">
        <v>340.81</v>
      </c>
      <c r="BO20" s="366">
        <v>529.32000000000005</v>
      </c>
      <c r="BP20" s="366">
        <v>495.18</v>
      </c>
      <c r="BQ20" s="366">
        <v>95.2</v>
      </c>
      <c r="BR20" s="366">
        <v>95.2</v>
      </c>
      <c r="BS20" s="366">
        <v>426.91</v>
      </c>
      <c r="BT20" s="366">
        <v>341.88</v>
      </c>
      <c r="BU20" s="366">
        <v>40.24</v>
      </c>
      <c r="BV20" s="366">
        <v>59.86</v>
      </c>
      <c r="BW20" s="366">
        <v>389.69</v>
      </c>
      <c r="BX20" s="366">
        <v>368</v>
      </c>
      <c r="BY20" s="366">
        <v>443.02</v>
      </c>
      <c r="BZ20" s="366">
        <v>443.02</v>
      </c>
      <c r="CA20" s="366">
        <v>233.93</v>
      </c>
      <c r="CB20" s="366">
        <v>386.43</v>
      </c>
      <c r="CC20" s="366">
        <v>126.85</v>
      </c>
      <c r="CD20" s="366">
        <v>140.33000000000001</v>
      </c>
      <c r="CE20" s="366">
        <v>470.35</v>
      </c>
      <c r="CF20" s="366">
        <v>318.92</v>
      </c>
      <c r="CG20" s="366">
        <v>318.92</v>
      </c>
      <c r="CH20" s="366">
        <v>80.2</v>
      </c>
      <c r="CI20" s="366">
        <v>199.35</v>
      </c>
      <c r="CJ20" s="366">
        <v>329.87</v>
      </c>
      <c r="CK20" s="366">
        <v>448.11</v>
      </c>
      <c r="CL20" s="366">
        <v>344.19</v>
      </c>
      <c r="CM20" s="366">
        <v>164.14</v>
      </c>
      <c r="CN20" s="366">
        <v>348.32</v>
      </c>
      <c r="CO20" s="366">
        <v>348.54</v>
      </c>
      <c r="CP20" s="366">
        <v>101.89</v>
      </c>
      <c r="CQ20" s="366">
        <v>101.89</v>
      </c>
      <c r="CR20" s="366">
        <v>299.86</v>
      </c>
      <c r="CS20" s="366">
        <v>299.86</v>
      </c>
      <c r="CT20" s="366">
        <v>290.42</v>
      </c>
      <c r="CU20" s="366">
        <v>298.29000000000002</v>
      </c>
      <c r="CV20" s="366">
        <v>292.24</v>
      </c>
      <c r="CW20" s="366">
        <v>415.54</v>
      </c>
      <c r="CX20" s="366">
        <v>145.91999999999999</v>
      </c>
      <c r="CY20" s="366">
        <v>210.56</v>
      </c>
      <c r="CZ20" s="366">
        <v>231.8</v>
      </c>
      <c r="DA20" s="366">
        <v>511.09</v>
      </c>
      <c r="DB20" s="366">
        <v>394.93</v>
      </c>
      <c r="DC20" s="366">
        <v>394.93</v>
      </c>
      <c r="DD20" s="366">
        <v>216.06</v>
      </c>
      <c r="DE20" s="366">
        <v>588.72</v>
      </c>
      <c r="DF20" s="366">
        <v>483.34</v>
      </c>
      <c r="DG20" s="366">
        <v>169.7</v>
      </c>
      <c r="DH20" s="366">
        <v>651.28</v>
      </c>
      <c r="DI20" s="366">
        <v>184.74</v>
      </c>
      <c r="DJ20" s="366">
        <v>248</v>
      </c>
      <c r="DK20" s="366">
        <v>330.42</v>
      </c>
      <c r="DL20" s="366">
        <v>46.24</v>
      </c>
      <c r="DM20" s="366">
        <v>438.3</v>
      </c>
      <c r="DN20" s="366">
        <v>199.5</v>
      </c>
      <c r="DO20" s="366">
        <v>356.99</v>
      </c>
      <c r="DP20" s="366">
        <v>177.75</v>
      </c>
      <c r="DQ20" s="366">
        <v>401.03</v>
      </c>
      <c r="DR20" s="366">
        <v>651.28</v>
      </c>
      <c r="DS20" s="366">
        <v>349.44</v>
      </c>
      <c r="DT20" s="366">
        <v>337.73</v>
      </c>
      <c r="DU20" s="366">
        <v>541.42999999999995</v>
      </c>
      <c r="DV20" s="366">
        <v>479.12</v>
      </c>
      <c r="DW20" s="366">
        <v>283.07</v>
      </c>
      <c r="DX20" s="366">
        <v>376.01</v>
      </c>
      <c r="DY20" s="366">
        <v>449.4</v>
      </c>
      <c r="DZ20" s="366">
        <v>223.08</v>
      </c>
      <c r="EA20" s="366">
        <v>332.21</v>
      </c>
      <c r="EB20" s="366">
        <v>443.4</v>
      </c>
      <c r="EC20" s="366">
        <v>352.15</v>
      </c>
      <c r="ED20" s="366">
        <v>214.51</v>
      </c>
      <c r="EE20" s="366">
        <v>225.3</v>
      </c>
      <c r="EF20" s="366">
        <v>67.98</v>
      </c>
      <c r="EG20" s="366">
        <v>272.73</v>
      </c>
      <c r="EH20" s="366">
        <v>272.73</v>
      </c>
      <c r="EI20" s="366">
        <v>140.80000000000001</v>
      </c>
      <c r="EJ20" s="366">
        <v>639.34</v>
      </c>
      <c r="EK20" s="366">
        <v>252.03</v>
      </c>
      <c r="EL20" s="366">
        <v>252.03</v>
      </c>
      <c r="EM20" s="366">
        <v>346.14</v>
      </c>
      <c r="EN20" s="366">
        <v>346.14</v>
      </c>
      <c r="EO20" s="366">
        <v>62.46</v>
      </c>
      <c r="EP20" s="366">
        <v>103.42</v>
      </c>
      <c r="EQ20" s="366">
        <v>280.93</v>
      </c>
      <c r="ER20" s="366">
        <v>384.53</v>
      </c>
      <c r="ES20" s="366">
        <v>450.62</v>
      </c>
      <c r="ET20" s="366">
        <v>77.23</v>
      </c>
      <c r="EU20" s="366">
        <v>434.98</v>
      </c>
      <c r="EV20" s="366">
        <v>228.9</v>
      </c>
      <c r="EW20" s="366">
        <v>140.18</v>
      </c>
      <c r="EX20" s="366">
        <v>427.36</v>
      </c>
      <c r="EY20" s="366">
        <v>427.36</v>
      </c>
      <c r="EZ20" s="366">
        <v>390.68</v>
      </c>
      <c r="FA20" s="366">
        <v>343.31</v>
      </c>
      <c r="FB20" s="366">
        <v>314.72000000000003</v>
      </c>
      <c r="FC20" s="366">
        <v>396.15</v>
      </c>
      <c r="FD20" s="366">
        <v>251.34</v>
      </c>
      <c r="FE20" s="366">
        <v>144.63</v>
      </c>
      <c r="FF20" s="366">
        <v>186.89</v>
      </c>
      <c r="FG20" s="366">
        <v>266.83999999999997</v>
      </c>
      <c r="FH20" s="366">
        <v>266.83999999999997</v>
      </c>
      <c r="FI20" s="366">
        <v>209.77</v>
      </c>
      <c r="FJ20" s="366">
        <v>215.56</v>
      </c>
      <c r="FK20" s="366">
        <v>478.36</v>
      </c>
      <c r="FL20" s="366">
        <v>476.55</v>
      </c>
      <c r="FM20" s="366">
        <v>62.46</v>
      </c>
      <c r="FN20" s="366">
        <v>259.64999999999998</v>
      </c>
      <c r="FO20" s="366">
        <v>340.58</v>
      </c>
      <c r="FP20" s="366">
        <v>428.5</v>
      </c>
      <c r="FQ20" s="366">
        <v>344.45</v>
      </c>
      <c r="FR20" s="366">
        <v>359.44</v>
      </c>
      <c r="FS20" s="366">
        <v>187.6</v>
      </c>
      <c r="FT20" s="366">
        <v>263.16000000000003</v>
      </c>
      <c r="FU20" s="366">
        <v>211.74</v>
      </c>
      <c r="FV20" s="366">
        <v>498.88</v>
      </c>
      <c r="FW20" s="366">
        <v>498.88</v>
      </c>
      <c r="FX20" s="366">
        <v>498.88</v>
      </c>
      <c r="FY20" s="366">
        <v>292.45</v>
      </c>
      <c r="FZ20" s="366">
        <v>167.5</v>
      </c>
      <c r="GA20" s="366">
        <v>419.6</v>
      </c>
      <c r="GB20" s="366">
        <v>226.07</v>
      </c>
      <c r="GC20" s="366">
        <v>214.51</v>
      </c>
      <c r="GD20" s="366">
        <v>350.1</v>
      </c>
      <c r="GE20" s="366">
        <v>290.32</v>
      </c>
      <c r="GF20" s="366">
        <v>225.27</v>
      </c>
      <c r="GG20" s="366">
        <v>225.27</v>
      </c>
      <c r="GH20" s="366">
        <v>468.05</v>
      </c>
      <c r="GI20" s="366">
        <v>62.62</v>
      </c>
      <c r="GJ20" s="366">
        <v>62.46</v>
      </c>
      <c r="GK20" s="366">
        <v>474.91</v>
      </c>
      <c r="GL20" s="366">
        <v>154.47</v>
      </c>
      <c r="GM20" s="366">
        <v>154.47</v>
      </c>
      <c r="GN20" s="366">
        <v>154.47</v>
      </c>
      <c r="GO20" s="366">
        <v>70.75</v>
      </c>
      <c r="GP20" s="366">
        <v>425.01</v>
      </c>
      <c r="GQ20" s="366">
        <v>520.62</v>
      </c>
      <c r="GR20" s="366">
        <v>90.69</v>
      </c>
      <c r="GS20" s="366">
        <v>42.77</v>
      </c>
      <c r="GT20" s="366">
        <v>272.73</v>
      </c>
      <c r="GU20" s="366">
        <v>285.3</v>
      </c>
      <c r="GV20" s="366">
        <v>646.53</v>
      </c>
      <c r="GW20" s="366">
        <v>170.19</v>
      </c>
      <c r="GX20" s="366">
        <v>269.3</v>
      </c>
      <c r="GY20" s="366">
        <v>119.58</v>
      </c>
      <c r="GZ20" s="366">
        <v>251.06</v>
      </c>
      <c r="HA20" s="366">
        <v>345.99</v>
      </c>
      <c r="HB20" s="366">
        <v>345.99</v>
      </c>
      <c r="HC20" s="366">
        <v>345.99</v>
      </c>
      <c r="HD20" s="366">
        <v>186.79</v>
      </c>
      <c r="HE20" s="366">
        <v>339.99</v>
      </c>
      <c r="HF20" s="366">
        <v>296.27999999999997</v>
      </c>
      <c r="HG20" s="366">
        <v>423.93</v>
      </c>
      <c r="HH20" s="366">
        <v>423.93</v>
      </c>
      <c r="HI20" s="366">
        <v>423.93</v>
      </c>
      <c r="HJ20" s="366">
        <v>204.4</v>
      </c>
      <c r="HK20" s="366">
        <v>199.35</v>
      </c>
      <c r="HL20" s="366">
        <v>359.53</v>
      </c>
      <c r="HM20" s="366">
        <v>59.74</v>
      </c>
      <c r="HN20" s="366">
        <v>62.46</v>
      </c>
      <c r="HO20" s="366">
        <v>468.18</v>
      </c>
      <c r="HP20" s="366">
        <v>251.78</v>
      </c>
      <c r="HQ20" s="366">
        <v>498.88</v>
      </c>
      <c r="HR20" s="366">
        <v>320.19</v>
      </c>
      <c r="HS20" s="366">
        <v>58.71</v>
      </c>
      <c r="HT20" s="366">
        <v>90.03</v>
      </c>
      <c r="HU20" s="366">
        <v>98.68</v>
      </c>
      <c r="HV20" s="366">
        <v>159.01</v>
      </c>
    </row>
    <row r="21" spans="1:230">
      <c r="A21" s="366" t="s">
        <v>44</v>
      </c>
      <c r="B21" s="366">
        <v>91.55</v>
      </c>
      <c r="C21" s="366">
        <v>774.94</v>
      </c>
      <c r="D21" s="366">
        <v>578.85</v>
      </c>
      <c r="E21" s="366">
        <v>578.85</v>
      </c>
      <c r="F21" s="366">
        <v>155.44999999999999</v>
      </c>
      <c r="G21" s="366">
        <v>119.7</v>
      </c>
      <c r="H21" s="366">
        <v>535.23</v>
      </c>
      <c r="I21" s="366">
        <v>488.99</v>
      </c>
      <c r="J21" s="366">
        <v>511.45</v>
      </c>
      <c r="K21" s="366">
        <v>511.45</v>
      </c>
      <c r="L21" s="366">
        <v>596.76</v>
      </c>
      <c r="M21" s="366">
        <v>800.36</v>
      </c>
      <c r="N21" s="366">
        <v>897.26</v>
      </c>
      <c r="O21" s="366">
        <v>740.64</v>
      </c>
      <c r="P21" s="366">
        <v>740.64</v>
      </c>
      <c r="Q21" s="366">
        <v>740.64</v>
      </c>
      <c r="R21" s="366">
        <v>740.64</v>
      </c>
      <c r="S21" s="366">
        <v>740.64</v>
      </c>
      <c r="T21" s="366">
        <v>414.49</v>
      </c>
      <c r="U21" s="366">
        <v>0</v>
      </c>
      <c r="V21" s="366">
        <v>830.03</v>
      </c>
      <c r="W21" s="366">
        <v>400.16</v>
      </c>
      <c r="X21" s="366">
        <v>400.16</v>
      </c>
      <c r="Y21" s="366">
        <v>400.16</v>
      </c>
      <c r="Z21" s="366">
        <v>867.77</v>
      </c>
      <c r="AA21" s="366">
        <v>113.87</v>
      </c>
      <c r="AB21" s="366">
        <v>383.82</v>
      </c>
      <c r="AC21" s="366">
        <v>352.29</v>
      </c>
      <c r="AD21" s="366">
        <v>352.29</v>
      </c>
      <c r="AE21" s="366">
        <v>629.75</v>
      </c>
      <c r="AF21" s="366">
        <v>94.3</v>
      </c>
      <c r="AG21" s="366">
        <v>431.68</v>
      </c>
      <c r="AH21" s="366">
        <v>535.04</v>
      </c>
      <c r="AI21" s="366">
        <v>535.04</v>
      </c>
      <c r="AJ21" s="366">
        <v>535.04</v>
      </c>
      <c r="AK21" s="366">
        <v>889.97</v>
      </c>
      <c r="AL21" s="366">
        <v>889.97</v>
      </c>
      <c r="AM21" s="366">
        <v>386.54</v>
      </c>
      <c r="AN21" s="366">
        <v>699.81</v>
      </c>
      <c r="AO21" s="366">
        <v>136.31</v>
      </c>
      <c r="AP21" s="366">
        <v>433.61</v>
      </c>
      <c r="AQ21" s="366">
        <v>111.99</v>
      </c>
      <c r="AR21" s="366">
        <v>551.19000000000005</v>
      </c>
      <c r="AS21" s="366">
        <v>672.21</v>
      </c>
      <c r="AT21" s="366">
        <v>672.21</v>
      </c>
      <c r="AU21" s="366">
        <v>744.89</v>
      </c>
      <c r="AV21" s="366">
        <v>31.05</v>
      </c>
      <c r="AW21" s="366">
        <v>473.99</v>
      </c>
      <c r="AX21" s="366">
        <v>476.65</v>
      </c>
      <c r="AY21" s="366">
        <v>932.97</v>
      </c>
      <c r="AZ21" s="366">
        <v>743.56</v>
      </c>
      <c r="BA21" s="366">
        <v>250.73</v>
      </c>
      <c r="BB21" s="366">
        <v>935.86</v>
      </c>
      <c r="BC21" s="366">
        <v>232.02</v>
      </c>
      <c r="BD21" s="366">
        <v>322.25</v>
      </c>
      <c r="BE21" s="366">
        <v>834.09</v>
      </c>
      <c r="BF21" s="366">
        <v>380.79</v>
      </c>
      <c r="BG21" s="366">
        <v>875.32</v>
      </c>
      <c r="BH21" s="366">
        <v>740.64</v>
      </c>
      <c r="BI21" s="366">
        <v>551.22</v>
      </c>
      <c r="BJ21" s="366">
        <v>813.44</v>
      </c>
      <c r="BK21" s="366">
        <v>811.34</v>
      </c>
      <c r="BL21" s="366">
        <v>585.85</v>
      </c>
      <c r="BM21" s="366">
        <v>562.64</v>
      </c>
      <c r="BN21" s="366">
        <v>73.680000000000007</v>
      </c>
      <c r="BO21" s="366">
        <v>853.54</v>
      </c>
      <c r="BP21" s="366">
        <v>819.4</v>
      </c>
      <c r="BQ21" s="366">
        <v>509.69</v>
      </c>
      <c r="BR21" s="366">
        <v>509.69</v>
      </c>
      <c r="BS21" s="366">
        <v>751.13</v>
      </c>
      <c r="BT21" s="366">
        <v>543.14</v>
      </c>
      <c r="BU21" s="366">
        <v>374.25</v>
      </c>
      <c r="BV21" s="366">
        <v>383.94</v>
      </c>
      <c r="BW21" s="366">
        <v>804.18</v>
      </c>
      <c r="BX21" s="366">
        <v>692.22</v>
      </c>
      <c r="BY21" s="366">
        <v>857.51</v>
      </c>
      <c r="BZ21" s="366">
        <v>857.51</v>
      </c>
      <c r="CA21" s="366">
        <v>435.19</v>
      </c>
      <c r="CB21" s="366">
        <v>710.65</v>
      </c>
      <c r="CC21" s="366">
        <v>505.48</v>
      </c>
      <c r="CD21" s="366">
        <v>518.96</v>
      </c>
      <c r="CE21" s="366">
        <v>794.57</v>
      </c>
      <c r="CF21" s="366">
        <v>132.16999999999999</v>
      </c>
      <c r="CG21" s="366">
        <v>132.16999999999999</v>
      </c>
      <c r="CH21" s="366">
        <v>494.69</v>
      </c>
      <c r="CI21" s="366">
        <v>613.84</v>
      </c>
      <c r="CJ21" s="366">
        <v>84.76</v>
      </c>
      <c r="CK21" s="366">
        <v>862.6</v>
      </c>
      <c r="CL21" s="366">
        <v>758.68</v>
      </c>
      <c r="CM21" s="366">
        <v>285.74</v>
      </c>
      <c r="CN21" s="366">
        <v>762.81</v>
      </c>
      <c r="CO21" s="366">
        <v>549.79999999999995</v>
      </c>
      <c r="CP21" s="366">
        <v>516.38</v>
      </c>
      <c r="CQ21" s="366">
        <v>516.38</v>
      </c>
      <c r="CR21" s="366">
        <v>501.12</v>
      </c>
      <c r="CS21" s="366">
        <v>501.12</v>
      </c>
      <c r="CT21" s="366">
        <v>491.68</v>
      </c>
      <c r="CU21" s="366">
        <v>499.55</v>
      </c>
      <c r="CV21" s="366">
        <v>493.5</v>
      </c>
      <c r="CW21" s="366">
        <v>830.03</v>
      </c>
      <c r="CX21" s="366">
        <v>493.19</v>
      </c>
      <c r="CY21" s="366">
        <v>247.68</v>
      </c>
      <c r="CZ21" s="366">
        <v>218.08</v>
      </c>
      <c r="DA21" s="366">
        <v>835.31</v>
      </c>
      <c r="DB21" s="366">
        <v>809.42</v>
      </c>
      <c r="DC21" s="366">
        <v>809.42</v>
      </c>
      <c r="DD21" s="366">
        <v>312.01</v>
      </c>
      <c r="DE21" s="366">
        <v>912.94</v>
      </c>
      <c r="DF21" s="366">
        <v>139.91</v>
      </c>
      <c r="DG21" s="366">
        <v>584.19000000000005</v>
      </c>
      <c r="DH21" s="366">
        <v>975.5</v>
      </c>
      <c r="DI21" s="366">
        <v>229.75</v>
      </c>
      <c r="DJ21" s="366">
        <v>201.88</v>
      </c>
      <c r="DK21" s="366">
        <v>654.64</v>
      </c>
      <c r="DL21" s="366">
        <v>369.92</v>
      </c>
      <c r="DM21" s="366">
        <v>762.52</v>
      </c>
      <c r="DN21" s="366">
        <v>216.78</v>
      </c>
      <c r="DO21" s="366">
        <v>681.21</v>
      </c>
      <c r="DP21" s="366">
        <v>349.01</v>
      </c>
      <c r="DQ21" s="366">
        <v>815.52</v>
      </c>
      <c r="DR21" s="366">
        <v>975.5</v>
      </c>
      <c r="DS21" s="366">
        <v>550.70000000000005</v>
      </c>
      <c r="DT21" s="366">
        <v>538.99</v>
      </c>
      <c r="DU21" s="366">
        <v>865.65</v>
      </c>
      <c r="DV21" s="366">
        <v>893.61</v>
      </c>
      <c r="DW21" s="366">
        <v>655.79</v>
      </c>
      <c r="DX21" s="366">
        <v>790.5</v>
      </c>
      <c r="DY21" s="366">
        <v>863.89</v>
      </c>
      <c r="DZ21" s="366">
        <v>301.02999999999997</v>
      </c>
      <c r="EA21" s="366">
        <v>533.47</v>
      </c>
      <c r="EB21" s="366">
        <v>857.89</v>
      </c>
      <c r="EC21" s="366">
        <v>553.41</v>
      </c>
      <c r="ED21" s="366">
        <v>199.98</v>
      </c>
      <c r="EE21" s="366">
        <v>190.1</v>
      </c>
      <c r="EF21" s="366">
        <v>439.89</v>
      </c>
      <c r="EG21" s="366">
        <v>473.99</v>
      </c>
      <c r="EH21" s="366">
        <v>473.99</v>
      </c>
      <c r="EI21" s="366">
        <v>519.42999999999995</v>
      </c>
      <c r="EJ21" s="366">
        <v>963.56</v>
      </c>
      <c r="EK21" s="366">
        <v>666.52</v>
      </c>
      <c r="EL21" s="366">
        <v>666.52</v>
      </c>
      <c r="EM21" s="366">
        <v>760.63</v>
      </c>
      <c r="EN21" s="366">
        <v>760.63</v>
      </c>
      <c r="EO21" s="366">
        <v>386.54</v>
      </c>
      <c r="EP21" s="366">
        <v>437.43</v>
      </c>
      <c r="EQ21" s="366">
        <v>482.19</v>
      </c>
      <c r="ER21" s="366">
        <v>67.5</v>
      </c>
      <c r="ES21" s="366">
        <v>774.84</v>
      </c>
      <c r="ET21" s="366">
        <v>491.72</v>
      </c>
      <c r="EU21" s="366">
        <v>91.55</v>
      </c>
      <c r="EV21" s="366">
        <v>400.16</v>
      </c>
      <c r="EW21" s="366">
        <v>518.80999999999995</v>
      </c>
      <c r="EX21" s="366">
        <v>751.58</v>
      </c>
      <c r="EY21" s="366">
        <v>751.58</v>
      </c>
      <c r="EZ21" s="366">
        <v>805.17</v>
      </c>
      <c r="FA21" s="366">
        <v>757.8</v>
      </c>
      <c r="FB21" s="366">
        <v>638.94000000000005</v>
      </c>
      <c r="FC21" s="366">
        <v>810.64</v>
      </c>
      <c r="FD21" s="366">
        <v>665.83</v>
      </c>
      <c r="FE21" s="366">
        <v>523.26</v>
      </c>
      <c r="FF21" s="366">
        <v>601.38</v>
      </c>
      <c r="FG21" s="366">
        <v>303.95999999999998</v>
      </c>
      <c r="FH21" s="366">
        <v>303.95999999999998</v>
      </c>
      <c r="FI21" s="366">
        <v>411.03</v>
      </c>
      <c r="FJ21" s="366">
        <v>416.82</v>
      </c>
      <c r="FK21" s="366">
        <v>802.58</v>
      </c>
      <c r="FL21" s="366">
        <v>800.77</v>
      </c>
      <c r="FM21" s="366">
        <v>386.54</v>
      </c>
      <c r="FN21" s="366">
        <v>430.91</v>
      </c>
      <c r="FO21" s="366">
        <v>541.84</v>
      </c>
      <c r="FP21" s="366">
        <v>842.99</v>
      </c>
      <c r="FQ21" s="366">
        <v>545.71</v>
      </c>
      <c r="FR21" s="366">
        <v>614.1</v>
      </c>
      <c r="FS21" s="366">
        <v>602.09</v>
      </c>
      <c r="FT21" s="366">
        <v>186.72</v>
      </c>
      <c r="FU21" s="366">
        <v>626.23</v>
      </c>
      <c r="FV21" s="366">
        <v>155.44999999999999</v>
      </c>
      <c r="FW21" s="366">
        <v>155.44999999999999</v>
      </c>
      <c r="FX21" s="366">
        <v>155.44999999999999</v>
      </c>
      <c r="FY21" s="366">
        <v>706.94</v>
      </c>
      <c r="FZ21" s="366">
        <v>546.13</v>
      </c>
      <c r="GA21" s="366">
        <v>834.09</v>
      </c>
      <c r="GB21" s="366">
        <v>640.55999999999995</v>
      </c>
      <c r="GC21" s="366">
        <v>199.98</v>
      </c>
      <c r="GD21" s="366">
        <v>674.32</v>
      </c>
      <c r="GE21" s="366">
        <v>491.58</v>
      </c>
      <c r="GF21" s="366">
        <v>639.76</v>
      </c>
      <c r="GG21" s="366">
        <v>639.76</v>
      </c>
      <c r="GH21" s="366">
        <v>882.54</v>
      </c>
      <c r="GI21" s="366">
        <v>386.7</v>
      </c>
      <c r="GJ21" s="366">
        <v>386.54</v>
      </c>
      <c r="GK21" s="366">
        <v>799.13</v>
      </c>
      <c r="GL21" s="366">
        <v>533.1</v>
      </c>
      <c r="GM21" s="366">
        <v>533.1</v>
      </c>
      <c r="GN21" s="366">
        <v>533.1</v>
      </c>
      <c r="GO21" s="366">
        <v>394.43</v>
      </c>
      <c r="GP21" s="366">
        <v>839.5</v>
      </c>
      <c r="GQ21" s="366">
        <v>844.84</v>
      </c>
      <c r="GR21" s="366">
        <v>323.8</v>
      </c>
      <c r="GS21" s="366">
        <v>457.26</v>
      </c>
      <c r="GT21" s="366">
        <v>473.99</v>
      </c>
      <c r="GU21" s="366">
        <v>647.91999999999996</v>
      </c>
      <c r="GV21" s="366">
        <v>970.75</v>
      </c>
      <c r="GW21" s="366">
        <v>557.55999999999995</v>
      </c>
      <c r="GX21" s="366">
        <v>470.56</v>
      </c>
      <c r="GY21" s="366">
        <v>534.07000000000005</v>
      </c>
      <c r="GZ21" s="366">
        <v>665.55</v>
      </c>
      <c r="HA21" s="366">
        <v>547.25</v>
      </c>
      <c r="HB21" s="366">
        <v>547.25</v>
      </c>
      <c r="HC21" s="366">
        <v>547.25</v>
      </c>
      <c r="HD21" s="366">
        <v>264.74</v>
      </c>
      <c r="HE21" s="366">
        <v>754.48</v>
      </c>
      <c r="HF21" s="366">
        <v>710.77</v>
      </c>
      <c r="HG21" s="366">
        <v>838.42</v>
      </c>
      <c r="HH21" s="366">
        <v>838.42</v>
      </c>
      <c r="HI21" s="366">
        <v>838.42</v>
      </c>
      <c r="HJ21" s="366">
        <v>618.89</v>
      </c>
      <c r="HK21" s="366">
        <v>400.61</v>
      </c>
      <c r="HL21" s="366">
        <v>774.02</v>
      </c>
      <c r="HM21" s="366">
        <v>383.82</v>
      </c>
      <c r="HN21" s="366">
        <v>386.54</v>
      </c>
      <c r="HO21" s="366">
        <v>59.71</v>
      </c>
      <c r="HP21" s="366">
        <v>666.27</v>
      </c>
      <c r="HQ21" s="366">
        <v>155.44999999999999</v>
      </c>
      <c r="HR21" s="366">
        <v>94.3</v>
      </c>
      <c r="HS21" s="366">
        <v>382.79</v>
      </c>
      <c r="HT21" s="366">
        <v>486.49</v>
      </c>
      <c r="HU21" s="366">
        <v>513.16999999999996</v>
      </c>
      <c r="HV21" s="366">
        <v>537.64</v>
      </c>
    </row>
    <row r="22" spans="1:230">
      <c r="A22" s="366" t="s">
        <v>45</v>
      </c>
      <c r="B22" s="366">
        <v>850.52</v>
      </c>
      <c r="C22" s="366">
        <v>395.98</v>
      </c>
      <c r="D22" s="366">
        <v>296.75</v>
      </c>
      <c r="E22" s="366">
        <v>296.75</v>
      </c>
      <c r="F22" s="366">
        <v>914.42</v>
      </c>
      <c r="G22" s="366">
        <v>721.99</v>
      </c>
      <c r="H22" s="366">
        <v>340.37</v>
      </c>
      <c r="I22" s="366">
        <v>341.04</v>
      </c>
      <c r="J22" s="366">
        <v>364.15</v>
      </c>
      <c r="K22" s="366">
        <v>364.15</v>
      </c>
      <c r="L22" s="366">
        <v>287.36</v>
      </c>
      <c r="M22" s="366">
        <v>421.4</v>
      </c>
      <c r="N22" s="366">
        <v>471.71</v>
      </c>
      <c r="O22" s="366">
        <v>184.33</v>
      </c>
      <c r="P22" s="366">
        <v>184.33</v>
      </c>
      <c r="Q22" s="366">
        <v>184.33</v>
      </c>
      <c r="R22" s="366">
        <v>184.33</v>
      </c>
      <c r="S22" s="366">
        <v>184.33</v>
      </c>
      <c r="T22" s="366">
        <v>415.54</v>
      </c>
      <c r="U22" s="366">
        <v>830.03</v>
      </c>
      <c r="V22" s="366">
        <v>0</v>
      </c>
      <c r="W22" s="366">
        <v>558.9</v>
      </c>
      <c r="X22" s="366">
        <v>558.9</v>
      </c>
      <c r="Y22" s="366">
        <v>558.9</v>
      </c>
      <c r="Z22" s="366">
        <v>286.87</v>
      </c>
      <c r="AA22" s="366">
        <v>716.16</v>
      </c>
      <c r="AB22" s="366">
        <v>475.28</v>
      </c>
      <c r="AC22" s="366">
        <v>477.74</v>
      </c>
      <c r="AD22" s="366">
        <v>477.74</v>
      </c>
      <c r="AE22" s="366">
        <v>245.85</v>
      </c>
      <c r="AF22" s="366">
        <v>735.73</v>
      </c>
      <c r="AG22" s="366">
        <v>560.41999999999996</v>
      </c>
      <c r="AH22" s="366">
        <v>294.99</v>
      </c>
      <c r="AI22" s="366">
        <v>294.99</v>
      </c>
      <c r="AJ22" s="366">
        <v>294.99</v>
      </c>
      <c r="AK22" s="366">
        <v>309.07</v>
      </c>
      <c r="AL22" s="366">
        <v>309.07</v>
      </c>
      <c r="AM22" s="366">
        <v>478</v>
      </c>
      <c r="AN22" s="366">
        <v>225.16</v>
      </c>
      <c r="AO22" s="366">
        <v>729.11</v>
      </c>
      <c r="AP22" s="366">
        <v>404.26</v>
      </c>
      <c r="AQ22" s="366">
        <v>870.96</v>
      </c>
      <c r="AR22" s="366">
        <v>426.92</v>
      </c>
      <c r="AS22" s="366">
        <v>211.91</v>
      </c>
      <c r="AT22" s="366">
        <v>211.91</v>
      </c>
      <c r="AU22" s="366">
        <v>85.14</v>
      </c>
      <c r="AV22" s="366">
        <v>861.08</v>
      </c>
      <c r="AW22" s="366">
        <v>408.47</v>
      </c>
      <c r="AX22" s="366">
        <v>361.64</v>
      </c>
      <c r="AY22" s="366">
        <v>507.42</v>
      </c>
      <c r="AZ22" s="366">
        <v>364.6</v>
      </c>
      <c r="BA22" s="366">
        <v>691.34</v>
      </c>
      <c r="BB22" s="366">
        <v>510.31</v>
      </c>
      <c r="BC22" s="366">
        <v>633.4</v>
      </c>
      <c r="BD22" s="366">
        <v>543.16999999999996</v>
      </c>
      <c r="BE22" s="366">
        <v>4.0599999999999996</v>
      </c>
      <c r="BF22" s="366">
        <v>472.25</v>
      </c>
      <c r="BG22" s="366">
        <v>294.42</v>
      </c>
      <c r="BH22" s="366">
        <v>184.33</v>
      </c>
      <c r="BI22" s="366">
        <v>426.95</v>
      </c>
      <c r="BJ22" s="366">
        <v>232.54</v>
      </c>
      <c r="BK22" s="366">
        <v>432.38</v>
      </c>
      <c r="BL22" s="366">
        <v>289.75</v>
      </c>
      <c r="BM22" s="366">
        <v>312.95999999999998</v>
      </c>
      <c r="BN22" s="366">
        <v>756.35</v>
      </c>
      <c r="BO22" s="366">
        <v>474.58</v>
      </c>
      <c r="BP22" s="366">
        <v>440.44</v>
      </c>
      <c r="BQ22" s="366">
        <v>320.33999999999997</v>
      </c>
      <c r="BR22" s="366">
        <v>320.33999999999997</v>
      </c>
      <c r="BS22" s="366">
        <v>372.17</v>
      </c>
      <c r="BT22" s="366">
        <v>411.38</v>
      </c>
      <c r="BU22" s="366">
        <v>455.78</v>
      </c>
      <c r="BV22" s="366">
        <v>475.4</v>
      </c>
      <c r="BW22" s="366">
        <v>53.21</v>
      </c>
      <c r="BX22" s="366">
        <v>313.26</v>
      </c>
      <c r="BY22" s="366">
        <v>27.48</v>
      </c>
      <c r="BZ22" s="366">
        <v>27.48</v>
      </c>
      <c r="CA22" s="366">
        <v>440.41</v>
      </c>
      <c r="CB22" s="366">
        <v>331.69</v>
      </c>
      <c r="CC22" s="366">
        <v>332.81</v>
      </c>
      <c r="CD22" s="366">
        <v>335.21</v>
      </c>
      <c r="CE22" s="366">
        <v>415.61</v>
      </c>
      <c r="CF22" s="366">
        <v>734.46</v>
      </c>
      <c r="CG22" s="366">
        <v>734.46</v>
      </c>
      <c r="CH22" s="366">
        <v>335.34</v>
      </c>
      <c r="CI22" s="366">
        <v>238.25</v>
      </c>
      <c r="CJ22" s="366">
        <v>745.41</v>
      </c>
      <c r="CK22" s="366">
        <v>32.57</v>
      </c>
      <c r="CL22" s="366">
        <v>98.93</v>
      </c>
      <c r="CM22" s="366">
        <v>579.67999999999995</v>
      </c>
      <c r="CN22" s="366">
        <v>181.91</v>
      </c>
      <c r="CO22" s="366">
        <v>425.53</v>
      </c>
      <c r="CP22" s="366">
        <v>313.64999999999998</v>
      </c>
      <c r="CQ22" s="366">
        <v>313.64999999999998</v>
      </c>
      <c r="CR22" s="366">
        <v>377.93</v>
      </c>
      <c r="CS22" s="366">
        <v>377.93</v>
      </c>
      <c r="CT22" s="366">
        <v>387.37</v>
      </c>
      <c r="CU22" s="366">
        <v>379.5</v>
      </c>
      <c r="CV22" s="366">
        <v>382.1</v>
      </c>
      <c r="CW22" s="366">
        <v>0</v>
      </c>
      <c r="CX22" s="366">
        <v>351.88</v>
      </c>
      <c r="CY22" s="366">
        <v>626.1</v>
      </c>
      <c r="CZ22" s="366">
        <v>647.34</v>
      </c>
      <c r="DA22" s="366">
        <v>409.76</v>
      </c>
      <c r="DB22" s="366">
        <v>228.52</v>
      </c>
      <c r="DC22" s="366">
        <v>228.52</v>
      </c>
      <c r="DD22" s="366">
        <v>546.05999999999995</v>
      </c>
      <c r="DE22" s="366">
        <v>487.39</v>
      </c>
      <c r="DF22" s="366">
        <v>898.88</v>
      </c>
      <c r="DG22" s="366">
        <v>267.89999999999998</v>
      </c>
      <c r="DH22" s="366">
        <v>549.95000000000005</v>
      </c>
      <c r="DI22" s="366">
        <v>600.28</v>
      </c>
      <c r="DJ22" s="366">
        <v>663.54</v>
      </c>
      <c r="DK22" s="366">
        <v>275.68</v>
      </c>
      <c r="DL22" s="366">
        <v>461.78</v>
      </c>
      <c r="DM22" s="366">
        <v>383.56</v>
      </c>
      <c r="DN22" s="366">
        <v>615.04</v>
      </c>
      <c r="DO22" s="366">
        <v>302.25</v>
      </c>
      <c r="DP22" s="366">
        <v>507.75</v>
      </c>
      <c r="DQ22" s="366">
        <v>35.43</v>
      </c>
      <c r="DR22" s="366">
        <v>549.95000000000005</v>
      </c>
      <c r="DS22" s="366">
        <v>403.4</v>
      </c>
      <c r="DT22" s="366">
        <v>391.69</v>
      </c>
      <c r="DU22" s="366">
        <v>379.42</v>
      </c>
      <c r="DV22" s="366">
        <v>312.70999999999998</v>
      </c>
      <c r="DW22" s="366">
        <v>228.33</v>
      </c>
      <c r="DX22" s="366">
        <v>39.53</v>
      </c>
      <c r="DY22" s="366">
        <v>33.86</v>
      </c>
      <c r="DZ22" s="366">
        <v>555.73</v>
      </c>
      <c r="EA22" s="366">
        <v>409.2</v>
      </c>
      <c r="EB22" s="366">
        <v>27.86</v>
      </c>
      <c r="EC22" s="366">
        <v>322.19</v>
      </c>
      <c r="ED22" s="366">
        <v>630.04999999999995</v>
      </c>
      <c r="EE22" s="366">
        <v>640.84</v>
      </c>
      <c r="EF22" s="366">
        <v>397.98</v>
      </c>
      <c r="EG22" s="366">
        <v>408.47</v>
      </c>
      <c r="EH22" s="366">
        <v>408.47</v>
      </c>
      <c r="EI22" s="366">
        <v>318.86</v>
      </c>
      <c r="EJ22" s="366">
        <v>584.6</v>
      </c>
      <c r="EK22" s="366">
        <v>197.29</v>
      </c>
      <c r="EL22" s="366">
        <v>197.29</v>
      </c>
      <c r="EM22" s="366">
        <v>132.16999999999999</v>
      </c>
      <c r="EN22" s="366">
        <v>132.16999999999999</v>
      </c>
      <c r="EO22" s="366">
        <v>478</v>
      </c>
      <c r="EP22" s="366">
        <v>400.86</v>
      </c>
      <c r="EQ22" s="366">
        <v>396.86</v>
      </c>
      <c r="ER22" s="366">
        <v>800.07</v>
      </c>
      <c r="ES22" s="366">
        <v>395.88</v>
      </c>
      <c r="ET22" s="366">
        <v>338.31</v>
      </c>
      <c r="EU22" s="366">
        <v>850.52</v>
      </c>
      <c r="EV22" s="366">
        <v>558.9</v>
      </c>
      <c r="EW22" s="366">
        <v>319.77999999999997</v>
      </c>
      <c r="EX22" s="366">
        <v>372.62</v>
      </c>
      <c r="EY22" s="366">
        <v>372.62</v>
      </c>
      <c r="EZ22" s="366">
        <v>152.69</v>
      </c>
      <c r="FA22" s="366">
        <v>98.05</v>
      </c>
      <c r="FB22" s="366">
        <v>259.98</v>
      </c>
      <c r="FC22" s="366">
        <v>59.67</v>
      </c>
      <c r="FD22" s="366">
        <v>225.42</v>
      </c>
      <c r="FE22" s="366">
        <v>322.69</v>
      </c>
      <c r="FF22" s="366">
        <v>297.87</v>
      </c>
      <c r="FG22" s="366">
        <v>682.38</v>
      </c>
      <c r="FH22" s="366">
        <v>682.38</v>
      </c>
      <c r="FI22" s="366">
        <v>539.77</v>
      </c>
      <c r="FJ22" s="366">
        <v>545.55999999999995</v>
      </c>
      <c r="FK22" s="366">
        <v>423.62</v>
      </c>
      <c r="FL22" s="366">
        <v>421.81</v>
      </c>
      <c r="FM22" s="366">
        <v>478</v>
      </c>
      <c r="FN22" s="366">
        <v>589.65</v>
      </c>
      <c r="FO22" s="366">
        <v>417.57</v>
      </c>
      <c r="FP22" s="366">
        <v>12.96</v>
      </c>
      <c r="FQ22" s="366">
        <v>421.44</v>
      </c>
      <c r="FR22" s="366">
        <v>304.7</v>
      </c>
      <c r="FS22" s="366">
        <v>227.94</v>
      </c>
      <c r="FT22" s="366">
        <v>678.7</v>
      </c>
      <c r="FU22" s="366">
        <v>225.86</v>
      </c>
      <c r="FV22" s="366">
        <v>914.42</v>
      </c>
      <c r="FW22" s="366">
        <v>914.42</v>
      </c>
      <c r="FX22" s="366">
        <v>914.42</v>
      </c>
      <c r="FY22" s="366">
        <v>123.09</v>
      </c>
      <c r="FZ22" s="366">
        <v>312.60000000000002</v>
      </c>
      <c r="GA22" s="366">
        <v>4.0599999999999996</v>
      </c>
      <c r="GB22" s="366">
        <v>266.41000000000003</v>
      </c>
      <c r="GC22" s="366">
        <v>630.04999999999995</v>
      </c>
      <c r="GD22" s="366">
        <v>295.36</v>
      </c>
      <c r="GE22" s="366">
        <v>387.47</v>
      </c>
      <c r="GF22" s="366">
        <v>212.33</v>
      </c>
      <c r="GG22" s="366">
        <v>212.33</v>
      </c>
      <c r="GH22" s="366">
        <v>52.51</v>
      </c>
      <c r="GI22" s="366">
        <v>478.16</v>
      </c>
      <c r="GJ22" s="366">
        <v>478</v>
      </c>
      <c r="GK22" s="366">
        <v>420.17</v>
      </c>
      <c r="GL22" s="366">
        <v>305.19</v>
      </c>
      <c r="GM22" s="366">
        <v>305.19</v>
      </c>
      <c r="GN22" s="366">
        <v>305.19</v>
      </c>
      <c r="GO22" s="366">
        <v>443.44</v>
      </c>
      <c r="GP22" s="366">
        <v>9.4700000000000006</v>
      </c>
      <c r="GQ22" s="366">
        <v>465.88</v>
      </c>
      <c r="GR22" s="366">
        <v>506.23</v>
      </c>
      <c r="GS22" s="366">
        <v>372.77</v>
      </c>
      <c r="GT22" s="366">
        <v>408.47</v>
      </c>
      <c r="GU22" s="366">
        <v>230.56</v>
      </c>
      <c r="GV22" s="366">
        <v>591.79</v>
      </c>
      <c r="GW22" s="366">
        <v>281.17</v>
      </c>
      <c r="GX22" s="366">
        <v>405.04</v>
      </c>
      <c r="GY22" s="366">
        <v>295.95999999999998</v>
      </c>
      <c r="GZ22" s="366">
        <v>225.14</v>
      </c>
      <c r="HA22" s="366">
        <v>422.98</v>
      </c>
      <c r="HB22" s="366">
        <v>422.98</v>
      </c>
      <c r="HC22" s="366">
        <v>422.98</v>
      </c>
      <c r="HD22" s="366">
        <v>592.02</v>
      </c>
      <c r="HE22" s="366">
        <v>126.02</v>
      </c>
      <c r="HF22" s="366">
        <v>163.16</v>
      </c>
      <c r="HG22" s="366">
        <v>257.52</v>
      </c>
      <c r="HH22" s="366">
        <v>257.52</v>
      </c>
      <c r="HI22" s="366">
        <v>257.52</v>
      </c>
      <c r="HJ22" s="366">
        <v>233.2</v>
      </c>
      <c r="HK22" s="366">
        <v>480.96</v>
      </c>
      <c r="HL22" s="366">
        <v>150.94999999999999</v>
      </c>
      <c r="HM22" s="366">
        <v>475.28</v>
      </c>
      <c r="HN22" s="366">
        <v>478</v>
      </c>
      <c r="HO22" s="366">
        <v>883.72</v>
      </c>
      <c r="HP22" s="366">
        <v>225.86</v>
      </c>
      <c r="HQ22" s="366">
        <v>914.42</v>
      </c>
      <c r="HR22" s="366">
        <v>735.73</v>
      </c>
      <c r="HS22" s="366">
        <v>474.25</v>
      </c>
      <c r="HT22" s="366">
        <v>356.57</v>
      </c>
      <c r="HU22" s="366">
        <v>323.82</v>
      </c>
      <c r="HV22" s="366">
        <v>342.14</v>
      </c>
    </row>
    <row r="23" spans="1:230">
      <c r="A23" s="366" t="s">
        <v>46</v>
      </c>
      <c r="B23" s="366">
        <v>491.71</v>
      </c>
      <c r="C23" s="366">
        <v>477.08</v>
      </c>
      <c r="D23" s="366">
        <v>280.99</v>
      </c>
      <c r="E23" s="366">
        <v>280.99</v>
      </c>
      <c r="F23" s="366">
        <v>555.61</v>
      </c>
      <c r="G23" s="366">
        <v>292.12</v>
      </c>
      <c r="H23" s="366">
        <v>237.37</v>
      </c>
      <c r="I23" s="366">
        <v>217.86</v>
      </c>
      <c r="J23" s="366">
        <v>213.59</v>
      </c>
      <c r="K23" s="366">
        <v>213.59</v>
      </c>
      <c r="L23" s="366">
        <v>298.89999999999998</v>
      </c>
      <c r="M23" s="366">
        <v>502.5</v>
      </c>
      <c r="N23" s="366">
        <v>599.4</v>
      </c>
      <c r="O23" s="366">
        <v>469.51</v>
      </c>
      <c r="P23" s="366">
        <v>469.51</v>
      </c>
      <c r="Q23" s="366">
        <v>469.51</v>
      </c>
      <c r="R23" s="366">
        <v>469.51</v>
      </c>
      <c r="S23" s="366">
        <v>469.51</v>
      </c>
      <c r="T23" s="366">
        <v>228.9</v>
      </c>
      <c r="U23" s="366">
        <v>400.16</v>
      </c>
      <c r="V23" s="366">
        <v>558.9</v>
      </c>
      <c r="W23" s="366">
        <v>0</v>
      </c>
      <c r="X23" s="366">
        <v>0</v>
      </c>
      <c r="Y23" s="366">
        <v>0</v>
      </c>
      <c r="Z23" s="366">
        <v>596.64</v>
      </c>
      <c r="AA23" s="366">
        <v>286.29000000000002</v>
      </c>
      <c r="AB23" s="366">
        <v>256.39</v>
      </c>
      <c r="AC23" s="366">
        <v>248.52</v>
      </c>
      <c r="AD23" s="366">
        <v>248.52</v>
      </c>
      <c r="AE23" s="366">
        <v>331.89</v>
      </c>
      <c r="AF23" s="366">
        <v>305.86</v>
      </c>
      <c r="AG23" s="366">
        <v>133.82</v>
      </c>
      <c r="AH23" s="366">
        <v>263.91000000000003</v>
      </c>
      <c r="AI23" s="366">
        <v>263.91000000000003</v>
      </c>
      <c r="AJ23" s="366">
        <v>263.91000000000003</v>
      </c>
      <c r="AK23" s="366">
        <v>618.84</v>
      </c>
      <c r="AL23" s="366">
        <v>618.84</v>
      </c>
      <c r="AM23" s="366">
        <v>259.11</v>
      </c>
      <c r="AN23" s="366">
        <v>428.68</v>
      </c>
      <c r="AO23" s="366">
        <v>308.73</v>
      </c>
      <c r="AP23" s="366">
        <v>167.2</v>
      </c>
      <c r="AQ23" s="366">
        <v>512.15</v>
      </c>
      <c r="AR23" s="366">
        <v>253.33</v>
      </c>
      <c r="AS23" s="366">
        <v>374.35</v>
      </c>
      <c r="AT23" s="366">
        <v>374.35</v>
      </c>
      <c r="AU23" s="366">
        <v>473.76</v>
      </c>
      <c r="AV23" s="366">
        <v>431.21</v>
      </c>
      <c r="AW23" s="366">
        <v>176.13</v>
      </c>
      <c r="AX23" s="366">
        <v>299.04000000000002</v>
      </c>
      <c r="AY23" s="366">
        <v>635.11</v>
      </c>
      <c r="AZ23" s="366">
        <v>445.7</v>
      </c>
      <c r="BA23" s="366">
        <v>462.12</v>
      </c>
      <c r="BB23" s="366">
        <v>638</v>
      </c>
      <c r="BC23" s="366">
        <v>404.18</v>
      </c>
      <c r="BD23" s="366">
        <v>313.95</v>
      </c>
      <c r="BE23" s="366">
        <v>562.96</v>
      </c>
      <c r="BF23" s="366">
        <v>253.36</v>
      </c>
      <c r="BG23" s="366">
        <v>604.19000000000005</v>
      </c>
      <c r="BH23" s="366">
        <v>469.51</v>
      </c>
      <c r="BI23" s="366">
        <v>253.36</v>
      </c>
      <c r="BJ23" s="366">
        <v>542.30999999999995</v>
      </c>
      <c r="BK23" s="366">
        <v>513.48</v>
      </c>
      <c r="BL23" s="366">
        <v>287.99</v>
      </c>
      <c r="BM23" s="366">
        <v>264.77999999999997</v>
      </c>
      <c r="BN23" s="366">
        <v>326.48</v>
      </c>
      <c r="BO23" s="366">
        <v>555.67999999999995</v>
      </c>
      <c r="BP23" s="366">
        <v>521.54</v>
      </c>
      <c r="BQ23" s="366">
        <v>238.56</v>
      </c>
      <c r="BR23" s="366">
        <v>238.56</v>
      </c>
      <c r="BS23" s="366">
        <v>453.27</v>
      </c>
      <c r="BT23" s="366">
        <v>245.28</v>
      </c>
      <c r="BU23" s="366">
        <v>236.89</v>
      </c>
      <c r="BV23" s="366">
        <v>256.51</v>
      </c>
      <c r="BW23" s="366">
        <v>533.04999999999995</v>
      </c>
      <c r="BX23" s="366">
        <v>394.36</v>
      </c>
      <c r="BY23" s="366">
        <v>586.38</v>
      </c>
      <c r="BZ23" s="366">
        <v>586.38</v>
      </c>
      <c r="CA23" s="366">
        <v>137.33000000000001</v>
      </c>
      <c r="CB23" s="366">
        <v>412.79</v>
      </c>
      <c r="CC23" s="366">
        <v>270.20999999999998</v>
      </c>
      <c r="CD23" s="366">
        <v>283.69</v>
      </c>
      <c r="CE23" s="366">
        <v>496.71</v>
      </c>
      <c r="CF23" s="366">
        <v>304.58999999999997</v>
      </c>
      <c r="CG23" s="366">
        <v>304.58999999999997</v>
      </c>
      <c r="CH23" s="366">
        <v>223.56</v>
      </c>
      <c r="CI23" s="366">
        <v>342.71</v>
      </c>
      <c r="CJ23" s="366">
        <v>315.54000000000002</v>
      </c>
      <c r="CK23" s="366">
        <v>591.47</v>
      </c>
      <c r="CL23" s="366">
        <v>487.55</v>
      </c>
      <c r="CM23" s="366">
        <v>350.46</v>
      </c>
      <c r="CN23" s="366">
        <v>491.68</v>
      </c>
      <c r="CO23" s="366">
        <v>251.94</v>
      </c>
      <c r="CP23" s="366">
        <v>245.25</v>
      </c>
      <c r="CQ23" s="366">
        <v>245.25</v>
      </c>
      <c r="CR23" s="366">
        <v>203.26</v>
      </c>
      <c r="CS23" s="366">
        <v>203.26</v>
      </c>
      <c r="CT23" s="366">
        <v>193.82</v>
      </c>
      <c r="CU23" s="366">
        <v>201.69</v>
      </c>
      <c r="CV23" s="366">
        <v>195.64</v>
      </c>
      <c r="CW23" s="366">
        <v>558.9</v>
      </c>
      <c r="CX23" s="366">
        <v>289.27999999999997</v>
      </c>
      <c r="CY23" s="366">
        <v>396.88</v>
      </c>
      <c r="CZ23" s="366">
        <v>390.5</v>
      </c>
      <c r="DA23" s="366">
        <v>537.45000000000005</v>
      </c>
      <c r="DB23" s="366">
        <v>538.29</v>
      </c>
      <c r="DC23" s="366">
        <v>538.29</v>
      </c>
      <c r="DD23" s="366">
        <v>89.46</v>
      </c>
      <c r="DE23" s="366">
        <v>615.08000000000004</v>
      </c>
      <c r="DF23" s="366">
        <v>540.07000000000005</v>
      </c>
      <c r="DG23" s="366">
        <v>313.06</v>
      </c>
      <c r="DH23" s="366">
        <v>677.64</v>
      </c>
      <c r="DI23" s="366">
        <v>170.41</v>
      </c>
      <c r="DJ23" s="366">
        <v>374.3</v>
      </c>
      <c r="DK23" s="366">
        <v>356.78</v>
      </c>
      <c r="DL23" s="366">
        <v>230.89</v>
      </c>
      <c r="DM23" s="366">
        <v>464.66</v>
      </c>
      <c r="DN23" s="366">
        <v>185.17</v>
      </c>
      <c r="DO23" s="366">
        <v>383.35</v>
      </c>
      <c r="DP23" s="366">
        <v>51.15</v>
      </c>
      <c r="DQ23" s="366">
        <v>544.39</v>
      </c>
      <c r="DR23" s="366">
        <v>677.64</v>
      </c>
      <c r="DS23" s="366">
        <v>252.84</v>
      </c>
      <c r="DT23" s="366">
        <v>241.13</v>
      </c>
      <c r="DU23" s="366">
        <v>567.79</v>
      </c>
      <c r="DV23" s="366">
        <v>622.48</v>
      </c>
      <c r="DW23" s="366">
        <v>357.93</v>
      </c>
      <c r="DX23" s="366">
        <v>519.37</v>
      </c>
      <c r="DY23" s="366">
        <v>592.76</v>
      </c>
      <c r="DZ23" s="366">
        <v>99.13</v>
      </c>
      <c r="EA23" s="366">
        <v>235.61</v>
      </c>
      <c r="EB23" s="366">
        <v>586.76</v>
      </c>
      <c r="EC23" s="366">
        <v>255.55</v>
      </c>
      <c r="ED23" s="366">
        <v>200.18</v>
      </c>
      <c r="EE23" s="366">
        <v>210.97</v>
      </c>
      <c r="EF23" s="366">
        <v>160.91999999999999</v>
      </c>
      <c r="EG23" s="366">
        <v>176.13</v>
      </c>
      <c r="EH23" s="366">
        <v>176.13</v>
      </c>
      <c r="EI23" s="366">
        <v>284.16000000000003</v>
      </c>
      <c r="EJ23" s="366">
        <v>665.7</v>
      </c>
      <c r="EK23" s="366">
        <v>395.39</v>
      </c>
      <c r="EL23" s="366">
        <v>395.39</v>
      </c>
      <c r="EM23" s="366">
        <v>489.5</v>
      </c>
      <c r="EN23" s="366">
        <v>489.5</v>
      </c>
      <c r="EO23" s="366">
        <v>259.11</v>
      </c>
      <c r="EP23" s="366">
        <v>300.07</v>
      </c>
      <c r="EQ23" s="366">
        <v>184.33</v>
      </c>
      <c r="ER23" s="366">
        <v>370.2</v>
      </c>
      <c r="ES23" s="366">
        <v>476.98</v>
      </c>
      <c r="ET23" s="366">
        <v>220.59</v>
      </c>
      <c r="EU23" s="366">
        <v>491.71</v>
      </c>
      <c r="EV23" s="366">
        <v>0</v>
      </c>
      <c r="EW23" s="366">
        <v>283.54000000000002</v>
      </c>
      <c r="EX23" s="366">
        <v>453.72</v>
      </c>
      <c r="EY23" s="366">
        <v>453.72</v>
      </c>
      <c r="EZ23" s="366">
        <v>534.04</v>
      </c>
      <c r="FA23" s="366">
        <v>486.67</v>
      </c>
      <c r="FB23" s="366">
        <v>341.08</v>
      </c>
      <c r="FC23" s="366">
        <v>539.51</v>
      </c>
      <c r="FD23" s="366">
        <v>394.7</v>
      </c>
      <c r="FE23" s="366">
        <v>287.99</v>
      </c>
      <c r="FF23" s="366">
        <v>330.25</v>
      </c>
      <c r="FG23" s="366">
        <v>453.16</v>
      </c>
      <c r="FH23" s="366">
        <v>453.16</v>
      </c>
      <c r="FI23" s="366">
        <v>113.17</v>
      </c>
      <c r="FJ23" s="366">
        <v>118.96</v>
      </c>
      <c r="FK23" s="366">
        <v>504.72</v>
      </c>
      <c r="FL23" s="366">
        <v>502.91</v>
      </c>
      <c r="FM23" s="366">
        <v>259.11</v>
      </c>
      <c r="FN23" s="366">
        <v>58.73</v>
      </c>
      <c r="FO23" s="366">
        <v>243.98</v>
      </c>
      <c r="FP23" s="366">
        <v>571.86</v>
      </c>
      <c r="FQ23" s="366">
        <v>247.85</v>
      </c>
      <c r="FR23" s="366">
        <v>316.24</v>
      </c>
      <c r="FS23" s="366">
        <v>330.96</v>
      </c>
      <c r="FT23" s="366">
        <v>359.14</v>
      </c>
      <c r="FU23" s="366">
        <v>355.1</v>
      </c>
      <c r="FV23" s="366">
        <v>555.61</v>
      </c>
      <c r="FW23" s="366">
        <v>555.61</v>
      </c>
      <c r="FX23" s="366">
        <v>555.61</v>
      </c>
      <c r="FY23" s="366">
        <v>435.81</v>
      </c>
      <c r="FZ23" s="366">
        <v>310.86</v>
      </c>
      <c r="GA23" s="366">
        <v>562.96</v>
      </c>
      <c r="GB23" s="366">
        <v>369.43</v>
      </c>
      <c r="GC23" s="366">
        <v>200.18</v>
      </c>
      <c r="GD23" s="366">
        <v>376.46</v>
      </c>
      <c r="GE23" s="366">
        <v>193.72</v>
      </c>
      <c r="GF23" s="366">
        <v>368.63</v>
      </c>
      <c r="GG23" s="366">
        <v>368.63</v>
      </c>
      <c r="GH23" s="366">
        <v>611.41</v>
      </c>
      <c r="GI23" s="366">
        <v>259.27</v>
      </c>
      <c r="GJ23" s="366">
        <v>259.11</v>
      </c>
      <c r="GK23" s="366">
        <v>501.27</v>
      </c>
      <c r="GL23" s="366">
        <v>297.83</v>
      </c>
      <c r="GM23" s="366">
        <v>297.83</v>
      </c>
      <c r="GN23" s="366">
        <v>297.83</v>
      </c>
      <c r="GO23" s="366">
        <v>206.38</v>
      </c>
      <c r="GP23" s="366">
        <v>568.37</v>
      </c>
      <c r="GQ23" s="366">
        <v>546.98</v>
      </c>
      <c r="GR23" s="366">
        <v>231.52</v>
      </c>
      <c r="GS23" s="366">
        <v>186.13</v>
      </c>
      <c r="GT23" s="366">
        <v>176.13</v>
      </c>
      <c r="GU23" s="366">
        <v>350.06</v>
      </c>
      <c r="GV23" s="366">
        <v>672.89</v>
      </c>
      <c r="GW23" s="366">
        <v>313.55</v>
      </c>
      <c r="GX23" s="366">
        <v>172.7</v>
      </c>
      <c r="GY23" s="366">
        <v>262.94</v>
      </c>
      <c r="GZ23" s="366">
        <v>394.42</v>
      </c>
      <c r="HA23" s="366">
        <v>249.39</v>
      </c>
      <c r="HB23" s="366">
        <v>249.39</v>
      </c>
      <c r="HC23" s="366">
        <v>249.39</v>
      </c>
      <c r="HD23" s="366">
        <v>135.41999999999999</v>
      </c>
      <c r="HE23" s="366">
        <v>483.35</v>
      </c>
      <c r="HF23" s="366">
        <v>439.64</v>
      </c>
      <c r="HG23" s="366">
        <v>567.29</v>
      </c>
      <c r="HH23" s="366">
        <v>567.29</v>
      </c>
      <c r="HI23" s="366">
        <v>567.29</v>
      </c>
      <c r="HJ23" s="366">
        <v>347.76</v>
      </c>
      <c r="HK23" s="366">
        <v>102.75</v>
      </c>
      <c r="HL23" s="366">
        <v>502.89</v>
      </c>
      <c r="HM23" s="366">
        <v>256.39</v>
      </c>
      <c r="HN23" s="366">
        <v>259.11</v>
      </c>
      <c r="HO23" s="366">
        <v>459.87</v>
      </c>
      <c r="HP23" s="366">
        <v>395.14</v>
      </c>
      <c r="HQ23" s="366">
        <v>555.61</v>
      </c>
      <c r="HR23" s="366">
        <v>305.86</v>
      </c>
      <c r="HS23" s="366">
        <v>255.36</v>
      </c>
      <c r="HT23" s="366">
        <v>207.52</v>
      </c>
      <c r="HU23" s="366">
        <v>242.04</v>
      </c>
      <c r="HV23" s="366">
        <v>302.37</v>
      </c>
    </row>
    <row r="24" spans="1:230">
      <c r="A24" s="366" t="s">
        <v>47</v>
      </c>
      <c r="B24" s="366">
        <v>491.71</v>
      </c>
      <c r="C24" s="366">
        <v>477.08</v>
      </c>
      <c r="D24" s="366">
        <v>280.99</v>
      </c>
      <c r="E24" s="366">
        <v>280.99</v>
      </c>
      <c r="F24" s="366">
        <v>555.61</v>
      </c>
      <c r="G24" s="366">
        <v>292.12</v>
      </c>
      <c r="H24" s="366">
        <v>237.37</v>
      </c>
      <c r="I24" s="366">
        <v>217.86</v>
      </c>
      <c r="J24" s="366">
        <v>213.59</v>
      </c>
      <c r="K24" s="366">
        <v>213.59</v>
      </c>
      <c r="L24" s="366">
        <v>298.89999999999998</v>
      </c>
      <c r="M24" s="366">
        <v>502.5</v>
      </c>
      <c r="N24" s="366">
        <v>599.4</v>
      </c>
      <c r="O24" s="366">
        <v>469.51</v>
      </c>
      <c r="P24" s="366">
        <v>469.51</v>
      </c>
      <c r="Q24" s="366">
        <v>469.51</v>
      </c>
      <c r="R24" s="366">
        <v>469.51</v>
      </c>
      <c r="S24" s="366">
        <v>469.51</v>
      </c>
      <c r="T24" s="366">
        <v>228.9</v>
      </c>
      <c r="U24" s="366">
        <v>400.16</v>
      </c>
      <c r="V24" s="366">
        <v>558.9</v>
      </c>
      <c r="W24" s="366">
        <v>0</v>
      </c>
      <c r="X24" s="366">
        <v>0</v>
      </c>
      <c r="Y24" s="366">
        <v>0</v>
      </c>
      <c r="Z24" s="366">
        <v>596.64</v>
      </c>
      <c r="AA24" s="366">
        <v>286.29000000000002</v>
      </c>
      <c r="AB24" s="366">
        <v>256.39</v>
      </c>
      <c r="AC24" s="366">
        <v>248.52</v>
      </c>
      <c r="AD24" s="366">
        <v>248.52</v>
      </c>
      <c r="AE24" s="366">
        <v>331.89</v>
      </c>
      <c r="AF24" s="366">
        <v>305.86</v>
      </c>
      <c r="AG24" s="366">
        <v>133.82</v>
      </c>
      <c r="AH24" s="366">
        <v>263.91000000000003</v>
      </c>
      <c r="AI24" s="366">
        <v>263.91000000000003</v>
      </c>
      <c r="AJ24" s="366">
        <v>263.91000000000003</v>
      </c>
      <c r="AK24" s="366">
        <v>618.84</v>
      </c>
      <c r="AL24" s="366">
        <v>618.84</v>
      </c>
      <c r="AM24" s="366">
        <v>259.11</v>
      </c>
      <c r="AN24" s="366">
        <v>428.68</v>
      </c>
      <c r="AO24" s="366">
        <v>308.73</v>
      </c>
      <c r="AP24" s="366">
        <v>167.2</v>
      </c>
      <c r="AQ24" s="366">
        <v>512.15</v>
      </c>
      <c r="AR24" s="366">
        <v>253.33</v>
      </c>
      <c r="AS24" s="366">
        <v>374.35</v>
      </c>
      <c r="AT24" s="366">
        <v>374.35</v>
      </c>
      <c r="AU24" s="366">
        <v>473.76</v>
      </c>
      <c r="AV24" s="366">
        <v>431.21</v>
      </c>
      <c r="AW24" s="366">
        <v>176.13</v>
      </c>
      <c r="AX24" s="366">
        <v>299.04000000000002</v>
      </c>
      <c r="AY24" s="366">
        <v>635.11</v>
      </c>
      <c r="AZ24" s="366">
        <v>445.7</v>
      </c>
      <c r="BA24" s="366">
        <v>462.12</v>
      </c>
      <c r="BB24" s="366">
        <v>638</v>
      </c>
      <c r="BC24" s="366">
        <v>404.18</v>
      </c>
      <c r="BD24" s="366">
        <v>313.95</v>
      </c>
      <c r="BE24" s="366">
        <v>562.96</v>
      </c>
      <c r="BF24" s="366">
        <v>253.36</v>
      </c>
      <c r="BG24" s="366">
        <v>604.19000000000005</v>
      </c>
      <c r="BH24" s="366">
        <v>469.51</v>
      </c>
      <c r="BI24" s="366">
        <v>253.36</v>
      </c>
      <c r="BJ24" s="366">
        <v>542.30999999999995</v>
      </c>
      <c r="BK24" s="366">
        <v>513.48</v>
      </c>
      <c r="BL24" s="366">
        <v>287.99</v>
      </c>
      <c r="BM24" s="366">
        <v>264.77999999999997</v>
      </c>
      <c r="BN24" s="366">
        <v>326.48</v>
      </c>
      <c r="BO24" s="366">
        <v>555.67999999999995</v>
      </c>
      <c r="BP24" s="366">
        <v>521.54</v>
      </c>
      <c r="BQ24" s="366">
        <v>238.56</v>
      </c>
      <c r="BR24" s="366">
        <v>238.56</v>
      </c>
      <c r="BS24" s="366">
        <v>453.27</v>
      </c>
      <c r="BT24" s="366">
        <v>245.28</v>
      </c>
      <c r="BU24" s="366">
        <v>236.89</v>
      </c>
      <c r="BV24" s="366">
        <v>256.51</v>
      </c>
      <c r="BW24" s="366">
        <v>533.04999999999995</v>
      </c>
      <c r="BX24" s="366">
        <v>394.36</v>
      </c>
      <c r="BY24" s="366">
        <v>586.38</v>
      </c>
      <c r="BZ24" s="366">
        <v>586.38</v>
      </c>
      <c r="CA24" s="366">
        <v>137.33000000000001</v>
      </c>
      <c r="CB24" s="366">
        <v>412.79</v>
      </c>
      <c r="CC24" s="366">
        <v>270.20999999999998</v>
      </c>
      <c r="CD24" s="366">
        <v>283.69</v>
      </c>
      <c r="CE24" s="366">
        <v>496.71</v>
      </c>
      <c r="CF24" s="366">
        <v>304.58999999999997</v>
      </c>
      <c r="CG24" s="366">
        <v>304.58999999999997</v>
      </c>
      <c r="CH24" s="366">
        <v>223.56</v>
      </c>
      <c r="CI24" s="366">
        <v>342.71</v>
      </c>
      <c r="CJ24" s="366">
        <v>315.54000000000002</v>
      </c>
      <c r="CK24" s="366">
        <v>591.47</v>
      </c>
      <c r="CL24" s="366">
        <v>487.55</v>
      </c>
      <c r="CM24" s="366">
        <v>350.46</v>
      </c>
      <c r="CN24" s="366">
        <v>491.68</v>
      </c>
      <c r="CO24" s="366">
        <v>251.94</v>
      </c>
      <c r="CP24" s="366">
        <v>245.25</v>
      </c>
      <c r="CQ24" s="366">
        <v>245.25</v>
      </c>
      <c r="CR24" s="366">
        <v>203.26</v>
      </c>
      <c r="CS24" s="366">
        <v>203.26</v>
      </c>
      <c r="CT24" s="366">
        <v>193.82</v>
      </c>
      <c r="CU24" s="366">
        <v>201.69</v>
      </c>
      <c r="CV24" s="366">
        <v>195.64</v>
      </c>
      <c r="CW24" s="366">
        <v>558.9</v>
      </c>
      <c r="CX24" s="366">
        <v>289.27999999999997</v>
      </c>
      <c r="CY24" s="366">
        <v>396.88</v>
      </c>
      <c r="CZ24" s="366">
        <v>390.5</v>
      </c>
      <c r="DA24" s="366">
        <v>537.45000000000005</v>
      </c>
      <c r="DB24" s="366">
        <v>538.29</v>
      </c>
      <c r="DC24" s="366">
        <v>538.29</v>
      </c>
      <c r="DD24" s="366">
        <v>89.46</v>
      </c>
      <c r="DE24" s="366">
        <v>615.08000000000004</v>
      </c>
      <c r="DF24" s="366">
        <v>540.07000000000005</v>
      </c>
      <c r="DG24" s="366">
        <v>313.06</v>
      </c>
      <c r="DH24" s="366">
        <v>677.64</v>
      </c>
      <c r="DI24" s="366">
        <v>170.41</v>
      </c>
      <c r="DJ24" s="366">
        <v>374.3</v>
      </c>
      <c r="DK24" s="366">
        <v>356.78</v>
      </c>
      <c r="DL24" s="366">
        <v>230.89</v>
      </c>
      <c r="DM24" s="366">
        <v>464.66</v>
      </c>
      <c r="DN24" s="366">
        <v>185.17</v>
      </c>
      <c r="DO24" s="366">
        <v>383.35</v>
      </c>
      <c r="DP24" s="366">
        <v>51.15</v>
      </c>
      <c r="DQ24" s="366">
        <v>544.39</v>
      </c>
      <c r="DR24" s="366">
        <v>677.64</v>
      </c>
      <c r="DS24" s="366">
        <v>252.84</v>
      </c>
      <c r="DT24" s="366">
        <v>241.13</v>
      </c>
      <c r="DU24" s="366">
        <v>567.79</v>
      </c>
      <c r="DV24" s="366">
        <v>622.48</v>
      </c>
      <c r="DW24" s="366">
        <v>357.93</v>
      </c>
      <c r="DX24" s="366">
        <v>519.37</v>
      </c>
      <c r="DY24" s="366">
        <v>592.76</v>
      </c>
      <c r="DZ24" s="366">
        <v>99.13</v>
      </c>
      <c r="EA24" s="366">
        <v>235.61</v>
      </c>
      <c r="EB24" s="366">
        <v>586.76</v>
      </c>
      <c r="EC24" s="366">
        <v>255.55</v>
      </c>
      <c r="ED24" s="366">
        <v>200.18</v>
      </c>
      <c r="EE24" s="366">
        <v>210.97</v>
      </c>
      <c r="EF24" s="366">
        <v>160.91999999999999</v>
      </c>
      <c r="EG24" s="366">
        <v>176.13</v>
      </c>
      <c r="EH24" s="366">
        <v>176.13</v>
      </c>
      <c r="EI24" s="366">
        <v>284.16000000000003</v>
      </c>
      <c r="EJ24" s="366">
        <v>665.7</v>
      </c>
      <c r="EK24" s="366">
        <v>395.39</v>
      </c>
      <c r="EL24" s="366">
        <v>395.39</v>
      </c>
      <c r="EM24" s="366">
        <v>489.5</v>
      </c>
      <c r="EN24" s="366">
        <v>489.5</v>
      </c>
      <c r="EO24" s="366">
        <v>259.11</v>
      </c>
      <c r="EP24" s="366">
        <v>300.07</v>
      </c>
      <c r="EQ24" s="366">
        <v>184.33</v>
      </c>
      <c r="ER24" s="366">
        <v>370.2</v>
      </c>
      <c r="ES24" s="366">
        <v>476.98</v>
      </c>
      <c r="ET24" s="366">
        <v>220.59</v>
      </c>
      <c r="EU24" s="366">
        <v>491.71</v>
      </c>
      <c r="EV24" s="366">
        <v>0</v>
      </c>
      <c r="EW24" s="366">
        <v>283.54000000000002</v>
      </c>
      <c r="EX24" s="366">
        <v>453.72</v>
      </c>
      <c r="EY24" s="366">
        <v>453.72</v>
      </c>
      <c r="EZ24" s="366">
        <v>534.04</v>
      </c>
      <c r="FA24" s="366">
        <v>486.67</v>
      </c>
      <c r="FB24" s="366">
        <v>341.08</v>
      </c>
      <c r="FC24" s="366">
        <v>539.51</v>
      </c>
      <c r="FD24" s="366">
        <v>394.7</v>
      </c>
      <c r="FE24" s="366">
        <v>287.99</v>
      </c>
      <c r="FF24" s="366">
        <v>330.25</v>
      </c>
      <c r="FG24" s="366">
        <v>453.16</v>
      </c>
      <c r="FH24" s="366">
        <v>453.16</v>
      </c>
      <c r="FI24" s="366">
        <v>113.17</v>
      </c>
      <c r="FJ24" s="366">
        <v>118.96</v>
      </c>
      <c r="FK24" s="366">
        <v>504.72</v>
      </c>
      <c r="FL24" s="366">
        <v>502.91</v>
      </c>
      <c r="FM24" s="366">
        <v>259.11</v>
      </c>
      <c r="FN24" s="366">
        <v>58.73</v>
      </c>
      <c r="FO24" s="366">
        <v>243.98</v>
      </c>
      <c r="FP24" s="366">
        <v>571.86</v>
      </c>
      <c r="FQ24" s="366">
        <v>247.85</v>
      </c>
      <c r="FR24" s="366">
        <v>316.24</v>
      </c>
      <c r="FS24" s="366">
        <v>330.96</v>
      </c>
      <c r="FT24" s="366">
        <v>359.14</v>
      </c>
      <c r="FU24" s="366">
        <v>355.1</v>
      </c>
      <c r="FV24" s="366">
        <v>555.61</v>
      </c>
      <c r="FW24" s="366">
        <v>555.61</v>
      </c>
      <c r="FX24" s="366">
        <v>555.61</v>
      </c>
      <c r="FY24" s="366">
        <v>435.81</v>
      </c>
      <c r="FZ24" s="366">
        <v>310.86</v>
      </c>
      <c r="GA24" s="366">
        <v>562.96</v>
      </c>
      <c r="GB24" s="366">
        <v>369.43</v>
      </c>
      <c r="GC24" s="366">
        <v>200.18</v>
      </c>
      <c r="GD24" s="366">
        <v>376.46</v>
      </c>
      <c r="GE24" s="366">
        <v>193.72</v>
      </c>
      <c r="GF24" s="366">
        <v>368.63</v>
      </c>
      <c r="GG24" s="366">
        <v>368.63</v>
      </c>
      <c r="GH24" s="366">
        <v>611.41</v>
      </c>
      <c r="GI24" s="366">
        <v>259.27</v>
      </c>
      <c r="GJ24" s="366">
        <v>259.11</v>
      </c>
      <c r="GK24" s="366">
        <v>501.27</v>
      </c>
      <c r="GL24" s="366">
        <v>297.83</v>
      </c>
      <c r="GM24" s="366">
        <v>297.83</v>
      </c>
      <c r="GN24" s="366">
        <v>297.83</v>
      </c>
      <c r="GO24" s="366">
        <v>206.38</v>
      </c>
      <c r="GP24" s="366">
        <v>568.37</v>
      </c>
      <c r="GQ24" s="366">
        <v>546.98</v>
      </c>
      <c r="GR24" s="366">
        <v>231.52</v>
      </c>
      <c r="GS24" s="366">
        <v>186.13</v>
      </c>
      <c r="GT24" s="366">
        <v>176.13</v>
      </c>
      <c r="GU24" s="366">
        <v>350.06</v>
      </c>
      <c r="GV24" s="366">
        <v>672.89</v>
      </c>
      <c r="GW24" s="366">
        <v>313.55</v>
      </c>
      <c r="GX24" s="366">
        <v>172.7</v>
      </c>
      <c r="GY24" s="366">
        <v>262.94</v>
      </c>
      <c r="GZ24" s="366">
        <v>394.42</v>
      </c>
      <c r="HA24" s="366">
        <v>249.39</v>
      </c>
      <c r="HB24" s="366">
        <v>249.39</v>
      </c>
      <c r="HC24" s="366">
        <v>249.39</v>
      </c>
      <c r="HD24" s="366">
        <v>135.41999999999999</v>
      </c>
      <c r="HE24" s="366">
        <v>483.35</v>
      </c>
      <c r="HF24" s="366">
        <v>439.64</v>
      </c>
      <c r="HG24" s="366">
        <v>567.29</v>
      </c>
      <c r="HH24" s="366">
        <v>567.29</v>
      </c>
      <c r="HI24" s="366">
        <v>567.29</v>
      </c>
      <c r="HJ24" s="366">
        <v>347.76</v>
      </c>
      <c r="HK24" s="366">
        <v>102.75</v>
      </c>
      <c r="HL24" s="366">
        <v>502.89</v>
      </c>
      <c r="HM24" s="366">
        <v>256.39</v>
      </c>
      <c r="HN24" s="366">
        <v>259.11</v>
      </c>
      <c r="HO24" s="366">
        <v>459.87</v>
      </c>
      <c r="HP24" s="366">
        <v>395.14</v>
      </c>
      <c r="HQ24" s="366">
        <v>555.61</v>
      </c>
      <c r="HR24" s="366">
        <v>305.86</v>
      </c>
      <c r="HS24" s="366">
        <v>255.36</v>
      </c>
      <c r="HT24" s="366">
        <v>207.52</v>
      </c>
      <c r="HU24" s="366">
        <v>242.04</v>
      </c>
      <c r="HV24" s="366">
        <v>302.37</v>
      </c>
    </row>
    <row r="25" spans="1:230">
      <c r="A25" s="366" t="s">
        <v>48</v>
      </c>
      <c r="B25" s="366">
        <v>491.71</v>
      </c>
      <c r="C25" s="366">
        <v>477.08</v>
      </c>
      <c r="D25" s="366">
        <v>280.99</v>
      </c>
      <c r="E25" s="366">
        <v>280.99</v>
      </c>
      <c r="F25" s="366">
        <v>555.61</v>
      </c>
      <c r="G25" s="366">
        <v>292.12</v>
      </c>
      <c r="H25" s="366">
        <v>237.37</v>
      </c>
      <c r="I25" s="366">
        <v>217.86</v>
      </c>
      <c r="J25" s="366">
        <v>213.59</v>
      </c>
      <c r="K25" s="366">
        <v>213.59</v>
      </c>
      <c r="L25" s="366">
        <v>298.89999999999998</v>
      </c>
      <c r="M25" s="366">
        <v>502.5</v>
      </c>
      <c r="N25" s="366">
        <v>599.4</v>
      </c>
      <c r="O25" s="366">
        <v>469.51</v>
      </c>
      <c r="P25" s="366">
        <v>469.51</v>
      </c>
      <c r="Q25" s="366">
        <v>469.51</v>
      </c>
      <c r="R25" s="366">
        <v>469.51</v>
      </c>
      <c r="S25" s="366">
        <v>469.51</v>
      </c>
      <c r="T25" s="366">
        <v>228.9</v>
      </c>
      <c r="U25" s="366">
        <v>400.16</v>
      </c>
      <c r="V25" s="366">
        <v>558.9</v>
      </c>
      <c r="W25" s="366">
        <v>0</v>
      </c>
      <c r="X25" s="366">
        <v>0</v>
      </c>
      <c r="Y25" s="366">
        <v>0</v>
      </c>
      <c r="Z25" s="366">
        <v>596.64</v>
      </c>
      <c r="AA25" s="366">
        <v>286.29000000000002</v>
      </c>
      <c r="AB25" s="366">
        <v>256.39</v>
      </c>
      <c r="AC25" s="366">
        <v>248.52</v>
      </c>
      <c r="AD25" s="366">
        <v>248.52</v>
      </c>
      <c r="AE25" s="366">
        <v>331.89</v>
      </c>
      <c r="AF25" s="366">
        <v>305.86</v>
      </c>
      <c r="AG25" s="366">
        <v>133.82</v>
      </c>
      <c r="AH25" s="366">
        <v>263.91000000000003</v>
      </c>
      <c r="AI25" s="366">
        <v>263.91000000000003</v>
      </c>
      <c r="AJ25" s="366">
        <v>263.91000000000003</v>
      </c>
      <c r="AK25" s="366">
        <v>618.84</v>
      </c>
      <c r="AL25" s="366">
        <v>618.84</v>
      </c>
      <c r="AM25" s="366">
        <v>259.11</v>
      </c>
      <c r="AN25" s="366">
        <v>428.68</v>
      </c>
      <c r="AO25" s="366">
        <v>308.73</v>
      </c>
      <c r="AP25" s="366">
        <v>167.2</v>
      </c>
      <c r="AQ25" s="366">
        <v>512.15</v>
      </c>
      <c r="AR25" s="366">
        <v>253.33</v>
      </c>
      <c r="AS25" s="366">
        <v>374.35</v>
      </c>
      <c r="AT25" s="366">
        <v>374.35</v>
      </c>
      <c r="AU25" s="366">
        <v>473.76</v>
      </c>
      <c r="AV25" s="366">
        <v>431.21</v>
      </c>
      <c r="AW25" s="366">
        <v>176.13</v>
      </c>
      <c r="AX25" s="366">
        <v>299.04000000000002</v>
      </c>
      <c r="AY25" s="366">
        <v>635.11</v>
      </c>
      <c r="AZ25" s="366">
        <v>445.7</v>
      </c>
      <c r="BA25" s="366">
        <v>462.12</v>
      </c>
      <c r="BB25" s="366">
        <v>638</v>
      </c>
      <c r="BC25" s="366">
        <v>404.18</v>
      </c>
      <c r="BD25" s="366">
        <v>313.95</v>
      </c>
      <c r="BE25" s="366">
        <v>562.96</v>
      </c>
      <c r="BF25" s="366">
        <v>253.36</v>
      </c>
      <c r="BG25" s="366">
        <v>604.19000000000005</v>
      </c>
      <c r="BH25" s="366">
        <v>469.51</v>
      </c>
      <c r="BI25" s="366">
        <v>253.36</v>
      </c>
      <c r="BJ25" s="366">
        <v>542.30999999999995</v>
      </c>
      <c r="BK25" s="366">
        <v>513.48</v>
      </c>
      <c r="BL25" s="366">
        <v>287.99</v>
      </c>
      <c r="BM25" s="366">
        <v>264.77999999999997</v>
      </c>
      <c r="BN25" s="366">
        <v>326.48</v>
      </c>
      <c r="BO25" s="366">
        <v>555.67999999999995</v>
      </c>
      <c r="BP25" s="366">
        <v>521.54</v>
      </c>
      <c r="BQ25" s="366">
        <v>238.56</v>
      </c>
      <c r="BR25" s="366">
        <v>238.56</v>
      </c>
      <c r="BS25" s="366">
        <v>453.27</v>
      </c>
      <c r="BT25" s="366">
        <v>245.28</v>
      </c>
      <c r="BU25" s="366">
        <v>236.89</v>
      </c>
      <c r="BV25" s="366">
        <v>256.51</v>
      </c>
      <c r="BW25" s="366">
        <v>533.04999999999995</v>
      </c>
      <c r="BX25" s="366">
        <v>394.36</v>
      </c>
      <c r="BY25" s="366">
        <v>586.38</v>
      </c>
      <c r="BZ25" s="366">
        <v>586.38</v>
      </c>
      <c r="CA25" s="366">
        <v>137.33000000000001</v>
      </c>
      <c r="CB25" s="366">
        <v>412.79</v>
      </c>
      <c r="CC25" s="366">
        <v>270.20999999999998</v>
      </c>
      <c r="CD25" s="366">
        <v>283.69</v>
      </c>
      <c r="CE25" s="366">
        <v>496.71</v>
      </c>
      <c r="CF25" s="366">
        <v>304.58999999999997</v>
      </c>
      <c r="CG25" s="366">
        <v>304.58999999999997</v>
      </c>
      <c r="CH25" s="366">
        <v>223.56</v>
      </c>
      <c r="CI25" s="366">
        <v>342.71</v>
      </c>
      <c r="CJ25" s="366">
        <v>315.54000000000002</v>
      </c>
      <c r="CK25" s="366">
        <v>591.47</v>
      </c>
      <c r="CL25" s="366">
        <v>487.55</v>
      </c>
      <c r="CM25" s="366">
        <v>350.46</v>
      </c>
      <c r="CN25" s="366">
        <v>491.68</v>
      </c>
      <c r="CO25" s="366">
        <v>251.94</v>
      </c>
      <c r="CP25" s="366">
        <v>245.25</v>
      </c>
      <c r="CQ25" s="366">
        <v>245.25</v>
      </c>
      <c r="CR25" s="366">
        <v>203.26</v>
      </c>
      <c r="CS25" s="366">
        <v>203.26</v>
      </c>
      <c r="CT25" s="366">
        <v>193.82</v>
      </c>
      <c r="CU25" s="366">
        <v>201.69</v>
      </c>
      <c r="CV25" s="366">
        <v>195.64</v>
      </c>
      <c r="CW25" s="366">
        <v>558.9</v>
      </c>
      <c r="CX25" s="366">
        <v>289.27999999999997</v>
      </c>
      <c r="CY25" s="366">
        <v>396.88</v>
      </c>
      <c r="CZ25" s="366">
        <v>390.5</v>
      </c>
      <c r="DA25" s="366">
        <v>537.45000000000005</v>
      </c>
      <c r="DB25" s="366">
        <v>538.29</v>
      </c>
      <c r="DC25" s="366">
        <v>538.29</v>
      </c>
      <c r="DD25" s="366">
        <v>89.46</v>
      </c>
      <c r="DE25" s="366">
        <v>615.08000000000004</v>
      </c>
      <c r="DF25" s="366">
        <v>540.07000000000005</v>
      </c>
      <c r="DG25" s="366">
        <v>313.06</v>
      </c>
      <c r="DH25" s="366">
        <v>677.64</v>
      </c>
      <c r="DI25" s="366">
        <v>170.41</v>
      </c>
      <c r="DJ25" s="366">
        <v>374.3</v>
      </c>
      <c r="DK25" s="366">
        <v>356.78</v>
      </c>
      <c r="DL25" s="366">
        <v>230.89</v>
      </c>
      <c r="DM25" s="366">
        <v>464.66</v>
      </c>
      <c r="DN25" s="366">
        <v>185.17</v>
      </c>
      <c r="DO25" s="366">
        <v>383.35</v>
      </c>
      <c r="DP25" s="366">
        <v>51.15</v>
      </c>
      <c r="DQ25" s="366">
        <v>544.39</v>
      </c>
      <c r="DR25" s="366">
        <v>677.64</v>
      </c>
      <c r="DS25" s="366">
        <v>252.84</v>
      </c>
      <c r="DT25" s="366">
        <v>241.13</v>
      </c>
      <c r="DU25" s="366">
        <v>567.79</v>
      </c>
      <c r="DV25" s="366">
        <v>622.48</v>
      </c>
      <c r="DW25" s="366">
        <v>357.93</v>
      </c>
      <c r="DX25" s="366">
        <v>519.37</v>
      </c>
      <c r="DY25" s="366">
        <v>592.76</v>
      </c>
      <c r="DZ25" s="366">
        <v>99.13</v>
      </c>
      <c r="EA25" s="366">
        <v>235.61</v>
      </c>
      <c r="EB25" s="366">
        <v>586.76</v>
      </c>
      <c r="EC25" s="366">
        <v>255.55</v>
      </c>
      <c r="ED25" s="366">
        <v>200.18</v>
      </c>
      <c r="EE25" s="366">
        <v>210.97</v>
      </c>
      <c r="EF25" s="366">
        <v>160.91999999999999</v>
      </c>
      <c r="EG25" s="366">
        <v>176.13</v>
      </c>
      <c r="EH25" s="366">
        <v>176.13</v>
      </c>
      <c r="EI25" s="366">
        <v>284.16000000000003</v>
      </c>
      <c r="EJ25" s="366">
        <v>665.7</v>
      </c>
      <c r="EK25" s="366">
        <v>395.39</v>
      </c>
      <c r="EL25" s="366">
        <v>395.39</v>
      </c>
      <c r="EM25" s="366">
        <v>489.5</v>
      </c>
      <c r="EN25" s="366">
        <v>489.5</v>
      </c>
      <c r="EO25" s="366">
        <v>259.11</v>
      </c>
      <c r="EP25" s="366">
        <v>300.07</v>
      </c>
      <c r="EQ25" s="366">
        <v>184.33</v>
      </c>
      <c r="ER25" s="366">
        <v>370.2</v>
      </c>
      <c r="ES25" s="366">
        <v>476.98</v>
      </c>
      <c r="ET25" s="366">
        <v>220.59</v>
      </c>
      <c r="EU25" s="366">
        <v>491.71</v>
      </c>
      <c r="EV25" s="366">
        <v>0</v>
      </c>
      <c r="EW25" s="366">
        <v>283.54000000000002</v>
      </c>
      <c r="EX25" s="366">
        <v>453.72</v>
      </c>
      <c r="EY25" s="366">
        <v>453.72</v>
      </c>
      <c r="EZ25" s="366">
        <v>534.04</v>
      </c>
      <c r="FA25" s="366">
        <v>486.67</v>
      </c>
      <c r="FB25" s="366">
        <v>341.08</v>
      </c>
      <c r="FC25" s="366">
        <v>539.51</v>
      </c>
      <c r="FD25" s="366">
        <v>394.7</v>
      </c>
      <c r="FE25" s="366">
        <v>287.99</v>
      </c>
      <c r="FF25" s="366">
        <v>330.25</v>
      </c>
      <c r="FG25" s="366">
        <v>453.16</v>
      </c>
      <c r="FH25" s="366">
        <v>453.16</v>
      </c>
      <c r="FI25" s="366">
        <v>113.17</v>
      </c>
      <c r="FJ25" s="366">
        <v>118.96</v>
      </c>
      <c r="FK25" s="366">
        <v>504.72</v>
      </c>
      <c r="FL25" s="366">
        <v>502.91</v>
      </c>
      <c r="FM25" s="366">
        <v>259.11</v>
      </c>
      <c r="FN25" s="366">
        <v>58.73</v>
      </c>
      <c r="FO25" s="366">
        <v>243.98</v>
      </c>
      <c r="FP25" s="366">
        <v>571.86</v>
      </c>
      <c r="FQ25" s="366">
        <v>247.85</v>
      </c>
      <c r="FR25" s="366">
        <v>316.24</v>
      </c>
      <c r="FS25" s="366">
        <v>330.96</v>
      </c>
      <c r="FT25" s="366">
        <v>359.14</v>
      </c>
      <c r="FU25" s="366">
        <v>355.1</v>
      </c>
      <c r="FV25" s="366">
        <v>555.61</v>
      </c>
      <c r="FW25" s="366">
        <v>555.61</v>
      </c>
      <c r="FX25" s="366">
        <v>555.61</v>
      </c>
      <c r="FY25" s="366">
        <v>435.81</v>
      </c>
      <c r="FZ25" s="366">
        <v>310.86</v>
      </c>
      <c r="GA25" s="366">
        <v>562.96</v>
      </c>
      <c r="GB25" s="366">
        <v>369.43</v>
      </c>
      <c r="GC25" s="366">
        <v>200.18</v>
      </c>
      <c r="GD25" s="366">
        <v>376.46</v>
      </c>
      <c r="GE25" s="366">
        <v>193.72</v>
      </c>
      <c r="GF25" s="366">
        <v>368.63</v>
      </c>
      <c r="GG25" s="366">
        <v>368.63</v>
      </c>
      <c r="GH25" s="366">
        <v>611.41</v>
      </c>
      <c r="GI25" s="366">
        <v>259.27</v>
      </c>
      <c r="GJ25" s="366">
        <v>259.11</v>
      </c>
      <c r="GK25" s="366">
        <v>501.27</v>
      </c>
      <c r="GL25" s="366">
        <v>297.83</v>
      </c>
      <c r="GM25" s="366">
        <v>297.83</v>
      </c>
      <c r="GN25" s="366">
        <v>297.83</v>
      </c>
      <c r="GO25" s="366">
        <v>206.38</v>
      </c>
      <c r="GP25" s="366">
        <v>568.37</v>
      </c>
      <c r="GQ25" s="366">
        <v>546.98</v>
      </c>
      <c r="GR25" s="366">
        <v>231.52</v>
      </c>
      <c r="GS25" s="366">
        <v>186.13</v>
      </c>
      <c r="GT25" s="366">
        <v>176.13</v>
      </c>
      <c r="GU25" s="366">
        <v>350.06</v>
      </c>
      <c r="GV25" s="366">
        <v>672.89</v>
      </c>
      <c r="GW25" s="366">
        <v>313.55</v>
      </c>
      <c r="GX25" s="366">
        <v>172.7</v>
      </c>
      <c r="GY25" s="366">
        <v>262.94</v>
      </c>
      <c r="GZ25" s="366">
        <v>394.42</v>
      </c>
      <c r="HA25" s="366">
        <v>249.39</v>
      </c>
      <c r="HB25" s="366">
        <v>249.39</v>
      </c>
      <c r="HC25" s="366">
        <v>249.39</v>
      </c>
      <c r="HD25" s="366">
        <v>135.41999999999999</v>
      </c>
      <c r="HE25" s="366">
        <v>483.35</v>
      </c>
      <c r="HF25" s="366">
        <v>439.64</v>
      </c>
      <c r="HG25" s="366">
        <v>567.29</v>
      </c>
      <c r="HH25" s="366">
        <v>567.29</v>
      </c>
      <c r="HI25" s="366">
        <v>567.29</v>
      </c>
      <c r="HJ25" s="366">
        <v>347.76</v>
      </c>
      <c r="HK25" s="366">
        <v>102.75</v>
      </c>
      <c r="HL25" s="366">
        <v>502.89</v>
      </c>
      <c r="HM25" s="366">
        <v>256.39</v>
      </c>
      <c r="HN25" s="366">
        <v>259.11</v>
      </c>
      <c r="HO25" s="366">
        <v>459.87</v>
      </c>
      <c r="HP25" s="366">
        <v>395.14</v>
      </c>
      <c r="HQ25" s="366">
        <v>555.61</v>
      </c>
      <c r="HR25" s="366">
        <v>305.86</v>
      </c>
      <c r="HS25" s="366">
        <v>255.36</v>
      </c>
      <c r="HT25" s="366">
        <v>207.52</v>
      </c>
      <c r="HU25" s="366">
        <v>242.04</v>
      </c>
      <c r="HV25" s="366">
        <v>302.37</v>
      </c>
    </row>
    <row r="26" spans="1:230">
      <c r="A26" s="366" t="s">
        <v>49</v>
      </c>
      <c r="B26" s="366">
        <v>888.26</v>
      </c>
      <c r="C26" s="366">
        <v>183.26</v>
      </c>
      <c r="D26" s="366">
        <v>334.49</v>
      </c>
      <c r="E26" s="366">
        <v>334.49</v>
      </c>
      <c r="F26" s="366">
        <v>952.16</v>
      </c>
      <c r="G26" s="366">
        <v>759.73</v>
      </c>
      <c r="H26" s="366">
        <v>378.11</v>
      </c>
      <c r="I26" s="366">
        <v>378.78</v>
      </c>
      <c r="J26" s="366">
        <v>401.89</v>
      </c>
      <c r="K26" s="366">
        <v>401.89</v>
      </c>
      <c r="L26" s="366">
        <v>325.10000000000002</v>
      </c>
      <c r="M26" s="366">
        <v>208.88</v>
      </c>
      <c r="N26" s="366">
        <v>184.84</v>
      </c>
      <c r="O26" s="366">
        <v>333.81</v>
      </c>
      <c r="P26" s="366">
        <v>333.81</v>
      </c>
      <c r="Q26" s="366">
        <v>333.81</v>
      </c>
      <c r="R26" s="366">
        <v>333.81</v>
      </c>
      <c r="S26" s="366">
        <v>333.81</v>
      </c>
      <c r="T26" s="366">
        <v>453.28</v>
      </c>
      <c r="U26" s="366">
        <v>867.77</v>
      </c>
      <c r="V26" s="366">
        <v>286.87</v>
      </c>
      <c r="W26" s="366">
        <v>596.64</v>
      </c>
      <c r="X26" s="366">
        <v>596.64</v>
      </c>
      <c r="Y26" s="366">
        <v>596.64</v>
      </c>
      <c r="Z26" s="366">
        <v>0</v>
      </c>
      <c r="AA26" s="366">
        <v>753.9</v>
      </c>
      <c r="AB26" s="366">
        <v>513.02</v>
      </c>
      <c r="AC26" s="366">
        <v>515.48</v>
      </c>
      <c r="AD26" s="366">
        <v>515.48</v>
      </c>
      <c r="AE26" s="366">
        <v>283.58999999999997</v>
      </c>
      <c r="AF26" s="366">
        <v>773.47</v>
      </c>
      <c r="AG26" s="366">
        <v>598.16</v>
      </c>
      <c r="AH26" s="366">
        <v>332.73</v>
      </c>
      <c r="AI26" s="366">
        <v>332.73</v>
      </c>
      <c r="AJ26" s="366">
        <v>332.73</v>
      </c>
      <c r="AK26" s="366">
        <v>22.2</v>
      </c>
      <c r="AL26" s="366">
        <v>22.2</v>
      </c>
      <c r="AM26" s="366">
        <v>515.74</v>
      </c>
      <c r="AN26" s="366">
        <v>297.14</v>
      </c>
      <c r="AO26" s="366">
        <v>766.85</v>
      </c>
      <c r="AP26" s="366">
        <v>442</v>
      </c>
      <c r="AQ26" s="366">
        <v>908.7</v>
      </c>
      <c r="AR26" s="366">
        <v>464.66</v>
      </c>
      <c r="AS26" s="366">
        <v>249.65</v>
      </c>
      <c r="AT26" s="366">
        <v>249.65</v>
      </c>
      <c r="AU26" s="366">
        <v>201.73</v>
      </c>
      <c r="AV26" s="366">
        <v>898.82</v>
      </c>
      <c r="AW26" s="366">
        <v>446.21</v>
      </c>
      <c r="AX26" s="366">
        <v>399.38</v>
      </c>
      <c r="AY26" s="366">
        <v>220.55</v>
      </c>
      <c r="AZ26" s="366">
        <v>232.44</v>
      </c>
      <c r="BA26" s="366">
        <v>729.08</v>
      </c>
      <c r="BB26" s="366">
        <v>223.44</v>
      </c>
      <c r="BC26" s="366">
        <v>671.14</v>
      </c>
      <c r="BD26" s="366">
        <v>580.91</v>
      </c>
      <c r="BE26" s="366">
        <v>290.93</v>
      </c>
      <c r="BF26" s="366">
        <v>509.99</v>
      </c>
      <c r="BG26" s="366">
        <v>7.55</v>
      </c>
      <c r="BH26" s="366">
        <v>333.81</v>
      </c>
      <c r="BI26" s="366">
        <v>464.69</v>
      </c>
      <c r="BJ26" s="366">
        <v>89.29</v>
      </c>
      <c r="BK26" s="366">
        <v>376.9</v>
      </c>
      <c r="BL26" s="366">
        <v>327.49</v>
      </c>
      <c r="BM26" s="366">
        <v>350.7</v>
      </c>
      <c r="BN26" s="366">
        <v>794.09</v>
      </c>
      <c r="BO26" s="366">
        <v>419.1</v>
      </c>
      <c r="BP26" s="366">
        <v>384.96</v>
      </c>
      <c r="BQ26" s="366">
        <v>358.08</v>
      </c>
      <c r="BR26" s="366">
        <v>358.08</v>
      </c>
      <c r="BS26" s="366">
        <v>207.07</v>
      </c>
      <c r="BT26" s="366">
        <v>449.12</v>
      </c>
      <c r="BU26" s="366">
        <v>493.52</v>
      </c>
      <c r="BV26" s="366">
        <v>513.14</v>
      </c>
      <c r="BW26" s="366">
        <v>261.02</v>
      </c>
      <c r="BX26" s="366">
        <v>265.98</v>
      </c>
      <c r="BY26" s="366">
        <v>314.35000000000002</v>
      </c>
      <c r="BZ26" s="366">
        <v>314.35000000000002</v>
      </c>
      <c r="CA26" s="366">
        <v>478.15</v>
      </c>
      <c r="CB26" s="366">
        <v>276.20999999999998</v>
      </c>
      <c r="CC26" s="366">
        <v>370.55</v>
      </c>
      <c r="CD26" s="366">
        <v>372.95</v>
      </c>
      <c r="CE26" s="366">
        <v>360.13</v>
      </c>
      <c r="CF26" s="366">
        <v>772.2</v>
      </c>
      <c r="CG26" s="366">
        <v>772.2</v>
      </c>
      <c r="CH26" s="366">
        <v>373.08</v>
      </c>
      <c r="CI26" s="366">
        <v>275.99</v>
      </c>
      <c r="CJ26" s="366">
        <v>783.15</v>
      </c>
      <c r="CK26" s="366">
        <v>319.44</v>
      </c>
      <c r="CL26" s="366">
        <v>215.52</v>
      </c>
      <c r="CM26" s="366">
        <v>617.41999999999996</v>
      </c>
      <c r="CN26" s="366">
        <v>104.96</v>
      </c>
      <c r="CO26" s="366">
        <v>463.27</v>
      </c>
      <c r="CP26" s="366">
        <v>351.39</v>
      </c>
      <c r="CQ26" s="366">
        <v>351.39</v>
      </c>
      <c r="CR26" s="366">
        <v>415.67</v>
      </c>
      <c r="CS26" s="366">
        <v>415.67</v>
      </c>
      <c r="CT26" s="366">
        <v>425.11</v>
      </c>
      <c r="CU26" s="366">
        <v>417.24</v>
      </c>
      <c r="CV26" s="366">
        <v>419.84</v>
      </c>
      <c r="CW26" s="366">
        <v>286.87</v>
      </c>
      <c r="CX26" s="366">
        <v>389.62</v>
      </c>
      <c r="CY26" s="366">
        <v>663.84</v>
      </c>
      <c r="CZ26" s="366">
        <v>685.08</v>
      </c>
      <c r="DA26" s="366">
        <v>122.89</v>
      </c>
      <c r="DB26" s="366">
        <v>60.88</v>
      </c>
      <c r="DC26" s="366">
        <v>60.88</v>
      </c>
      <c r="DD26" s="366">
        <v>583.79999999999995</v>
      </c>
      <c r="DE26" s="366">
        <v>200.52</v>
      </c>
      <c r="DF26" s="366">
        <v>936.62</v>
      </c>
      <c r="DG26" s="366">
        <v>305.64</v>
      </c>
      <c r="DH26" s="366">
        <v>263.08</v>
      </c>
      <c r="DI26" s="366">
        <v>638.02</v>
      </c>
      <c r="DJ26" s="366">
        <v>701.28</v>
      </c>
      <c r="DK26" s="366">
        <v>303.56</v>
      </c>
      <c r="DL26" s="366">
        <v>499.52</v>
      </c>
      <c r="DM26" s="366">
        <v>195.68</v>
      </c>
      <c r="DN26" s="366">
        <v>652.78</v>
      </c>
      <c r="DO26" s="366">
        <v>281.56</v>
      </c>
      <c r="DP26" s="366">
        <v>545.49</v>
      </c>
      <c r="DQ26" s="366">
        <v>272.36</v>
      </c>
      <c r="DR26" s="366">
        <v>263.08</v>
      </c>
      <c r="DS26" s="366">
        <v>441.14</v>
      </c>
      <c r="DT26" s="366">
        <v>429.43</v>
      </c>
      <c r="DU26" s="366">
        <v>92.55</v>
      </c>
      <c r="DV26" s="366">
        <v>25.84</v>
      </c>
      <c r="DW26" s="366">
        <v>266.07</v>
      </c>
      <c r="DX26" s="366">
        <v>247.34</v>
      </c>
      <c r="DY26" s="366">
        <v>320.73</v>
      </c>
      <c r="DZ26" s="366">
        <v>593.47</v>
      </c>
      <c r="EA26" s="366">
        <v>446.94</v>
      </c>
      <c r="EB26" s="366">
        <v>314.73</v>
      </c>
      <c r="EC26" s="366">
        <v>359.93</v>
      </c>
      <c r="ED26" s="366">
        <v>667.79</v>
      </c>
      <c r="EE26" s="366">
        <v>678.58</v>
      </c>
      <c r="EF26" s="366">
        <v>435.72</v>
      </c>
      <c r="EG26" s="366">
        <v>446.21</v>
      </c>
      <c r="EH26" s="366">
        <v>446.21</v>
      </c>
      <c r="EI26" s="366">
        <v>356.6</v>
      </c>
      <c r="EJ26" s="366">
        <v>529.12</v>
      </c>
      <c r="EK26" s="366">
        <v>235.03</v>
      </c>
      <c r="EL26" s="366">
        <v>235.03</v>
      </c>
      <c r="EM26" s="366">
        <v>167</v>
      </c>
      <c r="EN26" s="366">
        <v>167</v>
      </c>
      <c r="EO26" s="366">
        <v>515.74</v>
      </c>
      <c r="EP26" s="366">
        <v>438.6</v>
      </c>
      <c r="EQ26" s="366">
        <v>434.6</v>
      </c>
      <c r="ER26" s="366">
        <v>837.81</v>
      </c>
      <c r="ES26" s="366">
        <v>183.36</v>
      </c>
      <c r="ET26" s="366">
        <v>376.05</v>
      </c>
      <c r="EU26" s="366">
        <v>888.26</v>
      </c>
      <c r="EV26" s="366">
        <v>596.64</v>
      </c>
      <c r="EW26" s="366">
        <v>357.52</v>
      </c>
      <c r="EX26" s="366">
        <v>317.14</v>
      </c>
      <c r="EY26" s="366">
        <v>317.14</v>
      </c>
      <c r="EZ26" s="366">
        <v>269.27999999999997</v>
      </c>
      <c r="FA26" s="366">
        <v>188.82</v>
      </c>
      <c r="FB26" s="366">
        <v>297.72000000000003</v>
      </c>
      <c r="FC26" s="366">
        <v>267.48</v>
      </c>
      <c r="FD26" s="366">
        <v>263.16000000000003</v>
      </c>
      <c r="FE26" s="366">
        <v>360.43</v>
      </c>
      <c r="FF26" s="366">
        <v>335.61</v>
      </c>
      <c r="FG26" s="366">
        <v>720.12</v>
      </c>
      <c r="FH26" s="366">
        <v>720.12</v>
      </c>
      <c r="FI26" s="366">
        <v>577.51</v>
      </c>
      <c r="FJ26" s="366">
        <v>583.29999999999995</v>
      </c>
      <c r="FK26" s="366">
        <v>211.1</v>
      </c>
      <c r="FL26" s="366">
        <v>209.29</v>
      </c>
      <c r="FM26" s="366">
        <v>515.74</v>
      </c>
      <c r="FN26" s="366">
        <v>627.39</v>
      </c>
      <c r="FO26" s="366">
        <v>455.31</v>
      </c>
      <c r="FP26" s="366">
        <v>299.83</v>
      </c>
      <c r="FQ26" s="366">
        <v>459.18</v>
      </c>
      <c r="FR26" s="366">
        <v>342.44</v>
      </c>
      <c r="FS26" s="366">
        <v>265.68</v>
      </c>
      <c r="FT26" s="366">
        <v>716.44</v>
      </c>
      <c r="FU26" s="366">
        <v>263.60000000000002</v>
      </c>
      <c r="FV26" s="366">
        <v>952.16</v>
      </c>
      <c r="FW26" s="366">
        <v>952.16</v>
      </c>
      <c r="FX26" s="366">
        <v>952.16</v>
      </c>
      <c r="FY26" s="366">
        <v>197.07</v>
      </c>
      <c r="FZ26" s="366">
        <v>350.34</v>
      </c>
      <c r="GA26" s="366">
        <v>290.93</v>
      </c>
      <c r="GB26" s="366">
        <v>304.14999999999998</v>
      </c>
      <c r="GC26" s="366">
        <v>667.79</v>
      </c>
      <c r="GD26" s="366">
        <v>283.88</v>
      </c>
      <c r="GE26" s="366">
        <v>425.21</v>
      </c>
      <c r="GF26" s="366">
        <v>250.07</v>
      </c>
      <c r="GG26" s="366">
        <v>250.07</v>
      </c>
      <c r="GH26" s="366">
        <v>339.38</v>
      </c>
      <c r="GI26" s="366">
        <v>515.9</v>
      </c>
      <c r="GJ26" s="366">
        <v>515.74</v>
      </c>
      <c r="GK26" s="366">
        <v>207.65</v>
      </c>
      <c r="GL26" s="366">
        <v>342.93</v>
      </c>
      <c r="GM26" s="366">
        <v>342.93</v>
      </c>
      <c r="GN26" s="366">
        <v>342.93</v>
      </c>
      <c r="GO26" s="366">
        <v>481.18</v>
      </c>
      <c r="GP26" s="366">
        <v>296.33999999999997</v>
      </c>
      <c r="GQ26" s="366">
        <v>410.4</v>
      </c>
      <c r="GR26" s="366">
        <v>543.97</v>
      </c>
      <c r="GS26" s="366">
        <v>410.51</v>
      </c>
      <c r="GT26" s="366">
        <v>446.21</v>
      </c>
      <c r="GU26" s="366">
        <v>268.3</v>
      </c>
      <c r="GV26" s="366">
        <v>536.30999999999995</v>
      </c>
      <c r="GW26" s="366">
        <v>318.91000000000003</v>
      </c>
      <c r="GX26" s="366">
        <v>442.78</v>
      </c>
      <c r="GY26" s="366">
        <v>333.7</v>
      </c>
      <c r="GZ26" s="366">
        <v>262.88</v>
      </c>
      <c r="HA26" s="366">
        <v>460.72</v>
      </c>
      <c r="HB26" s="366">
        <v>460.72</v>
      </c>
      <c r="HC26" s="366">
        <v>460.72</v>
      </c>
      <c r="HD26" s="366">
        <v>629.76</v>
      </c>
      <c r="HE26" s="366">
        <v>160.85</v>
      </c>
      <c r="HF26" s="366">
        <v>157.72</v>
      </c>
      <c r="HG26" s="366">
        <v>97.86</v>
      </c>
      <c r="HH26" s="366">
        <v>97.86</v>
      </c>
      <c r="HI26" s="366">
        <v>97.86</v>
      </c>
      <c r="HJ26" s="366">
        <v>270.94</v>
      </c>
      <c r="HK26" s="366">
        <v>518.70000000000005</v>
      </c>
      <c r="HL26" s="366">
        <v>367.19</v>
      </c>
      <c r="HM26" s="366">
        <v>513.02</v>
      </c>
      <c r="HN26" s="366">
        <v>515.74</v>
      </c>
      <c r="HO26" s="366">
        <v>921.46</v>
      </c>
      <c r="HP26" s="366">
        <v>263.60000000000002</v>
      </c>
      <c r="HQ26" s="366">
        <v>952.16</v>
      </c>
      <c r="HR26" s="366">
        <v>773.47</v>
      </c>
      <c r="HS26" s="366">
        <v>511.99</v>
      </c>
      <c r="HT26" s="366">
        <v>394.31</v>
      </c>
      <c r="HU26" s="366">
        <v>361.56</v>
      </c>
      <c r="HV26" s="366">
        <v>379.88</v>
      </c>
    </row>
    <row r="27" spans="1:230">
      <c r="A27" s="366" t="s">
        <v>50</v>
      </c>
      <c r="B27" s="366">
        <v>205.42</v>
      </c>
      <c r="C27" s="366">
        <v>661.07</v>
      </c>
      <c r="D27" s="366">
        <v>464.98</v>
      </c>
      <c r="E27" s="366">
        <v>464.98</v>
      </c>
      <c r="F27" s="366">
        <v>269.32</v>
      </c>
      <c r="G27" s="366">
        <v>5.83</v>
      </c>
      <c r="H27" s="366">
        <v>421.36</v>
      </c>
      <c r="I27" s="366">
        <v>375.12</v>
      </c>
      <c r="J27" s="366">
        <v>397.58</v>
      </c>
      <c r="K27" s="366">
        <v>397.58</v>
      </c>
      <c r="L27" s="366">
        <v>482.89</v>
      </c>
      <c r="M27" s="366">
        <v>686.49</v>
      </c>
      <c r="N27" s="366">
        <v>783.39</v>
      </c>
      <c r="O27" s="366">
        <v>626.77</v>
      </c>
      <c r="P27" s="366">
        <v>626.77</v>
      </c>
      <c r="Q27" s="366">
        <v>626.77</v>
      </c>
      <c r="R27" s="366">
        <v>626.77</v>
      </c>
      <c r="S27" s="366">
        <v>626.77</v>
      </c>
      <c r="T27" s="366">
        <v>300.62</v>
      </c>
      <c r="U27" s="366">
        <v>113.87</v>
      </c>
      <c r="V27" s="366">
        <v>716.16</v>
      </c>
      <c r="W27" s="366">
        <v>286.29000000000002</v>
      </c>
      <c r="X27" s="366">
        <v>286.29000000000002</v>
      </c>
      <c r="Y27" s="366">
        <v>286.29000000000002</v>
      </c>
      <c r="Z27" s="366">
        <v>753.9</v>
      </c>
      <c r="AA27" s="366">
        <v>0</v>
      </c>
      <c r="AB27" s="366">
        <v>269.95</v>
      </c>
      <c r="AC27" s="366">
        <v>238.42</v>
      </c>
      <c r="AD27" s="366">
        <v>238.42</v>
      </c>
      <c r="AE27" s="366">
        <v>515.88</v>
      </c>
      <c r="AF27" s="366">
        <v>19.57</v>
      </c>
      <c r="AG27" s="366">
        <v>317.81</v>
      </c>
      <c r="AH27" s="366">
        <v>421.17</v>
      </c>
      <c r="AI27" s="366">
        <v>421.17</v>
      </c>
      <c r="AJ27" s="366">
        <v>421.17</v>
      </c>
      <c r="AK27" s="366">
        <v>776.1</v>
      </c>
      <c r="AL27" s="366">
        <v>776.1</v>
      </c>
      <c r="AM27" s="366">
        <v>272.67</v>
      </c>
      <c r="AN27" s="366">
        <v>585.94000000000005</v>
      </c>
      <c r="AO27" s="366">
        <v>22.44</v>
      </c>
      <c r="AP27" s="366">
        <v>319.74</v>
      </c>
      <c r="AQ27" s="366">
        <v>225.86</v>
      </c>
      <c r="AR27" s="366">
        <v>437.32</v>
      </c>
      <c r="AS27" s="366">
        <v>558.34</v>
      </c>
      <c r="AT27" s="366">
        <v>558.34</v>
      </c>
      <c r="AU27" s="366">
        <v>631.02</v>
      </c>
      <c r="AV27" s="366">
        <v>144.91999999999999</v>
      </c>
      <c r="AW27" s="366">
        <v>360.12</v>
      </c>
      <c r="AX27" s="366">
        <v>362.78</v>
      </c>
      <c r="AY27" s="366">
        <v>819.1</v>
      </c>
      <c r="AZ27" s="366">
        <v>629.69000000000005</v>
      </c>
      <c r="BA27" s="366">
        <v>199.05</v>
      </c>
      <c r="BB27" s="366">
        <v>821.99</v>
      </c>
      <c r="BC27" s="366">
        <v>118.15</v>
      </c>
      <c r="BD27" s="366">
        <v>208.38</v>
      </c>
      <c r="BE27" s="366">
        <v>720.22</v>
      </c>
      <c r="BF27" s="366">
        <v>266.92</v>
      </c>
      <c r="BG27" s="366">
        <v>761.45</v>
      </c>
      <c r="BH27" s="366">
        <v>626.77</v>
      </c>
      <c r="BI27" s="366">
        <v>437.35</v>
      </c>
      <c r="BJ27" s="366">
        <v>699.57</v>
      </c>
      <c r="BK27" s="366">
        <v>697.47</v>
      </c>
      <c r="BL27" s="366">
        <v>471.98</v>
      </c>
      <c r="BM27" s="366">
        <v>448.77</v>
      </c>
      <c r="BN27" s="366">
        <v>40.19</v>
      </c>
      <c r="BO27" s="366">
        <v>739.67</v>
      </c>
      <c r="BP27" s="366">
        <v>705.53</v>
      </c>
      <c r="BQ27" s="366">
        <v>395.82</v>
      </c>
      <c r="BR27" s="366">
        <v>395.82</v>
      </c>
      <c r="BS27" s="366">
        <v>637.26</v>
      </c>
      <c r="BT27" s="366">
        <v>429.27</v>
      </c>
      <c r="BU27" s="366">
        <v>260.38</v>
      </c>
      <c r="BV27" s="366">
        <v>270.07</v>
      </c>
      <c r="BW27" s="366">
        <v>690.31</v>
      </c>
      <c r="BX27" s="366">
        <v>578.35</v>
      </c>
      <c r="BY27" s="366">
        <v>743.64</v>
      </c>
      <c r="BZ27" s="366">
        <v>743.64</v>
      </c>
      <c r="CA27" s="366">
        <v>321.32</v>
      </c>
      <c r="CB27" s="366">
        <v>596.78</v>
      </c>
      <c r="CC27" s="366">
        <v>391.61</v>
      </c>
      <c r="CD27" s="366">
        <v>405.09</v>
      </c>
      <c r="CE27" s="366">
        <v>680.7</v>
      </c>
      <c r="CF27" s="366">
        <v>18.3</v>
      </c>
      <c r="CG27" s="366">
        <v>18.3</v>
      </c>
      <c r="CH27" s="366">
        <v>380.82</v>
      </c>
      <c r="CI27" s="366">
        <v>499.97</v>
      </c>
      <c r="CJ27" s="366">
        <v>29.25</v>
      </c>
      <c r="CK27" s="366">
        <v>748.73</v>
      </c>
      <c r="CL27" s="366">
        <v>644.80999999999995</v>
      </c>
      <c r="CM27" s="366">
        <v>171.87</v>
      </c>
      <c r="CN27" s="366">
        <v>648.94000000000005</v>
      </c>
      <c r="CO27" s="366">
        <v>435.93</v>
      </c>
      <c r="CP27" s="366">
        <v>402.51</v>
      </c>
      <c r="CQ27" s="366">
        <v>402.51</v>
      </c>
      <c r="CR27" s="366">
        <v>387.25</v>
      </c>
      <c r="CS27" s="366">
        <v>387.25</v>
      </c>
      <c r="CT27" s="366">
        <v>377.81</v>
      </c>
      <c r="CU27" s="366">
        <v>385.68</v>
      </c>
      <c r="CV27" s="366">
        <v>379.63</v>
      </c>
      <c r="CW27" s="366">
        <v>716.16</v>
      </c>
      <c r="CX27" s="366">
        <v>379.32</v>
      </c>
      <c r="CY27" s="366">
        <v>133.81</v>
      </c>
      <c r="CZ27" s="366">
        <v>104.21</v>
      </c>
      <c r="DA27" s="366">
        <v>721.44</v>
      </c>
      <c r="DB27" s="366">
        <v>695.55</v>
      </c>
      <c r="DC27" s="366">
        <v>695.55</v>
      </c>
      <c r="DD27" s="366">
        <v>198.14</v>
      </c>
      <c r="DE27" s="366">
        <v>799.07</v>
      </c>
      <c r="DF27" s="366">
        <v>253.78</v>
      </c>
      <c r="DG27" s="366">
        <v>470.32</v>
      </c>
      <c r="DH27" s="366">
        <v>861.63</v>
      </c>
      <c r="DI27" s="366">
        <v>115.88</v>
      </c>
      <c r="DJ27" s="366">
        <v>88.01</v>
      </c>
      <c r="DK27" s="366">
        <v>540.77</v>
      </c>
      <c r="DL27" s="366">
        <v>256.05</v>
      </c>
      <c r="DM27" s="366">
        <v>648.65</v>
      </c>
      <c r="DN27" s="366">
        <v>102.91</v>
      </c>
      <c r="DO27" s="366">
        <v>567.34</v>
      </c>
      <c r="DP27" s="366">
        <v>235.14</v>
      </c>
      <c r="DQ27" s="366">
        <v>701.65</v>
      </c>
      <c r="DR27" s="366">
        <v>861.63</v>
      </c>
      <c r="DS27" s="366">
        <v>436.83</v>
      </c>
      <c r="DT27" s="366">
        <v>425.12</v>
      </c>
      <c r="DU27" s="366">
        <v>751.78</v>
      </c>
      <c r="DV27" s="366">
        <v>779.74</v>
      </c>
      <c r="DW27" s="366">
        <v>541.91999999999996</v>
      </c>
      <c r="DX27" s="366">
        <v>676.63</v>
      </c>
      <c r="DY27" s="366">
        <v>750.02</v>
      </c>
      <c r="DZ27" s="366">
        <v>187.16</v>
      </c>
      <c r="EA27" s="366">
        <v>419.6</v>
      </c>
      <c r="EB27" s="366">
        <v>744.02</v>
      </c>
      <c r="EC27" s="366">
        <v>439.54</v>
      </c>
      <c r="ED27" s="366">
        <v>86.11</v>
      </c>
      <c r="EE27" s="366">
        <v>76.23</v>
      </c>
      <c r="EF27" s="366">
        <v>326.02</v>
      </c>
      <c r="EG27" s="366">
        <v>360.12</v>
      </c>
      <c r="EH27" s="366">
        <v>360.12</v>
      </c>
      <c r="EI27" s="366">
        <v>405.56</v>
      </c>
      <c r="EJ27" s="366">
        <v>849.69</v>
      </c>
      <c r="EK27" s="366">
        <v>552.65</v>
      </c>
      <c r="EL27" s="366">
        <v>552.65</v>
      </c>
      <c r="EM27" s="366">
        <v>646.76</v>
      </c>
      <c r="EN27" s="366">
        <v>646.76</v>
      </c>
      <c r="EO27" s="366">
        <v>272.67</v>
      </c>
      <c r="EP27" s="366">
        <v>323.56</v>
      </c>
      <c r="EQ27" s="366">
        <v>368.32</v>
      </c>
      <c r="ER27" s="366">
        <v>83.91</v>
      </c>
      <c r="ES27" s="366">
        <v>660.97</v>
      </c>
      <c r="ET27" s="366">
        <v>377.85</v>
      </c>
      <c r="EU27" s="366">
        <v>205.42</v>
      </c>
      <c r="EV27" s="366">
        <v>286.29000000000002</v>
      </c>
      <c r="EW27" s="366">
        <v>404.94</v>
      </c>
      <c r="EX27" s="366">
        <v>637.71</v>
      </c>
      <c r="EY27" s="366">
        <v>637.71</v>
      </c>
      <c r="EZ27" s="366">
        <v>691.3</v>
      </c>
      <c r="FA27" s="366">
        <v>643.92999999999995</v>
      </c>
      <c r="FB27" s="366">
        <v>525.07000000000005</v>
      </c>
      <c r="FC27" s="366">
        <v>696.77</v>
      </c>
      <c r="FD27" s="366">
        <v>551.96</v>
      </c>
      <c r="FE27" s="366">
        <v>409.39</v>
      </c>
      <c r="FF27" s="366">
        <v>487.51</v>
      </c>
      <c r="FG27" s="366">
        <v>190.09</v>
      </c>
      <c r="FH27" s="366">
        <v>190.09</v>
      </c>
      <c r="FI27" s="366">
        <v>297.16000000000003</v>
      </c>
      <c r="FJ27" s="366">
        <v>302.95</v>
      </c>
      <c r="FK27" s="366">
        <v>688.71</v>
      </c>
      <c r="FL27" s="366">
        <v>686.9</v>
      </c>
      <c r="FM27" s="366">
        <v>272.67</v>
      </c>
      <c r="FN27" s="366">
        <v>317.04000000000002</v>
      </c>
      <c r="FO27" s="366">
        <v>427.97</v>
      </c>
      <c r="FP27" s="366">
        <v>729.12</v>
      </c>
      <c r="FQ27" s="366">
        <v>431.84</v>
      </c>
      <c r="FR27" s="366">
        <v>500.23</v>
      </c>
      <c r="FS27" s="366">
        <v>488.22</v>
      </c>
      <c r="FT27" s="366">
        <v>72.849999999999994</v>
      </c>
      <c r="FU27" s="366">
        <v>512.36</v>
      </c>
      <c r="FV27" s="366">
        <v>269.32</v>
      </c>
      <c r="FW27" s="366">
        <v>269.32</v>
      </c>
      <c r="FX27" s="366">
        <v>269.32</v>
      </c>
      <c r="FY27" s="366">
        <v>593.07000000000005</v>
      </c>
      <c r="FZ27" s="366">
        <v>432.26</v>
      </c>
      <c r="GA27" s="366">
        <v>720.22</v>
      </c>
      <c r="GB27" s="366">
        <v>526.69000000000005</v>
      </c>
      <c r="GC27" s="366">
        <v>86.11</v>
      </c>
      <c r="GD27" s="366">
        <v>560.45000000000005</v>
      </c>
      <c r="GE27" s="366">
        <v>377.71</v>
      </c>
      <c r="GF27" s="366">
        <v>525.89</v>
      </c>
      <c r="GG27" s="366">
        <v>525.89</v>
      </c>
      <c r="GH27" s="366">
        <v>768.67</v>
      </c>
      <c r="GI27" s="366">
        <v>272.83</v>
      </c>
      <c r="GJ27" s="366">
        <v>272.67</v>
      </c>
      <c r="GK27" s="366">
        <v>685.26</v>
      </c>
      <c r="GL27" s="366">
        <v>419.23</v>
      </c>
      <c r="GM27" s="366">
        <v>419.23</v>
      </c>
      <c r="GN27" s="366">
        <v>419.23</v>
      </c>
      <c r="GO27" s="366">
        <v>280.56</v>
      </c>
      <c r="GP27" s="366">
        <v>725.63</v>
      </c>
      <c r="GQ27" s="366">
        <v>730.97</v>
      </c>
      <c r="GR27" s="366">
        <v>209.93</v>
      </c>
      <c r="GS27" s="366">
        <v>343.39</v>
      </c>
      <c r="GT27" s="366">
        <v>360.12</v>
      </c>
      <c r="GU27" s="366">
        <v>534.04999999999995</v>
      </c>
      <c r="GV27" s="366">
        <v>856.88</v>
      </c>
      <c r="GW27" s="366">
        <v>443.69</v>
      </c>
      <c r="GX27" s="366">
        <v>356.69</v>
      </c>
      <c r="GY27" s="366">
        <v>420.2</v>
      </c>
      <c r="GZ27" s="366">
        <v>551.67999999999995</v>
      </c>
      <c r="HA27" s="366">
        <v>433.38</v>
      </c>
      <c r="HB27" s="366">
        <v>433.38</v>
      </c>
      <c r="HC27" s="366">
        <v>433.38</v>
      </c>
      <c r="HD27" s="366">
        <v>150.87</v>
      </c>
      <c r="HE27" s="366">
        <v>640.61</v>
      </c>
      <c r="HF27" s="366">
        <v>596.9</v>
      </c>
      <c r="HG27" s="366">
        <v>724.55</v>
      </c>
      <c r="HH27" s="366">
        <v>724.55</v>
      </c>
      <c r="HI27" s="366">
        <v>724.55</v>
      </c>
      <c r="HJ27" s="366">
        <v>505.02</v>
      </c>
      <c r="HK27" s="366">
        <v>286.74</v>
      </c>
      <c r="HL27" s="366">
        <v>660.15</v>
      </c>
      <c r="HM27" s="366">
        <v>269.95</v>
      </c>
      <c r="HN27" s="366">
        <v>272.67</v>
      </c>
      <c r="HO27" s="366">
        <v>173.58</v>
      </c>
      <c r="HP27" s="366">
        <v>552.4</v>
      </c>
      <c r="HQ27" s="366">
        <v>269.32</v>
      </c>
      <c r="HR27" s="366">
        <v>19.57</v>
      </c>
      <c r="HS27" s="366">
        <v>268.92</v>
      </c>
      <c r="HT27" s="366">
        <v>372.62</v>
      </c>
      <c r="HU27" s="366">
        <v>399.3</v>
      </c>
      <c r="HV27" s="366">
        <v>423.77</v>
      </c>
    </row>
    <row r="28" spans="1:230">
      <c r="A28" s="366" t="s">
        <v>51</v>
      </c>
      <c r="B28" s="366">
        <v>404.31</v>
      </c>
      <c r="C28" s="366">
        <v>510.46</v>
      </c>
      <c r="D28" s="366">
        <v>405.08</v>
      </c>
      <c r="E28" s="366">
        <v>405.08</v>
      </c>
      <c r="F28" s="366">
        <v>468.21</v>
      </c>
      <c r="G28" s="366">
        <v>275.77999999999997</v>
      </c>
      <c r="H28" s="366">
        <v>361.46</v>
      </c>
      <c r="I28" s="366">
        <v>134.24</v>
      </c>
      <c r="J28" s="366">
        <v>337.68</v>
      </c>
      <c r="K28" s="366">
        <v>337.68</v>
      </c>
      <c r="L28" s="366">
        <v>401.84</v>
      </c>
      <c r="M28" s="366">
        <v>535.88</v>
      </c>
      <c r="N28" s="366">
        <v>632.78</v>
      </c>
      <c r="O28" s="366">
        <v>385.89</v>
      </c>
      <c r="P28" s="366">
        <v>385.89</v>
      </c>
      <c r="Q28" s="366">
        <v>385.89</v>
      </c>
      <c r="R28" s="366">
        <v>385.89</v>
      </c>
      <c r="S28" s="366">
        <v>385.89</v>
      </c>
      <c r="T28" s="366">
        <v>59.74</v>
      </c>
      <c r="U28" s="366">
        <v>383.82</v>
      </c>
      <c r="V28" s="366">
        <v>475.28</v>
      </c>
      <c r="W28" s="366">
        <v>256.39</v>
      </c>
      <c r="X28" s="366">
        <v>256.39</v>
      </c>
      <c r="Y28" s="366">
        <v>256.39</v>
      </c>
      <c r="Z28" s="366">
        <v>513.02</v>
      </c>
      <c r="AA28" s="366">
        <v>269.95</v>
      </c>
      <c r="AB28" s="366">
        <v>0</v>
      </c>
      <c r="AC28" s="366">
        <v>31.53</v>
      </c>
      <c r="AD28" s="366">
        <v>31.53</v>
      </c>
      <c r="AE28" s="366">
        <v>360.33</v>
      </c>
      <c r="AF28" s="366">
        <v>289.52</v>
      </c>
      <c r="AG28" s="366">
        <v>257.91000000000003</v>
      </c>
      <c r="AH28" s="366">
        <v>180.29</v>
      </c>
      <c r="AI28" s="366">
        <v>180.29</v>
      </c>
      <c r="AJ28" s="366">
        <v>180.29</v>
      </c>
      <c r="AK28" s="366">
        <v>535.22</v>
      </c>
      <c r="AL28" s="366">
        <v>535.22</v>
      </c>
      <c r="AM28" s="366">
        <v>8.7799999999999994</v>
      </c>
      <c r="AN28" s="366">
        <v>345.06</v>
      </c>
      <c r="AO28" s="366">
        <v>282.89999999999998</v>
      </c>
      <c r="AP28" s="366">
        <v>89.19</v>
      </c>
      <c r="AQ28" s="366">
        <v>424.75</v>
      </c>
      <c r="AR28" s="366">
        <v>377.42</v>
      </c>
      <c r="AS28" s="366">
        <v>326.39</v>
      </c>
      <c r="AT28" s="366">
        <v>326.39</v>
      </c>
      <c r="AU28" s="366">
        <v>390.14</v>
      </c>
      <c r="AV28" s="366">
        <v>414.87</v>
      </c>
      <c r="AW28" s="366">
        <v>300.22000000000003</v>
      </c>
      <c r="AX28" s="366">
        <v>121.9</v>
      </c>
      <c r="AY28" s="366">
        <v>668.49</v>
      </c>
      <c r="AZ28" s="366">
        <v>479.08</v>
      </c>
      <c r="BA28" s="366">
        <v>245.13</v>
      </c>
      <c r="BB28" s="366">
        <v>671.38</v>
      </c>
      <c r="BC28" s="366">
        <v>187.19</v>
      </c>
      <c r="BD28" s="366">
        <v>96.96</v>
      </c>
      <c r="BE28" s="366">
        <v>479.34</v>
      </c>
      <c r="BF28" s="366">
        <v>3.03</v>
      </c>
      <c r="BG28" s="366">
        <v>520.57000000000005</v>
      </c>
      <c r="BH28" s="366">
        <v>385.89</v>
      </c>
      <c r="BI28" s="366">
        <v>377.45</v>
      </c>
      <c r="BJ28" s="366">
        <v>458.69</v>
      </c>
      <c r="BK28" s="366">
        <v>546.86</v>
      </c>
      <c r="BL28" s="366">
        <v>404.23</v>
      </c>
      <c r="BM28" s="366">
        <v>388.87</v>
      </c>
      <c r="BN28" s="366">
        <v>310.14</v>
      </c>
      <c r="BO28" s="366">
        <v>589.05999999999995</v>
      </c>
      <c r="BP28" s="366">
        <v>554.91999999999996</v>
      </c>
      <c r="BQ28" s="366">
        <v>154.94</v>
      </c>
      <c r="BR28" s="366">
        <v>154.94</v>
      </c>
      <c r="BS28" s="366">
        <v>486.65</v>
      </c>
      <c r="BT28" s="366">
        <v>369.37</v>
      </c>
      <c r="BU28" s="366">
        <v>19.5</v>
      </c>
      <c r="BV28" s="366">
        <v>0.12</v>
      </c>
      <c r="BW28" s="366">
        <v>449.43</v>
      </c>
      <c r="BX28" s="366">
        <v>427.74</v>
      </c>
      <c r="BY28" s="366">
        <v>502.76</v>
      </c>
      <c r="BZ28" s="366">
        <v>502.76</v>
      </c>
      <c r="CA28" s="366">
        <v>261.42</v>
      </c>
      <c r="CB28" s="366">
        <v>446.17</v>
      </c>
      <c r="CC28" s="366">
        <v>150.72999999999999</v>
      </c>
      <c r="CD28" s="366">
        <v>164.21</v>
      </c>
      <c r="CE28" s="366">
        <v>530.09</v>
      </c>
      <c r="CF28" s="366">
        <v>288.25</v>
      </c>
      <c r="CG28" s="366">
        <v>288.25</v>
      </c>
      <c r="CH28" s="366">
        <v>139.94</v>
      </c>
      <c r="CI28" s="366">
        <v>259.08999999999997</v>
      </c>
      <c r="CJ28" s="366">
        <v>299.2</v>
      </c>
      <c r="CK28" s="366">
        <v>507.85</v>
      </c>
      <c r="CL28" s="366">
        <v>403.93</v>
      </c>
      <c r="CM28" s="366">
        <v>133.47</v>
      </c>
      <c r="CN28" s="366">
        <v>408.06</v>
      </c>
      <c r="CO28" s="366">
        <v>376.03</v>
      </c>
      <c r="CP28" s="366">
        <v>161.63</v>
      </c>
      <c r="CQ28" s="366">
        <v>161.63</v>
      </c>
      <c r="CR28" s="366">
        <v>327.35000000000002</v>
      </c>
      <c r="CS28" s="366">
        <v>327.35000000000002</v>
      </c>
      <c r="CT28" s="366">
        <v>317.91000000000003</v>
      </c>
      <c r="CU28" s="366">
        <v>325.77999999999997</v>
      </c>
      <c r="CV28" s="366">
        <v>319.73</v>
      </c>
      <c r="CW28" s="366">
        <v>475.28</v>
      </c>
      <c r="CX28" s="366">
        <v>138.44</v>
      </c>
      <c r="CY28" s="366">
        <v>179.89</v>
      </c>
      <c r="CZ28" s="366">
        <v>201.13</v>
      </c>
      <c r="DA28" s="366">
        <v>570.83000000000004</v>
      </c>
      <c r="DB28" s="366">
        <v>454.67</v>
      </c>
      <c r="DC28" s="366">
        <v>454.67</v>
      </c>
      <c r="DD28" s="366">
        <v>203.39</v>
      </c>
      <c r="DE28" s="366">
        <v>648.46</v>
      </c>
      <c r="DF28" s="366">
        <v>452.67</v>
      </c>
      <c r="DG28" s="366">
        <v>229.44</v>
      </c>
      <c r="DH28" s="366">
        <v>711.02</v>
      </c>
      <c r="DI28" s="366">
        <v>154.07</v>
      </c>
      <c r="DJ28" s="366">
        <v>217.33</v>
      </c>
      <c r="DK28" s="366">
        <v>390.16</v>
      </c>
      <c r="DL28" s="366">
        <v>25.5</v>
      </c>
      <c r="DM28" s="366">
        <v>498.04</v>
      </c>
      <c r="DN28" s="366">
        <v>168.83</v>
      </c>
      <c r="DO28" s="366">
        <v>416.73</v>
      </c>
      <c r="DP28" s="366">
        <v>205.24</v>
      </c>
      <c r="DQ28" s="366">
        <v>460.77</v>
      </c>
      <c r="DR28" s="366">
        <v>711.02</v>
      </c>
      <c r="DS28" s="366">
        <v>376.93</v>
      </c>
      <c r="DT28" s="366">
        <v>365.22</v>
      </c>
      <c r="DU28" s="366">
        <v>601.16999999999996</v>
      </c>
      <c r="DV28" s="366">
        <v>538.86</v>
      </c>
      <c r="DW28" s="366">
        <v>342.81</v>
      </c>
      <c r="DX28" s="366">
        <v>435.75</v>
      </c>
      <c r="DY28" s="366">
        <v>509.14</v>
      </c>
      <c r="DZ28" s="366">
        <v>192.41</v>
      </c>
      <c r="EA28" s="366">
        <v>359.7</v>
      </c>
      <c r="EB28" s="366">
        <v>503.14</v>
      </c>
      <c r="EC28" s="366">
        <v>379.64</v>
      </c>
      <c r="ED28" s="366">
        <v>183.84</v>
      </c>
      <c r="EE28" s="366">
        <v>194.63</v>
      </c>
      <c r="EF28" s="366">
        <v>95.47</v>
      </c>
      <c r="EG28" s="366">
        <v>300.22000000000003</v>
      </c>
      <c r="EH28" s="366">
        <v>300.22000000000003</v>
      </c>
      <c r="EI28" s="366">
        <v>164.68</v>
      </c>
      <c r="EJ28" s="366">
        <v>699.08</v>
      </c>
      <c r="EK28" s="366">
        <v>311.77</v>
      </c>
      <c r="EL28" s="366">
        <v>311.77</v>
      </c>
      <c r="EM28" s="366">
        <v>405.88</v>
      </c>
      <c r="EN28" s="366">
        <v>405.88</v>
      </c>
      <c r="EO28" s="366">
        <v>8.7799999999999994</v>
      </c>
      <c r="EP28" s="366">
        <v>82.68</v>
      </c>
      <c r="EQ28" s="366">
        <v>308.42</v>
      </c>
      <c r="ER28" s="366">
        <v>353.86</v>
      </c>
      <c r="ES28" s="366">
        <v>510.36</v>
      </c>
      <c r="ET28" s="366">
        <v>136.97</v>
      </c>
      <c r="EU28" s="366">
        <v>404.31</v>
      </c>
      <c r="EV28" s="366">
        <v>256.39</v>
      </c>
      <c r="EW28" s="366">
        <v>164.06</v>
      </c>
      <c r="EX28" s="366">
        <v>487.1</v>
      </c>
      <c r="EY28" s="366">
        <v>487.1</v>
      </c>
      <c r="EZ28" s="366">
        <v>450.42</v>
      </c>
      <c r="FA28" s="366">
        <v>403.05</v>
      </c>
      <c r="FB28" s="366">
        <v>374.46</v>
      </c>
      <c r="FC28" s="366">
        <v>455.89</v>
      </c>
      <c r="FD28" s="366">
        <v>311.08</v>
      </c>
      <c r="FE28" s="366">
        <v>168.51</v>
      </c>
      <c r="FF28" s="366">
        <v>246.63</v>
      </c>
      <c r="FG28" s="366">
        <v>236.17</v>
      </c>
      <c r="FH28" s="366">
        <v>236.17</v>
      </c>
      <c r="FI28" s="366">
        <v>237.26</v>
      </c>
      <c r="FJ28" s="366">
        <v>243.05</v>
      </c>
      <c r="FK28" s="366">
        <v>538.1</v>
      </c>
      <c r="FL28" s="366">
        <v>536.29</v>
      </c>
      <c r="FM28" s="366">
        <v>8.7799999999999994</v>
      </c>
      <c r="FN28" s="366">
        <v>287.14</v>
      </c>
      <c r="FO28" s="366">
        <v>368.07</v>
      </c>
      <c r="FP28" s="366">
        <v>488.24</v>
      </c>
      <c r="FQ28" s="366">
        <v>371.94</v>
      </c>
      <c r="FR28" s="366">
        <v>419.18</v>
      </c>
      <c r="FS28" s="366">
        <v>247.34</v>
      </c>
      <c r="FT28" s="366">
        <v>232.49</v>
      </c>
      <c r="FU28" s="366">
        <v>271.48</v>
      </c>
      <c r="FV28" s="366">
        <v>468.21</v>
      </c>
      <c r="FW28" s="366">
        <v>468.21</v>
      </c>
      <c r="FX28" s="366">
        <v>468.21</v>
      </c>
      <c r="FY28" s="366">
        <v>352.19</v>
      </c>
      <c r="FZ28" s="366">
        <v>191.38</v>
      </c>
      <c r="GA28" s="366">
        <v>479.34</v>
      </c>
      <c r="GB28" s="366">
        <v>285.81</v>
      </c>
      <c r="GC28" s="366">
        <v>183.84</v>
      </c>
      <c r="GD28" s="366">
        <v>409.84</v>
      </c>
      <c r="GE28" s="366">
        <v>317.81</v>
      </c>
      <c r="GF28" s="366">
        <v>285.01</v>
      </c>
      <c r="GG28" s="366">
        <v>285.01</v>
      </c>
      <c r="GH28" s="366">
        <v>527.79</v>
      </c>
      <c r="GI28" s="366">
        <v>8.94</v>
      </c>
      <c r="GJ28" s="366">
        <v>8.7799999999999994</v>
      </c>
      <c r="GK28" s="366">
        <v>534.65</v>
      </c>
      <c r="GL28" s="366">
        <v>178.35</v>
      </c>
      <c r="GM28" s="366">
        <v>178.35</v>
      </c>
      <c r="GN28" s="366">
        <v>178.35</v>
      </c>
      <c r="GO28" s="366">
        <v>50.01</v>
      </c>
      <c r="GP28" s="366">
        <v>484.75</v>
      </c>
      <c r="GQ28" s="366">
        <v>580.36</v>
      </c>
      <c r="GR28" s="366">
        <v>60.02</v>
      </c>
      <c r="GS28" s="366">
        <v>102.51</v>
      </c>
      <c r="GT28" s="366">
        <v>300.22000000000003</v>
      </c>
      <c r="GU28" s="366">
        <v>345.04</v>
      </c>
      <c r="GV28" s="366">
        <v>706.27</v>
      </c>
      <c r="GW28" s="366">
        <v>202.81</v>
      </c>
      <c r="GX28" s="366">
        <v>296.79000000000002</v>
      </c>
      <c r="GY28" s="366">
        <v>179.32</v>
      </c>
      <c r="GZ28" s="366">
        <v>310.8</v>
      </c>
      <c r="HA28" s="366">
        <v>373.48</v>
      </c>
      <c r="HB28" s="366">
        <v>373.48</v>
      </c>
      <c r="HC28" s="366">
        <v>373.48</v>
      </c>
      <c r="HD28" s="366">
        <v>156.12</v>
      </c>
      <c r="HE28" s="366">
        <v>399.73</v>
      </c>
      <c r="HF28" s="366">
        <v>356.02</v>
      </c>
      <c r="HG28" s="366">
        <v>483.67</v>
      </c>
      <c r="HH28" s="366">
        <v>483.67</v>
      </c>
      <c r="HI28" s="366">
        <v>483.67</v>
      </c>
      <c r="HJ28" s="366">
        <v>264.14</v>
      </c>
      <c r="HK28" s="366">
        <v>226.84</v>
      </c>
      <c r="HL28" s="366">
        <v>419.27</v>
      </c>
      <c r="HM28" s="366">
        <v>0</v>
      </c>
      <c r="HN28" s="366">
        <v>8.7799999999999994</v>
      </c>
      <c r="HO28" s="366">
        <v>437.51</v>
      </c>
      <c r="HP28" s="366">
        <v>311.52</v>
      </c>
      <c r="HQ28" s="366">
        <v>468.21</v>
      </c>
      <c r="HR28" s="366">
        <v>289.52</v>
      </c>
      <c r="HS28" s="366">
        <v>5.03</v>
      </c>
      <c r="HT28" s="366">
        <v>142.07</v>
      </c>
      <c r="HU28" s="366">
        <v>158.41999999999999</v>
      </c>
      <c r="HV28" s="366">
        <v>182.89</v>
      </c>
    </row>
    <row r="29" spans="1:230">
      <c r="A29" s="366" t="s">
        <v>52</v>
      </c>
      <c r="B29" s="366">
        <v>372.78</v>
      </c>
      <c r="C29" s="366">
        <v>512.91999999999996</v>
      </c>
      <c r="D29" s="366">
        <v>397.21</v>
      </c>
      <c r="E29" s="366">
        <v>397.21</v>
      </c>
      <c r="F29" s="366">
        <v>436.68</v>
      </c>
      <c r="G29" s="366">
        <v>244.25</v>
      </c>
      <c r="H29" s="366">
        <v>353.59</v>
      </c>
      <c r="I29" s="366">
        <v>136.69999999999999</v>
      </c>
      <c r="J29" s="366">
        <v>329.81</v>
      </c>
      <c r="K29" s="366">
        <v>329.81</v>
      </c>
      <c r="L29" s="366">
        <v>404.3</v>
      </c>
      <c r="M29" s="366">
        <v>538.34</v>
      </c>
      <c r="N29" s="366">
        <v>635.24</v>
      </c>
      <c r="O29" s="366">
        <v>388.35</v>
      </c>
      <c r="P29" s="366">
        <v>388.35</v>
      </c>
      <c r="Q29" s="366">
        <v>388.35</v>
      </c>
      <c r="R29" s="366">
        <v>388.35</v>
      </c>
      <c r="S29" s="366">
        <v>388.35</v>
      </c>
      <c r="T29" s="366">
        <v>62.2</v>
      </c>
      <c r="U29" s="366">
        <v>352.29</v>
      </c>
      <c r="V29" s="366">
        <v>477.74</v>
      </c>
      <c r="W29" s="366">
        <v>248.52</v>
      </c>
      <c r="X29" s="366">
        <v>248.52</v>
      </c>
      <c r="Y29" s="366">
        <v>248.52</v>
      </c>
      <c r="Z29" s="366">
        <v>515.48</v>
      </c>
      <c r="AA29" s="366">
        <v>238.42</v>
      </c>
      <c r="AB29" s="366">
        <v>31.53</v>
      </c>
      <c r="AC29" s="366">
        <v>0</v>
      </c>
      <c r="AD29" s="366">
        <v>0</v>
      </c>
      <c r="AE29" s="366">
        <v>362.79</v>
      </c>
      <c r="AF29" s="366">
        <v>257.99</v>
      </c>
      <c r="AG29" s="366">
        <v>250.04</v>
      </c>
      <c r="AH29" s="366">
        <v>182.75</v>
      </c>
      <c r="AI29" s="366">
        <v>182.75</v>
      </c>
      <c r="AJ29" s="366">
        <v>182.75</v>
      </c>
      <c r="AK29" s="366">
        <v>537.67999999999995</v>
      </c>
      <c r="AL29" s="366">
        <v>537.67999999999995</v>
      </c>
      <c r="AM29" s="366">
        <v>34.25</v>
      </c>
      <c r="AN29" s="366">
        <v>347.52</v>
      </c>
      <c r="AO29" s="366">
        <v>251.37</v>
      </c>
      <c r="AP29" s="366">
        <v>81.319999999999993</v>
      </c>
      <c r="AQ29" s="366">
        <v>393.22</v>
      </c>
      <c r="AR29" s="366">
        <v>369.55</v>
      </c>
      <c r="AS29" s="366">
        <v>328.85</v>
      </c>
      <c r="AT29" s="366">
        <v>328.85</v>
      </c>
      <c r="AU29" s="366">
        <v>392.6</v>
      </c>
      <c r="AV29" s="366">
        <v>383.34</v>
      </c>
      <c r="AW29" s="366">
        <v>292.35000000000002</v>
      </c>
      <c r="AX29" s="366">
        <v>124.36</v>
      </c>
      <c r="AY29" s="366">
        <v>670.95</v>
      </c>
      <c r="AZ29" s="366">
        <v>481.54</v>
      </c>
      <c r="BA29" s="366">
        <v>213.6</v>
      </c>
      <c r="BB29" s="366">
        <v>673.84</v>
      </c>
      <c r="BC29" s="366">
        <v>155.66</v>
      </c>
      <c r="BD29" s="366">
        <v>65.430000000000007</v>
      </c>
      <c r="BE29" s="366">
        <v>481.8</v>
      </c>
      <c r="BF29" s="366">
        <v>28.5</v>
      </c>
      <c r="BG29" s="366">
        <v>523.03</v>
      </c>
      <c r="BH29" s="366">
        <v>388.35</v>
      </c>
      <c r="BI29" s="366">
        <v>369.58</v>
      </c>
      <c r="BJ29" s="366">
        <v>461.15</v>
      </c>
      <c r="BK29" s="366">
        <v>549.32000000000005</v>
      </c>
      <c r="BL29" s="366">
        <v>404.21</v>
      </c>
      <c r="BM29" s="366">
        <v>381</v>
      </c>
      <c r="BN29" s="366">
        <v>278.61</v>
      </c>
      <c r="BO29" s="366">
        <v>591.52</v>
      </c>
      <c r="BP29" s="366">
        <v>557.38</v>
      </c>
      <c r="BQ29" s="366">
        <v>157.4</v>
      </c>
      <c r="BR29" s="366">
        <v>157.4</v>
      </c>
      <c r="BS29" s="366">
        <v>489.11</v>
      </c>
      <c r="BT29" s="366">
        <v>361.5</v>
      </c>
      <c r="BU29" s="366">
        <v>21.96</v>
      </c>
      <c r="BV29" s="366">
        <v>31.65</v>
      </c>
      <c r="BW29" s="366">
        <v>451.89</v>
      </c>
      <c r="BX29" s="366">
        <v>430.2</v>
      </c>
      <c r="BY29" s="366">
        <v>505.22</v>
      </c>
      <c r="BZ29" s="366">
        <v>505.22</v>
      </c>
      <c r="CA29" s="366">
        <v>253.55</v>
      </c>
      <c r="CB29" s="366">
        <v>448.63</v>
      </c>
      <c r="CC29" s="366">
        <v>153.19</v>
      </c>
      <c r="CD29" s="366">
        <v>166.67</v>
      </c>
      <c r="CE29" s="366">
        <v>532.54999999999995</v>
      </c>
      <c r="CF29" s="366">
        <v>256.72000000000003</v>
      </c>
      <c r="CG29" s="366">
        <v>256.72000000000003</v>
      </c>
      <c r="CH29" s="366">
        <v>142.4</v>
      </c>
      <c r="CI29" s="366">
        <v>261.55</v>
      </c>
      <c r="CJ29" s="366">
        <v>267.67</v>
      </c>
      <c r="CK29" s="366">
        <v>510.31</v>
      </c>
      <c r="CL29" s="366">
        <v>406.39</v>
      </c>
      <c r="CM29" s="366">
        <v>101.94</v>
      </c>
      <c r="CN29" s="366">
        <v>410.52</v>
      </c>
      <c r="CO29" s="366">
        <v>368.16</v>
      </c>
      <c r="CP29" s="366">
        <v>164.09</v>
      </c>
      <c r="CQ29" s="366">
        <v>164.09</v>
      </c>
      <c r="CR29" s="366">
        <v>319.48</v>
      </c>
      <c r="CS29" s="366">
        <v>319.48</v>
      </c>
      <c r="CT29" s="366">
        <v>310.04000000000002</v>
      </c>
      <c r="CU29" s="366">
        <v>317.91000000000003</v>
      </c>
      <c r="CV29" s="366">
        <v>311.86</v>
      </c>
      <c r="CW29" s="366">
        <v>477.74</v>
      </c>
      <c r="CX29" s="366">
        <v>140.9</v>
      </c>
      <c r="CY29" s="366">
        <v>148.36000000000001</v>
      </c>
      <c r="CZ29" s="366">
        <v>169.6</v>
      </c>
      <c r="DA29" s="366">
        <v>573.29</v>
      </c>
      <c r="DB29" s="366">
        <v>457.13</v>
      </c>
      <c r="DC29" s="366">
        <v>457.13</v>
      </c>
      <c r="DD29" s="366">
        <v>171.86</v>
      </c>
      <c r="DE29" s="366">
        <v>650.91999999999996</v>
      </c>
      <c r="DF29" s="366">
        <v>421.14</v>
      </c>
      <c r="DG29" s="366">
        <v>231.9</v>
      </c>
      <c r="DH29" s="366">
        <v>713.48</v>
      </c>
      <c r="DI29" s="366">
        <v>122.54</v>
      </c>
      <c r="DJ29" s="366">
        <v>185.8</v>
      </c>
      <c r="DK29" s="366">
        <v>392.62</v>
      </c>
      <c r="DL29" s="366">
        <v>17.63</v>
      </c>
      <c r="DM29" s="366">
        <v>500.5</v>
      </c>
      <c r="DN29" s="366">
        <v>137.30000000000001</v>
      </c>
      <c r="DO29" s="366">
        <v>419.19</v>
      </c>
      <c r="DP29" s="366">
        <v>197.37</v>
      </c>
      <c r="DQ29" s="366">
        <v>463.23</v>
      </c>
      <c r="DR29" s="366">
        <v>713.48</v>
      </c>
      <c r="DS29" s="366">
        <v>369.06</v>
      </c>
      <c r="DT29" s="366">
        <v>357.35</v>
      </c>
      <c r="DU29" s="366">
        <v>603.63</v>
      </c>
      <c r="DV29" s="366">
        <v>541.32000000000005</v>
      </c>
      <c r="DW29" s="366">
        <v>345.27</v>
      </c>
      <c r="DX29" s="366">
        <v>438.21</v>
      </c>
      <c r="DY29" s="366">
        <v>511.6</v>
      </c>
      <c r="DZ29" s="366">
        <v>160.88</v>
      </c>
      <c r="EA29" s="366">
        <v>351.83</v>
      </c>
      <c r="EB29" s="366">
        <v>505.6</v>
      </c>
      <c r="EC29" s="366">
        <v>371.77</v>
      </c>
      <c r="ED29" s="366">
        <v>152.31</v>
      </c>
      <c r="EE29" s="366">
        <v>163.1</v>
      </c>
      <c r="EF29" s="366">
        <v>87.6</v>
      </c>
      <c r="EG29" s="366">
        <v>292.35000000000002</v>
      </c>
      <c r="EH29" s="366">
        <v>292.35000000000002</v>
      </c>
      <c r="EI29" s="366">
        <v>167.14</v>
      </c>
      <c r="EJ29" s="366">
        <v>701.54</v>
      </c>
      <c r="EK29" s="366">
        <v>314.23</v>
      </c>
      <c r="EL29" s="366">
        <v>314.23</v>
      </c>
      <c r="EM29" s="366">
        <v>408.34</v>
      </c>
      <c r="EN29" s="366">
        <v>408.34</v>
      </c>
      <c r="EO29" s="366">
        <v>34.25</v>
      </c>
      <c r="EP29" s="366">
        <v>85.14</v>
      </c>
      <c r="EQ29" s="366">
        <v>300.55</v>
      </c>
      <c r="ER29" s="366">
        <v>322.33</v>
      </c>
      <c r="ES29" s="366">
        <v>512.82000000000005</v>
      </c>
      <c r="ET29" s="366">
        <v>139.43</v>
      </c>
      <c r="EU29" s="366">
        <v>372.78</v>
      </c>
      <c r="EV29" s="366">
        <v>248.52</v>
      </c>
      <c r="EW29" s="366">
        <v>166.52</v>
      </c>
      <c r="EX29" s="366">
        <v>489.56</v>
      </c>
      <c r="EY29" s="366">
        <v>489.56</v>
      </c>
      <c r="EZ29" s="366">
        <v>452.88</v>
      </c>
      <c r="FA29" s="366">
        <v>405.51</v>
      </c>
      <c r="FB29" s="366">
        <v>376.92</v>
      </c>
      <c r="FC29" s="366">
        <v>458.35</v>
      </c>
      <c r="FD29" s="366">
        <v>313.54000000000002</v>
      </c>
      <c r="FE29" s="366">
        <v>170.97</v>
      </c>
      <c r="FF29" s="366">
        <v>249.09</v>
      </c>
      <c r="FG29" s="366">
        <v>204.64</v>
      </c>
      <c r="FH29" s="366">
        <v>204.64</v>
      </c>
      <c r="FI29" s="366">
        <v>229.39</v>
      </c>
      <c r="FJ29" s="366">
        <v>235.18</v>
      </c>
      <c r="FK29" s="366">
        <v>540.55999999999995</v>
      </c>
      <c r="FL29" s="366">
        <v>538.75</v>
      </c>
      <c r="FM29" s="366">
        <v>34.25</v>
      </c>
      <c r="FN29" s="366">
        <v>279.27</v>
      </c>
      <c r="FO29" s="366">
        <v>360.2</v>
      </c>
      <c r="FP29" s="366">
        <v>490.7</v>
      </c>
      <c r="FQ29" s="366">
        <v>364.07</v>
      </c>
      <c r="FR29" s="366">
        <v>421.64</v>
      </c>
      <c r="FS29" s="366">
        <v>249.8</v>
      </c>
      <c r="FT29" s="366">
        <v>200.96</v>
      </c>
      <c r="FU29" s="366">
        <v>273.94</v>
      </c>
      <c r="FV29" s="366">
        <v>436.68</v>
      </c>
      <c r="FW29" s="366">
        <v>436.68</v>
      </c>
      <c r="FX29" s="366">
        <v>436.68</v>
      </c>
      <c r="FY29" s="366">
        <v>354.65</v>
      </c>
      <c r="FZ29" s="366">
        <v>193.84</v>
      </c>
      <c r="GA29" s="366">
        <v>481.8</v>
      </c>
      <c r="GB29" s="366">
        <v>288.27</v>
      </c>
      <c r="GC29" s="366">
        <v>152.31</v>
      </c>
      <c r="GD29" s="366">
        <v>412.3</v>
      </c>
      <c r="GE29" s="366">
        <v>309.94</v>
      </c>
      <c r="GF29" s="366">
        <v>287.47000000000003</v>
      </c>
      <c r="GG29" s="366">
        <v>287.47000000000003</v>
      </c>
      <c r="GH29" s="366">
        <v>530.25</v>
      </c>
      <c r="GI29" s="366">
        <v>34.409999999999997</v>
      </c>
      <c r="GJ29" s="366">
        <v>34.25</v>
      </c>
      <c r="GK29" s="366">
        <v>537.11</v>
      </c>
      <c r="GL29" s="366">
        <v>180.81</v>
      </c>
      <c r="GM29" s="366">
        <v>180.81</v>
      </c>
      <c r="GN29" s="366">
        <v>180.81</v>
      </c>
      <c r="GO29" s="366">
        <v>42.14</v>
      </c>
      <c r="GP29" s="366">
        <v>487.21</v>
      </c>
      <c r="GQ29" s="366">
        <v>582.82000000000005</v>
      </c>
      <c r="GR29" s="366">
        <v>28.49</v>
      </c>
      <c r="GS29" s="366">
        <v>104.97</v>
      </c>
      <c r="GT29" s="366">
        <v>292.35000000000002</v>
      </c>
      <c r="GU29" s="366">
        <v>347.5</v>
      </c>
      <c r="GV29" s="366">
        <v>708.73</v>
      </c>
      <c r="GW29" s="366">
        <v>205.27</v>
      </c>
      <c r="GX29" s="366">
        <v>288.92</v>
      </c>
      <c r="GY29" s="366">
        <v>181.78</v>
      </c>
      <c r="GZ29" s="366">
        <v>313.26</v>
      </c>
      <c r="HA29" s="366">
        <v>365.61</v>
      </c>
      <c r="HB29" s="366">
        <v>365.61</v>
      </c>
      <c r="HC29" s="366">
        <v>365.61</v>
      </c>
      <c r="HD29" s="366">
        <v>124.59</v>
      </c>
      <c r="HE29" s="366">
        <v>402.19</v>
      </c>
      <c r="HF29" s="366">
        <v>358.48</v>
      </c>
      <c r="HG29" s="366">
        <v>486.13</v>
      </c>
      <c r="HH29" s="366">
        <v>486.13</v>
      </c>
      <c r="HI29" s="366">
        <v>486.13</v>
      </c>
      <c r="HJ29" s="366">
        <v>266.60000000000002</v>
      </c>
      <c r="HK29" s="366">
        <v>218.97</v>
      </c>
      <c r="HL29" s="366">
        <v>421.73</v>
      </c>
      <c r="HM29" s="366">
        <v>31.53</v>
      </c>
      <c r="HN29" s="366">
        <v>34.25</v>
      </c>
      <c r="HO29" s="366">
        <v>405.98</v>
      </c>
      <c r="HP29" s="366">
        <v>313.98</v>
      </c>
      <c r="HQ29" s="366">
        <v>436.68</v>
      </c>
      <c r="HR29" s="366">
        <v>257.99</v>
      </c>
      <c r="HS29" s="366">
        <v>30.5</v>
      </c>
      <c r="HT29" s="366">
        <v>134.19999999999999</v>
      </c>
      <c r="HU29" s="366">
        <v>160.88</v>
      </c>
      <c r="HV29" s="366">
        <v>185.35</v>
      </c>
    </row>
    <row r="30" spans="1:230">
      <c r="A30" s="366" t="s">
        <v>53</v>
      </c>
      <c r="B30" s="366">
        <v>372.78</v>
      </c>
      <c r="C30" s="366">
        <v>512.91999999999996</v>
      </c>
      <c r="D30" s="366">
        <v>397.21</v>
      </c>
      <c r="E30" s="366">
        <v>397.21</v>
      </c>
      <c r="F30" s="366">
        <v>436.68</v>
      </c>
      <c r="G30" s="366">
        <v>244.25</v>
      </c>
      <c r="H30" s="366">
        <v>353.59</v>
      </c>
      <c r="I30" s="366">
        <v>136.69999999999999</v>
      </c>
      <c r="J30" s="366">
        <v>329.81</v>
      </c>
      <c r="K30" s="366">
        <v>329.81</v>
      </c>
      <c r="L30" s="366">
        <v>404.3</v>
      </c>
      <c r="M30" s="366">
        <v>538.34</v>
      </c>
      <c r="N30" s="366">
        <v>635.24</v>
      </c>
      <c r="O30" s="366">
        <v>388.35</v>
      </c>
      <c r="P30" s="366">
        <v>388.35</v>
      </c>
      <c r="Q30" s="366">
        <v>388.35</v>
      </c>
      <c r="R30" s="366">
        <v>388.35</v>
      </c>
      <c r="S30" s="366">
        <v>388.35</v>
      </c>
      <c r="T30" s="366">
        <v>62.2</v>
      </c>
      <c r="U30" s="366">
        <v>352.29</v>
      </c>
      <c r="V30" s="366">
        <v>477.74</v>
      </c>
      <c r="W30" s="366">
        <v>248.52</v>
      </c>
      <c r="X30" s="366">
        <v>248.52</v>
      </c>
      <c r="Y30" s="366">
        <v>248.52</v>
      </c>
      <c r="Z30" s="366">
        <v>515.48</v>
      </c>
      <c r="AA30" s="366">
        <v>238.42</v>
      </c>
      <c r="AB30" s="366">
        <v>31.53</v>
      </c>
      <c r="AC30" s="366">
        <v>0</v>
      </c>
      <c r="AD30" s="366">
        <v>0</v>
      </c>
      <c r="AE30" s="366">
        <v>362.79</v>
      </c>
      <c r="AF30" s="366">
        <v>257.99</v>
      </c>
      <c r="AG30" s="366">
        <v>250.04</v>
      </c>
      <c r="AH30" s="366">
        <v>182.75</v>
      </c>
      <c r="AI30" s="366">
        <v>182.75</v>
      </c>
      <c r="AJ30" s="366">
        <v>182.75</v>
      </c>
      <c r="AK30" s="366">
        <v>537.67999999999995</v>
      </c>
      <c r="AL30" s="366">
        <v>537.67999999999995</v>
      </c>
      <c r="AM30" s="366">
        <v>34.25</v>
      </c>
      <c r="AN30" s="366">
        <v>347.52</v>
      </c>
      <c r="AO30" s="366">
        <v>251.37</v>
      </c>
      <c r="AP30" s="366">
        <v>81.319999999999993</v>
      </c>
      <c r="AQ30" s="366">
        <v>393.22</v>
      </c>
      <c r="AR30" s="366">
        <v>369.55</v>
      </c>
      <c r="AS30" s="366">
        <v>328.85</v>
      </c>
      <c r="AT30" s="366">
        <v>328.85</v>
      </c>
      <c r="AU30" s="366">
        <v>392.6</v>
      </c>
      <c r="AV30" s="366">
        <v>383.34</v>
      </c>
      <c r="AW30" s="366">
        <v>292.35000000000002</v>
      </c>
      <c r="AX30" s="366">
        <v>124.36</v>
      </c>
      <c r="AY30" s="366">
        <v>670.95</v>
      </c>
      <c r="AZ30" s="366">
        <v>481.54</v>
      </c>
      <c r="BA30" s="366">
        <v>213.6</v>
      </c>
      <c r="BB30" s="366">
        <v>673.84</v>
      </c>
      <c r="BC30" s="366">
        <v>155.66</v>
      </c>
      <c r="BD30" s="366">
        <v>65.430000000000007</v>
      </c>
      <c r="BE30" s="366">
        <v>481.8</v>
      </c>
      <c r="BF30" s="366">
        <v>28.5</v>
      </c>
      <c r="BG30" s="366">
        <v>523.03</v>
      </c>
      <c r="BH30" s="366">
        <v>388.35</v>
      </c>
      <c r="BI30" s="366">
        <v>369.58</v>
      </c>
      <c r="BJ30" s="366">
        <v>461.15</v>
      </c>
      <c r="BK30" s="366">
        <v>549.32000000000005</v>
      </c>
      <c r="BL30" s="366">
        <v>404.21</v>
      </c>
      <c r="BM30" s="366">
        <v>381</v>
      </c>
      <c r="BN30" s="366">
        <v>278.61</v>
      </c>
      <c r="BO30" s="366">
        <v>591.52</v>
      </c>
      <c r="BP30" s="366">
        <v>557.38</v>
      </c>
      <c r="BQ30" s="366">
        <v>157.4</v>
      </c>
      <c r="BR30" s="366">
        <v>157.4</v>
      </c>
      <c r="BS30" s="366">
        <v>489.11</v>
      </c>
      <c r="BT30" s="366">
        <v>361.5</v>
      </c>
      <c r="BU30" s="366">
        <v>21.96</v>
      </c>
      <c r="BV30" s="366">
        <v>31.65</v>
      </c>
      <c r="BW30" s="366">
        <v>451.89</v>
      </c>
      <c r="BX30" s="366">
        <v>430.2</v>
      </c>
      <c r="BY30" s="366">
        <v>505.22</v>
      </c>
      <c r="BZ30" s="366">
        <v>505.22</v>
      </c>
      <c r="CA30" s="366">
        <v>253.55</v>
      </c>
      <c r="CB30" s="366">
        <v>448.63</v>
      </c>
      <c r="CC30" s="366">
        <v>153.19</v>
      </c>
      <c r="CD30" s="366">
        <v>166.67</v>
      </c>
      <c r="CE30" s="366">
        <v>532.54999999999995</v>
      </c>
      <c r="CF30" s="366">
        <v>256.72000000000003</v>
      </c>
      <c r="CG30" s="366">
        <v>256.72000000000003</v>
      </c>
      <c r="CH30" s="366">
        <v>142.4</v>
      </c>
      <c r="CI30" s="366">
        <v>261.55</v>
      </c>
      <c r="CJ30" s="366">
        <v>267.67</v>
      </c>
      <c r="CK30" s="366">
        <v>510.31</v>
      </c>
      <c r="CL30" s="366">
        <v>406.39</v>
      </c>
      <c r="CM30" s="366">
        <v>101.94</v>
      </c>
      <c r="CN30" s="366">
        <v>410.52</v>
      </c>
      <c r="CO30" s="366">
        <v>368.16</v>
      </c>
      <c r="CP30" s="366">
        <v>164.09</v>
      </c>
      <c r="CQ30" s="366">
        <v>164.09</v>
      </c>
      <c r="CR30" s="366">
        <v>319.48</v>
      </c>
      <c r="CS30" s="366">
        <v>319.48</v>
      </c>
      <c r="CT30" s="366">
        <v>310.04000000000002</v>
      </c>
      <c r="CU30" s="366">
        <v>317.91000000000003</v>
      </c>
      <c r="CV30" s="366">
        <v>311.86</v>
      </c>
      <c r="CW30" s="366">
        <v>477.74</v>
      </c>
      <c r="CX30" s="366">
        <v>140.9</v>
      </c>
      <c r="CY30" s="366">
        <v>148.36000000000001</v>
      </c>
      <c r="CZ30" s="366">
        <v>169.6</v>
      </c>
      <c r="DA30" s="366">
        <v>573.29</v>
      </c>
      <c r="DB30" s="366">
        <v>457.13</v>
      </c>
      <c r="DC30" s="366">
        <v>457.13</v>
      </c>
      <c r="DD30" s="366">
        <v>171.86</v>
      </c>
      <c r="DE30" s="366">
        <v>650.91999999999996</v>
      </c>
      <c r="DF30" s="366">
        <v>421.14</v>
      </c>
      <c r="DG30" s="366">
        <v>231.9</v>
      </c>
      <c r="DH30" s="366">
        <v>713.48</v>
      </c>
      <c r="DI30" s="366">
        <v>122.54</v>
      </c>
      <c r="DJ30" s="366">
        <v>185.8</v>
      </c>
      <c r="DK30" s="366">
        <v>392.62</v>
      </c>
      <c r="DL30" s="366">
        <v>17.63</v>
      </c>
      <c r="DM30" s="366">
        <v>500.5</v>
      </c>
      <c r="DN30" s="366">
        <v>137.30000000000001</v>
      </c>
      <c r="DO30" s="366">
        <v>419.19</v>
      </c>
      <c r="DP30" s="366">
        <v>197.37</v>
      </c>
      <c r="DQ30" s="366">
        <v>463.23</v>
      </c>
      <c r="DR30" s="366">
        <v>713.48</v>
      </c>
      <c r="DS30" s="366">
        <v>369.06</v>
      </c>
      <c r="DT30" s="366">
        <v>357.35</v>
      </c>
      <c r="DU30" s="366">
        <v>603.63</v>
      </c>
      <c r="DV30" s="366">
        <v>541.32000000000005</v>
      </c>
      <c r="DW30" s="366">
        <v>345.27</v>
      </c>
      <c r="DX30" s="366">
        <v>438.21</v>
      </c>
      <c r="DY30" s="366">
        <v>511.6</v>
      </c>
      <c r="DZ30" s="366">
        <v>160.88</v>
      </c>
      <c r="EA30" s="366">
        <v>351.83</v>
      </c>
      <c r="EB30" s="366">
        <v>505.6</v>
      </c>
      <c r="EC30" s="366">
        <v>371.77</v>
      </c>
      <c r="ED30" s="366">
        <v>152.31</v>
      </c>
      <c r="EE30" s="366">
        <v>163.1</v>
      </c>
      <c r="EF30" s="366">
        <v>87.6</v>
      </c>
      <c r="EG30" s="366">
        <v>292.35000000000002</v>
      </c>
      <c r="EH30" s="366">
        <v>292.35000000000002</v>
      </c>
      <c r="EI30" s="366">
        <v>167.14</v>
      </c>
      <c r="EJ30" s="366">
        <v>701.54</v>
      </c>
      <c r="EK30" s="366">
        <v>314.23</v>
      </c>
      <c r="EL30" s="366">
        <v>314.23</v>
      </c>
      <c r="EM30" s="366">
        <v>408.34</v>
      </c>
      <c r="EN30" s="366">
        <v>408.34</v>
      </c>
      <c r="EO30" s="366">
        <v>34.25</v>
      </c>
      <c r="EP30" s="366">
        <v>85.14</v>
      </c>
      <c r="EQ30" s="366">
        <v>300.55</v>
      </c>
      <c r="ER30" s="366">
        <v>322.33</v>
      </c>
      <c r="ES30" s="366">
        <v>512.82000000000005</v>
      </c>
      <c r="ET30" s="366">
        <v>139.43</v>
      </c>
      <c r="EU30" s="366">
        <v>372.78</v>
      </c>
      <c r="EV30" s="366">
        <v>248.52</v>
      </c>
      <c r="EW30" s="366">
        <v>166.52</v>
      </c>
      <c r="EX30" s="366">
        <v>489.56</v>
      </c>
      <c r="EY30" s="366">
        <v>489.56</v>
      </c>
      <c r="EZ30" s="366">
        <v>452.88</v>
      </c>
      <c r="FA30" s="366">
        <v>405.51</v>
      </c>
      <c r="FB30" s="366">
        <v>376.92</v>
      </c>
      <c r="FC30" s="366">
        <v>458.35</v>
      </c>
      <c r="FD30" s="366">
        <v>313.54000000000002</v>
      </c>
      <c r="FE30" s="366">
        <v>170.97</v>
      </c>
      <c r="FF30" s="366">
        <v>249.09</v>
      </c>
      <c r="FG30" s="366">
        <v>204.64</v>
      </c>
      <c r="FH30" s="366">
        <v>204.64</v>
      </c>
      <c r="FI30" s="366">
        <v>229.39</v>
      </c>
      <c r="FJ30" s="366">
        <v>235.18</v>
      </c>
      <c r="FK30" s="366">
        <v>540.55999999999995</v>
      </c>
      <c r="FL30" s="366">
        <v>538.75</v>
      </c>
      <c r="FM30" s="366">
        <v>34.25</v>
      </c>
      <c r="FN30" s="366">
        <v>279.27</v>
      </c>
      <c r="FO30" s="366">
        <v>360.2</v>
      </c>
      <c r="FP30" s="366">
        <v>490.7</v>
      </c>
      <c r="FQ30" s="366">
        <v>364.07</v>
      </c>
      <c r="FR30" s="366">
        <v>421.64</v>
      </c>
      <c r="FS30" s="366">
        <v>249.8</v>
      </c>
      <c r="FT30" s="366">
        <v>200.96</v>
      </c>
      <c r="FU30" s="366">
        <v>273.94</v>
      </c>
      <c r="FV30" s="366">
        <v>436.68</v>
      </c>
      <c r="FW30" s="366">
        <v>436.68</v>
      </c>
      <c r="FX30" s="366">
        <v>436.68</v>
      </c>
      <c r="FY30" s="366">
        <v>354.65</v>
      </c>
      <c r="FZ30" s="366">
        <v>193.84</v>
      </c>
      <c r="GA30" s="366">
        <v>481.8</v>
      </c>
      <c r="GB30" s="366">
        <v>288.27</v>
      </c>
      <c r="GC30" s="366">
        <v>152.31</v>
      </c>
      <c r="GD30" s="366">
        <v>412.3</v>
      </c>
      <c r="GE30" s="366">
        <v>309.94</v>
      </c>
      <c r="GF30" s="366">
        <v>287.47000000000003</v>
      </c>
      <c r="GG30" s="366">
        <v>287.47000000000003</v>
      </c>
      <c r="GH30" s="366">
        <v>530.25</v>
      </c>
      <c r="GI30" s="366">
        <v>34.409999999999997</v>
      </c>
      <c r="GJ30" s="366">
        <v>34.25</v>
      </c>
      <c r="GK30" s="366">
        <v>537.11</v>
      </c>
      <c r="GL30" s="366">
        <v>180.81</v>
      </c>
      <c r="GM30" s="366">
        <v>180.81</v>
      </c>
      <c r="GN30" s="366">
        <v>180.81</v>
      </c>
      <c r="GO30" s="366">
        <v>42.14</v>
      </c>
      <c r="GP30" s="366">
        <v>487.21</v>
      </c>
      <c r="GQ30" s="366">
        <v>582.82000000000005</v>
      </c>
      <c r="GR30" s="366">
        <v>28.49</v>
      </c>
      <c r="GS30" s="366">
        <v>104.97</v>
      </c>
      <c r="GT30" s="366">
        <v>292.35000000000002</v>
      </c>
      <c r="GU30" s="366">
        <v>347.5</v>
      </c>
      <c r="GV30" s="366">
        <v>708.73</v>
      </c>
      <c r="GW30" s="366">
        <v>205.27</v>
      </c>
      <c r="GX30" s="366">
        <v>288.92</v>
      </c>
      <c r="GY30" s="366">
        <v>181.78</v>
      </c>
      <c r="GZ30" s="366">
        <v>313.26</v>
      </c>
      <c r="HA30" s="366">
        <v>365.61</v>
      </c>
      <c r="HB30" s="366">
        <v>365.61</v>
      </c>
      <c r="HC30" s="366">
        <v>365.61</v>
      </c>
      <c r="HD30" s="366">
        <v>124.59</v>
      </c>
      <c r="HE30" s="366">
        <v>402.19</v>
      </c>
      <c r="HF30" s="366">
        <v>358.48</v>
      </c>
      <c r="HG30" s="366">
        <v>486.13</v>
      </c>
      <c r="HH30" s="366">
        <v>486.13</v>
      </c>
      <c r="HI30" s="366">
        <v>486.13</v>
      </c>
      <c r="HJ30" s="366">
        <v>266.60000000000002</v>
      </c>
      <c r="HK30" s="366">
        <v>218.97</v>
      </c>
      <c r="HL30" s="366">
        <v>421.73</v>
      </c>
      <c r="HM30" s="366">
        <v>31.53</v>
      </c>
      <c r="HN30" s="366">
        <v>34.25</v>
      </c>
      <c r="HO30" s="366">
        <v>405.98</v>
      </c>
      <c r="HP30" s="366">
        <v>313.98</v>
      </c>
      <c r="HQ30" s="366">
        <v>436.68</v>
      </c>
      <c r="HR30" s="366">
        <v>257.99</v>
      </c>
      <c r="HS30" s="366">
        <v>30.5</v>
      </c>
      <c r="HT30" s="366">
        <v>134.19999999999999</v>
      </c>
      <c r="HU30" s="366">
        <v>160.88</v>
      </c>
      <c r="HV30" s="366">
        <v>185.35</v>
      </c>
    </row>
    <row r="31" spans="1:230">
      <c r="A31" s="366" t="s">
        <v>54</v>
      </c>
      <c r="B31" s="366">
        <v>721.3</v>
      </c>
      <c r="C31" s="366">
        <v>246.99</v>
      </c>
      <c r="D31" s="366">
        <v>50.9</v>
      </c>
      <c r="E31" s="366">
        <v>50.9</v>
      </c>
      <c r="F31" s="366">
        <v>785.2</v>
      </c>
      <c r="G31" s="366">
        <v>521.71</v>
      </c>
      <c r="H31" s="366">
        <v>94.52</v>
      </c>
      <c r="I31" s="366">
        <v>226.09</v>
      </c>
      <c r="J31" s="366">
        <v>118.3</v>
      </c>
      <c r="K31" s="366">
        <v>118.3</v>
      </c>
      <c r="L31" s="366">
        <v>68.81</v>
      </c>
      <c r="M31" s="366">
        <v>272.41000000000003</v>
      </c>
      <c r="N31" s="366">
        <v>369.31</v>
      </c>
      <c r="O31" s="366">
        <v>190.92</v>
      </c>
      <c r="P31" s="366">
        <v>190.92</v>
      </c>
      <c r="Q31" s="366">
        <v>190.92</v>
      </c>
      <c r="R31" s="366">
        <v>190.92</v>
      </c>
      <c r="S31" s="366">
        <v>190.92</v>
      </c>
      <c r="T31" s="366">
        <v>300.58999999999997</v>
      </c>
      <c r="U31" s="366">
        <v>629.75</v>
      </c>
      <c r="V31" s="366">
        <v>245.85</v>
      </c>
      <c r="W31" s="366">
        <v>331.89</v>
      </c>
      <c r="X31" s="366">
        <v>331.89</v>
      </c>
      <c r="Y31" s="366">
        <v>331.89</v>
      </c>
      <c r="Z31" s="366">
        <v>283.58999999999997</v>
      </c>
      <c r="AA31" s="366">
        <v>515.88</v>
      </c>
      <c r="AB31" s="366">
        <v>360.33</v>
      </c>
      <c r="AC31" s="366">
        <v>362.79</v>
      </c>
      <c r="AD31" s="366">
        <v>362.79</v>
      </c>
      <c r="AE31" s="366">
        <v>0</v>
      </c>
      <c r="AF31" s="366">
        <v>535.45000000000005</v>
      </c>
      <c r="AG31" s="366">
        <v>333.41</v>
      </c>
      <c r="AH31" s="366">
        <v>180.04</v>
      </c>
      <c r="AI31" s="366">
        <v>180.04</v>
      </c>
      <c r="AJ31" s="366">
        <v>180.04</v>
      </c>
      <c r="AK31" s="366">
        <v>305.79000000000002</v>
      </c>
      <c r="AL31" s="366">
        <v>305.79000000000002</v>
      </c>
      <c r="AM31" s="366">
        <v>363.05</v>
      </c>
      <c r="AN31" s="366">
        <v>150.09</v>
      </c>
      <c r="AO31" s="366">
        <v>538.32000000000005</v>
      </c>
      <c r="AP31" s="366">
        <v>289.31</v>
      </c>
      <c r="AQ31" s="366">
        <v>741.74</v>
      </c>
      <c r="AR31" s="366">
        <v>181.07</v>
      </c>
      <c r="AS31" s="366">
        <v>96.96</v>
      </c>
      <c r="AT31" s="366">
        <v>96.96</v>
      </c>
      <c r="AU31" s="366">
        <v>160.71</v>
      </c>
      <c r="AV31" s="366">
        <v>660.8</v>
      </c>
      <c r="AW31" s="366">
        <v>162.62</v>
      </c>
      <c r="AX31" s="366">
        <v>246.69</v>
      </c>
      <c r="AY31" s="366">
        <v>405.02</v>
      </c>
      <c r="AZ31" s="366">
        <v>215.61</v>
      </c>
      <c r="BA31" s="366">
        <v>576.39</v>
      </c>
      <c r="BB31" s="366">
        <v>407.91</v>
      </c>
      <c r="BC31" s="366">
        <v>518.45000000000005</v>
      </c>
      <c r="BD31" s="366">
        <v>428.22</v>
      </c>
      <c r="BE31" s="366">
        <v>249.91</v>
      </c>
      <c r="BF31" s="366">
        <v>357.3</v>
      </c>
      <c r="BG31" s="366">
        <v>291.14</v>
      </c>
      <c r="BH31" s="366">
        <v>190.92</v>
      </c>
      <c r="BI31" s="366">
        <v>181.1</v>
      </c>
      <c r="BJ31" s="366">
        <v>229.26</v>
      </c>
      <c r="BK31" s="366">
        <v>283.39</v>
      </c>
      <c r="BL31" s="366">
        <v>43.9</v>
      </c>
      <c r="BM31" s="366">
        <v>67.11</v>
      </c>
      <c r="BN31" s="366">
        <v>556.07000000000005</v>
      </c>
      <c r="BO31" s="366">
        <v>325.58999999999997</v>
      </c>
      <c r="BP31" s="366">
        <v>291.45</v>
      </c>
      <c r="BQ31" s="366">
        <v>205.39</v>
      </c>
      <c r="BR31" s="366">
        <v>205.39</v>
      </c>
      <c r="BS31" s="366">
        <v>223.18</v>
      </c>
      <c r="BT31" s="366">
        <v>165.53</v>
      </c>
      <c r="BU31" s="366">
        <v>340.83</v>
      </c>
      <c r="BV31" s="366">
        <v>360.45</v>
      </c>
      <c r="BW31" s="366">
        <v>220</v>
      </c>
      <c r="BX31" s="366">
        <v>164.27</v>
      </c>
      <c r="BY31" s="366">
        <v>273.33</v>
      </c>
      <c r="BZ31" s="366">
        <v>273.33</v>
      </c>
      <c r="CA31" s="366">
        <v>194.56</v>
      </c>
      <c r="CB31" s="366">
        <v>182.7</v>
      </c>
      <c r="CC31" s="366">
        <v>217.86</v>
      </c>
      <c r="CD31" s="366">
        <v>220.26</v>
      </c>
      <c r="CE31" s="366">
        <v>266.62</v>
      </c>
      <c r="CF31" s="366">
        <v>534.17999999999995</v>
      </c>
      <c r="CG31" s="366">
        <v>534.17999999999995</v>
      </c>
      <c r="CH31" s="366">
        <v>220.39</v>
      </c>
      <c r="CI31" s="366">
        <v>133.88</v>
      </c>
      <c r="CJ31" s="366">
        <v>545.13</v>
      </c>
      <c r="CK31" s="366">
        <v>278.42</v>
      </c>
      <c r="CL31" s="366">
        <v>174.5</v>
      </c>
      <c r="CM31" s="366">
        <v>464.73</v>
      </c>
      <c r="CN31" s="366">
        <v>178.63</v>
      </c>
      <c r="CO31" s="366">
        <v>179.68</v>
      </c>
      <c r="CP31" s="366">
        <v>198.7</v>
      </c>
      <c r="CQ31" s="366">
        <v>198.7</v>
      </c>
      <c r="CR31" s="366">
        <v>132.08000000000001</v>
      </c>
      <c r="CS31" s="366">
        <v>132.08000000000001</v>
      </c>
      <c r="CT31" s="366">
        <v>141.52000000000001</v>
      </c>
      <c r="CU31" s="366">
        <v>133.65</v>
      </c>
      <c r="CV31" s="366">
        <v>136.25</v>
      </c>
      <c r="CW31" s="366">
        <v>245.85</v>
      </c>
      <c r="CX31" s="366">
        <v>236.93</v>
      </c>
      <c r="CY31" s="366">
        <v>511.15</v>
      </c>
      <c r="CZ31" s="366">
        <v>532.39</v>
      </c>
      <c r="DA31" s="366">
        <v>307.36</v>
      </c>
      <c r="DB31" s="366">
        <v>225.24</v>
      </c>
      <c r="DC31" s="366">
        <v>225.24</v>
      </c>
      <c r="DD31" s="366">
        <v>319.05</v>
      </c>
      <c r="DE31" s="366">
        <v>384.99</v>
      </c>
      <c r="DF31" s="366">
        <v>769.66</v>
      </c>
      <c r="DG31" s="366">
        <v>163.53</v>
      </c>
      <c r="DH31" s="366">
        <v>447.55</v>
      </c>
      <c r="DI31" s="366">
        <v>400</v>
      </c>
      <c r="DJ31" s="366">
        <v>548.59</v>
      </c>
      <c r="DK31" s="366">
        <v>126.69</v>
      </c>
      <c r="DL31" s="366">
        <v>346.83</v>
      </c>
      <c r="DM31" s="366">
        <v>234.57</v>
      </c>
      <c r="DN31" s="366">
        <v>414.76</v>
      </c>
      <c r="DO31" s="366">
        <v>153.26</v>
      </c>
      <c r="DP31" s="366">
        <v>280.74</v>
      </c>
      <c r="DQ31" s="366">
        <v>231.34</v>
      </c>
      <c r="DR31" s="366">
        <v>447.55</v>
      </c>
      <c r="DS31" s="366">
        <v>157.55000000000001</v>
      </c>
      <c r="DT31" s="366">
        <v>145.84</v>
      </c>
      <c r="DU31" s="366">
        <v>337.7</v>
      </c>
      <c r="DV31" s="366">
        <v>309.43</v>
      </c>
      <c r="DW31" s="366">
        <v>113.38</v>
      </c>
      <c r="DX31" s="366">
        <v>206.32</v>
      </c>
      <c r="DY31" s="366">
        <v>279.70999999999998</v>
      </c>
      <c r="DZ31" s="366">
        <v>328.72</v>
      </c>
      <c r="EA31" s="366">
        <v>163.35</v>
      </c>
      <c r="EB31" s="366">
        <v>273.70999999999998</v>
      </c>
      <c r="EC31" s="366">
        <v>76.34</v>
      </c>
      <c r="ED31" s="366">
        <v>429.77</v>
      </c>
      <c r="EE31" s="366">
        <v>440.56</v>
      </c>
      <c r="EF31" s="366">
        <v>283.02999999999997</v>
      </c>
      <c r="EG31" s="366">
        <v>162.62</v>
      </c>
      <c r="EH31" s="366">
        <v>162.62</v>
      </c>
      <c r="EI31" s="366">
        <v>203.91</v>
      </c>
      <c r="EJ31" s="366">
        <v>435.61</v>
      </c>
      <c r="EK31" s="366">
        <v>82.34</v>
      </c>
      <c r="EL31" s="366">
        <v>82.34</v>
      </c>
      <c r="EM31" s="366">
        <v>176.45</v>
      </c>
      <c r="EN31" s="366">
        <v>176.45</v>
      </c>
      <c r="EO31" s="366">
        <v>363.05</v>
      </c>
      <c r="EP31" s="366">
        <v>285.91000000000003</v>
      </c>
      <c r="EQ31" s="366">
        <v>151.01</v>
      </c>
      <c r="ER31" s="366">
        <v>599.79</v>
      </c>
      <c r="ES31" s="366">
        <v>246.89</v>
      </c>
      <c r="ET31" s="366">
        <v>223.36</v>
      </c>
      <c r="EU31" s="366">
        <v>721.3</v>
      </c>
      <c r="EV31" s="366">
        <v>331.89</v>
      </c>
      <c r="EW31" s="366">
        <v>204.83</v>
      </c>
      <c r="EX31" s="366">
        <v>223.63</v>
      </c>
      <c r="EY31" s="366">
        <v>223.63</v>
      </c>
      <c r="EZ31" s="366">
        <v>228.26</v>
      </c>
      <c r="FA31" s="366">
        <v>173.62</v>
      </c>
      <c r="FB31" s="366">
        <v>110.99</v>
      </c>
      <c r="FC31" s="366">
        <v>226.46</v>
      </c>
      <c r="FD31" s="366">
        <v>116.11</v>
      </c>
      <c r="FE31" s="366">
        <v>207.74</v>
      </c>
      <c r="FF31" s="366">
        <v>182.92</v>
      </c>
      <c r="FG31" s="366">
        <v>567.42999999999995</v>
      </c>
      <c r="FH31" s="366">
        <v>567.42999999999995</v>
      </c>
      <c r="FI31" s="366">
        <v>312.76</v>
      </c>
      <c r="FJ31" s="366">
        <v>318.55</v>
      </c>
      <c r="FK31" s="366">
        <v>274.63</v>
      </c>
      <c r="FL31" s="366">
        <v>272.82</v>
      </c>
      <c r="FM31" s="366">
        <v>363.05</v>
      </c>
      <c r="FN31" s="366">
        <v>362.64</v>
      </c>
      <c r="FO31" s="366">
        <v>171.72</v>
      </c>
      <c r="FP31" s="366">
        <v>258.81</v>
      </c>
      <c r="FQ31" s="366">
        <v>175.59</v>
      </c>
      <c r="FR31" s="366">
        <v>86.15</v>
      </c>
      <c r="FS31" s="366">
        <v>112.99</v>
      </c>
      <c r="FT31" s="366">
        <v>563.75</v>
      </c>
      <c r="FU31" s="366">
        <v>121.49</v>
      </c>
      <c r="FV31" s="366">
        <v>785.2</v>
      </c>
      <c r="FW31" s="366">
        <v>785.2</v>
      </c>
      <c r="FX31" s="366">
        <v>785.2</v>
      </c>
      <c r="FY31" s="366">
        <v>122.76</v>
      </c>
      <c r="FZ31" s="366">
        <v>197.65</v>
      </c>
      <c r="GA31" s="366">
        <v>249.91</v>
      </c>
      <c r="GB31" s="366">
        <v>151.46</v>
      </c>
      <c r="GC31" s="366">
        <v>429.77</v>
      </c>
      <c r="GD31" s="366">
        <v>146.37</v>
      </c>
      <c r="GE31" s="366">
        <v>141.62</v>
      </c>
      <c r="GF31" s="366">
        <v>107.96</v>
      </c>
      <c r="GG31" s="366">
        <v>107.96</v>
      </c>
      <c r="GH31" s="366">
        <v>298.36</v>
      </c>
      <c r="GI31" s="366">
        <v>363.21</v>
      </c>
      <c r="GJ31" s="366">
        <v>363.05</v>
      </c>
      <c r="GK31" s="366">
        <v>271.18</v>
      </c>
      <c r="GL31" s="366">
        <v>190.24</v>
      </c>
      <c r="GM31" s="366">
        <v>190.24</v>
      </c>
      <c r="GN31" s="366">
        <v>190.24</v>
      </c>
      <c r="GO31" s="366">
        <v>328.49</v>
      </c>
      <c r="GP31" s="366">
        <v>255.32</v>
      </c>
      <c r="GQ31" s="366">
        <v>316.89</v>
      </c>
      <c r="GR31" s="366">
        <v>391.28</v>
      </c>
      <c r="GS31" s="366">
        <v>257.82</v>
      </c>
      <c r="GT31" s="366">
        <v>162.62</v>
      </c>
      <c r="GU31" s="366">
        <v>18.170000000000002</v>
      </c>
      <c r="GV31" s="366">
        <v>442.8</v>
      </c>
      <c r="GW31" s="366">
        <v>166.22</v>
      </c>
      <c r="GX31" s="366">
        <v>159.19</v>
      </c>
      <c r="GY31" s="366">
        <v>181.01</v>
      </c>
      <c r="GZ31" s="366">
        <v>115.83</v>
      </c>
      <c r="HA31" s="366">
        <v>177.13</v>
      </c>
      <c r="HB31" s="366">
        <v>177.13</v>
      </c>
      <c r="HC31" s="366">
        <v>177.13</v>
      </c>
      <c r="HD31" s="366">
        <v>365.01</v>
      </c>
      <c r="HE31" s="366">
        <v>170.3</v>
      </c>
      <c r="HF31" s="366">
        <v>126.59</v>
      </c>
      <c r="HG31" s="366">
        <v>254.24</v>
      </c>
      <c r="HH31" s="366">
        <v>254.24</v>
      </c>
      <c r="HI31" s="366">
        <v>254.24</v>
      </c>
      <c r="HJ31" s="366">
        <v>128.83000000000001</v>
      </c>
      <c r="HK31" s="366">
        <v>235.11</v>
      </c>
      <c r="HL31" s="366">
        <v>224.3</v>
      </c>
      <c r="HM31" s="366">
        <v>360.33</v>
      </c>
      <c r="HN31" s="366">
        <v>363.05</v>
      </c>
      <c r="HO31" s="366">
        <v>689.46</v>
      </c>
      <c r="HP31" s="366">
        <v>116.55</v>
      </c>
      <c r="HQ31" s="366">
        <v>785.2</v>
      </c>
      <c r="HR31" s="366">
        <v>535.45000000000005</v>
      </c>
      <c r="HS31" s="366">
        <v>359.3</v>
      </c>
      <c r="HT31" s="366">
        <v>241.62</v>
      </c>
      <c r="HU31" s="366">
        <v>208.87</v>
      </c>
      <c r="HV31" s="366">
        <v>227.19</v>
      </c>
    </row>
    <row r="32" spans="1:230">
      <c r="A32" s="366" t="s">
        <v>55</v>
      </c>
      <c r="B32" s="366">
        <v>185.85</v>
      </c>
      <c r="C32" s="366">
        <v>680.64</v>
      </c>
      <c r="D32" s="366">
        <v>484.55</v>
      </c>
      <c r="E32" s="366">
        <v>484.55</v>
      </c>
      <c r="F32" s="366">
        <v>249.75</v>
      </c>
      <c r="G32" s="366">
        <v>25.4</v>
      </c>
      <c r="H32" s="366">
        <v>440.93</v>
      </c>
      <c r="I32" s="366">
        <v>394.69</v>
      </c>
      <c r="J32" s="366">
        <v>417.15</v>
      </c>
      <c r="K32" s="366">
        <v>417.15</v>
      </c>
      <c r="L32" s="366">
        <v>502.46</v>
      </c>
      <c r="M32" s="366">
        <v>706.06</v>
      </c>
      <c r="N32" s="366">
        <v>802.96</v>
      </c>
      <c r="O32" s="366">
        <v>646.34</v>
      </c>
      <c r="P32" s="366">
        <v>646.34</v>
      </c>
      <c r="Q32" s="366">
        <v>646.34</v>
      </c>
      <c r="R32" s="366">
        <v>646.34</v>
      </c>
      <c r="S32" s="366">
        <v>646.34</v>
      </c>
      <c r="T32" s="366">
        <v>320.19</v>
      </c>
      <c r="U32" s="366">
        <v>94.3</v>
      </c>
      <c r="V32" s="366">
        <v>735.73</v>
      </c>
      <c r="W32" s="366">
        <v>305.86</v>
      </c>
      <c r="X32" s="366">
        <v>305.86</v>
      </c>
      <c r="Y32" s="366">
        <v>305.86</v>
      </c>
      <c r="Z32" s="366">
        <v>773.47</v>
      </c>
      <c r="AA32" s="366">
        <v>19.57</v>
      </c>
      <c r="AB32" s="366">
        <v>289.52</v>
      </c>
      <c r="AC32" s="366">
        <v>257.99</v>
      </c>
      <c r="AD32" s="366">
        <v>257.99</v>
      </c>
      <c r="AE32" s="366">
        <v>535.45000000000005</v>
      </c>
      <c r="AF32" s="366">
        <v>0</v>
      </c>
      <c r="AG32" s="366">
        <v>337.38</v>
      </c>
      <c r="AH32" s="366">
        <v>440.74</v>
      </c>
      <c r="AI32" s="366">
        <v>440.74</v>
      </c>
      <c r="AJ32" s="366">
        <v>440.74</v>
      </c>
      <c r="AK32" s="366">
        <v>795.67</v>
      </c>
      <c r="AL32" s="366">
        <v>795.67</v>
      </c>
      <c r="AM32" s="366">
        <v>292.24</v>
      </c>
      <c r="AN32" s="366">
        <v>605.51</v>
      </c>
      <c r="AO32" s="366">
        <v>42.01</v>
      </c>
      <c r="AP32" s="366">
        <v>339.31</v>
      </c>
      <c r="AQ32" s="366">
        <v>206.29</v>
      </c>
      <c r="AR32" s="366">
        <v>456.89</v>
      </c>
      <c r="AS32" s="366">
        <v>577.91</v>
      </c>
      <c r="AT32" s="366">
        <v>577.91</v>
      </c>
      <c r="AU32" s="366">
        <v>650.59</v>
      </c>
      <c r="AV32" s="366">
        <v>125.35</v>
      </c>
      <c r="AW32" s="366">
        <v>379.69</v>
      </c>
      <c r="AX32" s="366">
        <v>382.35</v>
      </c>
      <c r="AY32" s="366">
        <v>838.67</v>
      </c>
      <c r="AZ32" s="366">
        <v>649.26</v>
      </c>
      <c r="BA32" s="366">
        <v>218.62</v>
      </c>
      <c r="BB32" s="366">
        <v>841.56</v>
      </c>
      <c r="BC32" s="366">
        <v>137.72</v>
      </c>
      <c r="BD32" s="366">
        <v>227.95</v>
      </c>
      <c r="BE32" s="366">
        <v>739.79</v>
      </c>
      <c r="BF32" s="366">
        <v>286.49</v>
      </c>
      <c r="BG32" s="366">
        <v>781.02</v>
      </c>
      <c r="BH32" s="366">
        <v>646.34</v>
      </c>
      <c r="BI32" s="366">
        <v>456.92</v>
      </c>
      <c r="BJ32" s="366">
        <v>719.14</v>
      </c>
      <c r="BK32" s="366">
        <v>717.04</v>
      </c>
      <c r="BL32" s="366">
        <v>491.55</v>
      </c>
      <c r="BM32" s="366">
        <v>468.34</v>
      </c>
      <c r="BN32" s="366">
        <v>20.62</v>
      </c>
      <c r="BO32" s="366">
        <v>759.24</v>
      </c>
      <c r="BP32" s="366">
        <v>725.1</v>
      </c>
      <c r="BQ32" s="366">
        <v>415.39</v>
      </c>
      <c r="BR32" s="366">
        <v>415.39</v>
      </c>
      <c r="BS32" s="366">
        <v>656.83</v>
      </c>
      <c r="BT32" s="366">
        <v>448.84</v>
      </c>
      <c r="BU32" s="366">
        <v>279.95</v>
      </c>
      <c r="BV32" s="366">
        <v>289.64</v>
      </c>
      <c r="BW32" s="366">
        <v>709.88</v>
      </c>
      <c r="BX32" s="366">
        <v>597.91999999999996</v>
      </c>
      <c r="BY32" s="366">
        <v>763.21</v>
      </c>
      <c r="BZ32" s="366">
        <v>763.21</v>
      </c>
      <c r="CA32" s="366">
        <v>340.89</v>
      </c>
      <c r="CB32" s="366">
        <v>616.35</v>
      </c>
      <c r="CC32" s="366">
        <v>411.18</v>
      </c>
      <c r="CD32" s="366">
        <v>424.66</v>
      </c>
      <c r="CE32" s="366">
        <v>700.27</v>
      </c>
      <c r="CF32" s="366">
        <v>37.869999999999997</v>
      </c>
      <c r="CG32" s="366">
        <v>37.869999999999997</v>
      </c>
      <c r="CH32" s="366">
        <v>400.39</v>
      </c>
      <c r="CI32" s="366">
        <v>519.54</v>
      </c>
      <c r="CJ32" s="366">
        <v>9.68</v>
      </c>
      <c r="CK32" s="366">
        <v>768.3</v>
      </c>
      <c r="CL32" s="366">
        <v>664.38</v>
      </c>
      <c r="CM32" s="366">
        <v>191.44</v>
      </c>
      <c r="CN32" s="366">
        <v>668.51</v>
      </c>
      <c r="CO32" s="366">
        <v>455.5</v>
      </c>
      <c r="CP32" s="366">
        <v>422.08</v>
      </c>
      <c r="CQ32" s="366">
        <v>422.08</v>
      </c>
      <c r="CR32" s="366">
        <v>406.82</v>
      </c>
      <c r="CS32" s="366">
        <v>406.82</v>
      </c>
      <c r="CT32" s="366">
        <v>397.38</v>
      </c>
      <c r="CU32" s="366">
        <v>405.25</v>
      </c>
      <c r="CV32" s="366">
        <v>399.2</v>
      </c>
      <c r="CW32" s="366">
        <v>735.73</v>
      </c>
      <c r="CX32" s="366">
        <v>398.89</v>
      </c>
      <c r="CY32" s="366">
        <v>153.38</v>
      </c>
      <c r="CZ32" s="366">
        <v>123.78</v>
      </c>
      <c r="DA32" s="366">
        <v>741.01</v>
      </c>
      <c r="DB32" s="366">
        <v>715.12</v>
      </c>
      <c r="DC32" s="366">
        <v>715.12</v>
      </c>
      <c r="DD32" s="366">
        <v>217.71</v>
      </c>
      <c r="DE32" s="366">
        <v>818.64</v>
      </c>
      <c r="DF32" s="366">
        <v>234.21</v>
      </c>
      <c r="DG32" s="366">
        <v>489.89</v>
      </c>
      <c r="DH32" s="366">
        <v>881.2</v>
      </c>
      <c r="DI32" s="366">
        <v>135.44999999999999</v>
      </c>
      <c r="DJ32" s="366">
        <v>107.58</v>
      </c>
      <c r="DK32" s="366">
        <v>560.34</v>
      </c>
      <c r="DL32" s="366">
        <v>275.62</v>
      </c>
      <c r="DM32" s="366">
        <v>668.22</v>
      </c>
      <c r="DN32" s="366">
        <v>122.48</v>
      </c>
      <c r="DO32" s="366">
        <v>586.91</v>
      </c>
      <c r="DP32" s="366">
        <v>254.71</v>
      </c>
      <c r="DQ32" s="366">
        <v>721.22</v>
      </c>
      <c r="DR32" s="366">
        <v>881.2</v>
      </c>
      <c r="DS32" s="366">
        <v>456.4</v>
      </c>
      <c r="DT32" s="366">
        <v>444.69</v>
      </c>
      <c r="DU32" s="366">
        <v>771.35</v>
      </c>
      <c r="DV32" s="366">
        <v>799.31</v>
      </c>
      <c r="DW32" s="366">
        <v>561.49</v>
      </c>
      <c r="DX32" s="366">
        <v>696.2</v>
      </c>
      <c r="DY32" s="366">
        <v>769.59</v>
      </c>
      <c r="DZ32" s="366">
        <v>206.73</v>
      </c>
      <c r="EA32" s="366">
        <v>439.17</v>
      </c>
      <c r="EB32" s="366">
        <v>763.59</v>
      </c>
      <c r="EC32" s="366">
        <v>459.11</v>
      </c>
      <c r="ED32" s="366">
        <v>105.68</v>
      </c>
      <c r="EE32" s="366">
        <v>95.8</v>
      </c>
      <c r="EF32" s="366">
        <v>345.59</v>
      </c>
      <c r="EG32" s="366">
        <v>379.69</v>
      </c>
      <c r="EH32" s="366">
        <v>379.69</v>
      </c>
      <c r="EI32" s="366">
        <v>425.13</v>
      </c>
      <c r="EJ32" s="366">
        <v>869.26</v>
      </c>
      <c r="EK32" s="366">
        <v>572.22</v>
      </c>
      <c r="EL32" s="366">
        <v>572.22</v>
      </c>
      <c r="EM32" s="366">
        <v>666.33</v>
      </c>
      <c r="EN32" s="366">
        <v>666.33</v>
      </c>
      <c r="EO32" s="366">
        <v>292.24</v>
      </c>
      <c r="EP32" s="366">
        <v>343.13</v>
      </c>
      <c r="EQ32" s="366">
        <v>387.89</v>
      </c>
      <c r="ER32" s="366">
        <v>103.48</v>
      </c>
      <c r="ES32" s="366">
        <v>680.54</v>
      </c>
      <c r="ET32" s="366">
        <v>397.42</v>
      </c>
      <c r="EU32" s="366">
        <v>185.85</v>
      </c>
      <c r="EV32" s="366">
        <v>305.86</v>
      </c>
      <c r="EW32" s="366">
        <v>424.51</v>
      </c>
      <c r="EX32" s="366">
        <v>657.28</v>
      </c>
      <c r="EY32" s="366">
        <v>657.28</v>
      </c>
      <c r="EZ32" s="366">
        <v>710.87</v>
      </c>
      <c r="FA32" s="366">
        <v>663.5</v>
      </c>
      <c r="FB32" s="366">
        <v>544.64</v>
      </c>
      <c r="FC32" s="366">
        <v>716.34</v>
      </c>
      <c r="FD32" s="366">
        <v>571.53</v>
      </c>
      <c r="FE32" s="366">
        <v>428.96</v>
      </c>
      <c r="FF32" s="366">
        <v>507.08</v>
      </c>
      <c r="FG32" s="366">
        <v>209.66</v>
      </c>
      <c r="FH32" s="366">
        <v>209.66</v>
      </c>
      <c r="FI32" s="366">
        <v>316.73</v>
      </c>
      <c r="FJ32" s="366">
        <v>322.52</v>
      </c>
      <c r="FK32" s="366">
        <v>708.28</v>
      </c>
      <c r="FL32" s="366">
        <v>706.47</v>
      </c>
      <c r="FM32" s="366">
        <v>292.24</v>
      </c>
      <c r="FN32" s="366">
        <v>336.61</v>
      </c>
      <c r="FO32" s="366">
        <v>447.54</v>
      </c>
      <c r="FP32" s="366">
        <v>748.69</v>
      </c>
      <c r="FQ32" s="366">
        <v>451.41</v>
      </c>
      <c r="FR32" s="366">
        <v>519.79999999999995</v>
      </c>
      <c r="FS32" s="366">
        <v>507.79</v>
      </c>
      <c r="FT32" s="366">
        <v>92.42</v>
      </c>
      <c r="FU32" s="366">
        <v>531.92999999999995</v>
      </c>
      <c r="FV32" s="366">
        <v>249.75</v>
      </c>
      <c r="FW32" s="366">
        <v>249.75</v>
      </c>
      <c r="FX32" s="366">
        <v>249.75</v>
      </c>
      <c r="FY32" s="366">
        <v>612.64</v>
      </c>
      <c r="FZ32" s="366">
        <v>451.83</v>
      </c>
      <c r="GA32" s="366">
        <v>739.79</v>
      </c>
      <c r="GB32" s="366">
        <v>546.26</v>
      </c>
      <c r="GC32" s="366">
        <v>105.68</v>
      </c>
      <c r="GD32" s="366">
        <v>580.02</v>
      </c>
      <c r="GE32" s="366">
        <v>397.28</v>
      </c>
      <c r="GF32" s="366">
        <v>545.46</v>
      </c>
      <c r="GG32" s="366">
        <v>545.46</v>
      </c>
      <c r="GH32" s="366">
        <v>788.24</v>
      </c>
      <c r="GI32" s="366">
        <v>292.39999999999998</v>
      </c>
      <c r="GJ32" s="366">
        <v>292.24</v>
      </c>
      <c r="GK32" s="366">
        <v>704.83</v>
      </c>
      <c r="GL32" s="366">
        <v>438.8</v>
      </c>
      <c r="GM32" s="366">
        <v>438.8</v>
      </c>
      <c r="GN32" s="366">
        <v>438.8</v>
      </c>
      <c r="GO32" s="366">
        <v>300.13</v>
      </c>
      <c r="GP32" s="366">
        <v>745.2</v>
      </c>
      <c r="GQ32" s="366">
        <v>750.54</v>
      </c>
      <c r="GR32" s="366">
        <v>229.5</v>
      </c>
      <c r="GS32" s="366">
        <v>362.96</v>
      </c>
      <c r="GT32" s="366">
        <v>379.69</v>
      </c>
      <c r="GU32" s="366">
        <v>553.62</v>
      </c>
      <c r="GV32" s="366">
        <v>876.45</v>
      </c>
      <c r="GW32" s="366">
        <v>463.26</v>
      </c>
      <c r="GX32" s="366">
        <v>376.26</v>
      </c>
      <c r="GY32" s="366">
        <v>439.77</v>
      </c>
      <c r="GZ32" s="366">
        <v>571.25</v>
      </c>
      <c r="HA32" s="366">
        <v>452.95</v>
      </c>
      <c r="HB32" s="366">
        <v>452.95</v>
      </c>
      <c r="HC32" s="366">
        <v>452.95</v>
      </c>
      <c r="HD32" s="366">
        <v>170.44</v>
      </c>
      <c r="HE32" s="366">
        <v>660.18</v>
      </c>
      <c r="HF32" s="366">
        <v>616.47</v>
      </c>
      <c r="HG32" s="366">
        <v>744.12</v>
      </c>
      <c r="HH32" s="366">
        <v>744.12</v>
      </c>
      <c r="HI32" s="366">
        <v>744.12</v>
      </c>
      <c r="HJ32" s="366">
        <v>524.59</v>
      </c>
      <c r="HK32" s="366">
        <v>306.31</v>
      </c>
      <c r="HL32" s="366">
        <v>679.72</v>
      </c>
      <c r="HM32" s="366">
        <v>289.52</v>
      </c>
      <c r="HN32" s="366">
        <v>292.24</v>
      </c>
      <c r="HO32" s="366">
        <v>154.01</v>
      </c>
      <c r="HP32" s="366">
        <v>571.97</v>
      </c>
      <c r="HQ32" s="366">
        <v>249.75</v>
      </c>
      <c r="HR32" s="366">
        <v>0</v>
      </c>
      <c r="HS32" s="366">
        <v>288.49</v>
      </c>
      <c r="HT32" s="366">
        <v>392.19</v>
      </c>
      <c r="HU32" s="366">
        <v>418.87</v>
      </c>
      <c r="HV32" s="366">
        <v>443.34</v>
      </c>
    </row>
    <row r="33" spans="1:230">
      <c r="A33" s="366" t="s">
        <v>56</v>
      </c>
      <c r="B33" s="366">
        <v>523.23</v>
      </c>
      <c r="C33" s="366">
        <v>478.6</v>
      </c>
      <c r="D33" s="366">
        <v>282.51</v>
      </c>
      <c r="E33" s="366">
        <v>282.51</v>
      </c>
      <c r="F33" s="366">
        <v>587.13</v>
      </c>
      <c r="G33" s="366">
        <v>323.64</v>
      </c>
      <c r="H33" s="366">
        <v>238.89</v>
      </c>
      <c r="I33" s="366">
        <v>219.38</v>
      </c>
      <c r="J33" s="366">
        <v>215.11</v>
      </c>
      <c r="K33" s="366">
        <v>215.11</v>
      </c>
      <c r="L33" s="366">
        <v>300.42</v>
      </c>
      <c r="M33" s="366">
        <v>504.02</v>
      </c>
      <c r="N33" s="366">
        <v>600.91999999999996</v>
      </c>
      <c r="O33" s="366">
        <v>471.03</v>
      </c>
      <c r="P33" s="366">
        <v>471.03</v>
      </c>
      <c r="Q33" s="366">
        <v>471.03</v>
      </c>
      <c r="R33" s="366">
        <v>471.03</v>
      </c>
      <c r="S33" s="366">
        <v>471.03</v>
      </c>
      <c r="T33" s="366">
        <v>230.42</v>
      </c>
      <c r="U33" s="366">
        <v>431.68</v>
      </c>
      <c r="V33" s="366">
        <v>560.41999999999996</v>
      </c>
      <c r="W33" s="366">
        <v>133.82</v>
      </c>
      <c r="X33" s="366">
        <v>133.82</v>
      </c>
      <c r="Y33" s="366">
        <v>133.82</v>
      </c>
      <c r="Z33" s="366">
        <v>598.16</v>
      </c>
      <c r="AA33" s="366">
        <v>317.81</v>
      </c>
      <c r="AB33" s="366">
        <v>257.91000000000003</v>
      </c>
      <c r="AC33" s="366">
        <v>250.04</v>
      </c>
      <c r="AD33" s="366">
        <v>250.04</v>
      </c>
      <c r="AE33" s="366">
        <v>333.41</v>
      </c>
      <c r="AF33" s="366">
        <v>337.38</v>
      </c>
      <c r="AG33" s="366">
        <v>0</v>
      </c>
      <c r="AH33" s="366">
        <v>265.43</v>
      </c>
      <c r="AI33" s="366">
        <v>265.43</v>
      </c>
      <c r="AJ33" s="366">
        <v>265.43</v>
      </c>
      <c r="AK33" s="366">
        <v>620.36</v>
      </c>
      <c r="AL33" s="366">
        <v>620.36</v>
      </c>
      <c r="AM33" s="366">
        <v>260.63</v>
      </c>
      <c r="AN33" s="366">
        <v>430.2</v>
      </c>
      <c r="AO33" s="366">
        <v>340.25</v>
      </c>
      <c r="AP33" s="366">
        <v>168.72</v>
      </c>
      <c r="AQ33" s="366">
        <v>543.66999999999996</v>
      </c>
      <c r="AR33" s="366">
        <v>254.85</v>
      </c>
      <c r="AS33" s="366">
        <v>375.87</v>
      </c>
      <c r="AT33" s="366">
        <v>375.87</v>
      </c>
      <c r="AU33" s="366">
        <v>475.28</v>
      </c>
      <c r="AV33" s="366">
        <v>462.73</v>
      </c>
      <c r="AW33" s="366">
        <v>177.65</v>
      </c>
      <c r="AX33" s="366">
        <v>300.56</v>
      </c>
      <c r="AY33" s="366">
        <v>636.63</v>
      </c>
      <c r="AZ33" s="366">
        <v>447.22</v>
      </c>
      <c r="BA33" s="366">
        <v>463.64</v>
      </c>
      <c r="BB33" s="366">
        <v>639.52</v>
      </c>
      <c r="BC33" s="366">
        <v>405.7</v>
      </c>
      <c r="BD33" s="366">
        <v>315.47000000000003</v>
      </c>
      <c r="BE33" s="366">
        <v>564.48</v>
      </c>
      <c r="BF33" s="366">
        <v>254.88</v>
      </c>
      <c r="BG33" s="366">
        <v>605.71</v>
      </c>
      <c r="BH33" s="366">
        <v>471.03</v>
      </c>
      <c r="BI33" s="366">
        <v>254.88</v>
      </c>
      <c r="BJ33" s="366">
        <v>543.83000000000004</v>
      </c>
      <c r="BK33" s="366">
        <v>515</v>
      </c>
      <c r="BL33" s="366">
        <v>289.51</v>
      </c>
      <c r="BM33" s="366">
        <v>266.3</v>
      </c>
      <c r="BN33" s="366">
        <v>358</v>
      </c>
      <c r="BO33" s="366">
        <v>557.20000000000005</v>
      </c>
      <c r="BP33" s="366">
        <v>523.05999999999995</v>
      </c>
      <c r="BQ33" s="366">
        <v>240.08</v>
      </c>
      <c r="BR33" s="366">
        <v>240.08</v>
      </c>
      <c r="BS33" s="366">
        <v>454.79</v>
      </c>
      <c r="BT33" s="366">
        <v>246.8</v>
      </c>
      <c r="BU33" s="366">
        <v>238.41</v>
      </c>
      <c r="BV33" s="366">
        <v>258.02999999999997</v>
      </c>
      <c r="BW33" s="366">
        <v>534.57000000000005</v>
      </c>
      <c r="BX33" s="366">
        <v>395.88</v>
      </c>
      <c r="BY33" s="366">
        <v>587.9</v>
      </c>
      <c r="BZ33" s="366">
        <v>587.9</v>
      </c>
      <c r="CA33" s="366">
        <v>138.85</v>
      </c>
      <c r="CB33" s="366">
        <v>414.31</v>
      </c>
      <c r="CC33" s="366">
        <v>271.73</v>
      </c>
      <c r="CD33" s="366">
        <v>285.20999999999998</v>
      </c>
      <c r="CE33" s="366">
        <v>498.23</v>
      </c>
      <c r="CF33" s="366">
        <v>336.11</v>
      </c>
      <c r="CG33" s="366">
        <v>336.11</v>
      </c>
      <c r="CH33" s="366">
        <v>225.08</v>
      </c>
      <c r="CI33" s="366">
        <v>344.23</v>
      </c>
      <c r="CJ33" s="366">
        <v>347.06</v>
      </c>
      <c r="CK33" s="366">
        <v>592.99</v>
      </c>
      <c r="CL33" s="366">
        <v>489.07</v>
      </c>
      <c r="CM33" s="366">
        <v>351.98</v>
      </c>
      <c r="CN33" s="366">
        <v>493.2</v>
      </c>
      <c r="CO33" s="366">
        <v>253.46</v>
      </c>
      <c r="CP33" s="366">
        <v>246.77</v>
      </c>
      <c r="CQ33" s="366">
        <v>246.77</v>
      </c>
      <c r="CR33" s="366">
        <v>204.78</v>
      </c>
      <c r="CS33" s="366">
        <v>204.78</v>
      </c>
      <c r="CT33" s="366">
        <v>195.34</v>
      </c>
      <c r="CU33" s="366">
        <v>203.21</v>
      </c>
      <c r="CV33" s="366">
        <v>197.16</v>
      </c>
      <c r="CW33" s="366">
        <v>560.41999999999996</v>
      </c>
      <c r="CX33" s="366">
        <v>290.8</v>
      </c>
      <c r="CY33" s="366">
        <v>398.4</v>
      </c>
      <c r="CZ33" s="366">
        <v>419.64</v>
      </c>
      <c r="DA33" s="366">
        <v>538.97</v>
      </c>
      <c r="DB33" s="366">
        <v>539.80999999999995</v>
      </c>
      <c r="DC33" s="366">
        <v>539.80999999999995</v>
      </c>
      <c r="DD33" s="366">
        <v>120.98</v>
      </c>
      <c r="DE33" s="366">
        <v>616.6</v>
      </c>
      <c r="DF33" s="366">
        <v>571.59</v>
      </c>
      <c r="DG33" s="366">
        <v>314.58</v>
      </c>
      <c r="DH33" s="366">
        <v>679.16</v>
      </c>
      <c r="DI33" s="366">
        <v>201.93</v>
      </c>
      <c r="DJ33" s="366">
        <v>405.82</v>
      </c>
      <c r="DK33" s="366">
        <v>358.3</v>
      </c>
      <c r="DL33" s="366">
        <v>232.41</v>
      </c>
      <c r="DM33" s="366">
        <v>466.18</v>
      </c>
      <c r="DN33" s="366">
        <v>216.69</v>
      </c>
      <c r="DO33" s="366">
        <v>384.87</v>
      </c>
      <c r="DP33" s="366">
        <v>82.67</v>
      </c>
      <c r="DQ33" s="366">
        <v>545.91</v>
      </c>
      <c r="DR33" s="366">
        <v>679.16</v>
      </c>
      <c r="DS33" s="366">
        <v>254.36</v>
      </c>
      <c r="DT33" s="366">
        <v>242.65</v>
      </c>
      <c r="DU33" s="366">
        <v>569.30999999999995</v>
      </c>
      <c r="DV33" s="366">
        <v>624</v>
      </c>
      <c r="DW33" s="366">
        <v>359.45</v>
      </c>
      <c r="DX33" s="366">
        <v>520.89</v>
      </c>
      <c r="DY33" s="366">
        <v>594.28</v>
      </c>
      <c r="DZ33" s="366">
        <v>130.65</v>
      </c>
      <c r="EA33" s="366">
        <v>237.13</v>
      </c>
      <c r="EB33" s="366">
        <v>588.28</v>
      </c>
      <c r="EC33" s="366">
        <v>257.07</v>
      </c>
      <c r="ED33" s="366">
        <v>231.7</v>
      </c>
      <c r="EE33" s="366">
        <v>242.49</v>
      </c>
      <c r="EF33" s="366">
        <v>162.44</v>
      </c>
      <c r="EG33" s="366">
        <v>177.65</v>
      </c>
      <c r="EH33" s="366">
        <v>177.65</v>
      </c>
      <c r="EI33" s="366">
        <v>285.68</v>
      </c>
      <c r="EJ33" s="366">
        <v>667.22</v>
      </c>
      <c r="EK33" s="366">
        <v>396.91</v>
      </c>
      <c r="EL33" s="366">
        <v>396.91</v>
      </c>
      <c r="EM33" s="366">
        <v>491.02</v>
      </c>
      <c r="EN33" s="366">
        <v>491.02</v>
      </c>
      <c r="EO33" s="366">
        <v>260.63</v>
      </c>
      <c r="EP33" s="366">
        <v>301.58999999999997</v>
      </c>
      <c r="EQ33" s="366">
        <v>185.85</v>
      </c>
      <c r="ER33" s="366">
        <v>401.72</v>
      </c>
      <c r="ES33" s="366">
        <v>478.5</v>
      </c>
      <c r="ET33" s="366">
        <v>222.11</v>
      </c>
      <c r="EU33" s="366">
        <v>523.23</v>
      </c>
      <c r="EV33" s="366">
        <v>133.82</v>
      </c>
      <c r="EW33" s="366">
        <v>285.06</v>
      </c>
      <c r="EX33" s="366">
        <v>455.24</v>
      </c>
      <c r="EY33" s="366">
        <v>455.24</v>
      </c>
      <c r="EZ33" s="366">
        <v>535.55999999999995</v>
      </c>
      <c r="FA33" s="366">
        <v>488.19</v>
      </c>
      <c r="FB33" s="366">
        <v>342.6</v>
      </c>
      <c r="FC33" s="366">
        <v>541.03</v>
      </c>
      <c r="FD33" s="366">
        <v>396.22</v>
      </c>
      <c r="FE33" s="366">
        <v>289.51</v>
      </c>
      <c r="FF33" s="366">
        <v>331.77</v>
      </c>
      <c r="FG33" s="366">
        <v>454.68</v>
      </c>
      <c r="FH33" s="366">
        <v>454.68</v>
      </c>
      <c r="FI33" s="366">
        <v>20.65</v>
      </c>
      <c r="FJ33" s="366">
        <v>14.94</v>
      </c>
      <c r="FK33" s="366">
        <v>506.24</v>
      </c>
      <c r="FL33" s="366">
        <v>504.43</v>
      </c>
      <c r="FM33" s="366">
        <v>260.63</v>
      </c>
      <c r="FN33" s="366">
        <v>164.57</v>
      </c>
      <c r="FO33" s="366">
        <v>245.5</v>
      </c>
      <c r="FP33" s="366">
        <v>573.38</v>
      </c>
      <c r="FQ33" s="366">
        <v>249.37</v>
      </c>
      <c r="FR33" s="366">
        <v>317.76</v>
      </c>
      <c r="FS33" s="366">
        <v>332.48</v>
      </c>
      <c r="FT33" s="366">
        <v>390.66</v>
      </c>
      <c r="FU33" s="366">
        <v>356.62</v>
      </c>
      <c r="FV33" s="366">
        <v>587.13</v>
      </c>
      <c r="FW33" s="366">
        <v>587.13</v>
      </c>
      <c r="FX33" s="366">
        <v>587.13</v>
      </c>
      <c r="FY33" s="366">
        <v>437.33</v>
      </c>
      <c r="FZ33" s="366">
        <v>312.38</v>
      </c>
      <c r="GA33" s="366">
        <v>564.48</v>
      </c>
      <c r="GB33" s="366">
        <v>370.95</v>
      </c>
      <c r="GC33" s="366">
        <v>231.7</v>
      </c>
      <c r="GD33" s="366">
        <v>377.98</v>
      </c>
      <c r="GE33" s="366">
        <v>195.24</v>
      </c>
      <c r="GF33" s="366">
        <v>370.15</v>
      </c>
      <c r="GG33" s="366">
        <v>370.15</v>
      </c>
      <c r="GH33" s="366">
        <v>612.92999999999995</v>
      </c>
      <c r="GI33" s="366">
        <v>260.79000000000002</v>
      </c>
      <c r="GJ33" s="366">
        <v>260.63</v>
      </c>
      <c r="GK33" s="366">
        <v>502.79</v>
      </c>
      <c r="GL33" s="366">
        <v>299.35000000000002</v>
      </c>
      <c r="GM33" s="366">
        <v>299.35000000000002</v>
      </c>
      <c r="GN33" s="366">
        <v>299.35000000000002</v>
      </c>
      <c r="GO33" s="366">
        <v>207.9</v>
      </c>
      <c r="GP33" s="366">
        <v>569.89</v>
      </c>
      <c r="GQ33" s="366">
        <v>548.5</v>
      </c>
      <c r="GR33" s="366">
        <v>263.04000000000002</v>
      </c>
      <c r="GS33" s="366">
        <v>187.65</v>
      </c>
      <c r="GT33" s="366">
        <v>177.65</v>
      </c>
      <c r="GU33" s="366">
        <v>351.58</v>
      </c>
      <c r="GV33" s="366">
        <v>674.41</v>
      </c>
      <c r="GW33" s="366">
        <v>315.07</v>
      </c>
      <c r="GX33" s="366">
        <v>174.22</v>
      </c>
      <c r="GY33" s="366">
        <v>264.45999999999998</v>
      </c>
      <c r="GZ33" s="366">
        <v>395.94</v>
      </c>
      <c r="HA33" s="366">
        <v>250.91</v>
      </c>
      <c r="HB33" s="366">
        <v>250.91</v>
      </c>
      <c r="HC33" s="366">
        <v>250.91</v>
      </c>
      <c r="HD33" s="366">
        <v>166.94</v>
      </c>
      <c r="HE33" s="366">
        <v>484.87</v>
      </c>
      <c r="HF33" s="366">
        <v>441.16</v>
      </c>
      <c r="HG33" s="366">
        <v>568.80999999999995</v>
      </c>
      <c r="HH33" s="366">
        <v>568.80999999999995</v>
      </c>
      <c r="HI33" s="366">
        <v>568.80999999999995</v>
      </c>
      <c r="HJ33" s="366">
        <v>349.28</v>
      </c>
      <c r="HK33" s="366">
        <v>104.27</v>
      </c>
      <c r="HL33" s="366">
        <v>504.41</v>
      </c>
      <c r="HM33" s="366">
        <v>257.91000000000003</v>
      </c>
      <c r="HN33" s="366">
        <v>260.63</v>
      </c>
      <c r="HO33" s="366">
        <v>491.39</v>
      </c>
      <c r="HP33" s="366">
        <v>396.66</v>
      </c>
      <c r="HQ33" s="366">
        <v>587.13</v>
      </c>
      <c r="HR33" s="366">
        <v>337.38</v>
      </c>
      <c r="HS33" s="366">
        <v>256.88</v>
      </c>
      <c r="HT33" s="366">
        <v>209.04</v>
      </c>
      <c r="HU33" s="366">
        <v>243.56</v>
      </c>
      <c r="HV33" s="366">
        <v>303.89</v>
      </c>
    </row>
    <row r="34" spans="1:230">
      <c r="A34" s="366" t="s">
        <v>57</v>
      </c>
      <c r="B34" s="366">
        <v>555.53</v>
      </c>
      <c r="C34" s="366">
        <v>330.17</v>
      </c>
      <c r="D34" s="366">
        <v>230.94</v>
      </c>
      <c r="E34" s="366">
        <v>230.94</v>
      </c>
      <c r="F34" s="366">
        <v>619.42999999999995</v>
      </c>
      <c r="G34" s="366">
        <v>427</v>
      </c>
      <c r="H34" s="366">
        <v>274.56</v>
      </c>
      <c r="I34" s="366">
        <v>46.05</v>
      </c>
      <c r="J34" s="366">
        <v>298.33999999999997</v>
      </c>
      <c r="K34" s="366">
        <v>298.33999999999997</v>
      </c>
      <c r="L34" s="366">
        <v>221.55</v>
      </c>
      <c r="M34" s="366">
        <v>355.59</v>
      </c>
      <c r="N34" s="366">
        <v>452.49</v>
      </c>
      <c r="O34" s="366">
        <v>205.6</v>
      </c>
      <c r="P34" s="366">
        <v>205.6</v>
      </c>
      <c r="Q34" s="366">
        <v>205.6</v>
      </c>
      <c r="R34" s="366">
        <v>205.6</v>
      </c>
      <c r="S34" s="366">
        <v>205.6</v>
      </c>
      <c r="T34" s="366">
        <v>120.55</v>
      </c>
      <c r="U34" s="366">
        <v>535.04</v>
      </c>
      <c r="V34" s="366">
        <v>294.99</v>
      </c>
      <c r="W34" s="366">
        <v>263.91000000000003</v>
      </c>
      <c r="X34" s="366">
        <v>263.91000000000003</v>
      </c>
      <c r="Y34" s="366">
        <v>263.91000000000003</v>
      </c>
      <c r="Z34" s="366">
        <v>332.73</v>
      </c>
      <c r="AA34" s="366">
        <v>421.17</v>
      </c>
      <c r="AB34" s="366">
        <v>180.29</v>
      </c>
      <c r="AC34" s="366">
        <v>182.75</v>
      </c>
      <c r="AD34" s="366">
        <v>182.75</v>
      </c>
      <c r="AE34" s="366">
        <v>180.04</v>
      </c>
      <c r="AF34" s="366">
        <v>440.74</v>
      </c>
      <c r="AG34" s="366">
        <v>265.43</v>
      </c>
      <c r="AH34" s="366">
        <v>0</v>
      </c>
      <c r="AI34" s="366">
        <v>0</v>
      </c>
      <c r="AJ34" s="366">
        <v>0</v>
      </c>
      <c r="AK34" s="366">
        <v>354.93</v>
      </c>
      <c r="AL34" s="366">
        <v>354.93</v>
      </c>
      <c r="AM34" s="366">
        <v>183.01</v>
      </c>
      <c r="AN34" s="366">
        <v>164.77</v>
      </c>
      <c r="AO34" s="366">
        <v>434.12</v>
      </c>
      <c r="AP34" s="366">
        <v>109.27</v>
      </c>
      <c r="AQ34" s="366">
        <v>575.97</v>
      </c>
      <c r="AR34" s="366">
        <v>361.11</v>
      </c>
      <c r="AS34" s="366">
        <v>146.1</v>
      </c>
      <c r="AT34" s="366">
        <v>146.1</v>
      </c>
      <c r="AU34" s="366">
        <v>209.85</v>
      </c>
      <c r="AV34" s="366">
        <v>566.09</v>
      </c>
      <c r="AW34" s="366">
        <v>307.74</v>
      </c>
      <c r="AX34" s="366">
        <v>127.23</v>
      </c>
      <c r="AY34" s="366">
        <v>488.2</v>
      </c>
      <c r="AZ34" s="366">
        <v>298.79000000000002</v>
      </c>
      <c r="BA34" s="366">
        <v>396.35</v>
      </c>
      <c r="BB34" s="366">
        <v>491.09</v>
      </c>
      <c r="BC34" s="366">
        <v>338.41</v>
      </c>
      <c r="BD34" s="366">
        <v>248.18</v>
      </c>
      <c r="BE34" s="366">
        <v>299.05</v>
      </c>
      <c r="BF34" s="366">
        <v>177.26</v>
      </c>
      <c r="BG34" s="366">
        <v>340.28</v>
      </c>
      <c r="BH34" s="366">
        <v>205.6</v>
      </c>
      <c r="BI34" s="366">
        <v>361.14</v>
      </c>
      <c r="BJ34" s="366">
        <v>278.39999999999998</v>
      </c>
      <c r="BK34" s="366">
        <v>366.57</v>
      </c>
      <c r="BL34" s="366">
        <v>223.94</v>
      </c>
      <c r="BM34" s="366">
        <v>247.15</v>
      </c>
      <c r="BN34" s="366">
        <v>461.36</v>
      </c>
      <c r="BO34" s="366">
        <v>408.77</v>
      </c>
      <c r="BP34" s="366">
        <v>374.63</v>
      </c>
      <c r="BQ34" s="366">
        <v>25.35</v>
      </c>
      <c r="BR34" s="366">
        <v>25.35</v>
      </c>
      <c r="BS34" s="366">
        <v>306.36</v>
      </c>
      <c r="BT34" s="366">
        <v>345.57</v>
      </c>
      <c r="BU34" s="366">
        <v>160.79</v>
      </c>
      <c r="BV34" s="366">
        <v>180.41</v>
      </c>
      <c r="BW34" s="366">
        <v>269.14</v>
      </c>
      <c r="BX34" s="366">
        <v>247.45</v>
      </c>
      <c r="BY34" s="366">
        <v>322.47000000000003</v>
      </c>
      <c r="BZ34" s="366">
        <v>322.47000000000003</v>
      </c>
      <c r="CA34" s="366">
        <v>268.94</v>
      </c>
      <c r="CB34" s="366">
        <v>265.88</v>
      </c>
      <c r="CC34" s="366">
        <v>98.4</v>
      </c>
      <c r="CD34" s="366">
        <v>103.68</v>
      </c>
      <c r="CE34" s="366">
        <v>349.8</v>
      </c>
      <c r="CF34" s="366">
        <v>439.47</v>
      </c>
      <c r="CG34" s="366">
        <v>439.47</v>
      </c>
      <c r="CH34" s="366">
        <v>40.35</v>
      </c>
      <c r="CI34" s="366">
        <v>78.8</v>
      </c>
      <c r="CJ34" s="366">
        <v>450.42</v>
      </c>
      <c r="CK34" s="366">
        <v>327.56</v>
      </c>
      <c r="CL34" s="366">
        <v>223.64</v>
      </c>
      <c r="CM34" s="366">
        <v>284.69</v>
      </c>
      <c r="CN34" s="366">
        <v>227.77</v>
      </c>
      <c r="CO34" s="366">
        <v>359.72</v>
      </c>
      <c r="CP34" s="366">
        <v>18.66</v>
      </c>
      <c r="CQ34" s="366">
        <v>18.66</v>
      </c>
      <c r="CR34" s="366">
        <v>312.12</v>
      </c>
      <c r="CS34" s="366">
        <v>312.12</v>
      </c>
      <c r="CT34" s="366">
        <v>321.56</v>
      </c>
      <c r="CU34" s="366">
        <v>313.69</v>
      </c>
      <c r="CV34" s="366">
        <v>316.29000000000002</v>
      </c>
      <c r="CW34" s="366">
        <v>294.99</v>
      </c>
      <c r="CX34" s="366">
        <v>117.47</v>
      </c>
      <c r="CY34" s="366">
        <v>331.11</v>
      </c>
      <c r="CZ34" s="366">
        <v>352.35</v>
      </c>
      <c r="DA34" s="366">
        <v>390.54</v>
      </c>
      <c r="DB34" s="366">
        <v>274.38</v>
      </c>
      <c r="DC34" s="366">
        <v>274.38</v>
      </c>
      <c r="DD34" s="366">
        <v>251.07</v>
      </c>
      <c r="DE34" s="366">
        <v>468.17</v>
      </c>
      <c r="DF34" s="366">
        <v>603.89</v>
      </c>
      <c r="DG34" s="366">
        <v>49.15</v>
      </c>
      <c r="DH34" s="366">
        <v>530.73</v>
      </c>
      <c r="DI34" s="366">
        <v>305.29000000000002</v>
      </c>
      <c r="DJ34" s="366">
        <v>368.55</v>
      </c>
      <c r="DK34" s="366">
        <v>209.87</v>
      </c>
      <c r="DL34" s="366">
        <v>166.79</v>
      </c>
      <c r="DM34" s="366">
        <v>317.75</v>
      </c>
      <c r="DN34" s="366">
        <v>320.05</v>
      </c>
      <c r="DO34" s="366">
        <v>236.44</v>
      </c>
      <c r="DP34" s="366">
        <v>212.76</v>
      </c>
      <c r="DQ34" s="366">
        <v>280.48</v>
      </c>
      <c r="DR34" s="366">
        <v>530.73</v>
      </c>
      <c r="DS34" s="366">
        <v>337.59</v>
      </c>
      <c r="DT34" s="366">
        <v>325.88</v>
      </c>
      <c r="DU34" s="366">
        <v>420.88</v>
      </c>
      <c r="DV34" s="366">
        <v>358.57</v>
      </c>
      <c r="DW34" s="366">
        <v>162.52000000000001</v>
      </c>
      <c r="DX34" s="366">
        <v>255.46</v>
      </c>
      <c r="DY34" s="366">
        <v>328.85</v>
      </c>
      <c r="DZ34" s="366">
        <v>260.74</v>
      </c>
      <c r="EA34" s="366">
        <v>343.39</v>
      </c>
      <c r="EB34" s="366">
        <v>322.85000000000002</v>
      </c>
      <c r="EC34" s="366">
        <v>256.38</v>
      </c>
      <c r="ED34" s="366">
        <v>335.06</v>
      </c>
      <c r="EE34" s="366">
        <v>345.85</v>
      </c>
      <c r="EF34" s="366">
        <v>102.99</v>
      </c>
      <c r="EG34" s="366">
        <v>307.74</v>
      </c>
      <c r="EH34" s="366">
        <v>307.74</v>
      </c>
      <c r="EI34" s="366">
        <v>87.33</v>
      </c>
      <c r="EJ34" s="366">
        <v>518.79</v>
      </c>
      <c r="EK34" s="366">
        <v>131.47999999999999</v>
      </c>
      <c r="EL34" s="366">
        <v>131.47999999999999</v>
      </c>
      <c r="EM34" s="366">
        <v>225.59</v>
      </c>
      <c r="EN34" s="366">
        <v>225.59</v>
      </c>
      <c r="EO34" s="366">
        <v>183.01</v>
      </c>
      <c r="EP34" s="366">
        <v>166.45</v>
      </c>
      <c r="EQ34" s="366">
        <v>315.94</v>
      </c>
      <c r="ER34" s="366">
        <v>505.08</v>
      </c>
      <c r="ES34" s="366">
        <v>330.07</v>
      </c>
      <c r="ET34" s="366">
        <v>43.32</v>
      </c>
      <c r="EU34" s="366">
        <v>555.53</v>
      </c>
      <c r="EV34" s="366">
        <v>263.91000000000003</v>
      </c>
      <c r="EW34" s="366">
        <v>88.25</v>
      </c>
      <c r="EX34" s="366">
        <v>306.81</v>
      </c>
      <c r="EY34" s="366">
        <v>306.81</v>
      </c>
      <c r="EZ34" s="366">
        <v>270.13</v>
      </c>
      <c r="FA34" s="366">
        <v>222.76</v>
      </c>
      <c r="FB34" s="366">
        <v>194.17</v>
      </c>
      <c r="FC34" s="366">
        <v>275.60000000000002</v>
      </c>
      <c r="FD34" s="366">
        <v>130.79</v>
      </c>
      <c r="FE34" s="366">
        <v>91.16</v>
      </c>
      <c r="FF34" s="366">
        <v>66.34</v>
      </c>
      <c r="FG34" s="366">
        <v>387.39</v>
      </c>
      <c r="FH34" s="366">
        <v>387.39</v>
      </c>
      <c r="FI34" s="366">
        <v>244.78</v>
      </c>
      <c r="FJ34" s="366">
        <v>250.57</v>
      </c>
      <c r="FK34" s="366">
        <v>357.81</v>
      </c>
      <c r="FL34" s="366">
        <v>356</v>
      </c>
      <c r="FM34" s="366">
        <v>183.01</v>
      </c>
      <c r="FN34" s="366">
        <v>294.66000000000003</v>
      </c>
      <c r="FO34" s="366">
        <v>351.76</v>
      </c>
      <c r="FP34" s="366">
        <v>307.95</v>
      </c>
      <c r="FQ34" s="366">
        <v>355.63</v>
      </c>
      <c r="FR34" s="366">
        <v>238.89</v>
      </c>
      <c r="FS34" s="366">
        <v>67.05</v>
      </c>
      <c r="FT34" s="366">
        <v>383.71</v>
      </c>
      <c r="FU34" s="366">
        <v>91.19</v>
      </c>
      <c r="FV34" s="366">
        <v>619.42999999999995</v>
      </c>
      <c r="FW34" s="366">
        <v>619.42999999999995</v>
      </c>
      <c r="FX34" s="366">
        <v>619.42999999999995</v>
      </c>
      <c r="FY34" s="366">
        <v>171.9</v>
      </c>
      <c r="FZ34" s="366">
        <v>81.069999999999993</v>
      </c>
      <c r="GA34" s="366">
        <v>299.05</v>
      </c>
      <c r="GB34" s="366">
        <v>105.52</v>
      </c>
      <c r="GC34" s="366">
        <v>335.06</v>
      </c>
      <c r="GD34" s="366">
        <v>229.55</v>
      </c>
      <c r="GE34" s="366">
        <v>321.66000000000003</v>
      </c>
      <c r="GF34" s="366">
        <v>104.72</v>
      </c>
      <c r="GG34" s="366">
        <v>104.72</v>
      </c>
      <c r="GH34" s="366">
        <v>347.5</v>
      </c>
      <c r="GI34" s="366">
        <v>183.17</v>
      </c>
      <c r="GJ34" s="366">
        <v>183.01</v>
      </c>
      <c r="GK34" s="366">
        <v>354.36</v>
      </c>
      <c r="GL34" s="366">
        <v>73.66</v>
      </c>
      <c r="GM34" s="366">
        <v>73.66</v>
      </c>
      <c r="GN34" s="366">
        <v>73.66</v>
      </c>
      <c r="GO34" s="366">
        <v>148.44999999999999</v>
      </c>
      <c r="GP34" s="366">
        <v>304.45999999999998</v>
      </c>
      <c r="GQ34" s="366">
        <v>400.07</v>
      </c>
      <c r="GR34" s="366">
        <v>211.24</v>
      </c>
      <c r="GS34" s="366">
        <v>77.78</v>
      </c>
      <c r="GT34" s="366">
        <v>307.74</v>
      </c>
      <c r="GU34" s="366">
        <v>164.75</v>
      </c>
      <c r="GV34" s="366">
        <v>525.98</v>
      </c>
      <c r="GW34" s="366">
        <v>49.64</v>
      </c>
      <c r="GX34" s="366">
        <v>304.31</v>
      </c>
      <c r="GY34" s="366">
        <v>0.97</v>
      </c>
      <c r="GZ34" s="366">
        <v>130.51</v>
      </c>
      <c r="HA34" s="366">
        <v>357.17</v>
      </c>
      <c r="HB34" s="366">
        <v>357.17</v>
      </c>
      <c r="HC34" s="366">
        <v>357.17</v>
      </c>
      <c r="HD34" s="366">
        <v>297.02999999999997</v>
      </c>
      <c r="HE34" s="366">
        <v>219.44</v>
      </c>
      <c r="HF34" s="366">
        <v>175.73</v>
      </c>
      <c r="HG34" s="366">
        <v>303.38</v>
      </c>
      <c r="HH34" s="366">
        <v>303.38</v>
      </c>
      <c r="HI34" s="366">
        <v>303.38</v>
      </c>
      <c r="HJ34" s="366">
        <v>83.85</v>
      </c>
      <c r="HK34" s="366">
        <v>234.36</v>
      </c>
      <c r="HL34" s="366">
        <v>238.98</v>
      </c>
      <c r="HM34" s="366">
        <v>180.29</v>
      </c>
      <c r="HN34" s="366">
        <v>183.01</v>
      </c>
      <c r="HO34" s="366">
        <v>588.73</v>
      </c>
      <c r="HP34" s="366">
        <v>131.22999999999999</v>
      </c>
      <c r="HQ34" s="366">
        <v>619.42999999999995</v>
      </c>
      <c r="HR34" s="366">
        <v>440.74</v>
      </c>
      <c r="HS34" s="366">
        <v>179.26</v>
      </c>
      <c r="HT34" s="366">
        <v>61.58</v>
      </c>
      <c r="HU34" s="366">
        <v>28.83</v>
      </c>
      <c r="HV34" s="366">
        <v>110.61</v>
      </c>
    </row>
    <row r="35" spans="1:230">
      <c r="A35" s="366" t="s">
        <v>58</v>
      </c>
      <c r="B35" s="366">
        <v>555.53</v>
      </c>
      <c r="C35" s="366">
        <v>330.17</v>
      </c>
      <c r="D35" s="366">
        <v>230.94</v>
      </c>
      <c r="E35" s="366">
        <v>230.94</v>
      </c>
      <c r="F35" s="366">
        <v>619.42999999999995</v>
      </c>
      <c r="G35" s="366">
        <v>427</v>
      </c>
      <c r="H35" s="366">
        <v>274.56</v>
      </c>
      <c r="I35" s="366">
        <v>46.05</v>
      </c>
      <c r="J35" s="366">
        <v>298.33999999999997</v>
      </c>
      <c r="K35" s="366">
        <v>298.33999999999997</v>
      </c>
      <c r="L35" s="366">
        <v>221.55</v>
      </c>
      <c r="M35" s="366">
        <v>355.59</v>
      </c>
      <c r="N35" s="366">
        <v>452.49</v>
      </c>
      <c r="O35" s="366">
        <v>205.6</v>
      </c>
      <c r="P35" s="366">
        <v>205.6</v>
      </c>
      <c r="Q35" s="366">
        <v>205.6</v>
      </c>
      <c r="R35" s="366">
        <v>205.6</v>
      </c>
      <c r="S35" s="366">
        <v>205.6</v>
      </c>
      <c r="T35" s="366">
        <v>120.55</v>
      </c>
      <c r="U35" s="366">
        <v>535.04</v>
      </c>
      <c r="V35" s="366">
        <v>294.99</v>
      </c>
      <c r="W35" s="366">
        <v>263.91000000000003</v>
      </c>
      <c r="X35" s="366">
        <v>263.91000000000003</v>
      </c>
      <c r="Y35" s="366">
        <v>263.91000000000003</v>
      </c>
      <c r="Z35" s="366">
        <v>332.73</v>
      </c>
      <c r="AA35" s="366">
        <v>421.17</v>
      </c>
      <c r="AB35" s="366">
        <v>180.29</v>
      </c>
      <c r="AC35" s="366">
        <v>182.75</v>
      </c>
      <c r="AD35" s="366">
        <v>182.75</v>
      </c>
      <c r="AE35" s="366">
        <v>180.04</v>
      </c>
      <c r="AF35" s="366">
        <v>440.74</v>
      </c>
      <c r="AG35" s="366">
        <v>265.43</v>
      </c>
      <c r="AH35" s="366">
        <v>0</v>
      </c>
      <c r="AI35" s="366">
        <v>0</v>
      </c>
      <c r="AJ35" s="366">
        <v>0</v>
      </c>
      <c r="AK35" s="366">
        <v>354.93</v>
      </c>
      <c r="AL35" s="366">
        <v>354.93</v>
      </c>
      <c r="AM35" s="366">
        <v>183.01</v>
      </c>
      <c r="AN35" s="366">
        <v>164.77</v>
      </c>
      <c r="AO35" s="366">
        <v>434.12</v>
      </c>
      <c r="AP35" s="366">
        <v>109.27</v>
      </c>
      <c r="AQ35" s="366">
        <v>575.97</v>
      </c>
      <c r="AR35" s="366">
        <v>361.11</v>
      </c>
      <c r="AS35" s="366">
        <v>146.1</v>
      </c>
      <c r="AT35" s="366">
        <v>146.1</v>
      </c>
      <c r="AU35" s="366">
        <v>209.85</v>
      </c>
      <c r="AV35" s="366">
        <v>566.09</v>
      </c>
      <c r="AW35" s="366">
        <v>307.74</v>
      </c>
      <c r="AX35" s="366">
        <v>127.23</v>
      </c>
      <c r="AY35" s="366">
        <v>488.2</v>
      </c>
      <c r="AZ35" s="366">
        <v>298.79000000000002</v>
      </c>
      <c r="BA35" s="366">
        <v>396.35</v>
      </c>
      <c r="BB35" s="366">
        <v>491.09</v>
      </c>
      <c r="BC35" s="366">
        <v>338.41</v>
      </c>
      <c r="BD35" s="366">
        <v>248.18</v>
      </c>
      <c r="BE35" s="366">
        <v>299.05</v>
      </c>
      <c r="BF35" s="366">
        <v>177.26</v>
      </c>
      <c r="BG35" s="366">
        <v>340.28</v>
      </c>
      <c r="BH35" s="366">
        <v>205.6</v>
      </c>
      <c r="BI35" s="366">
        <v>361.14</v>
      </c>
      <c r="BJ35" s="366">
        <v>278.39999999999998</v>
      </c>
      <c r="BK35" s="366">
        <v>366.57</v>
      </c>
      <c r="BL35" s="366">
        <v>223.94</v>
      </c>
      <c r="BM35" s="366">
        <v>247.15</v>
      </c>
      <c r="BN35" s="366">
        <v>461.36</v>
      </c>
      <c r="BO35" s="366">
        <v>408.77</v>
      </c>
      <c r="BP35" s="366">
        <v>374.63</v>
      </c>
      <c r="BQ35" s="366">
        <v>25.35</v>
      </c>
      <c r="BR35" s="366">
        <v>25.35</v>
      </c>
      <c r="BS35" s="366">
        <v>306.36</v>
      </c>
      <c r="BT35" s="366">
        <v>345.57</v>
      </c>
      <c r="BU35" s="366">
        <v>160.79</v>
      </c>
      <c r="BV35" s="366">
        <v>180.41</v>
      </c>
      <c r="BW35" s="366">
        <v>269.14</v>
      </c>
      <c r="BX35" s="366">
        <v>247.45</v>
      </c>
      <c r="BY35" s="366">
        <v>322.47000000000003</v>
      </c>
      <c r="BZ35" s="366">
        <v>322.47000000000003</v>
      </c>
      <c r="CA35" s="366">
        <v>268.94</v>
      </c>
      <c r="CB35" s="366">
        <v>265.88</v>
      </c>
      <c r="CC35" s="366">
        <v>98.4</v>
      </c>
      <c r="CD35" s="366">
        <v>103.68</v>
      </c>
      <c r="CE35" s="366">
        <v>349.8</v>
      </c>
      <c r="CF35" s="366">
        <v>439.47</v>
      </c>
      <c r="CG35" s="366">
        <v>439.47</v>
      </c>
      <c r="CH35" s="366">
        <v>40.35</v>
      </c>
      <c r="CI35" s="366">
        <v>78.8</v>
      </c>
      <c r="CJ35" s="366">
        <v>450.42</v>
      </c>
      <c r="CK35" s="366">
        <v>327.56</v>
      </c>
      <c r="CL35" s="366">
        <v>223.64</v>
      </c>
      <c r="CM35" s="366">
        <v>284.69</v>
      </c>
      <c r="CN35" s="366">
        <v>227.77</v>
      </c>
      <c r="CO35" s="366">
        <v>359.72</v>
      </c>
      <c r="CP35" s="366">
        <v>18.66</v>
      </c>
      <c r="CQ35" s="366">
        <v>18.66</v>
      </c>
      <c r="CR35" s="366">
        <v>312.12</v>
      </c>
      <c r="CS35" s="366">
        <v>312.12</v>
      </c>
      <c r="CT35" s="366">
        <v>321.56</v>
      </c>
      <c r="CU35" s="366">
        <v>313.69</v>
      </c>
      <c r="CV35" s="366">
        <v>316.29000000000002</v>
      </c>
      <c r="CW35" s="366">
        <v>294.99</v>
      </c>
      <c r="CX35" s="366">
        <v>117.47</v>
      </c>
      <c r="CY35" s="366">
        <v>331.11</v>
      </c>
      <c r="CZ35" s="366">
        <v>352.35</v>
      </c>
      <c r="DA35" s="366">
        <v>390.54</v>
      </c>
      <c r="DB35" s="366">
        <v>274.38</v>
      </c>
      <c r="DC35" s="366">
        <v>274.38</v>
      </c>
      <c r="DD35" s="366">
        <v>251.07</v>
      </c>
      <c r="DE35" s="366">
        <v>468.17</v>
      </c>
      <c r="DF35" s="366">
        <v>603.89</v>
      </c>
      <c r="DG35" s="366">
        <v>49.15</v>
      </c>
      <c r="DH35" s="366">
        <v>530.73</v>
      </c>
      <c r="DI35" s="366">
        <v>305.29000000000002</v>
      </c>
      <c r="DJ35" s="366">
        <v>368.55</v>
      </c>
      <c r="DK35" s="366">
        <v>209.87</v>
      </c>
      <c r="DL35" s="366">
        <v>166.79</v>
      </c>
      <c r="DM35" s="366">
        <v>317.75</v>
      </c>
      <c r="DN35" s="366">
        <v>320.05</v>
      </c>
      <c r="DO35" s="366">
        <v>236.44</v>
      </c>
      <c r="DP35" s="366">
        <v>212.76</v>
      </c>
      <c r="DQ35" s="366">
        <v>280.48</v>
      </c>
      <c r="DR35" s="366">
        <v>530.73</v>
      </c>
      <c r="DS35" s="366">
        <v>337.59</v>
      </c>
      <c r="DT35" s="366">
        <v>325.88</v>
      </c>
      <c r="DU35" s="366">
        <v>420.88</v>
      </c>
      <c r="DV35" s="366">
        <v>358.57</v>
      </c>
      <c r="DW35" s="366">
        <v>162.52000000000001</v>
      </c>
      <c r="DX35" s="366">
        <v>255.46</v>
      </c>
      <c r="DY35" s="366">
        <v>328.85</v>
      </c>
      <c r="DZ35" s="366">
        <v>260.74</v>
      </c>
      <c r="EA35" s="366">
        <v>343.39</v>
      </c>
      <c r="EB35" s="366">
        <v>322.85000000000002</v>
      </c>
      <c r="EC35" s="366">
        <v>256.38</v>
      </c>
      <c r="ED35" s="366">
        <v>335.06</v>
      </c>
      <c r="EE35" s="366">
        <v>345.85</v>
      </c>
      <c r="EF35" s="366">
        <v>102.99</v>
      </c>
      <c r="EG35" s="366">
        <v>307.74</v>
      </c>
      <c r="EH35" s="366">
        <v>307.74</v>
      </c>
      <c r="EI35" s="366">
        <v>87.33</v>
      </c>
      <c r="EJ35" s="366">
        <v>518.79</v>
      </c>
      <c r="EK35" s="366">
        <v>131.47999999999999</v>
      </c>
      <c r="EL35" s="366">
        <v>131.47999999999999</v>
      </c>
      <c r="EM35" s="366">
        <v>225.59</v>
      </c>
      <c r="EN35" s="366">
        <v>225.59</v>
      </c>
      <c r="EO35" s="366">
        <v>183.01</v>
      </c>
      <c r="EP35" s="366">
        <v>166.45</v>
      </c>
      <c r="EQ35" s="366">
        <v>315.94</v>
      </c>
      <c r="ER35" s="366">
        <v>505.08</v>
      </c>
      <c r="ES35" s="366">
        <v>330.07</v>
      </c>
      <c r="ET35" s="366">
        <v>43.32</v>
      </c>
      <c r="EU35" s="366">
        <v>555.53</v>
      </c>
      <c r="EV35" s="366">
        <v>263.91000000000003</v>
      </c>
      <c r="EW35" s="366">
        <v>88.25</v>
      </c>
      <c r="EX35" s="366">
        <v>306.81</v>
      </c>
      <c r="EY35" s="366">
        <v>306.81</v>
      </c>
      <c r="EZ35" s="366">
        <v>270.13</v>
      </c>
      <c r="FA35" s="366">
        <v>222.76</v>
      </c>
      <c r="FB35" s="366">
        <v>194.17</v>
      </c>
      <c r="FC35" s="366">
        <v>275.60000000000002</v>
      </c>
      <c r="FD35" s="366">
        <v>130.79</v>
      </c>
      <c r="FE35" s="366">
        <v>91.16</v>
      </c>
      <c r="FF35" s="366">
        <v>66.34</v>
      </c>
      <c r="FG35" s="366">
        <v>387.39</v>
      </c>
      <c r="FH35" s="366">
        <v>387.39</v>
      </c>
      <c r="FI35" s="366">
        <v>244.78</v>
      </c>
      <c r="FJ35" s="366">
        <v>250.57</v>
      </c>
      <c r="FK35" s="366">
        <v>357.81</v>
      </c>
      <c r="FL35" s="366">
        <v>356</v>
      </c>
      <c r="FM35" s="366">
        <v>183.01</v>
      </c>
      <c r="FN35" s="366">
        <v>294.66000000000003</v>
      </c>
      <c r="FO35" s="366">
        <v>351.76</v>
      </c>
      <c r="FP35" s="366">
        <v>307.95</v>
      </c>
      <c r="FQ35" s="366">
        <v>355.63</v>
      </c>
      <c r="FR35" s="366">
        <v>238.89</v>
      </c>
      <c r="FS35" s="366">
        <v>67.05</v>
      </c>
      <c r="FT35" s="366">
        <v>383.71</v>
      </c>
      <c r="FU35" s="366">
        <v>91.19</v>
      </c>
      <c r="FV35" s="366">
        <v>619.42999999999995</v>
      </c>
      <c r="FW35" s="366">
        <v>619.42999999999995</v>
      </c>
      <c r="FX35" s="366">
        <v>619.42999999999995</v>
      </c>
      <c r="FY35" s="366">
        <v>171.9</v>
      </c>
      <c r="FZ35" s="366">
        <v>81.069999999999993</v>
      </c>
      <c r="GA35" s="366">
        <v>299.05</v>
      </c>
      <c r="GB35" s="366">
        <v>105.52</v>
      </c>
      <c r="GC35" s="366">
        <v>335.06</v>
      </c>
      <c r="GD35" s="366">
        <v>229.55</v>
      </c>
      <c r="GE35" s="366">
        <v>321.66000000000003</v>
      </c>
      <c r="GF35" s="366">
        <v>104.72</v>
      </c>
      <c r="GG35" s="366">
        <v>104.72</v>
      </c>
      <c r="GH35" s="366">
        <v>347.5</v>
      </c>
      <c r="GI35" s="366">
        <v>183.17</v>
      </c>
      <c r="GJ35" s="366">
        <v>183.01</v>
      </c>
      <c r="GK35" s="366">
        <v>354.36</v>
      </c>
      <c r="GL35" s="366">
        <v>73.66</v>
      </c>
      <c r="GM35" s="366">
        <v>73.66</v>
      </c>
      <c r="GN35" s="366">
        <v>73.66</v>
      </c>
      <c r="GO35" s="366">
        <v>148.44999999999999</v>
      </c>
      <c r="GP35" s="366">
        <v>304.45999999999998</v>
      </c>
      <c r="GQ35" s="366">
        <v>400.07</v>
      </c>
      <c r="GR35" s="366">
        <v>211.24</v>
      </c>
      <c r="GS35" s="366">
        <v>77.78</v>
      </c>
      <c r="GT35" s="366">
        <v>307.74</v>
      </c>
      <c r="GU35" s="366">
        <v>164.75</v>
      </c>
      <c r="GV35" s="366">
        <v>525.98</v>
      </c>
      <c r="GW35" s="366">
        <v>49.64</v>
      </c>
      <c r="GX35" s="366">
        <v>304.31</v>
      </c>
      <c r="GY35" s="366">
        <v>0.97</v>
      </c>
      <c r="GZ35" s="366">
        <v>130.51</v>
      </c>
      <c r="HA35" s="366">
        <v>357.17</v>
      </c>
      <c r="HB35" s="366">
        <v>357.17</v>
      </c>
      <c r="HC35" s="366">
        <v>357.17</v>
      </c>
      <c r="HD35" s="366">
        <v>297.02999999999997</v>
      </c>
      <c r="HE35" s="366">
        <v>219.44</v>
      </c>
      <c r="HF35" s="366">
        <v>175.73</v>
      </c>
      <c r="HG35" s="366">
        <v>303.38</v>
      </c>
      <c r="HH35" s="366">
        <v>303.38</v>
      </c>
      <c r="HI35" s="366">
        <v>303.38</v>
      </c>
      <c r="HJ35" s="366">
        <v>83.85</v>
      </c>
      <c r="HK35" s="366">
        <v>234.36</v>
      </c>
      <c r="HL35" s="366">
        <v>238.98</v>
      </c>
      <c r="HM35" s="366">
        <v>180.29</v>
      </c>
      <c r="HN35" s="366">
        <v>183.01</v>
      </c>
      <c r="HO35" s="366">
        <v>588.73</v>
      </c>
      <c r="HP35" s="366">
        <v>131.22999999999999</v>
      </c>
      <c r="HQ35" s="366">
        <v>619.42999999999995</v>
      </c>
      <c r="HR35" s="366">
        <v>440.74</v>
      </c>
      <c r="HS35" s="366">
        <v>179.26</v>
      </c>
      <c r="HT35" s="366">
        <v>61.58</v>
      </c>
      <c r="HU35" s="366">
        <v>28.83</v>
      </c>
      <c r="HV35" s="366">
        <v>110.61</v>
      </c>
    </row>
    <row r="36" spans="1:230">
      <c r="A36" s="366" t="s">
        <v>59</v>
      </c>
      <c r="B36" s="366">
        <v>555.53</v>
      </c>
      <c r="C36" s="366">
        <v>330.17</v>
      </c>
      <c r="D36" s="366">
        <v>230.94</v>
      </c>
      <c r="E36" s="366">
        <v>230.94</v>
      </c>
      <c r="F36" s="366">
        <v>619.42999999999995</v>
      </c>
      <c r="G36" s="366">
        <v>427</v>
      </c>
      <c r="H36" s="366">
        <v>274.56</v>
      </c>
      <c r="I36" s="366">
        <v>46.05</v>
      </c>
      <c r="J36" s="366">
        <v>298.33999999999997</v>
      </c>
      <c r="K36" s="366">
        <v>298.33999999999997</v>
      </c>
      <c r="L36" s="366">
        <v>221.55</v>
      </c>
      <c r="M36" s="366">
        <v>355.59</v>
      </c>
      <c r="N36" s="366">
        <v>452.49</v>
      </c>
      <c r="O36" s="366">
        <v>205.6</v>
      </c>
      <c r="P36" s="366">
        <v>205.6</v>
      </c>
      <c r="Q36" s="366">
        <v>205.6</v>
      </c>
      <c r="R36" s="366">
        <v>205.6</v>
      </c>
      <c r="S36" s="366">
        <v>205.6</v>
      </c>
      <c r="T36" s="366">
        <v>120.55</v>
      </c>
      <c r="U36" s="366">
        <v>535.04</v>
      </c>
      <c r="V36" s="366">
        <v>294.99</v>
      </c>
      <c r="W36" s="366">
        <v>263.91000000000003</v>
      </c>
      <c r="X36" s="366">
        <v>263.91000000000003</v>
      </c>
      <c r="Y36" s="366">
        <v>263.91000000000003</v>
      </c>
      <c r="Z36" s="366">
        <v>332.73</v>
      </c>
      <c r="AA36" s="366">
        <v>421.17</v>
      </c>
      <c r="AB36" s="366">
        <v>180.29</v>
      </c>
      <c r="AC36" s="366">
        <v>182.75</v>
      </c>
      <c r="AD36" s="366">
        <v>182.75</v>
      </c>
      <c r="AE36" s="366">
        <v>180.04</v>
      </c>
      <c r="AF36" s="366">
        <v>440.74</v>
      </c>
      <c r="AG36" s="366">
        <v>265.43</v>
      </c>
      <c r="AH36" s="366">
        <v>0</v>
      </c>
      <c r="AI36" s="366">
        <v>0</v>
      </c>
      <c r="AJ36" s="366">
        <v>0</v>
      </c>
      <c r="AK36" s="366">
        <v>354.93</v>
      </c>
      <c r="AL36" s="366">
        <v>354.93</v>
      </c>
      <c r="AM36" s="366">
        <v>183.01</v>
      </c>
      <c r="AN36" s="366">
        <v>164.77</v>
      </c>
      <c r="AO36" s="366">
        <v>434.12</v>
      </c>
      <c r="AP36" s="366">
        <v>109.27</v>
      </c>
      <c r="AQ36" s="366">
        <v>575.97</v>
      </c>
      <c r="AR36" s="366">
        <v>361.11</v>
      </c>
      <c r="AS36" s="366">
        <v>146.1</v>
      </c>
      <c r="AT36" s="366">
        <v>146.1</v>
      </c>
      <c r="AU36" s="366">
        <v>209.85</v>
      </c>
      <c r="AV36" s="366">
        <v>566.09</v>
      </c>
      <c r="AW36" s="366">
        <v>307.74</v>
      </c>
      <c r="AX36" s="366">
        <v>127.23</v>
      </c>
      <c r="AY36" s="366">
        <v>488.2</v>
      </c>
      <c r="AZ36" s="366">
        <v>298.79000000000002</v>
      </c>
      <c r="BA36" s="366">
        <v>396.35</v>
      </c>
      <c r="BB36" s="366">
        <v>491.09</v>
      </c>
      <c r="BC36" s="366">
        <v>338.41</v>
      </c>
      <c r="BD36" s="366">
        <v>248.18</v>
      </c>
      <c r="BE36" s="366">
        <v>299.05</v>
      </c>
      <c r="BF36" s="366">
        <v>177.26</v>
      </c>
      <c r="BG36" s="366">
        <v>340.28</v>
      </c>
      <c r="BH36" s="366">
        <v>205.6</v>
      </c>
      <c r="BI36" s="366">
        <v>361.14</v>
      </c>
      <c r="BJ36" s="366">
        <v>278.39999999999998</v>
      </c>
      <c r="BK36" s="366">
        <v>366.57</v>
      </c>
      <c r="BL36" s="366">
        <v>223.94</v>
      </c>
      <c r="BM36" s="366">
        <v>247.15</v>
      </c>
      <c r="BN36" s="366">
        <v>461.36</v>
      </c>
      <c r="BO36" s="366">
        <v>408.77</v>
      </c>
      <c r="BP36" s="366">
        <v>374.63</v>
      </c>
      <c r="BQ36" s="366">
        <v>25.35</v>
      </c>
      <c r="BR36" s="366">
        <v>25.35</v>
      </c>
      <c r="BS36" s="366">
        <v>306.36</v>
      </c>
      <c r="BT36" s="366">
        <v>345.57</v>
      </c>
      <c r="BU36" s="366">
        <v>160.79</v>
      </c>
      <c r="BV36" s="366">
        <v>180.41</v>
      </c>
      <c r="BW36" s="366">
        <v>269.14</v>
      </c>
      <c r="BX36" s="366">
        <v>247.45</v>
      </c>
      <c r="BY36" s="366">
        <v>322.47000000000003</v>
      </c>
      <c r="BZ36" s="366">
        <v>322.47000000000003</v>
      </c>
      <c r="CA36" s="366">
        <v>268.94</v>
      </c>
      <c r="CB36" s="366">
        <v>265.88</v>
      </c>
      <c r="CC36" s="366">
        <v>98.4</v>
      </c>
      <c r="CD36" s="366">
        <v>103.68</v>
      </c>
      <c r="CE36" s="366">
        <v>349.8</v>
      </c>
      <c r="CF36" s="366">
        <v>439.47</v>
      </c>
      <c r="CG36" s="366">
        <v>439.47</v>
      </c>
      <c r="CH36" s="366">
        <v>40.35</v>
      </c>
      <c r="CI36" s="366">
        <v>78.8</v>
      </c>
      <c r="CJ36" s="366">
        <v>450.42</v>
      </c>
      <c r="CK36" s="366">
        <v>327.56</v>
      </c>
      <c r="CL36" s="366">
        <v>223.64</v>
      </c>
      <c r="CM36" s="366">
        <v>284.69</v>
      </c>
      <c r="CN36" s="366">
        <v>227.77</v>
      </c>
      <c r="CO36" s="366">
        <v>359.72</v>
      </c>
      <c r="CP36" s="366">
        <v>18.66</v>
      </c>
      <c r="CQ36" s="366">
        <v>18.66</v>
      </c>
      <c r="CR36" s="366">
        <v>312.12</v>
      </c>
      <c r="CS36" s="366">
        <v>312.12</v>
      </c>
      <c r="CT36" s="366">
        <v>321.56</v>
      </c>
      <c r="CU36" s="366">
        <v>313.69</v>
      </c>
      <c r="CV36" s="366">
        <v>316.29000000000002</v>
      </c>
      <c r="CW36" s="366">
        <v>294.99</v>
      </c>
      <c r="CX36" s="366">
        <v>117.47</v>
      </c>
      <c r="CY36" s="366">
        <v>331.11</v>
      </c>
      <c r="CZ36" s="366">
        <v>352.35</v>
      </c>
      <c r="DA36" s="366">
        <v>390.54</v>
      </c>
      <c r="DB36" s="366">
        <v>274.38</v>
      </c>
      <c r="DC36" s="366">
        <v>274.38</v>
      </c>
      <c r="DD36" s="366">
        <v>251.07</v>
      </c>
      <c r="DE36" s="366">
        <v>468.17</v>
      </c>
      <c r="DF36" s="366">
        <v>603.89</v>
      </c>
      <c r="DG36" s="366">
        <v>49.15</v>
      </c>
      <c r="DH36" s="366">
        <v>530.73</v>
      </c>
      <c r="DI36" s="366">
        <v>305.29000000000002</v>
      </c>
      <c r="DJ36" s="366">
        <v>368.55</v>
      </c>
      <c r="DK36" s="366">
        <v>209.87</v>
      </c>
      <c r="DL36" s="366">
        <v>166.79</v>
      </c>
      <c r="DM36" s="366">
        <v>317.75</v>
      </c>
      <c r="DN36" s="366">
        <v>320.05</v>
      </c>
      <c r="DO36" s="366">
        <v>236.44</v>
      </c>
      <c r="DP36" s="366">
        <v>212.76</v>
      </c>
      <c r="DQ36" s="366">
        <v>280.48</v>
      </c>
      <c r="DR36" s="366">
        <v>530.73</v>
      </c>
      <c r="DS36" s="366">
        <v>337.59</v>
      </c>
      <c r="DT36" s="366">
        <v>325.88</v>
      </c>
      <c r="DU36" s="366">
        <v>420.88</v>
      </c>
      <c r="DV36" s="366">
        <v>358.57</v>
      </c>
      <c r="DW36" s="366">
        <v>162.52000000000001</v>
      </c>
      <c r="DX36" s="366">
        <v>255.46</v>
      </c>
      <c r="DY36" s="366">
        <v>328.85</v>
      </c>
      <c r="DZ36" s="366">
        <v>260.74</v>
      </c>
      <c r="EA36" s="366">
        <v>343.39</v>
      </c>
      <c r="EB36" s="366">
        <v>322.85000000000002</v>
      </c>
      <c r="EC36" s="366">
        <v>256.38</v>
      </c>
      <c r="ED36" s="366">
        <v>335.06</v>
      </c>
      <c r="EE36" s="366">
        <v>345.85</v>
      </c>
      <c r="EF36" s="366">
        <v>102.99</v>
      </c>
      <c r="EG36" s="366">
        <v>307.74</v>
      </c>
      <c r="EH36" s="366">
        <v>307.74</v>
      </c>
      <c r="EI36" s="366">
        <v>87.33</v>
      </c>
      <c r="EJ36" s="366">
        <v>518.79</v>
      </c>
      <c r="EK36" s="366">
        <v>131.47999999999999</v>
      </c>
      <c r="EL36" s="366">
        <v>131.47999999999999</v>
      </c>
      <c r="EM36" s="366">
        <v>225.59</v>
      </c>
      <c r="EN36" s="366">
        <v>225.59</v>
      </c>
      <c r="EO36" s="366">
        <v>183.01</v>
      </c>
      <c r="EP36" s="366">
        <v>166.45</v>
      </c>
      <c r="EQ36" s="366">
        <v>315.94</v>
      </c>
      <c r="ER36" s="366">
        <v>505.08</v>
      </c>
      <c r="ES36" s="366">
        <v>330.07</v>
      </c>
      <c r="ET36" s="366">
        <v>43.32</v>
      </c>
      <c r="EU36" s="366">
        <v>555.53</v>
      </c>
      <c r="EV36" s="366">
        <v>263.91000000000003</v>
      </c>
      <c r="EW36" s="366">
        <v>88.25</v>
      </c>
      <c r="EX36" s="366">
        <v>306.81</v>
      </c>
      <c r="EY36" s="366">
        <v>306.81</v>
      </c>
      <c r="EZ36" s="366">
        <v>270.13</v>
      </c>
      <c r="FA36" s="366">
        <v>222.76</v>
      </c>
      <c r="FB36" s="366">
        <v>194.17</v>
      </c>
      <c r="FC36" s="366">
        <v>275.60000000000002</v>
      </c>
      <c r="FD36" s="366">
        <v>130.79</v>
      </c>
      <c r="FE36" s="366">
        <v>91.16</v>
      </c>
      <c r="FF36" s="366">
        <v>66.34</v>
      </c>
      <c r="FG36" s="366">
        <v>387.39</v>
      </c>
      <c r="FH36" s="366">
        <v>387.39</v>
      </c>
      <c r="FI36" s="366">
        <v>244.78</v>
      </c>
      <c r="FJ36" s="366">
        <v>250.57</v>
      </c>
      <c r="FK36" s="366">
        <v>357.81</v>
      </c>
      <c r="FL36" s="366">
        <v>356</v>
      </c>
      <c r="FM36" s="366">
        <v>183.01</v>
      </c>
      <c r="FN36" s="366">
        <v>294.66000000000003</v>
      </c>
      <c r="FO36" s="366">
        <v>351.76</v>
      </c>
      <c r="FP36" s="366">
        <v>307.95</v>
      </c>
      <c r="FQ36" s="366">
        <v>355.63</v>
      </c>
      <c r="FR36" s="366">
        <v>238.89</v>
      </c>
      <c r="FS36" s="366">
        <v>67.05</v>
      </c>
      <c r="FT36" s="366">
        <v>383.71</v>
      </c>
      <c r="FU36" s="366">
        <v>91.19</v>
      </c>
      <c r="FV36" s="366">
        <v>619.42999999999995</v>
      </c>
      <c r="FW36" s="366">
        <v>619.42999999999995</v>
      </c>
      <c r="FX36" s="366">
        <v>619.42999999999995</v>
      </c>
      <c r="FY36" s="366">
        <v>171.9</v>
      </c>
      <c r="FZ36" s="366">
        <v>81.069999999999993</v>
      </c>
      <c r="GA36" s="366">
        <v>299.05</v>
      </c>
      <c r="GB36" s="366">
        <v>105.52</v>
      </c>
      <c r="GC36" s="366">
        <v>335.06</v>
      </c>
      <c r="GD36" s="366">
        <v>229.55</v>
      </c>
      <c r="GE36" s="366">
        <v>321.66000000000003</v>
      </c>
      <c r="GF36" s="366">
        <v>104.72</v>
      </c>
      <c r="GG36" s="366">
        <v>104.72</v>
      </c>
      <c r="GH36" s="366">
        <v>347.5</v>
      </c>
      <c r="GI36" s="366">
        <v>183.17</v>
      </c>
      <c r="GJ36" s="366">
        <v>183.01</v>
      </c>
      <c r="GK36" s="366">
        <v>354.36</v>
      </c>
      <c r="GL36" s="366">
        <v>73.66</v>
      </c>
      <c r="GM36" s="366">
        <v>73.66</v>
      </c>
      <c r="GN36" s="366">
        <v>73.66</v>
      </c>
      <c r="GO36" s="366">
        <v>148.44999999999999</v>
      </c>
      <c r="GP36" s="366">
        <v>304.45999999999998</v>
      </c>
      <c r="GQ36" s="366">
        <v>400.07</v>
      </c>
      <c r="GR36" s="366">
        <v>211.24</v>
      </c>
      <c r="GS36" s="366">
        <v>77.78</v>
      </c>
      <c r="GT36" s="366">
        <v>307.74</v>
      </c>
      <c r="GU36" s="366">
        <v>164.75</v>
      </c>
      <c r="GV36" s="366">
        <v>525.98</v>
      </c>
      <c r="GW36" s="366">
        <v>49.64</v>
      </c>
      <c r="GX36" s="366">
        <v>304.31</v>
      </c>
      <c r="GY36" s="366">
        <v>0.97</v>
      </c>
      <c r="GZ36" s="366">
        <v>130.51</v>
      </c>
      <c r="HA36" s="366">
        <v>357.17</v>
      </c>
      <c r="HB36" s="366">
        <v>357.17</v>
      </c>
      <c r="HC36" s="366">
        <v>357.17</v>
      </c>
      <c r="HD36" s="366">
        <v>297.02999999999997</v>
      </c>
      <c r="HE36" s="366">
        <v>219.44</v>
      </c>
      <c r="HF36" s="366">
        <v>175.73</v>
      </c>
      <c r="HG36" s="366">
        <v>303.38</v>
      </c>
      <c r="HH36" s="366">
        <v>303.38</v>
      </c>
      <c r="HI36" s="366">
        <v>303.38</v>
      </c>
      <c r="HJ36" s="366">
        <v>83.85</v>
      </c>
      <c r="HK36" s="366">
        <v>234.36</v>
      </c>
      <c r="HL36" s="366">
        <v>238.98</v>
      </c>
      <c r="HM36" s="366">
        <v>180.29</v>
      </c>
      <c r="HN36" s="366">
        <v>183.01</v>
      </c>
      <c r="HO36" s="366">
        <v>588.73</v>
      </c>
      <c r="HP36" s="366">
        <v>131.22999999999999</v>
      </c>
      <c r="HQ36" s="366">
        <v>619.42999999999995</v>
      </c>
      <c r="HR36" s="366">
        <v>440.74</v>
      </c>
      <c r="HS36" s="366">
        <v>179.26</v>
      </c>
      <c r="HT36" s="366">
        <v>61.58</v>
      </c>
      <c r="HU36" s="366">
        <v>28.83</v>
      </c>
      <c r="HV36" s="366">
        <v>110.61</v>
      </c>
    </row>
    <row r="37" spans="1:230">
      <c r="A37" s="366" t="s">
        <v>60</v>
      </c>
      <c r="B37" s="366">
        <v>910.46</v>
      </c>
      <c r="C37" s="366">
        <v>166.02</v>
      </c>
      <c r="D37" s="366">
        <v>356.69</v>
      </c>
      <c r="E37" s="366">
        <v>356.69</v>
      </c>
      <c r="F37" s="366">
        <v>974.36</v>
      </c>
      <c r="G37" s="366">
        <v>781.93</v>
      </c>
      <c r="H37" s="366">
        <v>400.31</v>
      </c>
      <c r="I37" s="366">
        <v>400.98</v>
      </c>
      <c r="J37" s="366">
        <v>424.09</v>
      </c>
      <c r="K37" s="366">
        <v>424.09</v>
      </c>
      <c r="L37" s="366">
        <v>344.2</v>
      </c>
      <c r="M37" s="366">
        <v>191.64</v>
      </c>
      <c r="N37" s="366">
        <v>167.6</v>
      </c>
      <c r="O37" s="366">
        <v>356.01</v>
      </c>
      <c r="P37" s="366">
        <v>356.01</v>
      </c>
      <c r="Q37" s="366">
        <v>356.01</v>
      </c>
      <c r="R37" s="366">
        <v>356.01</v>
      </c>
      <c r="S37" s="366">
        <v>356.01</v>
      </c>
      <c r="T37" s="366">
        <v>475.48</v>
      </c>
      <c r="U37" s="366">
        <v>889.97</v>
      </c>
      <c r="V37" s="366">
        <v>309.07</v>
      </c>
      <c r="W37" s="366">
        <v>618.84</v>
      </c>
      <c r="X37" s="366">
        <v>618.84</v>
      </c>
      <c r="Y37" s="366">
        <v>618.84</v>
      </c>
      <c r="Z37" s="366">
        <v>22.2</v>
      </c>
      <c r="AA37" s="366">
        <v>776.1</v>
      </c>
      <c r="AB37" s="366">
        <v>535.22</v>
      </c>
      <c r="AC37" s="366">
        <v>537.67999999999995</v>
      </c>
      <c r="AD37" s="366">
        <v>537.67999999999995</v>
      </c>
      <c r="AE37" s="366">
        <v>305.79000000000002</v>
      </c>
      <c r="AF37" s="366">
        <v>795.67</v>
      </c>
      <c r="AG37" s="366">
        <v>620.36</v>
      </c>
      <c r="AH37" s="366">
        <v>354.93</v>
      </c>
      <c r="AI37" s="366">
        <v>354.93</v>
      </c>
      <c r="AJ37" s="366">
        <v>354.93</v>
      </c>
      <c r="AK37" s="366">
        <v>0</v>
      </c>
      <c r="AL37" s="366">
        <v>0</v>
      </c>
      <c r="AM37" s="366">
        <v>537.94000000000005</v>
      </c>
      <c r="AN37" s="366">
        <v>319.33999999999997</v>
      </c>
      <c r="AO37" s="366">
        <v>789.05</v>
      </c>
      <c r="AP37" s="366">
        <v>464.2</v>
      </c>
      <c r="AQ37" s="366">
        <v>930.9</v>
      </c>
      <c r="AR37" s="366">
        <v>486.86</v>
      </c>
      <c r="AS37" s="366">
        <v>271.85000000000002</v>
      </c>
      <c r="AT37" s="366">
        <v>271.85000000000002</v>
      </c>
      <c r="AU37" s="366">
        <v>223.93</v>
      </c>
      <c r="AV37" s="366">
        <v>921.02</v>
      </c>
      <c r="AW37" s="366">
        <v>468.41</v>
      </c>
      <c r="AX37" s="366">
        <v>421.58</v>
      </c>
      <c r="AY37" s="366">
        <v>203.31</v>
      </c>
      <c r="AZ37" s="366">
        <v>215.2</v>
      </c>
      <c r="BA37" s="366">
        <v>751.280000000001</v>
      </c>
      <c r="BB37" s="366">
        <v>206.2</v>
      </c>
      <c r="BC37" s="366">
        <v>693.34</v>
      </c>
      <c r="BD37" s="366">
        <v>603.11</v>
      </c>
      <c r="BE37" s="366">
        <v>313.13</v>
      </c>
      <c r="BF37" s="366">
        <v>532.19000000000005</v>
      </c>
      <c r="BG37" s="366">
        <v>29.75</v>
      </c>
      <c r="BH37" s="366">
        <v>356.01</v>
      </c>
      <c r="BI37" s="366">
        <v>486.89</v>
      </c>
      <c r="BJ37" s="366">
        <v>111.49</v>
      </c>
      <c r="BK37" s="366">
        <v>359.66</v>
      </c>
      <c r="BL37" s="366">
        <v>349.69</v>
      </c>
      <c r="BM37" s="366">
        <v>372.9</v>
      </c>
      <c r="BN37" s="366">
        <v>816.29</v>
      </c>
      <c r="BO37" s="366">
        <v>401.86</v>
      </c>
      <c r="BP37" s="366">
        <v>367.72</v>
      </c>
      <c r="BQ37" s="366">
        <v>380.28</v>
      </c>
      <c r="BR37" s="366">
        <v>380.28</v>
      </c>
      <c r="BS37" s="366">
        <v>189.83</v>
      </c>
      <c r="BT37" s="366">
        <v>471.32</v>
      </c>
      <c r="BU37" s="366">
        <v>515.72</v>
      </c>
      <c r="BV37" s="366">
        <v>535.34</v>
      </c>
      <c r="BW37" s="366">
        <v>283.22000000000003</v>
      </c>
      <c r="BX37" s="366">
        <v>248.74</v>
      </c>
      <c r="BY37" s="366">
        <v>336.55</v>
      </c>
      <c r="BZ37" s="366">
        <v>336.55</v>
      </c>
      <c r="CA37" s="366">
        <v>500.35</v>
      </c>
      <c r="CB37" s="366">
        <v>258.97000000000003</v>
      </c>
      <c r="CC37" s="366">
        <v>392.75</v>
      </c>
      <c r="CD37" s="366">
        <v>395.15</v>
      </c>
      <c r="CE37" s="366">
        <v>342.89</v>
      </c>
      <c r="CF37" s="366">
        <v>794.4</v>
      </c>
      <c r="CG37" s="366">
        <v>794.4</v>
      </c>
      <c r="CH37" s="366">
        <v>395.28</v>
      </c>
      <c r="CI37" s="366">
        <v>298.19</v>
      </c>
      <c r="CJ37" s="366">
        <v>805.35</v>
      </c>
      <c r="CK37" s="366">
        <v>341.64</v>
      </c>
      <c r="CL37" s="366">
        <v>237.72</v>
      </c>
      <c r="CM37" s="366">
        <v>639.62</v>
      </c>
      <c r="CN37" s="366">
        <v>127.16</v>
      </c>
      <c r="CO37" s="366">
        <v>485.47</v>
      </c>
      <c r="CP37" s="366">
        <v>373.59</v>
      </c>
      <c r="CQ37" s="366">
        <v>373.59</v>
      </c>
      <c r="CR37" s="366">
        <v>437.87</v>
      </c>
      <c r="CS37" s="366">
        <v>437.87</v>
      </c>
      <c r="CT37" s="366">
        <v>447.31</v>
      </c>
      <c r="CU37" s="366">
        <v>439.44</v>
      </c>
      <c r="CV37" s="366">
        <v>442.04</v>
      </c>
      <c r="CW37" s="366">
        <v>309.07</v>
      </c>
      <c r="CX37" s="366">
        <v>411.82</v>
      </c>
      <c r="CY37" s="366">
        <v>686.04000000000099</v>
      </c>
      <c r="CZ37" s="366">
        <v>707.28</v>
      </c>
      <c r="DA37" s="366">
        <v>105.65</v>
      </c>
      <c r="DB37" s="366">
        <v>83.08</v>
      </c>
      <c r="DC37" s="366">
        <v>83.08</v>
      </c>
      <c r="DD37" s="366">
        <v>606</v>
      </c>
      <c r="DE37" s="366">
        <v>183.28</v>
      </c>
      <c r="DF37" s="366">
        <v>958.82</v>
      </c>
      <c r="DG37" s="366">
        <v>327.84</v>
      </c>
      <c r="DH37" s="366">
        <v>245.84</v>
      </c>
      <c r="DI37" s="366">
        <v>660.22</v>
      </c>
      <c r="DJ37" s="366">
        <v>723.48</v>
      </c>
      <c r="DK37" s="366">
        <v>286.32</v>
      </c>
      <c r="DL37" s="366">
        <v>521.72</v>
      </c>
      <c r="DM37" s="366">
        <v>178.44</v>
      </c>
      <c r="DN37" s="366">
        <v>674.98</v>
      </c>
      <c r="DO37" s="366">
        <v>264.32</v>
      </c>
      <c r="DP37" s="366">
        <v>567.69000000000005</v>
      </c>
      <c r="DQ37" s="366">
        <v>294.56</v>
      </c>
      <c r="DR37" s="366">
        <v>245.84</v>
      </c>
      <c r="DS37" s="366">
        <v>463.34</v>
      </c>
      <c r="DT37" s="366">
        <v>451.63</v>
      </c>
      <c r="DU37" s="366">
        <v>75.31</v>
      </c>
      <c r="DV37" s="366">
        <v>8.6</v>
      </c>
      <c r="DW37" s="366">
        <v>288.27</v>
      </c>
      <c r="DX37" s="366">
        <v>269.54000000000002</v>
      </c>
      <c r="DY37" s="366">
        <v>342.93</v>
      </c>
      <c r="DZ37" s="366">
        <v>615.66999999999996</v>
      </c>
      <c r="EA37" s="366">
        <v>469.14</v>
      </c>
      <c r="EB37" s="366">
        <v>336.93</v>
      </c>
      <c r="EC37" s="366">
        <v>382.13</v>
      </c>
      <c r="ED37" s="366">
        <v>689.99</v>
      </c>
      <c r="EE37" s="366">
        <v>700.78</v>
      </c>
      <c r="EF37" s="366">
        <v>457.92</v>
      </c>
      <c r="EG37" s="366">
        <v>468.41</v>
      </c>
      <c r="EH37" s="366">
        <v>468.41</v>
      </c>
      <c r="EI37" s="366">
        <v>378.8</v>
      </c>
      <c r="EJ37" s="366">
        <v>511.88</v>
      </c>
      <c r="EK37" s="366">
        <v>257.23</v>
      </c>
      <c r="EL37" s="366">
        <v>257.23</v>
      </c>
      <c r="EM37" s="366">
        <v>189.2</v>
      </c>
      <c r="EN37" s="366">
        <v>189.2</v>
      </c>
      <c r="EO37" s="366">
        <v>537.94000000000005</v>
      </c>
      <c r="EP37" s="366">
        <v>460.8</v>
      </c>
      <c r="EQ37" s="366">
        <v>456.8</v>
      </c>
      <c r="ER37" s="366">
        <v>860.01</v>
      </c>
      <c r="ES37" s="366">
        <v>166.12</v>
      </c>
      <c r="ET37" s="366">
        <v>398.25</v>
      </c>
      <c r="EU37" s="366">
        <v>910.46</v>
      </c>
      <c r="EV37" s="366">
        <v>618.84</v>
      </c>
      <c r="EW37" s="366">
        <v>379.72</v>
      </c>
      <c r="EX37" s="366">
        <v>299.89999999999998</v>
      </c>
      <c r="EY37" s="366">
        <v>299.89999999999998</v>
      </c>
      <c r="EZ37" s="366">
        <v>291.48</v>
      </c>
      <c r="FA37" s="366">
        <v>211.02</v>
      </c>
      <c r="FB37" s="366">
        <v>302.02</v>
      </c>
      <c r="FC37" s="366">
        <v>289.68</v>
      </c>
      <c r="FD37" s="366">
        <v>285.36</v>
      </c>
      <c r="FE37" s="366">
        <v>382.63</v>
      </c>
      <c r="FF37" s="366">
        <v>357.81</v>
      </c>
      <c r="FG37" s="366">
        <v>742.32</v>
      </c>
      <c r="FH37" s="366">
        <v>742.32</v>
      </c>
      <c r="FI37" s="366">
        <v>599.71</v>
      </c>
      <c r="FJ37" s="366">
        <v>605.5</v>
      </c>
      <c r="FK37" s="366">
        <v>193.86</v>
      </c>
      <c r="FL37" s="366">
        <v>192.05</v>
      </c>
      <c r="FM37" s="366">
        <v>537.94000000000005</v>
      </c>
      <c r="FN37" s="366">
        <v>649.59</v>
      </c>
      <c r="FO37" s="366">
        <v>477.51</v>
      </c>
      <c r="FP37" s="366">
        <v>322.02999999999997</v>
      </c>
      <c r="FQ37" s="366">
        <v>481.38</v>
      </c>
      <c r="FR37" s="366">
        <v>361.54</v>
      </c>
      <c r="FS37" s="366">
        <v>287.88</v>
      </c>
      <c r="FT37" s="366">
        <v>738.64000000000101</v>
      </c>
      <c r="FU37" s="366">
        <v>285.8</v>
      </c>
      <c r="FV37" s="366">
        <v>974.36</v>
      </c>
      <c r="FW37" s="366">
        <v>974.36</v>
      </c>
      <c r="FX37" s="366">
        <v>974.36</v>
      </c>
      <c r="FY37" s="366">
        <v>219.27</v>
      </c>
      <c r="FZ37" s="366">
        <v>372.54</v>
      </c>
      <c r="GA37" s="366">
        <v>313.13</v>
      </c>
      <c r="GB37" s="366">
        <v>326.35000000000002</v>
      </c>
      <c r="GC37" s="366">
        <v>689.99</v>
      </c>
      <c r="GD37" s="366">
        <v>266.64</v>
      </c>
      <c r="GE37" s="366">
        <v>447.41</v>
      </c>
      <c r="GF37" s="366">
        <v>272.27</v>
      </c>
      <c r="GG37" s="366">
        <v>272.27</v>
      </c>
      <c r="GH37" s="366">
        <v>361.58</v>
      </c>
      <c r="GI37" s="366">
        <v>538.1</v>
      </c>
      <c r="GJ37" s="366">
        <v>537.94000000000005</v>
      </c>
      <c r="GK37" s="366">
        <v>190.41</v>
      </c>
      <c r="GL37" s="366">
        <v>365.13</v>
      </c>
      <c r="GM37" s="366">
        <v>365.13</v>
      </c>
      <c r="GN37" s="366">
        <v>365.13</v>
      </c>
      <c r="GO37" s="366">
        <v>503.38</v>
      </c>
      <c r="GP37" s="366">
        <v>318.54000000000002</v>
      </c>
      <c r="GQ37" s="366">
        <v>393.16</v>
      </c>
      <c r="GR37" s="366">
        <v>566.16999999999996</v>
      </c>
      <c r="GS37" s="366">
        <v>432.71</v>
      </c>
      <c r="GT37" s="366">
        <v>468.41</v>
      </c>
      <c r="GU37" s="366">
        <v>290.5</v>
      </c>
      <c r="GV37" s="366">
        <v>519.07000000000005</v>
      </c>
      <c r="GW37" s="366">
        <v>341.11</v>
      </c>
      <c r="GX37" s="366">
        <v>464.98</v>
      </c>
      <c r="GY37" s="366">
        <v>355.9</v>
      </c>
      <c r="GZ37" s="366">
        <v>285.08</v>
      </c>
      <c r="HA37" s="366">
        <v>482.92</v>
      </c>
      <c r="HB37" s="366">
        <v>482.92</v>
      </c>
      <c r="HC37" s="366">
        <v>482.92</v>
      </c>
      <c r="HD37" s="366">
        <v>651.96</v>
      </c>
      <c r="HE37" s="366">
        <v>183.05</v>
      </c>
      <c r="HF37" s="366">
        <v>179.92</v>
      </c>
      <c r="HG37" s="366">
        <v>120.06</v>
      </c>
      <c r="HH37" s="366">
        <v>120.06</v>
      </c>
      <c r="HI37" s="366">
        <v>120.06</v>
      </c>
      <c r="HJ37" s="366">
        <v>293.14</v>
      </c>
      <c r="HK37" s="366">
        <v>540.9</v>
      </c>
      <c r="HL37" s="366">
        <v>389.39</v>
      </c>
      <c r="HM37" s="366">
        <v>535.22</v>
      </c>
      <c r="HN37" s="366">
        <v>537.94000000000005</v>
      </c>
      <c r="HO37" s="366">
        <v>943.66</v>
      </c>
      <c r="HP37" s="366">
        <v>285.8</v>
      </c>
      <c r="HQ37" s="366">
        <v>974.36</v>
      </c>
      <c r="HR37" s="366">
        <v>795.67</v>
      </c>
      <c r="HS37" s="366">
        <v>534.19000000000005</v>
      </c>
      <c r="HT37" s="366">
        <v>416.51</v>
      </c>
      <c r="HU37" s="366">
        <v>383.76</v>
      </c>
      <c r="HV37" s="366">
        <v>402.08</v>
      </c>
    </row>
    <row r="38" spans="1:230">
      <c r="A38" s="366" t="s">
        <v>61</v>
      </c>
      <c r="B38" s="366">
        <v>910.46</v>
      </c>
      <c r="C38" s="366">
        <v>166.02</v>
      </c>
      <c r="D38" s="366">
        <v>356.69</v>
      </c>
      <c r="E38" s="366">
        <v>356.69</v>
      </c>
      <c r="F38" s="366">
        <v>974.36</v>
      </c>
      <c r="G38" s="366">
        <v>781.93</v>
      </c>
      <c r="H38" s="366">
        <v>400.31</v>
      </c>
      <c r="I38" s="366">
        <v>400.98</v>
      </c>
      <c r="J38" s="366">
        <v>424.09</v>
      </c>
      <c r="K38" s="366">
        <v>424.09</v>
      </c>
      <c r="L38" s="366">
        <v>344.2</v>
      </c>
      <c r="M38" s="366">
        <v>191.64</v>
      </c>
      <c r="N38" s="366">
        <v>167.6</v>
      </c>
      <c r="O38" s="366">
        <v>356.01</v>
      </c>
      <c r="P38" s="366">
        <v>356.01</v>
      </c>
      <c r="Q38" s="366">
        <v>356.01</v>
      </c>
      <c r="R38" s="366">
        <v>356.01</v>
      </c>
      <c r="S38" s="366">
        <v>356.01</v>
      </c>
      <c r="T38" s="366">
        <v>475.48</v>
      </c>
      <c r="U38" s="366">
        <v>889.97</v>
      </c>
      <c r="V38" s="366">
        <v>309.07</v>
      </c>
      <c r="W38" s="366">
        <v>618.84</v>
      </c>
      <c r="X38" s="366">
        <v>618.84</v>
      </c>
      <c r="Y38" s="366">
        <v>618.84</v>
      </c>
      <c r="Z38" s="366">
        <v>22.2</v>
      </c>
      <c r="AA38" s="366">
        <v>776.1</v>
      </c>
      <c r="AB38" s="366">
        <v>535.22</v>
      </c>
      <c r="AC38" s="366">
        <v>537.67999999999995</v>
      </c>
      <c r="AD38" s="366">
        <v>537.67999999999995</v>
      </c>
      <c r="AE38" s="366">
        <v>305.79000000000002</v>
      </c>
      <c r="AF38" s="366">
        <v>795.67</v>
      </c>
      <c r="AG38" s="366">
        <v>620.36</v>
      </c>
      <c r="AH38" s="366">
        <v>354.93</v>
      </c>
      <c r="AI38" s="366">
        <v>354.93</v>
      </c>
      <c r="AJ38" s="366">
        <v>354.93</v>
      </c>
      <c r="AK38" s="366">
        <v>0</v>
      </c>
      <c r="AL38" s="366">
        <v>0</v>
      </c>
      <c r="AM38" s="366">
        <v>537.94000000000005</v>
      </c>
      <c r="AN38" s="366">
        <v>319.33999999999997</v>
      </c>
      <c r="AO38" s="366">
        <v>789.05</v>
      </c>
      <c r="AP38" s="366">
        <v>464.2</v>
      </c>
      <c r="AQ38" s="366">
        <v>930.9</v>
      </c>
      <c r="AR38" s="366">
        <v>486.86</v>
      </c>
      <c r="AS38" s="366">
        <v>271.85000000000002</v>
      </c>
      <c r="AT38" s="366">
        <v>271.85000000000002</v>
      </c>
      <c r="AU38" s="366">
        <v>223.93</v>
      </c>
      <c r="AV38" s="366">
        <v>921.02</v>
      </c>
      <c r="AW38" s="366">
        <v>468.41</v>
      </c>
      <c r="AX38" s="366">
        <v>421.58</v>
      </c>
      <c r="AY38" s="366">
        <v>203.31</v>
      </c>
      <c r="AZ38" s="366">
        <v>215.2</v>
      </c>
      <c r="BA38" s="366">
        <v>751.280000000001</v>
      </c>
      <c r="BB38" s="366">
        <v>206.2</v>
      </c>
      <c r="BC38" s="366">
        <v>693.34</v>
      </c>
      <c r="BD38" s="366">
        <v>603.11</v>
      </c>
      <c r="BE38" s="366">
        <v>313.13</v>
      </c>
      <c r="BF38" s="366">
        <v>532.19000000000005</v>
      </c>
      <c r="BG38" s="366">
        <v>29.75</v>
      </c>
      <c r="BH38" s="366">
        <v>356.01</v>
      </c>
      <c r="BI38" s="366">
        <v>486.89</v>
      </c>
      <c r="BJ38" s="366">
        <v>111.49</v>
      </c>
      <c r="BK38" s="366">
        <v>359.66</v>
      </c>
      <c r="BL38" s="366">
        <v>349.69</v>
      </c>
      <c r="BM38" s="366">
        <v>372.9</v>
      </c>
      <c r="BN38" s="366">
        <v>816.29</v>
      </c>
      <c r="BO38" s="366">
        <v>401.86</v>
      </c>
      <c r="BP38" s="366">
        <v>367.72</v>
      </c>
      <c r="BQ38" s="366">
        <v>380.28</v>
      </c>
      <c r="BR38" s="366">
        <v>380.28</v>
      </c>
      <c r="BS38" s="366">
        <v>189.83</v>
      </c>
      <c r="BT38" s="366">
        <v>471.32</v>
      </c>
      <c r="BU38" s="366">
        <v>515.72</v>
      </c>
      <c r="BV38" s="366">
        <v>535.34</v>
      </c>
      <c r="BW38" s="366">
        <v>283.22000000000003</v>
      </c>
      <c r="BX38" s="366">
        <v>248.74</v>
      </c>
      <c r="BY38" s="366">
        <v>336.55</v>
      </c>
      <c r="BZ38" s="366">
        <v>336.55</v>
      </c>
      <c r="CA38" s="366">
        <v>500.35</v>
      </c>
      <c r="CB38" s="366">
        <v>258.97000000000003</v>
      </c>
      <c r="CC38" s="366">
        <v>392.75</v>
      </c>
      <c r="CD38" s="366">
        <v>395.15</v>
      </c>
      <c r="CE38" s="366">
        <v>342.89</v>
      </c>
      <c r="CF38" s="366">
        <v>794.4</v>
      </c>
      <c r="CG38" s="366">
        <v>794.4</v>
      </c>
      <c r="CH38" s="366">
        <v>395.28</v>
      </c>
      <c r="CI38" s="366">
        <v>298.19</v>
      </c>
      <c r="CJ38" s="366">
        <v>805.35</v>
      </c>
      <c r="CK38" s="366">
        <v>341.64</v>
      </c>
      <c r="CL38" s="366">
        <v>237.72</v>
      </c>
      <c r="CM38" s="366">
        <v>639.62</v>
      </c>
      <c r="CN38" s="366">
        <v>127.16</v>
      </c>
      <c r="CO38" s="366">
        <v>485.47</v>
      </c>
      <c r="CP38" s="366">
        <v>373.59</v>
      </c>
      <c r="CQ38" s="366">
        <v>373.59</v>
      </c>
      <c r="CR38" s="366">
        <v>437.87</v>
      </c>
      <c r="CS38" s="366">
        <v>437.87</v>
      </c>
      <c r="CT38" s="366">
        <v>447.31</v>
      </c>
      <c r="CU38" s="366">
        <v>439.44</v>
      </c>
      <c r="CV38" s="366">
        <v>442.04</v>
      </c>
      <c r="CW38" s="366">
        <v>309.07</v>
      </c>
      <c r="CX38" s="366">
        <v>411.82</v>
      </c>
      <c r="CY38" s="366">
        <v>686.04000000000099</v>
      </c>
      <c r="CZ38" s="366">
        <v>707.28</v>
      </c>
      <c r="DA38" s="366">
        <v>105.65</v>
      </c>
      <c r="DB38" s="366">
        <v>83.08</v>
      </c>
      <c r="DC38" s="366">
        <v>83.08</v>
      </c>
      <c r="DD38" s="366">
        <v>606</v>
      </c>
      <c r="DE38" s="366">
        <v>183.28</v>
      </c>
      <c r="DF38" s="366">
        <v>958.82</v>
      </c>
      <c r="DG38" s="366">
        <v>327.84</v>
      </c>
      <c r="DH38" s="366">
        <v>245.84</v>
      </c>
      <c r="DI38" s="366">
        <v>660.22</v>
      </c>
      <c r="DJ38" s="366">
        <v>723.48</v>
      </c>
      <c r="DK38" s="366">
        <v>286.32</v>
      </c>
      <c r="DL38" s="366">
        <v>521.72</v>
      </c>
      <c r="DM38" s="366">
        <v>178.44</v>
      </c>
      <c r="DN38" s="366">
        <v>674.98</v>
      </c>
      <c r="DO38" s="366">
        <v>264.32</v>
      </c>
      <c r="DP38" s="366">
        <v>567.69000000000005</v>
      </c>
      <c r="DQ38" s="366">
        <v>294.56</v>
      </c>
      <c r="DR38" s="366">
        <v>245.84</v>
      </c>
      <c r="DS38" s="366">
        <v>463.34</v>
      </c>
      <c r="DT38" s="366">
        <v>451.63</v>
      </c>
      <c r="DU38" s="366">
        <v>75.31</v>
      </c>
      <c r="DV38" s="366">
        <v>8.6</v>
      </c>
      <c r="DW38" s="366">
        <v>288.27</v>
      </c>
      <c r="DX38" s="366">
        <v>269.54000000000002</v>
      </c>
      <c r="DY38" s="366">
        <v>342.93</v>
      </c>
      <c r="DZ38" s="366">
        <v>615.66999999999996</v>
      </c>
      <c r="EA38" s="366">
        <v>469.14</v>
      </c>
      <c r="EB38" s="366">
        <v>336.93</v>
      </c>
      <c r="EC38" s="366">
        <v>382.13</v>
      </c>
      <c r="ED38" s="366">
        <v>689.99</v>
      </c>
      <c r="EE38" s="366">
        <v>700.78</v>
      </c>
      <c r="EF38" s="366">
        <v>457.92</v>
      </c>
      <c r="EG38" s="366">
        <v>468.41</v>
      </c>
      <c r="EH38" s="366">
        <v>468.41</v>
      </c>
      <c r="EI38" s="366">
        <v>378.8</v>
      </c>
      <c r="EJ38" s="366">
        <v>511.88</v>
      </c>
      <c r="EK38" s="366">
        <v>257.23</v>
      </c>
      <c r="EL38" s="366">
        <v>257.23</v>
      </c>
      <c r="EM38" s="366">
        <v>189.2</v>
      </c>
      <c r="EN38" s="366">
        <v>189.2</v>
      </c>
      <c r="EO38" s="366">
        <v>537.94000000000005</v>
      </c>
      <c r="EP38" s="366">
        <v>460.8</v>
      </c>
      <c r="EQ38" s="366">
        <v>456.8</v>
      </c>
      <c r="ER38" s="366">
        <v>860.01</v>
      </c>
      <c r="ES38" s="366">
        <v>166.12</v>
      </c>
      <c r="ET38" s="366">
        <v>398.25</v>
      </c>
      <c r="EU38" s="366">
        <v>910.46</v>
      </c>
      <c r="EV38" s="366">
        <v>618.84</v>
      </c>
      <c r="EW38" s="366">
        <v>379.72</v>
      </c>
      <c r="EX38" s="366">
        <v>299.89999999999998</v>
      </c>
      <c r="EY38" s="366">
        <v>299.89999999999998</v>
      </c>
      <c r="EZ38" s="366">
        <v>291.48</v>
      </c>
      <c r="FA38" s="366">
        <v>211.02</v>
      </c>
      <c r="FB38" s="366">
        <v>302.02</v>
      </c>
      <c r="FC38" s="366">
        <v>289.68</v>
      </c>
      <c r="FD38" s="366">
        <v>285.36</v>
      </c>
      <c r="FE38" s="366">
        <v>382.63</v>
      </c>
      <c r="FF38" s="366">
        <v>357.81</v>
      </c>
      <c r="FG38" s="366">
        <v>742.32</v>
      </c>
      <c r="FH38" s="366">
        <v>742.32</v>
      </c>
      <c r="FI38" s="366">
        <v>599.71</v>
      </c>
      <c r="FJ38" s="366">
        <v>605.5</v>
      </c>
      <c r="FK38" s="366">
        <v>193.86</v>
      </c>
      <c r="FL38" s="366">
        <v>192.05</v>
      </c>
      <c r="FM38" s="366">
        <v>537.94000000000005</v>
      </c>
      <c r="FN38" s="366">
        <v>649.59</v>
      </c>
      <c r="FO38" s="366">
        <v>477.51</v>
      </c>
      <c r="FP38" s="366">
        <v>322.02999999999997</v>
      </c>
      <c r="FQ38" s="366">
        <v>481.38</v>
      </c>
      <c r="FR38" s="366">
        <v>361.54</v>
      </c>
      <c r="FS38" s="366">
        <v>287.88</v>
      </c>
      <c r="FT38" s="366">
        <v>738.64000000000101</v>
      </c>
      <c r="FU38" s="366">
        <v>285.8</v>
      </c>
      <c r="FV38" s="366">
        <v>974.36</v>
      </c>
      <c r="FW38" s="366">
        <v>974.36</v>
      </c>
      <c r="FX38" s="366">
        <v>974.36</v>
      </c>
      <c r="FY38" s="366">
        <v>219.27</v>
      </c>
      <c r="FZ38" s="366">
        <v>372.54</v>
      </c>
      <c r="GA38" s="366">
        <v>313.13</v>
      </c>
      <c r="GB38" s="366">
        <v>326.35000000000002</v>
      </c>
      <c r="GC38" s="366">
        <v>689.99</v>
      </c>
      <c r="GD38" s="366">
        <v>266.64</v>
      </c>
      <c r="GE38" s="366">
        <v>447.41</v>
      </c>
      <c r="GF38" s="366">
        <v>272.27</v>
      </c>
      <c r="GG38" s="366">
        <v>272.27</v>
      </c>
      <c r="GH38" s="366">
        <v>361.58</v>
      </c>
      <c r="GI38" s="366">
        <v>538.1</v>
      </c>
      <c r="GJ38" s="366">
        <v>537.94000000000005</v>
      </c>
      <c r="GK38" s="366">
        <v>190.41</v>
      </c>
      <c r="GL38" s="366">
        <v>365.13</v>
      </c>
      <c r="GM38" s="366">
        <v>365.13</v>
      </c>
      <c r="GN38" s="366">
        <v>365.13</v>
      </c>
      <c r="GO38" s="366">
        <v>503.38</v>
      </c>
      <c r="GP38" s="366">
        <v>318.54000000000002</v>
      </c>
      <c r="GQ38" s="366">
        <v>393.16</v>
      </c>
      <c r="GR38" s="366">
        <v>566.16999999999996</v>
      </c>
      <c r="GS38" s="366">
        <v>432.71</v>
      </c>
      <c r="GT38" s="366">
        <v>468.41</v>
      </c>
      <c r="GU38" s="366">
        <v>290.5</v>
      </c>
      <c r="GV38" s="366">
        <v>519.07000000000005</v>
      </c>
      <c r="GW38" s="366">
        <v>341.11</v>
      </c>
      <c r="GX38" s="366">
        <v>464.98</v>
      </c>
      <c r="GY38" s="366">
        <v>355.9</v>
      </c>
      <c r="GZ38" s="366">
        <v>285.08</v>
      </c>
      <c r="HA38" s="366">
        <v>482.92</v>
      </c>
      <c r="HB38" s="366">
        <v>482.92</v>
      </c>
      <c r="HC38" s="366">
        <v>482.92</v>
      </c>
      <c r="HD38" s="366">
        <v>651.96</v>
      </c>
      <c r="HE38" s="366">
        <v>183.05</v>
      </c>
      <c r="HF38" s="366">
        <v>179.92</v>
      </c>
      <c r="HG38" s="366">
        <v>120.06</v>
      </c>
      <c r="HH38" s="366">
        <v>120.06</v>
      </c>
      <c r="HI38" s="366">
        <v>120.06</v>
      </c>
      <c r="HJ38" s="366">
        <v>293.14</v>
      </c>
      <c r="HK38" s="366">
        <v>540.9</v>
      </c>
      <c r="HL38" s="366">
        <v>389.39</v>
      </c>
      <c r="HM38" s="366">
        <v>535.22</v>
      </c>
      <c r="HN38" s="366">
        <v>537.94000000000005</v>
      </c>
      <c r="HO38" s="366">
        <v>943.66</v>
      </c>
      <c r="HP38" s="366">
        <v>285.8</v>
      </c>
      <c r="HQ38" s="366">
        <v>974.36</v>
      </c>
      <c r="HR38" s="366">
        <v>795.67</v>
      </c>
      <c r="HS38" s="366">
        <v>534.19000000000005</v>
      </c>
      <c r="HT38" s="366">
        <v>416.51</v>
      </c>
      <c r="HU38" s="366">
        <v>383.76</v>
      </c>
      <c r="HV38" s="366">
        <v>402.08</v>
      </c>
    </row>
    <row r="39" spans="1:230">
      <c r="A39" s="366" t="s">
        <v>62</v>
      </c>
      <c r="B39" s="366">
        <v>407.03</v>
      </c>
      <c r="C39" s="366">
        <v>513.17999999999995</v>
      </c>
      <c r="D39" s="366">
        <v>407.8</v>
      </c>
      <c r="E39" s="366">
        <v>407.8</v>
      </c>
      <c r="F39" s="366">
        <v>470.93</v>
      </c>
      <c r="G39" s="366">
        <v>278.5</v>
      </c>
      <c r="H39" s="366">
        <v>364.18</v>
      </c>
      <c r="I39" s="366">
        <v>136.96</v>
      </c>
      <c r="J39" s="366">
        <v>340.4</v>
      </c>
      <c r="K39" s="366">
        <v>340.4</v>
      </c>
      <c r="L39" s="366">
        <v>404.56</v>
      </c>
      <c r="M39" s="366">
        <v>538.6</v>
      </c>
      <c r="N39" s="366">
        <v>635.5</v>
      </c>
      <c r="O39" s="366">
        <v>388.61</v>
      </c>
      <c r="P39" s="366">
        <v>388.61</v>
      </c>
      <c r="Q39" s="366">
        <v>388.61</v>
      </c>
      <c r="R39" s="366">
        <v>388.61</v>
      </c>
      <c r="S39" s="366">
        <v>388.61</v>
      </c>
      <c r="T39" s="366">
        <v>62.46</v>
      </c>
      <c r="U39" s="366">
        <v>386.54</v>
      </c>
      <c r="V39" s="366">
        <v>478</v>
      </c>
      <c r="W39" s="366">
        <v>259.11</v>
      </c>
      <c r="X39" s="366">
        <v>259.11</v>
      </c>
      <c r="Y39" s="366">
        <v>259.11</v>
      </c>
      <c r="Z39" s="366">
        <v>515.74</v>
      </c>
      <c r="AA39" s="366">
        <v>272.67</v>
      </c>
      <c r="AB39" s="366">
        <v>8.7799999999999994</v>
      </c>
      <c r="AC39" s="366">
        <v>34.25</v>
      </c>
      <c r="AD39" s="366">
        <v>34.25</v>
      </c>
      <c r="AE39" s="366">
        <v>363.05</v>
      </c>
      <c r="AF39" s="366">
        <v>292.24</v>
      </c>
      <c r="AG39" s="366">
        <v>260.63</v>
      </c>
      <c r="AH39" s="366">
        <v>183.01</v>
      </c>
      <c r="AI39" s="366">
        <v>183.01</v>
      </c>
      <c r="AJ39" s="366">
        <v>183.01</v>
      </c>
      <c r="AK39" s="366">
        <v>537.94000000000005</v>
      </c>
      <c r="AL39" s="366">
        <v>537.94000000000005</v>
      </c>
      <c r="AM39" s="366">
        <v>0</v>
      </c>
      <c r="AN39" s="366">
        <v>347.78</v>
      </c>
      <c r="AO39" s="366">
        <v>285.62</v>
      </c>
      <c r="AP39" s="366">
        <v>91.91</v>
      </c>
      <c r="AQ39" s="366">
        <v>427.47</v>
      </c>
      <c r="AR39" s="366">
        <v>380.14</v>
      </c>
      <c r="AS39" s="366">
        <v>329.11</v>
      </c>
      <c r="AT39" s="366">
        <v>329.11</v>
      </c>
      <c r="AU39" s="366">
        <v>392.86</v>
      </c>
      <c r="AV39" s="366">
        <v>417.59</v>
      </c>
      <c r="AW39" s="366">
        <v>302.94</v>
      </c>
      <c r="AX39" s="366">
        <v>124.62</v>
      </c>
      <c r="AY39" s="366">
        <v>671.21</v>
      </c>
      <c r="AZ39" s="366">
        <v>481.8</v>
      </c>
      <c r="BA39" s="366">
        <v>247.85</v>
      </c>
      <c r="BB39" s="366">
        <v>674.1</v>
      </c>
      <c r="BC39" s="366">
        <v>189.91</v>
      </c>
      <c r="BD39" s="366">
        <v>99.68</v>
      </c>
      <c r="BE39" s="366">
        <v>482.06</v>
      </c>
      <c r="BF39" s="366">
        <v>5.75</v>
      </c>
      <c r="BG39" s="366">
        <v>523.29</v>
      </c>
      <c r="BH39" s="366">
        <v>388.61</v>
      </c>
      <c r="BI39" s="366">
        <v>380.17</v>
      </c>
      <c r="BJ39" s="366">
        <v>461.41</v>
      </c>
      <c r="BK39" s="366">
        <v>549.58000000000004</v>
      </c>
      <c r="BL39" s="366">
        <v>406.95</v>
      </c>
      <c r="BM39" s="366">
        <v>391.59</v>
      </c>
      <c r="BN39" s="366">
        <v>312.86</v>
      </c>
      <c r="BO39" s="366">
        <v>591.78</v>
      </c>
      <c r="BP39" s="366">
        <v>557.64</v>
      </c>
      <c r="BQ39" s="366">
        <v>157.66</v>
      </c>
      <c r="BR39" s="366">
        <v>157.66</v>
      </c>
      <c r="BS39" s="366">
        <v>489.37</v>
      </c>
      <c r="BT39" s="366">
        <v>372.09</v>
      </c>
      <c r="BU39" s="366">
        <v>22.22</v>
      </c>
      <c r="BV39" s="366">
        <v>8.9</v>
      </c>
      <c r="BW39" s="366">
        <v>452.15</v>
      </c>
      <c r="BX39" s="366">
        <v>430.46</v>
      </c>
      <c r="BY39" s="366">
        <v>505.48</v>
      </c>
      <c r="BZ39" s="366">
        <v>505.48</v>
      </c>
      <c r="CA39" s="366">
        <v>264.14</v>
      </c>
      <c r="CB39" s="366">
        <v>448.89</v>
      </c>
      <c r="CC39" s="366">
        <v>153.44999999999999</v>
      </c>
      <c r="CD39" s="366">
        <v>166.93</v>
      </c>
      <c r="CE39" s="366">
        <v>532.80999999999995</v>
      </c>
      <c r="CF39" s="366">
        <v>290.97000000000003</v>
      </c>
      <c r="CG39" s="366">
        <v>290.97000000000003</v>
      </c>
      <c r="CH39" s="366">
        <v>142.66</v>
      </c>
      <c r="CI39" s="366">
        <v>261.81</v>
      </c>
      <c r="CJ39" s="366">
        <v>301.92</v>
      </c>
      <c r="CK39" s="366">
        <v>510.57</v>
      </c>
      <c r="CL39" s="366">
        <v>406.65</v>
      </c>
      <c r="CM39" s="366">
        <v>136.19</v>
      </c>
      <c r="CN39" s="366">
        <v>410.78</v>
      </c>
      <c r="CO39" s="366">
        <v>378.75</v>
      </c>
      <c r="CP39" s="366">
        <v>164.35</v>
      </c>
      <c r="CQ39" s="366">
        <v>164.35</v>
      </c>
      <c r="CR39" s="366">
        <v>330.07</v>
      </c>
      <c r="CS39" s="366">
        <v>330.07</v>
      </c>
      <c r="CT39" s="366">
        <v>320.63</v>
      </c>
      <c r="CU39" s="366">
        <v>328.5</v>
      </c>
      <c r="CV39" s="366">
        <v>322.45</v>
      </c>
      <c r="CW39" s="366">
        <v>478</v>
      </c>
      <c r="CX39" s="366">
        <v>141.16</v>
      </c>
      <c r="CY39" s="366">
        <v>182.61</v>
      </c>
      <c r="CZ39" s="366">
        <v>203.85</v>
      </c>
      <c r="DA39" s="366">
        <v>573.54999999999995</v>
      </c>
      <c r="DB39" s="366">
        <v>457.39</v>
      </c>
      <c r="DC39" s="366">
        <v>457.39</v>
      </c>
      <c r="DD39" s="366">
        <v>206.11</v>
      </c>
      <c r="DE39" s="366">
        <v>651.17999999999995</v>
      </c>
      <c r="DF39" s="366">
        <v>455.39</v>
      </c>
      <c r="DG39" s="366">
        <v>232.16</v>
      </c>
      <c r="DH39" s="366">
        <v>713.74</v>
      </c>
      <c r="DI39" s="366">
        <v>156.79</v>
      </c>
      <c r="DJ39" s="366">
        <v>220.05</v>
      </c>
      <c r="DK39" s="366">
        <v>392.88</v>
      </c>
      <c r="DL39" s="366">
        <v>28.22</v>
      </c>
      <c r="DM39" s="366">
        <v>500.76</v>
      </c>
      <c r="DN39" s="366">
        <v>171.55</v>
      </c>
      <c r="DO39" s="366">
        <v>419.45</v>
      </c>
      <c r="DP39" s="366">
        <v>207.96</v>
      </c>
      <c r="DQ39" s="366">
        <v>463.49</v>
      </c>
      <c r="DR39" s="366">
        <v>713.74</v>
      </c>
      <c r="DS39" s="366">
        <v>379.65</v>
      </c>
      <c r="DT39" s="366">
        <v>367.94</v>
      </c>
      <c r="DU39" s="366">
        <v>603.89</v>
      </c>
      <c r="DV39" s="366">
        <v>541.58000000000004</v>
      </c>
      <c r="DW39" s="366">
        <v>345.53</v>
      </c>
      <c r="DX39" s="366">
        <v>438.47</v>
      </c>
      <c r="DY39" s="366">
        <v>511.86</v>
      </c>
      <c r="DZ39" s="366">
        <v>195.13</v>
      </c>
      <c r="EA39" s="366">
        <v>362.42</v>
      </c>
      <c r="EB39" s="366">
        <v>505.86</v>
      </c>
      <c r="EC39" s="366">
        <v>382.36</v>
      </c>
      <c r="ED39" s="366">
        <v>186.56</v>
      </c>
      <c r="EE39" s="366">
        <v>197.35</v>
      </c>
      <c r="EF39" s="366">
        <v>98.19</v>
      </c>
      <c r="EG39" s="366">
        <v>302.94</v>
      </c>
      <c r="EH39" s="366">
        <v>302.94</v>
      </c>
      <c r="EI39" s="366">
        <v>167.4</v>
      </c>
      <c r="EJ39" s="366">
        <v>701.8</v>
      </c>
      <c r="EK39" s="366">
        <v>314.49</v>
      </c>
      <c r="EL39" s="366">
        <v>314.49</v>
      </c>
      <c r="EM39" s="366">
        <v>408.6</v>
      </c>
      <c r="EN39" s="366">
        <v>408.6</v>
      </c>
      <c r="EO39" s="366">
        <v>0</v>
      </c>
      <c r="EP39" s="366">
        <v>85.4</v>
      </c>
      <c r="EQ39" s="366">
        <v>311.14</v>
      </c>
      <c r="ER39" s="366">
        <v>356.58</v>
      </c>
      <c r="ES39" s="366">
        <v>513.08000000000004</v>
      </c>
      <c r="ET39" s="366">
        <v>139.69</v>
      </c>
      <c r="EU39" s="366">
        <v>407.03</v>
      </c>
      <c r="EV39" s="366">
        <v>259.11</v>
      </c>
      <c r="EW39" s="366">
        <v>166.78</v>
      </c>
      <c r="EX39" s="366">
        <v>489.82</v>
      </c>
      <c r="EY39" s="366">
        <v>489.82</v>
      </c>
      <c r="EZ39" s="366">
        <v>453.14</v>
      </c>
      <c r="FA39" s="366">
        <v>405.77</v>
      </c>
      <c r="FB39" s="366">
        <v>377.18</v>
      </c>
      <c r="FC39" s="366">
        <v>458.61</v>
      </c>
      <c r="FD39" s="366">
        <v>313.8</v>
      </c>
      <c r="FE39" s="366">
        <v>171.23</v>
      </c>
      <c r="FF39" s="366">
        <v>249.35</v>
      </c>
      <c r="FG39" s="366">
        <v>238.89</v>
      </c>
      <c r="FH39" s="366">
        <v>238.89</v>
      </c>
      <c r="FI39" s="366">
        <v>239.98</v>
      </c>
      <c r="FJ39" s="366">
        <v>245.77</v>
      </c>
      <c r="FK39" s="366">
        <v>540.82000000000005</v>
      </c>
      <c r="FL39" s="366">
        <v>539.01</v>
      </c>
      <c r="FM39" s="366">
        <v>0</v>
      </c>
      <c r="FN39" s="366">
        <v>289.86</v>
      </c>
      <c r="FO39" s="366">
        <v>370.79</v>
      </c>
      <c r="FP39" s="366">
        <v>490.96</v>
      </c>
      <c r="FQ39" s="366">
        <v>374.66</v>
      </c>
      <c r="FR39" s="366">
        <v>421.9</v>
      </c>
      <c r="FS39" s="366">
        <v>250.06</v>
      </c>
      <c r="FT39" s="366">
        <v>235.21</v>
      </c>
      <c r="FU39" s="366">
        <v>274.2</v>
      </c>
      <c r="FV39" s="366">
        <v>470.93</v>
      </c>
      <c r="FW39" s="366">
        <v>470.93</v>
      </c>
      <c r="FX39" s="366">
        <v>470.93</v>
      </c>
      <c r="FY39" s="366">
        <v>354.91</v>
      </c>
      <c r="FZ39" s="366">
        <v>194.1</v>
      </c>
      <c r="GA39" s="366">
        <v>482.06</v>
      </c>
      <c r="GB39" s="366">
        <v>288.52999999999997</v>
      </c>
      <c r="GC39" s="366">
        <v>186.56</v>
      </c>
      <c r="GD39" s="366">
        <v>412.56</v>
      </c>
      <c r="GE39" s="366">
        <v>320.52999999999997</v>
      </c>
      <c r="GF39" s="366">
        <v>287.73</v>
      </c>
      <c r="GG39" s="366">
        <v>287.73</v>
      </c>
      <c r="GH39" s="366">
        <v>530.51</v>
      </c>
      <c r="GI39" s="366">
        <v>0.16</v>
      </c>
      <c r="GJ39" s="366">
        <v>0</v>
      </c>
      <c r="GK39" s="366">
        <v>537.37</v>
      </c>
      <c r="GL39" s="366">
        <v>181.07</v>
      </c>
      <c r="GM39" s="366">
        <v>181.07</v>
      </c>
      <c r="GN39" s="366">
        <v>181.07</v>
      </c>
      <c r="GO39" s="366">
        <v>52.73</v>
      </c>
      <c r="GP39" s="366">
        <v>487.47</v>
      </c>
      <c r="GQ39" s="366">
        <v>583.08000000000004</v>
      </c>
      <c r="GR39" s="366">
        <v>62.74</v>
      </c>
      <c r="GS39" s="366">
        <v>105.23</v>
      </c>
      <c r="GT39" s="366">
        <v>302.94</v>
      </c>
      <c r="GU39" s="366">
        <v>347.76</v>
      </c>
      <c r="GV39" s="366">
        <v>708.99</v>
      </c>
      <c r="GW39" s="366">
        <v>205.53</v>
      </c>
      <c r="GX39" s="366">
        <v>299.51</v>
      </c>
      <c r="GY39" s="366">
        <v>182.04</v>
      </c>
      <c r="GZ39" s="366">
        <v>313.52</v>
      </c>
      <c r="HA39" s="366">
        <v>376.2</v>
      </c>
      <c r="HB39" s="366">
        <v>376.2</v>
      </c>
      <c r="HC39" s="366">
        <v>376.2</v>
      </c>
      <c r="HD39" s="366">
        <v>158.84</v>
      </c>
      <c r="HE39" s="366">
        <v>402.45</v>
      </c>
      <c r="HF39" s="366">
        <v>358.74</v>
      </c>
      <c r="HG39" s="366">
        <v>486.39</v>
      </c>
      <c r="HH39" s="366">
        <v>486.39</v>
      </c>
      <c r="HI39" s="366">
        <v>486.39</v>
      </c>
      <c r="HJ39" s="366">
        <v>266.86</v>
      </c>
      <c r="HK39" s="366">
        <v>229.56</v>
      </c>
      <c r="HL39" s="366">
        <v>421.99</v>
      </c>
      <c r="HM39" s="366">
        <v>8.7799999999999994</v>
      </c>
      <c r="HN39" s="366">
        <v>0</v>
      </c>
      <c r="HO39" s="366">
        <v>440.23</v>
      </c>
      <c r="HP39" s="366">
        <v>314.24</v>
      </c>
      <c r="HQ39" s="366">
        <v>470.93</v>
      </c>
      <c r="HR39" s="366">
        <v>292.24</v>
      </c>
      <c r="HS39" s="366">
        <v>3.75</v>
      </c>
      <c r="HT39" s="366">
        <v>144.79</v>
      </c>
      <c r="HU39" s="366">
        <v>161.13999999999999</v>
      </c>
      <c r="HV39" s="366">
        <v>185.61</v>
      </c>
    </row>
    <row r="40" spans="1:230">
      <c r="A40" s="366" t="s">
        <v>63</v>
      </c>
      <c r="B40" s="366">
        <v>720.3</v>
      </c>
      <c r="C40" s="366">
        <v>300.22000000000003</v>
      </c>
      <c r="D40" s="366">
        <v>200.99</v>
      </c>
      <c r="E40" s="366">
        <v>200.99</v>
      </c>
      <c r="F40" s="366">
        <v>784.2</v>
      </c>
      <c r="G40" s="366">
        <v>591.77</v>
      </c>
      <c r="H40" s="366">
        <v>244.61</v>
      </c>
      <c r="I40" s="366">
        <v>210.82</v>
      </c>
      <c r="J40" s="366">
        <v>268.39</v>
      </c>
      <c r="K40" s="366">
        <v>268.39</v>
      </c>
      <c r="L40" s="366">
        <v>191.6</v>
      </c>
      <c r="M40" s="366">
        <v>325.64</v>
      </c>
      <c r="N40" s="366">
        <v>422.54</v>
      </c>
      <c r="O40" s="366">
        <v>40.83</v>
      </c>
      <c r="P40" s="366">
        <v>40.83</v>
      </c>
      <c r="Q40" s="366">
        <v>40.83</v>
      </c>
      <c r="R40" s="366">
        <v>40.83</v>
      </c>
      <c r="S40" s="366">
        <v>40.83</v>
      </c>
      <c r="T40" s="366">
        <v>285.32</v>
      </c>
      <c r="U40" s="366">
        <v>699.81</v>
      </c>
      <c r="V40" s="366">
        <v>225.16</v>
      </c>
      <c r="W40" s="366">
        <v>428.68</v>
      </c>
      <c r="X40" s="366">
        <v>428.68</v>
      </c>
      <c r="Y40" s="366">
        <v>428.68</v>
      </c>
      <c r="Z40" s="366">
        <v>297.14</v>
      </c>
      <c r="AA40" s="366">
        <v>585.94000000000005</v>
      </c>
      <c r="AB40" s="366">
        <v>345.06</v>
      </c>
      <c r="AC40" s="366">
        <v>347.52</v>
      </c>
      <c r="AD40" s="366">
        <v>347.52</v>
      </c>
      <c r="AE40" s="366">
        <v>150.09</v>
      </c>
      <c r="AF40" s="366">
        <v>605.51</v>
      </c>
      <c r="AG40" s="366">
        <v>430.2</v>
      </c>
      <c r="AH40" s="366">
        <v>164.77</v>
      </c>
      <c r="AI40" s="366">
        <v>164.77</v>
      </c>
      <c r="AJ40" s="366">
        <v>164.77</v>
      </c>
      <c r="AK40" s="366">
        <v>319.33999999999997</v>
      </c>
      <c r="AL40" s="366">
        <v>319.33999999999997</v>
      </c>
      <c r="AM40" s="366">
        <v>347.78</v>
      </c>
      <c r="AN40" s="366">
        <v>0</v>
      </c>
      <c r="AO40" s="366">
        <v>598.89</v>
      </c>
      <c r="AP40" s="366">
        <v>274.04000000000002</v>
      </c>
      <c r="AQ40" s="366">
        <v>740.74</v>
      </c>
      <c r="AR40" s="366">
        <v>331.16</v>
      </c>
      <c r="AS40" s="366">
        <v>116.15</v>
      </c>
      <c r="AT40" s="366">
        <v>116.15</v>
      </c>
      <c r="AU40" s="366">
        <v>172.91</v>
      </c>
      <c r="AV40" s="366">
        <v>730.86</v>
      </c>
      <c r="AW40" s="366">
        <v>312.70999999999998</v>
      </c>
      <c r="AX40" s="366">
        <v>231.42</v>
      </c>
      <c r="AY40" s="366">
        <v>458.25</v>
      </c>
      <c r="AZ40" s="366">
        <v>268.83999999999997</v>
      </c>
      <c r="BA40" s="366">
        <v>561.12</v>
      </c>
      <c r="BB40" s="366">
        <v>461.14</v>
      </c>
      <c r="BC40" s="366">
        <v>503.18</v>
      </c>
      <c r="BD40" s="366">
        <v>412.95</v>
      </c>
      <c r="BE40" s="366">
        <v>229.22</v>
      </c>
      <c r="BF40" s="366">
        <v>342.03</v>
      </c>
      <c r="BG40" s="366">
        <v>304.69</v>
      </c>
      <c r="BH40" s="366">
        <v>40.83</v>
      </c>
      <c r="BI40" s="366">
        <v>331.19</v>
      </c>
      <c r="BJ40" s="366">
        <v>242.81</v>
      </c>
      <c r="BK40" s="366">
        <v>336.62</v>
      </c>
      <c r="BL40" s="366">
        <v>193.99</v>
      </c>
      <c r="BM40" s="366">
        <v>217.2</v>
      </c>
      <c r="BN40" s="366">
        <v>626.13</v>
      </c>
      <c r="BO40" s="366">
        <v>378.82</v>
      </c>
      <c r="BP40" s="366">
        <v>344.68</v>
      </c>
      <c r="BQ40" s="366">
        <v>190.12</v>
      </c>
      <c r="BR40" s="366">
        <v>190.12</v>
      </c>
      <c r="BS40" s="366">
        <v>276.41000000000003</v>
      </c>
      <c r="BT40" s="366">
        <v>315.62</v>
      </c>
      <c r="BU40" s="366">
        <v>325.56</v>
      </c>
      <c r="BV40" s="366">
        <v>345.18</v>
      </c>
      <c r="BW40" s="366">
        <v>232.2</v>
      </c>
      <c r="BX40" s="366">
        <v>217.5</v>
      </c>
      <c r="BY40" s="366">
        <v>252.64</v>
      </c>
      <c r="BZ40" s="366">
        <v>252.64</v>
      </c>
      <c r="CA40" s="366">
        <v>344.65</v>
      </c>
      <c r="CB40" s="366">
        <v>235.93</v>
      </c>
      <c r="CC40" s="366">
        <v>202.59</v>
      </c>
      <c r="CD40" s="366">
        <v>204.99</v>
      </c>
      <c r="CE40" s="366">
        <v>319.85000000000002</v>
      </c>
      <c r="CF40" s="366">
        <v>604.24</v>
      </c>
      <c r="CG40" s="366">
        <v>604.24</v>
      </c>
      <c r="CH40" s="366">
        <v>205.12</v>
      </c>
      <c r="CI40" s="366">
        <v>85.97</v>
      </c>
      <c r="CJ40" s="366">
        <v>615.19000000000005</v>
      </c>
      <c r="CK40" s="366">
        <v>257.73</v>
      </c>
      <c r="CL40" s="366">
        <v>159.12</v>
      </c>
      <c r="CM40" s="366">
        <v>449.46</v>
      </c>
      <c r="CN40" s="366">
        <v>192.18</v>
      </c>
      <c r="CO40" s="366">
        <v>329.77</v>
      </c>
      <c r="CP40" s="366">
        <v>183.43</v>
      </c>
      <c r="CQ40" s="366">
        <v>183.43</v>
      </c>
      <c r="CR40" s="366">
        <v>282.17</v>
      </c>
      <c r="CS40" s="366">
        <v>282.17</v>
      </c>
      <c r="CT40" s="366">
        <v>291.61</v>
      </c>
      <c r="CU40" s="366">
        <v>283.74</v>
      </c>
      <c r="CV40" s="366">
        <v>286.33999999999997</v>
      </c>
      <c r="CW40" s="366">
        <v>225.16</v>
      </c>
      <c r="CX40" s="366">
        <v>221.66</v>
      </c>
      <c r="CY40" s="366">
        <v>495.88</v>
      </c>
      <c r="CZ40" s="366">
        <v>517.12</v>
      </c>
      <c r="DA40" s="366">
        <v>360.59</v>
      </c>
      <c r="DB40" s="366">
        <v>238.79</v>
      </c>
      <c r="DC40" s="366">
        <v>238.79</v>
      </c>
      <c r="DD40" s="366">
        <v>415.84</v>
      </c>
      <c r="DE40" s="366">
        <v>438.22</v>
      </c>
      <c r="DF40" s="366">
        <v>768.66</v>
      </c>
      <c r="DG40" s="366">
        <v>115.62</v>
      </c>
      <c r="DH40" s="366">
        <v>500.78</v>
      </c>
      <c r="DI40" s="366">
        <v>470.06</v>
      </c>
      <c r="DJ40" s="366">
        <v>533.32000000000005</v>
      </c>
      <c r="DK40" s="366">
        <v>179.92</v>
      </c>
      <c r="DL40" s="366">
        <v>331.56</v>
      </c>
      <c r="DM40" s="366">
        <v>287.8</v>
      </c>
      <c r="DN40" s="366">
        <v>484.82</v>
      </c>
      <c r="DO40" s="366">
        <v>206.49</v>
      </c>
      <c r="DP40" s="366">
        <v>377.53</v>
      </c>
      <c r="DQ40" s="366">
        <v>228.22</v>
      </c>
      <c r="DR40" s="366">
        <v>500.78</v>
      </c>
      <c r="DS40" s="366">
        <v>307.64</v>
      </c>
      <c r="DT40" s="366">
        <v>295.93</v>
      </c>
      <c r="DU40" s="366">
        <v>389.69</v>
      </c>
      <c r="DV40" s="366">
        <v>322.98</v>
      </c>
      <c r="DW40" s="366">
        <v>132.57</v>
      </c>
      <c r="DX40" s="366">
        <v>218.52</v>
      </c>
      <c r="DY40" s="366">
        <v>259.02</v>
      </c>
      <c r="DZ40" s="366">
        <v>425.51</v>
      </c>
      <c r="EA40" s="366">
        <v>313.44</v>
      </c>
      <c r="EB40" s="366">
        <v>253.02</v>
      </c>
      <c r="EC40" s="366">
        <v>226.43</v>
      </c>
      <c r="ED40" s="366">
        <v>499.83</v>
      </c>
      <c r="EE40" s="366">
        <v>510.62</v>
      </c>
      <c r="EF40" s="366">
        <v>267.76</v>
      </c>
      <c r="EG40" s="366">
        <v>312.70999999999998</v>
      </c>
      <c r="EH40" s="366">
        <v>312.70999999999998</v>
      </c>
      <c r="EI40" s="366">
        <v>188.64</v>
      </c>
      <c r="EJ40" s="366">
        <v>488.84</v>
      </c>
      <c r="EK40" s="366">
        <v>82.43</v>
      </c>
      <c r="EL40" s="366">
        <v>82.43</v>
      </c>
      <c r="EM40" s="366">
        <v>190</v>
      </c>
      <c r="EN40" s="366">
        <v>190</v>
      </c>
      <c r="EO40" s="366">
        <v>347.78</v>
      </c>
      <c r="EP40" s="366">
        <v>270.64</v>
      </c>
      <c r="EQ40" s="366">
        <v>301.10000000000002</v>
      </c>
      <c r="ER40" s="366">
        <v>669.85</v>
      </c>
      <c r="ES40" s="366">
        <v>300.12</v>
      </c>
      <c r="ET40" s="366">
        <v>208.09</v>
      </c>
      <c r="EU40" s="366">
        <v>720.3</v>
      </c>
      <c r="EV40" s="366">
        <v>428.68</v>
      </c>
      <c r="EW40" s="366">
        <v>189.56</v>
      </c>
      <c r="EX40" s="366">
        <v>276.86</v>
      </c>
      <c r="EY40" s="366">
        <v>276.86</v>
      </c>
      <c r="EZ40" s="366">
        <v>105.36</v>
      </c>
      <c r="FA40" s="366">
        <v>185.82</v>
      </c>
      <c r="FB40" s="366">
        <v>164.22</v>
      </c>
      <c r="FC40" s="366">
        <v>238.66</v>
      </c>
      <c r="FD40" s="366">
        <v>67.62</v>
      </c>
      <c r="FE40" s="366">
        <v>192.47</v>
      </c>
      <c r="FF40" s="366">
        <v>167.65</v>
      </c>
      <c r="FG40" s="366">
        <v>552.16</v>
      </c>
      <c r="FH40" s="366">
        <v>552.16</v>
      </c>
      <c r="FI40" s="366">
        <v>409.55</v>
      </c>
      <c r="FJ40" s="366">
        <v>415.34</v>
      </c>
      <c r="FK40" s="366">
        <v>327.86</v>
      </c>
      <c r="FL40" s="366">
        <v>326.05</v>
      </c>
      <c r="FM40" s="366">
        <v>347.78</v>
      </c>
      <c r="FN40" s="366">
        <v>459.43</v>
      </c>
      <c r="FO40" s="366">
        <v>321.81</v>
      </c>
      <c r="FP40" s="366">
        <v>238.12</v>
      </c>
      <c r="FQ40" s="366">
        <v>325.68</v>
      </c>
      <c r="FR40" s="366">
        <v>208.94</v>
      </c>
      <c r="FS40" s="366">
        <v>132.18</v>
      </c>
      <c r="FT40" s="366">
        <v>548.48</v>
      </c>
      <c r="FU40" s="366">
        <v>73.58</v>
      </c>
      <c r="FV40" s="366">
        <v>784.2</v>
      </c>
      <c r="FW40" s="366">
        <v>784.2</v>
      </c>
      <c r="FX40" s="366">
        <v>784.2</v>
      </c>
      <c r="FY40" s="366">
        <v>136.31</v>
      </c>
      <c r="FZ40" s="366">
        <v>182.38</v>
      </c>
      <c r="GA40" s="366">
        <v>229.22</v>
      </c>
      <c r="GB40" s="366">
        <v>170.65</v>
      </c>
      <c r="GC40" s="366">
        <v>499.83</v>
      </c>
      <c r="GD40" s="366">
        <v>199.6</v>
      </c>
      <c r="GE40" s="366">
        <v>291.70999999999998</v>
      </c>
      <c r="GF40" s="366">
        <v>60.05</v>
      </c>
      <c r="GG40" s="366">
        <v>60.05</v>
      </c>
      <c r="GH40" s="366">
        <v>277.67</v>
      </c>
      <c r="GI40" s="366">
        <v>347.94</v>
      </c>
      <c r="GJ40" s="366">
        <v>347.78</v>
      </c>
      <c r="GK40" s="366">
        <v>324.41000000000003</v>
      </c>
      <c r="GL40" s="366">
        <v>174.97</v>
      </c>
      <c r="GM40" s="366">
        <v>174.97</v>
      </c>
      <c r="GN40" s="366">
        <v>174.97</v>
      </c>
      <c r="GO40" s="366">
        <v>313.22000000000003</v>
      </c>
      <c r="GP40" s="366">
        <v>234.63</v>
      </c>
      <c r="GQ40" s="366">
        <v>370.12</v>
      </c>
      <c r="GR40" s="366">
        <v>376.01</v>
      </c>
      <c r="GS40" s="366">
        <v>242.55</v>
      </c>
      <c r="GT40" s="366">
        <v>312.70999999999998</v>
      </c>
      <c r="GU40" s="366">
        <v>134.80000000000001</v>
      </c>
      <c r="GV40" s="366">
        <v>496.03</v>
      </c>
      <c r="GW40" s="366">
        <v>150.94999999999999</v>
      </c>
      <c r="GX40" s="366">
        <v>309.27999999999997</v>
      </c>
      <c r="GY40" s="366">
        <v>165.74</v>
      </c>
      <c r="GZ40" s="366">
        <v>34.26</v>
      </c>
      <c r="HA40" s="366">
        <v>327.22000000000003</v>
      </c>
      <c r="HB40" s="366">
        <v>327.22000000000003</v>
      </c>
      <c r="HC40" s="366">
        <v>327.22000000000003</v>
      </c>
      <c r="HD40" s="366">
        <v>461.8</v>
      </c>
      <c r="HE40" s="366">
        <v>183.85</v>
      </c>
      <c r="HF40" s="366">
        <v>140.13999999999999</v>
      </c>
      <c r="HG40" s="366">
        <v>267.79000000000002</v>
      </c>
      <c r="HH40" s="366">
        <v>267.79000000000002</v>
      </c>
      <c r="HI40" s="366">
        <v>267.79000000000002</v>
      </c>
      <c r="HJ40" s="366">
        <v>80.92</v>
      </c>
      <c r="HK40" s="366">
        <v>385.2</v>
      </c>
      <c r="HL40" s="366">
        <v>74.209999999999994</v>
      </c>
      <c r="HM40" s="366">
        <v>345.06</v>
      </c>
      <c r="HN40" s="366">
        <v>347.78</v>
      </c>
      <c r="HO40" s="366">
        <v>753.5</v>
      </c>
      <c r="HP40" s="366">
        <v>68.06</v>
      </c>
      <c r="HQ40" s="366">
        <v>784.2</v>
      </c>
      <c r="HR40" s="366">
        <v>605.51</v>
      </c>
      <c r="HS40" s="366">
        <v>344.03</v>
      </c>
      <c r="HT40" s="366">
        <v>226.35</v>
      </c>
      <c r="HU40" s="366">
        <v>193.6</v>
      </c>
      <c r="HV40" s="366">
        <v>211.92</v>
      </c>
    </row>
    <row r="41" spans="1:230">
      <c r="A41" s="366" t="s">
        <v>64</v>
      </c>
      <c r="B41" s="366">
        <v>227.86</v>
      </c>
      <c r="C41" s="366">
        <v>683.51</v>
      </c>
      <c r="D41" s="366">
        <v>487.42</v>
      </c>
      <c r="E41" s="366">
        <v>487.42</v>
      </c>
      <c r="F41" s="366">
        <v>291.76</v>
      </c>
      <c r="G41" s="366">
        <v>16.61</v>
      </c>
      <c r="H41" s="366">
        <v>443.8</v>
      </c>
      <c r="I41" s="366">
        <v>388.07</v>
      </c>
      <c r="J41" s="366">
        <v>420.02</v>
      </c>
      <c r="K41" s="366">
        <v>420.02</v>
      </c>
      <c r="L41" s="366">
        <v>505.33</v>
      </c>
      <c r="M41" s="366">
        <v>708.93</v>
      </c>
      <c r="N41" s="366">
        <v>805.83</v>
      </c>
      <c r="O41" s="366">
        <v>639.72</v>
      </c>
      <c r="P41" s="366">
        <v>639.72</v>
      </c>
      <c r="Q41" s="366">
        <v>639.72</v>
      </c>
      <c r="R41" s="366">
        <v>639.72</v>
      </c>
      <c r="S41" s="366">
        <v>639.72</v>
      </c>
      <c r="T41" s="366">
        <v>313.57</v>
      </c>
      <c r="U41" s="366">
        <v>136.31</v>
      </c>
      <c r="V41" s="366">
        <v>729.11</v>
      </c>
      <c r="W41" s="366">
        <v>308.73</v>
      </c>
      <c r="X41" s="366">
        <v>308.73</v>
      </c>
      <c r="Y41" s="366">
        <v>308.73</v>
      </c>
      <c r="Z41" s="366">
        <v>766.85</v>
      </c>
      <c r="AA41" s="366">
        <v>22.44</v>
      </c>
      <c r="AB41" s="366">
        <v>282.89999999999998</v>
      </c>
      <c r="AC41" s="366">
        <v>251.37</v>
      </c>
      <c r="AD41" s="366">
        <v>251.37</v>
      </c>
      <c r="AE41" s="366">
        <v>538.32000000000005</v>
      </c>
      <c r="AF41" s="366">
        <v>42.01</v>
      </c>
      <c r="AG41" s="366">
        <v>340.25</v>
      </c>
      <c r="AH41" s="366">
        <v>434.12</v>
      </c>
      <c r="AI41" s="366">
        <v>434.12</v>
      </c>
      <c r="AJ41" s="366">
        <v>434.12</v>
      </c>
      <c r="AK41" s="366">
        <v>789.05</v>
      </c>
      <c r="AL41" s="366">
        <v>789.05</v>
      </c>
      <c r="AM41" s="366">
        <v>285.62</v>
      </c>
      <c r="AN41" s="366">
        <v>598.89</v>
      </c>
      <c r="AO41" s="366">
        <v>0</v>
      </c>
      <c r="AP41" s="366">
        <v>332.69</v>
      </c>
      <c r="AQ41" s="366">
        <v>248.3</v>
      </c>
      <c r="AR41" s="366">
        <v>459.76</v>
      </c>
      <c r="AS41" s="366">
        <v>580.22</v>
      </c>
      <c r="AT41" s="366">
        <v>580.22</v>
      </c>
      <c r="AU41" s="366">
        <v>643.97</v>
      </c>
      <c r="AV41" s="366">
        <v>167.36</v>
      </c>
      <c r="AW41" s="366">
        <v>382.56</v>
      </c>
      <c r="AX41" s="366">
        <v>375.73</v>
      </c>
      <c r="AY41" s="366">
        <v>841.54</v>
      </c>
      <c r="AZ41" s="366">
        <v>652.13</v>
      </c>
      <c r="BA41" s="366">
        <v>176.61</v>
      </c>
      <c r="BB41" s="366">
        <v>844.43</v>
      </c>
      <c r="BC41" s="366">
        <v>95.71</v>
      </c>
      <c r="BD41" s="366">
        <v>185.94</v>
      </c>
      <c r="BE41" s="366">
        <v>733.17</v>
      </c>
      <c r="BF41" s="366">
        <v>279.87</v>
      </c>
      <c r="BG41" s="366">
        <v>774.4</v>
      </c>
      <c r="BH41" s="366">
        <v>639.72</v>
      </c>
      <c r="BI41" s="366">
        <v>459.79</v>
      </c>
      <c r="BJ41" s="366">
        <v>712.52</v>
      </c>
      <c r="BK41" s="366">
        <v>719.91</v>
      </c>
      <c r="BL41" s="366">
        <v>494.42</v>
      </c>
      <c r="BM41" s="366">
        <v>471.21</v>
      </c>
      <c r="BN41" s="366">
        <v>62.63</v>
      </c>
      <c r="BO41" s="366">
        <v>762.11</v>
      </c>
      <c r="BP41" s="366">
        <v>727.97</v>
      </c>
      <c r="BQ41" s="366">
        <v>408.77</v>
      </c>
      <c r="BR41" s="366">
        <v>408.77</v>
      </c>
      <c r="BS41" s="366">
        <v>659.7</v>
      </c>
      <c r="BT41" s="366">
        <v>451.71</v>
      </c>
      <c r="BU41" s="366">
        <v>273.33</v>
      </c>
      <c r="BV41" s="366">
        <v>283.02</v>
      </c>
      <c r="BW41" s="366">
        <v>703.26</v>
      </c>
      <c r="BX41" s="366">
        <v>600.79</v>
      </c>
      <c r="BY41" s="366">
        <v>756.59</v>
      </c>
      <c r="BZ41" s="366">
        <v>756.59</v>
      </c>
      <c r="CA41" s="366">
        <v>343.76</v>
      </c>
      <c r="CB41" s="366">
        <v>619.22</v>
      </c>
      <c r="CC41" s="366">
        <v>404.56</v>
      </c>
      <c r="CD41" s="366">
        <v>418.04</v>
      </c>
      <c r="CE41" s="366">
        <v>703.14</v>
      </c>
      <c r="CF41" s="366">
        <v>40.74</v>
      </c>
      <c r="CG41" s="366">
        <v>40.74</v>
      </c>
      <c r="CH41" s="366">
        <v>393.77</v>
      </c>
      <c r="CI41" s="366">
        <v>512.91999999999996</v>
      </c>
      <c r="CJ41" s="366">
        <v>51.69</v>
      </c>
      <c r="CK41" s="366">
        <v>761.68</v>
      </c>
      <c r="CL41" s="366">
        <v>657.76</v>
      </c>
      <c r="CM41" s="366">
        <v>149.43</v>
      </c>
      <c r="CN41" s="366">
        <v>661.89</v>
      </c>
      <c r="CO41" s="366">
        <v>458.37</v>
      </c>
      <c r="CP41" s="366">
        <v>415.46</v>
      </c>
      <c r="CQ41" s="366">
        <v>415.46</v>
      </c>
      <c r="CR41" s="366">
        <v>409.69</v>
      </c>
      <c r="CS41" s="366">
        <v>409.69</v>
      </c>
      <c r="CT41" s="366">
        <v>400.25</v>
      </c>
      <c r="CU41" s="366">
        <v>408.12</v>
      </c>
      <c r="CV41" s="366">
        <v>402.07</v>
      </c>
      <c r="CW41" s="366">
        <v>729.11</v>
      </c>
      <c r="CX41" s="366">
        <v>392.27</v>
      </c>
      <c r="CY41" s="366">
        <v>111.37</v>
      </c>
      <c r="CZ41" s="366">
        <v>81.77</v>
      </c>
      <c r="DA41" s="366">
        <v>743.88</v>
      </c>
      <c r="DB41" s="366">
        <v>708.5</v>
      </c>
      <c r="DC41" s="366">
        <v>708.5</v>
      </c>
      <c r="DD41" s="366">
        <v>220.58</v>
      </c>
      <c r="DE41" s="366">
        <v>821.51</v>
      </c>
      <c r="DF41" s="366">
        <v>276.22000000000003</v>
      </c>
      <c r="DG41" s="366">
        <v>483.27</v>
      </c>
      <c r="DH41" s="366">
        <v>884.07</v>
      </c>
      <c r="DI41" s="366">
        <v>138.32</v>
      </c>
      <c r="DJ41" s="366">
        <v>65.569999999999993</v>
      </c>
      <c r="DK41" s="366">
        <v>563.21</v>
      </c>
      <c r="DL41" s="366">
        <v>269</v>
      </c>
      <c r="DM41" s="366">
        <v>671.09</v>
      </c>
      <c r="DN41" s="366">
        <v>125.35</v>
      </c>
      <c r="DO41" s="366">
        <v>589.78</v>
      </c>
      <c r="DP41" s="366">
        <v>257.58</v>
      </c>
      <c r="DQ41" s="366">
        <v>714.6</v>
      </c>
      <c r="DR41" s="366">
        <v>884.07</v>
      </c>
      <c r="DS41" s="366">
        <v>459.27</v>
      </c>
      <c r="DT41" s="366">
        <v>447.56</v>
      </c>
      <c r="DU41" s="366">
        <v>774.22</v>
      </c>
      <c r="DV41" s="366">
        <v>792.69</v>
      </c>
      <c r="DW41" s="366">
        <v>564.36</v>
      </c>
      <c r="DX41" s="366">
        <v>689.58</v>
      </c>
      <c r="DY41" s="366">
        <v>762.97</v>
      </c>
      <c r="DZ41" s="366">
        <v>209.6</v>
      </c>
      <c r="EA41" s="366">
        <v>442.04</v>
      </c>
      <c r="EB41" s="366">
        <v>756.97</v>
      </c>
      <c r="EC41" s="366">
        <v>461.98</v>
      </c>
      <c r="ED41" s="366">
        <v>108.55</v>
      </c>
      <c r="EE41" s="366">
        <v>98.67</v>
      </c>
      <c r="EF41" s="366">
        <v>338.97</v>
      </c>
      <c r="EG41" s="366">
        <v>382.56</v>
      </c>
      <c r="EH41" s="366">
        <v>382.56</v>
      </c>
      <c r="EI41" s="366">
        <v>418.51</v>
      </c>
      <c r="EJ41" s="366">
        <v>872.13</v>
      </c>
      <c r="EK41" s="366">
        <v>565.6</v>
      </c>
      <c r="EL41" s="366">
        <v>565.6</v>
      </c>
      <c r="EM41" s="366">
        <v>659.71</v>
      </c>
      <c r="EN41" s="366">
        <v>659.71</v>
      </c>
      <c r="EO41" s="366">
        <v>285.62</v>
      </c>
      <c r="EP41" s="366">
        <v>336.51</v>
      </c>
      <c r="EQ41" s="366">
        <v>390.76</v>
      </c>
      <c r="ER41" s="366">
        <v>106.35</v>
      </c>
      <c r="ES41" s="366">
        <v>683.41</v>
      </c>
      <c r="ET41" s="366">
        <v>390.8</v>
      </c>
      <c r="EU41" s="366">
        <v>227.86</v>
      </c>
      <c r="EV41" s="366">
        <v>308.73</v>
      </c>
      <c r="EW41" s="366">
        <v>417.89</v>
      </c>
      <c r="EX41" s="366">
        <v>660.15</v>
      </c>
      <c r="EY41" s="366">
        <v>660.15</v>
      </c>
      <c r="EZ41" s="366">
        <v>704.25</v>
      </c>
      <c r="FA41" s="366">
        <v>656.88</v>
      </c>
      <c r="FB41" s="366">
        <v>547.51</v>
      </c>
      <c r="FC41" s="366">
        <v>709.72</v>
      </c>
      <c r="FD41" s="366">
        <v>564.91</v>
      </c>
      <c r="FE41" s="366">
        <v>422.34</v>
      </c>
      <c r="FF41" s="366">
        <v>500.46</v>
      </c>
      <c r="FG41" s="366">
        <v>167.65</v>
      </c>
      <c r="FH41" s="366">
        <v>167.65</v>
      </c>
      <c r="FI41" s="366">
        <v>319.60000000000002</v>
      </c>
      <c r="FJ41" s="366">
        <v>325.39</v>
      </c>
      <c r="FK41" s="366">
        <v>711.15</v>
      </c>
      <c r="FL41" s="366">
        <v>709.34</v>
      </c>
      <c r="FM41" s="366">
        <v>285.62</v>
      </c>
      <c r="FN41" s="366">
        <v>339.48</v>
      </c>
      <c r="FO41" s="366">
        <v>450.41</v>
      </c>
      <c r="FP41" s="366">
        <v>742.07</v>
      </c>
      <c r="FQ41" s="366">
        <v>454.28</v>
      </c>
      <c r="FR41" s="366">
        <v>522.66999999999996</v>
      </c>
      <c r="FS41" s="366">
        <v>501.17</v>
      </c>
      <c r="FT41" s="366">
        <v>50.41</v>
      </c>
      <c r="FU41" s="366">
        <v>525.30999999999995</v>
      </c>
      <c r="FV41" s="366">
        <v>291.76</v>
      </c>
      <c r="FW41" s="366">
        <v>291.76</v>
      </c>
      <c r="FX41" s="366">
        <v>291.76</v>
      </c>
      <c r="FY41" s="366">
        <v>606.02</v>
      </c>
      <c r="FZ41" s="366">
        <v>445.21</v>
      </c>
      <c r="GA41" s="366">
        <v>733.17</v>
      </c>
      <c r="GB41" s="366">
        <v>539.64</v>
      </c>
      <c r="GC41" s="366">
        <v>108.55</v>
      </c>
      <c r="GD41" s="366">
        <v>582.89</v>
      </c>
      <c r="GE41" s="366">
        <v>400.15</v>
      </c>
      <c r="GF41" s="366">
        <v>538.84</v>
      </c>
      <c r="GG41" s="366">
        <v>538.84</v>
      </c>
      <c r="GH41" s="366">
        <v>781.62</v>
      </c>
      <c r="GI41" s="366">
        <v>285.77999999999997</v>
      </c>
      <c r="GJ41" s="366">
        <v>285.62</v>
      </c>
      <c r="GK41" s="366">
        <v>707.7</v>
      </c>
      <c r="GL41" s="366">
        <v>432.18</v>
      </c>
      <c r="GM41" s="366">
        <v>432.18</v>
      </c>
      <c r="GN41" s="366">
        <v>432.18</v>
      </c>
      <c r="GO41" s="366">
        <v>293.51</v>
      </c>
      <c r="GP41" s="366">
        <v>738.58</v>
      </c>
      <c r="GQ41" s="366">
        <v>753.41</v>
      </c>
      <c r="GR41" s="366">
        <v>232.37</v>
      </c>
      <c r="GS41" s="366">
        <v>356.34</v>
      </c>
      <c r="GT41" s="366">
        <v>382.56</v>
      </c>
      <c r="GU41" s="366">
        <v>556.49</v>
      </c>
      <c r="GV41" s="366">
        <v>879.32</v>
      </c>
      <c r="GW41" s="366">
        <v>456.64</v>
      </c>
      <c r="GX41" s="366">
        <v>379.13</v>
      </c>
      <c r="GY41" s="366">
        <v>433.15</v>
      </c>
      <c r="GZ41" s="366">
        <v>564.63</v>
      </c>
      <c r="HA41" s="366">
        <v>455.82</v>
      </c>
      <c r="HB41" s="366">
        <v>455.82</v>
      </c>
      <c r="HC41" s="366">
        <v>455.82</v>
      </c>
      <c r="HD41" s="366">
        <v>173.31</v>
      </c>
      <c r="HE41" s="366">
        <v>653.55999999999995</v>
      </c>
      <c r="HF41" s="366">
        <v>609.85</v>
      </c>
      <c r="HG41" s="366">
        <v>737.5</v>
      </c>
      <c r="HH41" s="366">
        <v>737.5</v>
      </c>
      <c r="HI41" s="366">
        <v>737.5</v>
      </c>
      <c r="HJ41" s="366">
        <v>517.97</v>
      </c>
      <c r="HK41" s="366">
        <v>309.18</v>
      </c>
      <c r="HL41" s="366">
        <v>673.1</v>
      </c>
      <c r="HM41" s="366">
        <v>282.89999999999998</v>
      </c>
      <c r="HN41" s="366">
        <v>285.62</v>
      </c>
      <c r="HO41" s="366">
        <v>196.02</v>
      </c>
      <c r="HP41" s="366">
        <v>565.35</v>
      </c>
      <c r="HQ41" s="366">
        <v>291.76</v>
      </c>
      <c r="HR41" s="366">
        <v>42.01</v>
      </c>
      <c r="HS41" s="366">
        <v>281.87</v>
      </c>
      <c r="HT41" s="366">
        <v>385.57</v>
      </c>
      <c r="HU41" s="366">
        <v>412.25</v>
      </c>
      <c r="HV41" s="366">
        <v>436.72</v>
      </c>
    </row>
    <row r="42" spans="1:230">
      <c r="A42" s="366" t="s">
        <v>65</v>
      </c>
      <c r="B42" s="366">
        <v>454.1</v>
      </c>
      <c r="C42" s="366">
        <v>439.44</v>
      </c>
      <c r="D42" s="366">
        <v>315.89</v>
      </c>
      <c r="E42" s="366">
        <v>315.89</v>
      </c>
      <c r="F42" s="366">
        <v>518</v>
      </c>
      <c r="G42" s="366">
        <v>325.57</v>
      </c>
      <c r="H42" s="366">
        <v>272.27</v>
      </c>
      <c r="I42" s="366">
        <v>63.22</v>
      </c>
      <c r="J42" s="366">
        <v>248.49</v>
      </c>
      <c r="K42" s="366">
        <v>248.49</v>
      </c>
      <c r="L42" s="366">
        <v>330.82</v>
      </c>
      <c r="M42" s="366">
        <v>464.86</v>
      </c>
      <c r="N42" s="366">
        <v>561.76</v>
      </c>
      <c r="O42" s="366">
        <v>314.87</v>
      </c>
      <c r="P42" s="366">
        <v>314.87</v>
      </c>
      <c r="Q42" s="366">
        <v>314.87</v>
      </c>
      <c r="R42" s="366">
        <v>314.87</v>
      </c>
      <c r="S42" s="366">
        <v>314.87</v>
      </c>
      <c r="T42" s="366">
        <v>74.260000000000005</v>
      </c>
      <c r="U42" s="366">
        <v>433.61</v>
      </c>
      <c r="V42" s="366">
        <v>404.26</v>
      </c>
      <c r="W42" s="366">
        <v>167.2</v>
      </c>
      <c r="X42" s="366">
        <v>167.2</v>
      </c>
      <c r="Y42" s="366">
        <v>167.2</v>
      </c>
      <c r="Z42" s="366">
        <v>442</v>
      </c>
      <c r="AA42" s="366">
        <v>319.74</v>
      </c>
      <c r="AB42" s="366">
        <v>89.19</v>
      </c>
      <c r="AC42" s="366">
        <v>81.319999999999993</v>
      </c>
      <c r="AD42" s="366">
        <v>81.319999999999993</v>
      </c>
      <c r="AE42" s="366">
        <v>289.31</v>
      </c>
      <c r="AF42" s="366">
        <v>339.31</v>
      </c>
      <c r="AG42" s="366">
        <v>168.72</v>
      </c>
      <c r="AH42" s="366">
        <v>109.27</v>
      </c>
      <c r="AI42" s="366">
        <v>109.27</v>
      </c>
      <c r="AJ42" s="366">
        <v>109.27</v>
      </c>
      <c r="AK42" s="366">
        <v>464.2</v>
      </c>
      <c r="AL42" s="366">
        <v>464.2</v>
      </c>
      <c r="AM42" s="366">
        <v>91.91</v>
      </c>
      <c r="AN42" s="366">
        <v>274.04000000000002</v>
      </c>
      <c r="AO42" s="366">
        <v>332.69</v>
      </c>
      <c r="AP42" s="366">
        <v>0</v>
      </c>
      <c r="AQ42" s="366">
        <v>474.54</v>
      </c>
      <c r="AR42" s="366">
        <v>288.23</v>
      </c>
      <c r="AS42" s="366">
        <v>255.37</v>
      </c>
      <c r="AT42" s="366">
        <v>255.37</v>
      </c>
      <c r="AU42" s="366">
        <v>319.12</v>
      </c>
      <c r="AV42" s="366">
        <v>464.66</v>
      </c>
      <c r="AW42" s="366">
        <v>211.03</v>
      </c>
      <c r="AX42" s="366">
        <v>144.4</v>
      </c>
      <c r="AY42" s="366">
        <v>597.47</v>
      </c>
      <c r="AZ42" s="366">
        <v>408.06</v>
      </c>
      <c r="BA42" s="366">
        <v>294.92</v>
      </c>
      <c r="BB42" s="366">
        <v>600.36</v>
      </c>
      <c r="BC42" s="366">
        <v>236.98</v>
      </c>
      <c r="BD42" s="366">
        <v>146.75</v>
      </c>
      <c r="BE42" s="366">
        <v>408.32</v>
      </c>
      <c r="BF42" s="366">
        <v>86.16</v>
      </c>
      <c r="BG42" s="366">
        <v>449.55</v>
      </c>
      <c r="BH42" s="366">
        <v>314.87</v>
      </c>
      <c r="BI42" s="366">
        <v>288.26</v>
      </c>
      <c r="BJ42" s="366">
        <v>387.67</v>
      </c>
      <c r="BK42" s="366">
        <v>475.84</v>
      </c>
      <c r="BL42" s="366">
        <v>322.89</v>
      </c>
      <c r="BM42" s="366">
        <v>299.68</v>
      </c>
      <c r="BN42" s="366">
        <v>359.93</v>
      </c>
      <c r="BO42" s="366">
        <v>518.04</v>
      </c>
      <c r="BP42" s="366">
        <v>483.9</v>
      </c>
      <c r="BQ42" s="366">
        <v>83.92</v>
      </c>
      <c r="BR42" s="366">
        <v>83.92</v>
      </c>
      <c r="BS42" s="366">
        <v>415.63</v>
      </c>
      <c r="BT42" s="366">
        <v>280.18</v>
      </c>
      <c r="BU42" s="366">
        <v>69.69</v>
      </c>
      <c r="BV42" s="366">
        <v>89.31</v>
      </c>
      <c r="BW42" s="366">
        <v>378.41</v>
      </c>
      <c r="BX42" s="366">
        <v>356.72</v>
      </c>
      <c r="BY42" s="366">
        <v>431.74</v>
      </c>
      <c r="BZ42" s="366">
        <v>431.74</v>
      </c>
      <c r="CA42" s="366">
        <v>172.23</v>
      </c>
      <c r="CB42" s="366">
        <v>375.15</v>
      </c>
      <c r="CC42" s="366">
        <v>115.57</v>
      </c>
      <c r="CD42" s="366">
        <v>129.05000000000001</v>
      </c>
      <c r="CE42" s="366">
        <v>459.07</v>
      </c>
      <c r="CF42" s="366">
        <v>338.04</v>
      </c>
      <c r="CG42" s="366">
        <v>338.04</v>
      </c>
      <c r="CH42" s="366">
        <v>68.92</v>
      </c>
      <c r="CI42" s="366">
        <v>188.07</v>
      </c>
      <c r="CJ42" s="366">
        <v>348.99</v>
      </c>
      <c r="CK42" s="366">
        <v>436.83</v>
      </c>
      <c r="CL42" s="366">
        <v>332.91</v>
      </c>
      <c r="CM42" s="366">
        <v>183.26</v>
      </c>
      <c r="CN42" s="366">
        <v>337.04</v>
      </c>
      <c r="CO42" s="366">
        <v>286.83999999999997</v>
      </c>
      <c r="CP42" s="366">
        <v>90.61</v>
      </c>
      <c r="CQ42" s="366">
        <v>90.61</v>
      </c>
      <c r="CR42" s="366">
        <v>238.16</v>
      </c>
      <c r="CS42" s="366">
        <v>238.16</v>
      </c>
      <c r="CT42" s="366">
        <v>228.72</v>
      </c>
      <c r="CU42" s="366">
        <v>236.59</v>
      </c>
      <c r="CV42" s="366">
        <v>230.54</v>
      </c>
      <c r="CW42" s="366">
        <v>404.26</v>
      </c>
      <c r="CX42" s="366">
        <v>134.63999999999999</v>
      </c>
      <c r="CY42" s="366">
        <v>229.68</v>
      </c>
      <c r="CZ42" s="366">
        <v>250.92</v>
      </c>
      <c r="DA42" s="366">
        <v>499.81</v>
      </c>
      <c r="DB42" s="366">
        <v>383.65</v>
      </c>
      <c r="DC42" s="366">
        <v>383.65</v>
      </c>
      <c r="DD42" s="366">
        <v>154.36000000000001</v>
      </c>
      <c r="DE42" s="366">
        <v>577.44000000000005</v>
      </c>
      <c r="DF42" s="366">
        <v>502.46</v>
      </c>
      <c r="DG42" s="366">
        <v>158.41999999999999</v>
      </c>
      <c r="DH42" s="366">
        <v>640</v>
      </c>
      <c r="DI42" s="366">
        <v>203.86</v>
      </c>
      <c r="DJ42" s="366">
        <v>267.12</v>
      </c>
      <c r="DK42" s="366">
        <v>319.14</v>
      </c>
      <c r="DL42" s="366">
        <v>63.69</v>
      </c>
      <c r="DM42" s="366">
        <v>427.02</v>
      </c>
      <c r="DN42" s="366">
        <v>218.62</v>
      </c>
      <c r="DO42" s="366">
        <v>345.71</v>
      </c>
      <c r="DP42" s="366">
        <v>116.05</v>
      </c>
      <c r="DQ42" s="366">
        <v>389.75</v>
      </c>
      <c r="DR42" s="366">
        <v>640</v>
      </c>
      <c r="DS42" s="366">
        <v>287.74</v>
      </c>
      <c r="DT42" s="366">
        <v>276.02999999999997</v>
      </c>
      <c r="DU42" s="366">
        <v>530.15</v>
      </c>
      <c r="DV42" s="366">
        <v>467.84</v>
      </c>
      <c r="DW42" s="366">
        <v>271.79000000000002</v>
      </c>
      <c r="DX42" s="366">
        <v>364.73</v>
      </c>
      <c r="DY42" s="366">
        <v>438.12</v>
      </c>
      <c r="DZ42" s="366">
        <v>164.03</v>
      </c>
      <c r="EA42" s="366">
        <v>270.51</v>
      </c>
      <c r="EB42" s="366">
        <v>432.12</v>
      </c>
      <c r="EC42" s="366">
        <v>290.45</v>
      </c>
      <c r="ED42" s="366">
        <v>233.63</v>
      </c>
      <c r="EE42" s="366">
        <v>244.42</v>
      </c>
      <c r="EF42" s="366">
        <v>6.28</v>
      </c>
      <c r="EG42" s="366">
        <v>211.03</v>
      </c>
      <c r="EH42" s="366">
        <v>211.03</v>
      </c>
      <c r="EI42" s="366">
        <v>129.52000000000001</v>
      </c>
      <c r="EJ42" s="366">
        <v>628.05999999999995</v>
      </c>
      <c r="EK42" s="366">
        <v>240.75</v>
      </c>
      <c r="EL42" s="366">
        <v>240.75</v>
      </c>
      <c r="EM42" s="366">
        <v>334.86</v>
      </c>
      <c r="EN42" s="366">
        <v>334.86</v>
      </c>
      <c r="EO42" s="366">
        <v>91.91</v>
      </c>
      <c r="EP42" s="366">
        <v>132.87</v>
      </c>
      <c r="EQ42" s="366">
        <v>219.23</v>
      </c>
      <c r="ER42" s="366">
        <v>403.65</v>
      </c>
      <c r="ES42" s="366">
        <v>439.34</v>
      </c>
      <c r="ET42" s="366">
        <v>65.95</v>
      </c>
      <c r="EU42" s="366">
        <v>454.1</v>
      </c>
      <c r="EV42" s="366">
        <v>167.2</v>
      </c>
      <c r="EW42" s="366">
        <v>128.9</v>
      </c>
      <c r="EX42" s="366">
        <v>416.08</v>
      </c>
      <c r="EY42" s="366">
        <v>416.08</v>
      </c>
      <c r="EZ42" s="366">
        <v>379.4</v>
      </c>
      <c r="FA42" s="366">
        <v>332.03</v>
      </c>
      <c r="FB42" s="366">
        <v>303.44</v>
      </c>
      <c r="FC42" s="366">
        <v>384.87</v>
      </c>
      <c r="FD42" s="366">
        <v>240.06</v>
      </c>
      <c r="FE42" s="366">
        <v>133.35</v>
      </c>
      <c r="FF42" s="366">
        <v>175.61</v>
      </c>
      <c r="FG42" s="366">
        <v>285.95999999999998</v>
      </c>
      <c r="FH42" s="366">
        <v>285.95999999999998</v>
      </c>
      <c r="FI42" s="366">
        <v>148.07</v>
      </c>
      <c r="FJ42" s="366">
        <v>153.86000000000001</v>
      </c>
      <c r="FK42" s="366">
        <v>467.08</v>
      </c>
      <c r="FL42" s="366">
        <v>465.27</v>
      </c>
      <c r="FM42" s="366">
        <v>91.91</v>
      </c>
      <c r="FN42" s="366">
        <v>197.95</v>
      </c>
      <c r="FO42" s="366">
        <v>278.88</v>
      </c>
      <c r="FP42" s="366">
        <v>417.22</v>
      </c>
      <c r="FQ42" s="366">
        <v>282.75</v>
      </c>
      <c r="FR42" s="366">
        <v>348.16</v>
      </c>
      <c r="FS42" s="366">
        <v>176.32</v>
      </c>
      <c r="FT42" s="366">
        <v>282.27999999999997</v>
      </c>
      <c r="FU42" s="366">
        <v>200.46</v>
      </c>
      <c r="FV42" s="366">
        <v>518</v>
      </c>
      <c r="FW42" s="366">
        <v>518</v>
      </c>
      <c r="FX42" s="366">
        <v>518</v>
      </c>
      <c r="FY42" s="366">
        <v>281.17</v>
      </c>
      <c r="FZ42" s="366">
        <v>156.22</v>
      </c>
      <c r="GA42" s="366">
        <v>408.32</v>
      </c>
      <c r="GB42" s="366">
        <v>214.79</v>
      </c>
      <c r="GC42" s="366">
        <v>233.63</v>
      </c>
      <c r="GD42" s="366">
        <v>338.82</v>
      </c>
      <c r="GE42" s="366">
        <v>228.62</v>
      </c>
      <c r="GF42" s="366">
        <v>213.99</v>
      </c>
      <c r="GG42" s="366">
        <v>213.99</v>
      </c>
      <c r="GH42" s="366">
        <v>456.77</v>
      </c>
      <c r="GI42" s="366">
        <v>92.07</v>
      </c>
      <c r="GJ42" s="366">
        <v>91.91</v>
      </c>
      <c r="GK42" s="366">
        <v>463.63</v>
      </c>
      <c r="GL42" s="366">
        <v>143.19</v>
      </c>
      <c r="GM42" s="366">
        <v>143.19</v>
      </c>
      <c r="GN42" s="366">
        <v>143.19</v>
      </c>
      <c r="GO42" s="366">
        <v>39.18</v>
      </c>
      <c r="GP42" s="366">
        <v>413.73</v>
      </c>
      <c r="GQ42" s="366">
        <v>509.34</v>
      </c>
      <c r="GR42" s="366">
        <v>109.81</v>
      </c>
      <c r="GS42" s="366">
        <v>31.49</v>
      </c>
      <c r="GT42" s="366">
        <v>211.03</v>
      </c>
      <c r="GU42" s="366">
        <v>274.02</v>
      </c>
      <c r="GV42" s="366">
        <v>635.25</v>
      </c>
      <c r="GW42" s="366">
        <v>158.91</v>
      </c>
      <c r="GX42" s="366">
        <v>207.6</v>
      </c>
      <c r="GY42" s="366">
        <v>108.3</v>
      </c>
      <c r="GZ42" s="366">
        <v>239.78</v>
      </c>
      <c r="HA42" s="366">
        <v>284.29000000000002</v>
      </c>
      <c r="HB42" s="366">
        <v>284.29000000000002</v>
      </c>
      <c r="HC42" s="366">
        <v>284.29000000000002</v>
      </c>
      <c r="HD42" s="366">
        <v>200.32</v>
      </c>
      <c r="HE42" s="366">
        <v>328.71</v>
      </c>
      <c r="HF42" s="366">
        <v>285</v>
      </c>
      <c r="HG42" s="366">
        <v>412.65</v>
      </c>
      <c r="HH42" s="366">
        <v>412.65</v>
      </c>
      <c r="HI42" s="366">
        <v>412.65</v>
      </c>
      <c r="HJ42" s="366">
        <v>193.12</v>
      </c>
      <c r="HK42" s="366">
        <v>137.65</v>
      </c>
      <c r="HL42" s="366">
        <v>348.25</v>
      </c>
      <c r="HM42" s="366">
        <v>89.19</v>
      </c>
      <c r="HN42" s="366">
        <v>91.91</v>
      </c>
      <c r="HO42" s="366">
        <v>487.3</v>
      </c>
      <c r="HP42" s="366">
        <v>240.5</v>
      </c>
      <c r="HQ42" s="366">
        <v>518</v>
      </c>
      <c r="HR42" s="366">
        <v>339.31</v>
      </c>
      <c r="HS42" s="366">
        <v>88.16</v>
      </c>
      <c r="HT42" s="366">
        <v>52.88</v>
      </c>
      <c r="HU42" s="366">
        <v>87.4</v>
      </c>
      <c r="HV42" s="366">
        <v>147.72999999999999</v>
      </c>
    </row>
    <row r="43" spans="1:230">
      <c r="A43" s="366" t="s">
        <v>66</v>
      </c>
      <c r="B43" s="366">
        <v>20.440000000000001</v>
      </c>
      <c r="C43" s="366">
        <v>886.93</v>
      </c>
      <c r="D43" s="366">
        <v>690.84</v>
      </c>
      <c r="E43" s="366">
        <v>690.84</v>
      </c>
      <c r="F43" s="366">
        <v>57.93</v>
      </c>
      <c r="G43" s="366">
        <v>231.69</v>
      </c>
      <c r="H43" s="366">
        <v>647.22</v>
      </c>
      <c r="I43" s="366">
        <v>529.91999999999996</v>
      </c>
      <c r="J43" s="366">
        <v>623.44000000000005</v>
      </c>
      <c r="K43" s="366">
        <v>623.44000000000005</v>
      </c>
      <c r="L43" s="366">
        <v>708.75</v>
      </c>
      <c r="M43" s="366">
        <v>912.35</v>
      </c>
      <c r="N43" s="366">
        <v>1009.25</v>
      </c>
      <c r="O43" s="366">
        <v>781.57</v>
      </c>
      <c r="P43" s="366">
        <v>781.57</v>
      </c>
      <c r="Q43" s="366">
        <v>781.57</v>
      </c>
      <c r="R43" s="366">
        <v>781.57</v>
      </c>
      <c r="S43" s="366">
        <v>781.57</v>
      </c>
      <c r="T43" s="366">
        <v>455.42</v>
      </c>
      <c r="U43" s="366">
        <v>111.99</v>
      </c>
      <c r="V43" s="366">
        <v>870.96</v>
      </c>
      <c r="W43" s="366">
        <v>512.15</v>
      </c>
      <c r="X43" s="366">
        <v>512.15</v>
      </c>
      <c r="Y43" s="366">
        <v>512.15</v>
      </c>
      <c r="Z43" s="366">
        <v>908.7</v>
      </c>
      <c r="AA43" s="366">
        <v>225.86</v>
      </c>
      <c r="AB43" s="366">
        <v>424.75</v>
      </c>
      <c r="AC43" s="366">
        <v>393.22</v>
      </c>
      <c r="AD43" s="366">
        <v>393.22</v>
      </c>
      <c r="AE43" s="366">
        <v>741.74</v>
      </c>
      <c r="AF43" s="366">
        <v>206.29</v>
      </c>
      <c r="AG43" s="366">
        <v>543.66999999999996</v>
      </c>
      <c r="AH43" s="366">
        <v>575.97</v>
      </c>
      <c r="AI43" s="366">
        <v>575.97</v>
      </c>
      <c r="AJ43" s="366">
        <v>575.97</v>
      </c>
      <c r="AK43" s="366">
        <v>930.9</v>
      </c>
      <c r="AL43" s="366">
        <v>930.9</v>
      </c>
      <c r="AM43" s="366">
        <v>427.47</v>
      </c>
      <c r="AN43" s="366">
        <v>740.74</v>
      </c>
      <c r="AO43" s="366">
        <v>248.3</v>
      </c>
      <c r="AP43" s="366">
        <v>474.54</v>
      </c>
      <c r="AQ43" s="366">
        <v>0</v>
      </c>
      <c r="AR43" s="366">
        <v>663.18</v>
      </c>
      <c r="AS43" s="366">
        <v>722.07</v>
      </c>
      <c r="AT43" s="366">
        <v>722.07</v>
      </c>
      <c r="AU43" s="366">
        <v>785.82</v>
      </c>
      <c r="AV43" s="366">
        <v>82.3</v>
      </c>
      <c r="AW43" s="366">
        <v>585.98</v>
      </c>
      <c r="AX43" s="366">
        <v>517.58000000000004</v>
      </c>
      <c r="AY43" s="366">
        <v>1044.96</v>
      </c>
      <c r="AZ43" s="366">
        <v>855.55</v>
      </c>
      <c r="BA43" s="366">
        <v>179.62</v>
      </c>
      <c r="BB43" s="366">
        <v>1047.8499999999999</v>
      </c>
      <c r="BC43" s="366">
        <v>260.52</v>
      </c>
      <c r="BD43" s="366">
        <v>327.79</v>
      </c>
      <c r="BE43" s="366">
        <v>875.02</v>
      </c>
      <c r="BF43" s="366">
        <v>421.72</v>
      </c>
      <c r="BG43" s="366">
        <v>916.25</v>
      </c>
      <c r="BH43" s="366">
        <v>781.57</v>
      </c>
      <c r="BI43" s="366">
        <v>663.21</v>
      </c>
      <c r="BJ43" s="366">
        <v>854.37</v>
      </c>
      <c r="BK43" s="366">
        <v>923.33</v>
      </c>
      <c r="BL43" s="366">
        <v>697.84</v>
      </c>
      <c r="BM43" s="366">
        <v>674.63</v>
      </c>
      <c r="BN43" s="366">
        <v>185.67</v>
      </c>
      <c r="BO43" s="366">
        <v>965.53</v>
      </c>
      <c r="BP43" s="366">
        <v>931.39</v>
      </c>
      <c r="BQ43" s="366">
        <v>550.62</v>
      </c>
      <c r="BR43" s="366">
        <v>550.62</v>
      </c>
      <c r="BS43" s="366">
        <v>863.12</v>
      </c>
      <c r="BT43" s="366">
        <v>655.13</v>
      </c>
      <c r="BU43" s="366">
        <v>415.18</v>
      </c>
      <c r="BV43" s="366">
        <v>424.87</v>
      </c>
      <c r="BW43" s="366">
        <v>845.11</v>
      </c>
      <c r="BX43" s="366">
        <v>804.21</v>
      </c>
      <c r="BY43" s="366">
        <v>898.44</v>
      </c>
      <c r="BZ43" s="366">
        <v>898.44</v>
      </c>
      <c r="CA43" s="366">
        <v>547.17999999999995</v>
      </c>
      <c r="CB43" s="366">
        <v>822.64</v>
      </c>
      <c r="CC43" s="366">
        <v>546.41</v>
      </c>
      <c r="CD43" s="366">
        <v>559.89</v>
      </c>
      <c r="CE43" s="366">
        <v>906.56</v>
      </c>
      <c r="CF43" s="366">
        <v>244.16</v>
      </c>
      <c r="CG43" s="366">
        <v>244.16</v>
      </c>
      <c r="CH43" s="366">
        <v>535.62</v>
      </c>
      <c r="CI43" s="366">
        <v>654.77</v>
      </c>
      <c r="CJ43" s="366">
        <v>196.75</v>
      </c>
      <c r="CK43" s="366">
        <v>903.53</v>
      </c>
      <c r="CL43" s="366">
        <v>799.61</v>
      </c>
      <c r="CM43" s="366">
        <v>291.27999999999997</v>
      </c>
      <c r="CN43" s="366">
        <v>803.74</v>
      </c>
      <c r="CO43" s="366">
        <v>661.79</v>
      </c>
      <c r="CP43" s="366">
        <v>557.30999999999995</v>
      </c>
      <c r="CQ43" s="366">
        <v>557.30999999999995</v>
      </c>
      <c r="CR43" s="366">
        <v>613.11</v>
      </c>
      <c r="CS43" s="366">
        <v>613.11</v>
      </c>
      <c r="CT43" s="366">
        <v>603.66999999999996</v>
      </c>
      <c r="CU43" s="366">
        <v>611.54</v>
      </c>
      <c r="CV43" s="366">
        <v>605.49</v>
      </c>
      <c r="CW43" s="366">
        <v>870.96</v>
      </c>
      <c r="CX43" s="366">
        <v>534.12</v>
      </c>
      <c r="CY43" s="366">
        <v>253.22</v>
      </c>
      <c r="CZ43" s="366">
        <v>274.45999999999998</v>
      </c>
      <c r="DA43" s="366">
        <v>947.3</v>
      </c>
      <c r="DB43" s="366">
        <v>850.35</v>
      </c>
      <c r="DC43" s="366">
        <v>850.35</v>
      </c>
      <c r="DD43" s="366">
        <v>424</v>
      </c>
      <c r="DE43" s="366">
        <v>1024.93</v>
      </c>
      <c r="DF43" s="366">
        <v>68.8</v>
      </c>
      <c r="DG43" s="366">
        <v>625.12</v>
      </c>
      <c r="DH43" s="366">
        <v>1087.49</v>
      </c>
      <c r="DI43" s="366">
        <v>341.74</v>
      </c>
      <c r="DJ43" s="366">
        <v>290.66000000000003</v>
      </c>
      <c r="DK43" s="366">
        <v>766.63</v>
      </c>
      <c r="DL43" s="366">
        <v>410.85</v>
      </c>
      <c r="DM43" s="366">
        <v>874.51</v>
      </c>
      <c r="DN43" s="366">
        <v>328.77</v>
      </c>
      <c r="DO43" s="366">
        <v>793.2</v>
      </c>
      <c r="DP43" s="366">
        <v>461</v>
      </c>
      <c r="DQ43" s="366">
        <v>856.45</v>
      </c>
      <c r="DR43" s="366">
        <v>1087.49</v>
      </c>
      <c r="DS43" s="366">
        <v>662.69</v>
      </c>
      <c r="DT43" s="366">
        <v>650.98</v>
      </c>
      <c r="DU43" s="366">
        <v>977.64</v>
      </c>
      <c r="DV43" s="366">
        <v>934.54</v>
      </c>
      <c r="DW43" s="366">
        <v>738.49</v>
      </c>
      <c r="DX43" s="366">
        <v>831.43</v>
      </c>
      <c r="DY43" s="366">
        <v>904.82</v>
      </c>
      <c r="DZ43" s="366">
        <v>413.02</v>
      </c>
      <c r="EA43" s="366">
        <v>645.46</v>
      </c>
      <c r="EB43" s="366">
        <v>898.82</v>
      </c>
      <c r="EC43" s="366">
        <v>665.4</v>
      </c>
      <c r="ED43" s="366">
        <v>311.97000000000003</v>
      </c>
      <c r="EE43" s="366">
        <v>302.08999999999997</v>
      </c>
      <c r="EF43" s="366">
        <v>480.82</v>
      </c>
      <c r="EG43" s="366">
        <v>585.98</v>
      </c>
      <c r="EH43" s="366">
        <v>585.98</v>
      </c>
      <c r="EI43" s="366">
        <v>560.36</v>
      </c>
      <c r="EJ43" s="366">
        <v>1075.55</v>
      </c>
      <c r="EK43" s="366">
        <v>707.45</v>
      </c>
      <c r="EL43" s="366">
        <v>707.45</v>
      </c>
      <c r="EM43" s="366">
        <v>801.56</v>
      </c>
      <c r="EN43" s="366">
        <v>801.56</v>
      </c>
      <c r="EO43" s="366">
        <v>427.47</v>
      </c>
      <c r="EP43" s="366">
        <v>478.36</v>
      </c>
      <c r="EQ43" s="366">
        <v>594.17999999999995</v>
      </c>
      <c r="ER43" s="366">
        <v>145.51</v>
      </c>
      <c r="ES43" s="366">
        <v>886.83</v>
      </c>
      <c r="ET43" s="366">
        <v>532.65</v>
      </c>
      <c r="EU43" s="366">
        <v>20.440000000000001</v>
      </c>
      <c r="EV43" s="366">
        <v>512.15</v>
      </c>
      <c r="EW43" s="366">
        <v>559.74</v>
      </c>
      <c r="EX43" s="366">
        <v>863.57</v>
      </c>
      <c r="EY43" s="366">
        <v>863.57</v>
      </c>
      <c r="EZ43" s="366">
        <v>846.1</v>
      </c>
      <c r="FA43" s="366">
        <v>798.73</v>
      </c>
      <c r="FB43" s="366">
        <v>750.93</v>
      </c>
      <c r="FC43" s="366">
        <v>851.57</v>
      </c>
      <c r="FD43" s="366">
        <v>706.76</v>
      </c>
      <c r="FE43" s="366">
        <v>564.19000000000005</v>
      </c>
      <c r="FF43" s="366">
        <v>642.30999999999995</v>
      </c>
      <c r="FG43" s="366">
        <v>309.5</v>
      </c>
      <c r="FH43" s="366">
        <v>309.5</v>
      </c>
      <c r="FI43" s="366">
        <v>523.02</v>
      </c>
      <c r="FJ43" s="366">
        <v>528.80999999999995</v>
      </c>
      <c r="FK43" s="366">
        <v>914.57</v>
      </c>
      <c r="FL43" s="366">
        <v>912.76</v>
      </c>
      <c r="FM43" s="366">
        <v>427.47</v>
      </c>
      <c r="FN43" s="366">
        <v>542.9</v>
      </c>
      <c r="FO43" s="366">
        <v>653.83000000000004</v>
      </c>
      <c r="FP43" s="366">
        <v>883.92</v>
      </c>
      <c r="FQ43" s="366">
        <v>657.7</v>
      </c>
      <c r="FR43" s="366">
        <v>726.09</v>
      </c>
      <c r="FS43" s="366">
        <v>643.02</v>
      </c>
      <c r="FT43" s="366">
        <v>298.70999999999998</v>
      </c>
      <c r="FU43" s="366">
        <v>667.16</v>
      </c>
      <c r="FV43" s="366">
        <v>57.93</v>
      </c>
      <c r="FW43" s="366">
        <v>57.93</v>
      </c>
      <c r="FX43" s="366">
        <v>57.93</v>
      </c>
      <c r="FY43" s="366">
        <v>747.87</v>
      </c>
      <c r="FZ43" s="366">
        <v>587.05999999999995</v>
      </c>
      <c r="GA43" s="366">
        <v>875.02</v>
      </c>
      <c r="GB43" s="366">
        <v>681.49</v>
      </c>
      <c r="GC43" s="366">
        <v>311.97000000000003</v>
      </c>
      <c r="GD43" s="366">
        <v>786.31</v>
      </c>
      <c r="GE43" s="366">
        <v>603.57000000000005</v>
      </c>
      <c r="GF43" s="366">
        <v>680.69</v>
      </c>
      <c r="GG43" s="366">
        <v>680.69</v>
      </c>
      <c r="GH43" s="366">
        <v>923.47</v>
      </c>
      <c r="GI43" s="366">
        <v>427.63</v>
      </c>
      <c r="GJ43" s="366">
        <v>427.47</v>
      </c>
      <c r="GK43" s="366">
        <v>911.12</v>
      </c>
      <c r="GL43" s="366">
        <v>574.03</v>
      </c>
      <c r="GM43" s="366">
        <v>574.03</v>
      </c>
      <c r="GN43" s="366">
        <v>574.03</v>
      </c>
      <c r="GO43" s="366">
        <v>435.36</v>
      </c>
      <c r="GP43" s="366">
        <v>880.43</v>
      </c>
      <c r="GQ43" s="366">
        <v>956.83</v>
      </c>
      <c r="GR43" s="366">
        <v>421.71</v>
      </c>
      <c r="GS43" s="366">
        <v>498.19</v>
      </c>
      <c r="GT43" s="366">
        <v>585.98</v>
      </c>
      <c r="GU43" s="366">
        <v>740.72</v>
      </c>
      <c r="GV43" s="366">
        <v>1082.74</v>
      </c>
      <c r="GW43" s="366">
        <v>598.49</v>
      </c>
      <c r="GX43" s="366">
        <v>582.54999999999995</v>
      </c>
      <c r="GY43" s="366">
        <v>575</v>
      </c>
      <c r="GZ43" s="366">
        <v>706.48</v>
      </c>
      <c r="HA43" s="366">
        <v>659.24</v>
      </c>
      <c r="HB43" s="366">
        <v>659.24</v>
      </c>
      <c r="HC43" s="366">
        <v>659.24</v>
      </c>
      <c r="HD43" s="366">
        <v>376.73</v>
      </c>
      <c r="HE43" s="366">
        <v>795.41</v>
      </c>
      <c r="HF43" s="366">
        <v>751.7</v>
      </c>
      <c r="HG43" s="366">
        <v>879.35</v>
      </c>
      <c r="HH43" s="366">
        <v>879.35</v>
      </c>
      <c r="HI43" s="366">
        <v>879.35</v>
      </c>
      <c r="HJ43" s="366">
        <v>659.82</v>
      </c>
      <c r="HK43" s="366">
        <v>512.6</v>
      </c>
      <c r="HL43" s="366">
        <v>814.95</v>
      </c>
      <c r="HM43" s="366">
        <v>424.75</v>
      </c>
      <c r="HN43" s="366">
        <v>427.47</v>
      </c>
      <c r="HO43" s="366">
        <v>53.64</v>
      </c>
      <c r="HP43" s="366">
        <v>707.2</v>
      </c>
      <c r="HQ43" s="366">
        <v>57.93</v>
      </c>
      <c r="HR43" s="366">
        <v>206.29</v>
      </c>
      <c r="HS43" s="366">
        <v>423.72</v>
      </c>
      <c r="HT43" s="366">
        <v>527.41999999999996</v>
      </c>
      <c r="HU43" s="366">
        <v>554.1</v>
      </c>
      <c r="HV43" s="366">
        <v>578.57000000000005</v>
      </c>
    </row>
    <row r="44" spans="1:230">
      <c r="A44" s="366" t="s">
        <v>67</v>
      </c>
      <c r="B44" s="366">
        <v>642.74</v>
      </c>
      <c r="C44" s="366">
        <v>326.26</v>
      </c>
      <c r="D44" s="366">
        <v>130.16999999999999</v>
      </c>
      <c r="E44" s="366">
        <v>130.16999999999999</v>
      </c>
      <c r="F44" s="366">
        <v>706.64</v>
      </c>
      <c r="G44" s="366">
        <v>443.15</v>
      </c>
      <c r="H44" s="366">
        <v>86.55</v>
      </c>
      <c r="I44" s="366">
        <v>338.89</v>
      </c>
      <c r="J44" s="366">
        <v>62.77</v>
      </c>
      <c r="K44" s="366">
        <v>62.77</v>
      </c>
      <c r="L44" s="366">
        <v>148.08000000000001</v>
      </c>
      <c r="M44" s="366">
        <v>351.68</v>
      </c>
      <c r="N44" s="366">
        <v>448.58</v>
      </c>
      <c r="O44" s="366">
        <v>371.99</v>
      </c>
      <c r="P44" s="366">
        <v>371.99</v>
      </c>
      <c r="Q44" s="366">
        <v>371.99</v>
      </c>
      <c r="R44" s="366">
        <v>371.99</v>
      </c>
      <c r="S44" s="366">
        <v>371.99</v>
      </c>
      <c r="T44" s="366">
        <v>349.93</v>
      </c>
      <c r="U44" s="366">
        <v>551.19000000000005</v>
      </c>
      <c r="V44" s="366">
        <v>426.92</v>
      </c>
      <c r="W44" s="366">
        <v>253.33</v>
      </c>
      <c r="X44" s="366">
        <v>253.33</v>
      </c>
      <c r="Y44" s="366">
        <v>253.33</v>
      </c>
      <c r="Z44" s="366">
        <v>464.66</v>
      </c>
      <c r="AA44" s="366">
        <v>437.32</v>
      </c>
      <c r="AB44" s="366">
        <v>377.42</v>
      </c>
      <c r="AC44" s="366">
        <v>369.55</v>
      </c>
      <c r="AD44" s="366">
        <v>369.55</v>
      </c>
      <c r="AE44" s="366">
        <v>181.07</v>
      </c>
      <c r="AF44" s="366">
        <v>456.89</v>
      </c>
      <c r="AG44" s="366">
        <v>254.85</v>
      </c>
      <c r="AH44" s="366">
        <v>361.11</v>
      </c>
      <c r="AI44" s="366">
        <v>361.11</v>
      </c>
      <c r="AJ44" s="366">
        <v>361.11</v>
      </c>
      <c r="AK44" s="366">
        <v>486.86</v>
      </c>
      <c r="AL44" s="366">
        <v>486.86</v>
      </c>
      <c r="AM44" s="366">
        <v>380.14</v>
      </c>
      <c r="AN44" s="366">
        <v>331.16</v>
      </c>
      <c r="AO44" s="366">
        <v>459.76</v>
      </c>
      <c r="AP44" s="366">
        <v>288.23</v>
      </c>
      <c r="AQ44" s="366">
        <v>663.18</v>
      </c>
      <c r="AR44" s="366">
        <v>0</v>
      </c>
      <c r="AS44" s="366">
        <v>223.53</v>
      </c>
      <c r="AT44" s="366">
        <v>223.53</v>
      </c>
      <c r="AU44" s="366">
        <v>341.78</v>
      </c>
      <c r="AV44" s="366">
        <v>582.24</v>
      </c>
      <c r="AW44" s="366">
        <v>84.06</v>
      </c>
      <c r="AX44" s="366">
        <v>420.07</v>
      </c>
      <c r="AY44" s="366">
        <v>484.29</v>
      </c>
      <c r="AZ44" s="366">
        <v>294.88</v>
      </c>
      <c r="BA44" s="366">
        <v>583.15</v>
      </c>
      <c r="BB44" s="366">
        <v>487.18</v>
      </c>
      <c r="BC44" s="366">
        <v>525.21</v>
      </c>
      <c r="BD44" s="366">
        <v>434.98</v>
      </c>
      <c r="BE44" s="366">
        <v>430.98</v>
      </c>
      <c r="BF44" s="366">
        <v>374.39</v>
      </c>
      <c r="BG44" s="366">
        <v>472.21</v>
      </c>
      <c r="BH44" s="366">
        <v>371.99</v>
      </c>
      <c r="BI44" s="366">
        <v>0.56999999999999995</v>
      </c>
      <c r="BJ44" s="366">
        <v>410.33</v>
      </c>
      <c r="BK44" s="366">
        <v>362.66</v>
      </c>
      <c r="BL44" s="366">
        <v>137.16999999999999</v>
      </c>
      <c r="BM44" s="366">
        <v>113.96</v>
      </c>
      <c r="BN44" s="366">
        <v>477.51</v>
      </c>
      <c r="BO44" s="366">
        <v>404.86</v>
      </c>
      <c r="BP44" s="366">
        <v>370.72</v>
      </c>
      <c r="BQ44" s="366">
        <v>359.59</v>
      </c>
      <c r="BR44" s="366">
        <v>359.59</v>
      </c>
      <c r="BS44" s="366">
        <v>302.45</v>
      </c>
      <c r="BT44" s="366">
        <v>27.39</v>
      </c>
      <c r="BU44" s="366">
        <v>357.92</v>
      </c>
      <c r="BV44" s="366">
        <v>377.54</v>
      </c>
      <c r="BW44" s="366">
        <v>401.07</v>
      </c>
      <c r="BX44" s="366">
        <v>243.54</v>
      </c>
      <c r="BY44" s="366">
        <v>454.4</v>
      </c>
      <c r="BZ44" s="366">
        <v>454.4</v>
      </c>
      <c r="CA44" s="366">
        <v>116</v>
      </c>
      <c r="CB44" s="366">
        <v>261.97000000000003</v>
      </c>
      <c r="CC44" s="366">
        <v>391.24</v>
      </c>
      <c r="CD44" s="366">
        <v>401.33</v>
      </c>
      <c r="CE44" s="366">
        <v>345.89</v>
      </c>
      <c r="CF44" s="366">
        <v>455.62</v>
      </c>
      <c r="CG44" s="366">
        <v>455.62</v>
      </c>
      <c r="CH44" s="366">
        <v>344.59</v>
      </c>
      <c r="CI44" s="366">
        <v>314.95</v>
      </c>
      <c r="CJ44" s="366">
        <v>466.57</v>
      </c>
      <c r="CK44" s="366">
        <v>459.49</v>
      </c>
      <c r="CL44" s="366">
        <v>355.57</v>
      </c>
      <c r="CM44" s="366">
        <v>471.49</v>
      </c>
      <c r="CN44" s="366">
        <v>359.7</v>
      </c>
      <c r="CO44" s="366">
        <v>1.39</v>
      </c>
      <c r="CP44" s="366">
        <v>366.28</v>
      </c>
      <c r="CQ44" s="366">
        <v>366.28</v>
      </c>
      <c r="CR44" s="366">
        <v>52.06</v>
      </c>
      <c r="CS44" s="366">
        <v>52.06</v>
      </c>
      <c r="CT44" s="366">
        <v>59.51</v>
      </c>
      <c r="CU44" s="366">
        <v>51.64</v>
      </c>
      <c r="CV44" s="366">
        <v>80.72</v>
      </c>
      <c r="CW44" s="366">
        <v>426.92</v>
      </c>
      <c r="CX44" s="366">
        <v>410.31</v>
      </c>
      <c r="CY44" s="366">
        <v>517.91</v>
      </c>
      <c r="CZ44" s="366">
        <v>539.15</v>
      </c>
      <c r="DA44" s="366">
        <v>386.63</v>
      </c>
      <c r="DB44" s="366">
        <v>406.31</v>
      </c>
      <c r="DC44" s="366">
        <v>406.31</v>
      </c>
      <c r="DD44" s="366">
        <v>240.49</v>
      </c>
      <c r="DE44" s="366">
        <v>464.26</v>
      </c>
      <c r="DF44" s="366">
        <v>691.1</v>
      </c>
      <c r="DG44" s="366">
        <v>344.6</v>
      </c>
      <c r="DH44" s="366">
        <v>526.82000000000005</v>
      </c>
      <c r="DI44" s="366">
        <v>321.44</v>
      </c>
      <c r="DJ44" s="366">
        <v>525.33000000000004</v>
      </c>
      <c r="DK44" s="366">
        <v>205.96</v>
      </c>
      <c r="DL44" s="366">
        <v>351.92</v>
      </c>
      <c r="DM44" s="366">
        <v>313.83999999999997</v>
      </c>
      <c r="DN44" s="366">
        <v>336.2</v>
      </c>
      <c r="DO44" s="366">
        <v>232.53</v>
      </c>
      <c r="DP44" s="366">
        <v>202.18</v>
      </c>
      <c r="DQ44" s="366">
        <v>412.41</v>
      </c>
      <c r="DR44" s="366">
        <v>526.82000000000005</v>
      </c>
      <c r="DS44" s="366">
        <v>48.19</v>
      </c>
      <c r="DT44" s="366">
        <v>47.08</v>
      </c>
      <c r="DU44" s="366">
        <v>416.97</v>
      </c>
      <c r="DV44" s="366">
        <v>483.68</v>
      </c>
      <c r="DW44" s="366">
        <v>207.11</v>
      </c>
      <c r="DX44" s="366">
        <v>387.39</v>
      </c>
      <c r="DY44" s="366">
        <v>460.78</v>
      </c>
      <c r="DZ44" s="366">
        <v>250.16</v>
      </c>
      <c r="EA44" s="366">
        <v>17.72</v>
      </c>
      <c r="EB44" s="366">
        <v>454.78</v>
      </c>
      <c r="EC44" s="366">
        <v>104.73</v>
      </c>
      <c r="ED44" s="366">
        <v>351.21</v>
      </c>
      <c r="EE44" s="366">
        <v>362</v>
      </c>
      <c r="EF44" s="366">
        <v>281.95</v>
      </c>
      <c r="EG44" s="366">
        <v>84.06</v>
      </c>
      <c r="EH44" s="366">
        <v>84.06</v>
      </c>
      <c r="EI44" s="366">
        <v>384.98</v>
      </c>
      <c r="EJ44" s="366">
        <v>514.88</v>
      </c>
      <c r="EK44" s="366">
        <v>263.41000000000003</v>
      </c>
      <c r="EL44" s="366">
        <v>263.41000000000003</v>
      </c>
      <c r="EM44" s="366">
        <v>357.52</v>
      </c>
      <c r="EN44" s="366">
        <v>357.52</v>
      </c>
      <c r="EO44" s="366">
        <v>380.14</v>
      </c>
      <c r="EP44" s="366">
        <v>421.1</v>
      </c>
      <c r="EQ44" s="366">
        <v>69</v>
      </c>
      <c r="ER44" s="366">
        <v>521.23</v>
      </c>
      <c r="ES44" s="366">
        <v>326.16000000000003</v>
      </c>
      <c r="ET44" s="366">
        <v>341.62</v>
      </c>
      <c r="EU44" s="366">
        <v>642.74</v>
      </c>
      <c r="EV44" s="366">
        <v>253.33</v>
      </c>
      <c r="EW44" s="366">
        <v>385.9</v>
      </c>
      <c r="EX44" s="366">
        <v>302.89999999999998</v>
      </c>
      <c r="EY44" s="366">
        <v>302.89999999999998</v>
      </c>
      <c r="EZ44" s="366">
        <v>409.33</v>
      </c>
      <c r="FA44" s="366">
        <v>354.69</v>
      </c>
      <c r="FB44" s="366">
        <v>190.26</v>
      </c>
      <c r="FC44" s="366">
        <v>407.53</v>
      </c>
      <c r="FD44" s="366">
        <v>297.18</v>
      </c>
      <c r="FE44" s="366">
        <v>388.81</v>
      </c>
      <c r="FF44" s="366">
        <v>363.99</v>
      </c>
      <c r="FG44" s="366">
        <v>574.19000000000005</v>
      </c>
      <c r="FH44" s="366">
        <v>574.19000000000005</v>
      </c>
      <c r="FI44" s="366">
        <v>234.2</v>
      </c>
      <c r="FJ44" s="366">
        <v>239.99</v>
      </c>
      <c r="FK44" s="366">
        <v>353.9</v>
      </c>
      <c r="FL44" s="366">
        <v>352.09</v>
      </c>
      <c r="FM44" s="366">
        <v>380.14</v>
      </c>
      <c r="FN44" s="366">
        <v>284.08</v>
      </c>
      <c r="FO44" s="366">
        <v>26.09</v>
      </c>
      <c r="FP44" s="366">
        <v>439.88</v>
      </c>
      <c r="FQ44" s="366">
        <v>5.66</v>
      </c>
      <c r="FR44" s="366">
        <v>165.42</v>
      </c>
      <c r="FS44" s="366">
        <v>294.06</v>
      </c>
      <c r="FT44" s="366">
        <v>510.17</v>
      </c>
      <c r="FU44" s="366">
        <v>302.56</v>
      </c>
      <c r="FV44" s="366">
        <v>706.64</v>
      </c>
      <c r="FW44" s="366">
        <v>706.64</v>
      </c>
      <c r="FX44" s="366">
        <v>706.64</v>
      </c>
      <c r="FY44" s="366">
        <v>303.83</v>
      </c>
      <c r="FZ44" s="366">
        <v>378.72</v>
      </c>
      <c r="GA44" s="366">
        <v>430.98</v>
      </c>
      <c r="GB44" s="366">
        <v>332.53</v>
      </c>
      <c r="GC44" s="366">
        <v>351.21</v>
      </c>
      <c r="GD44" s="366">
        <v>225.64</v>
      </c>
      <c r="GE44" s="366">
        <v>59.61</v>
      </c>
      <c r="GF44" s="366">
        <v>289.02999999999997</v>
      </c>
      <c r="GG44" s="366">
        <v>289.02999999999997</v>
      </c>
      <c r="GH44" s="366">
        <v>479.43</v>
      </c>
      <c r="GI44" s="366">
        <v>380.3</v>
      </c>
      <c r="GJ44" s="366">
        <v>380.14</v>
      </c>
      <c r="GK44" s="366">
        <v>350.45</v>
      </c>
      <c r="GL44" s="366">
        <v>371.31</v>
      </c>
      <c r="GM44" s="366">
        <v>371.31</v>
      </c>
      <c r="GN44" s="366">
        <v>371.31</v>
      </c>
      <c r="GO44" s="366">
        <v>327.41000000000003</v>
      </c>
      <c r="GP44" s="366">
        <v>436.39</v>
      </c>
      <c r="GQ44" s="366">
        <v>396.16</v>
      </c>
      <c r="GR44" s="366">
        <v>382.55</v>
      </c>
      <c r="GS44" s="366">
        <v>307.16000000000003</v>
      </c>
      <c r="GT44" s="366">
        <v>84.06</v>
      </c>
      <c r="GU44" s="366">
        <v>199.24</v>
      </c>
      <c r="GV44" s="366">
        <v>522.07000000000005</v>
      </c>
      <c r="GW44" s="366">
        <v>347.29</v>
      </c>
      <c r="GX44" s="366">
        <v>80.63</v>
      </c>
      <c r="GY44" s="366">
        <v>362.08</v>
      </c>
      <c r="GZ44" s="366">
        <v>296.89999999999998</v>
      </c>
      <c r="HA44" s="366">
        <v>31.5</v>
      </c>
      <c r="HB44" s="366">
        <v>31.5</v>
      </c>
      <c r="HC44" s="366">
        <v>31.5</v>
      </c>
      <c r="HD44" s="366">
        <v>286.45</v>
      </c>
      <c r="HE44" s="366">
        <v>351.37</v>
      </c>
      <c r="HF44" s="366">
        <v>307.66000000000003</v>
      </c>
      <c r="HG44" s="366">
        <v>435.31</v>
      </c>
      <c r="HH44" s="366">
        <v>435.31</v>
      </c>
      <c r="HI44" s="366">
        <v>435.31</v>
      </c>
      <c r="HJ44" s="366">
        <v>309.89999999999998</v>
      </c>
      <c r="HK44" s="366">
        <v>156.55000000000001</v>
      </c>
      <c r="HL44" s="366">
        <v>405.37</v>
      </c>
      <c r="HM44" s="366">
        <v>377.42</v>
      </c>
      <c r="HN44" s="366">
        <v>380.14</v>
      </c>
      <c r="HO44" s="366">
        <v>610.9</v>
      </c>
      <c r="HP44" s="366">
        <v>297.62</v>
      </c>
      <c r="HQ44" s="366">
        <v>706.64</v>
      </c>
      <c r="HR44" s="366">
        <v>456.89</v>
      </c>
      <c r="HS44" s="366">
        <v>376.39</v>
      </c>
      <c r="HT44" s="366">
        <v>328.55</v>
      </c>
      <c r="HU44" s="366">
        <v>363.07</v>
      </c>
      <c r="HV44" s="366">
        <v>408.26</v>
      </c>
    </row>
    <row r="45" spans="1:230">
      <c r="A45" s="366" t="s">
        <v>68</v>
      </c>
      <c r="B45" s="366">
        <v>701.63</v>
      </c>
      <c r="C45" s="366">
        <v>184.07</v>
      </c>
      <c r="D45" s="366">
        <v>93.36</v>
      </c>
      <c r="E45" s="366">
        <v>93.36</v>
      </c>
      <c r="F45" s="366">
        <v>765.53</v>
      </c>
      <c r="G45" s="366">
        <v>564.16999999999996</v>
      </c>
      <c r="H45" s="366">
        <v>136.97999999999999</v>
      </c>
      <c r="I45" s="366">
        <v>192.15</v>
      </c>
      <c r="J45" s="366">
        <v>160.76</v>
      </c>
      <c r="K45" s="366">
        <v>160.76</v>
      </c>
      <c r="L45" s="366">
        <v>75.45</v>
      </c>
      <c r="M45" s="366">
        <v>209.49</v>
      </c>
      <c r="N45" s="366">
        <v>306.39</v>
      </c>
      <c r="O45" s="366">
        <v>156.97999999999999</v>
      </c>
      <c r="P45" s="366">
        <v>156.97999999999999</v>
      </c>
      <c r="Q45" s="366">
        <v>156.97999999999999</v>
      </c>
      <c r="R45" s="366">
        <v>156.97999999999999</v>
      </c>
      <c r="S45" s="366">
        <v>156.97999999999999</v>
      </c>
      <c r="T45" s="366">
        <v>266.64999999999998</v>
      </c>
      <c r="U45" s="366">
        <v>672.21</v>
      </c>
      <c r="V45" s="366">
        <v>211.91</v>
      </c>
      <c r="W45" s="366">
        <v>374.35</v>
      </c>
      <c r="X45" s="366">
        <v>374.35</v>
      </c>
      <c r="Y45" s="366">
        <v>374.35</v>
      </c>
      <c r="Z45" s="366">
        <v>249.65</v>
      </c>
      <c r="AA45" s="366">
        <v>558.34</v>
      </c>
      <c r="AB45" s="366">
        <v>326.39</v>
      </c>
      <c r="AC45" s="366">
        <v>328.85</v>
      </c>
      <c r="AD45" s="366">
        <v>328.85</v>
      </c>
      <c r="AE45" s="366">
        <v>96.96</v>
      </c>
      <c r="AF45" s="366">
        <v>577.91</v>
      </c>
      <c r="AG45" s="366">
        <v>375.87</v>
      </c>
      <c r="AH45" s="366">
        <v>146.1</v>
      </c>
      <c r="AI45" s="366">
        <v>146.1</v>
      </c>
      <c r="AJ45" s="366">
        <v>146.1</v>
      </c>
      <c r="AK45" s="366">
        <v>271.85000000000002</v>
      </c>
      <c r="AL45" s="366">
        <v>271.85000000000002</v>
      </c>
      <c r="AM45" s="366">
        <v>329.11</v>
      </c>
      <c r="AN45" s="366">
        <v>116.15</v>
      </c>
      <c r="AO45" s="366">
        <v>580.22</v>
      </c>
      <c r="AP45" s="366">
        <v>255.37</v>
      </c>
      <c r="AQ45" s="366">
        <v>722.07</v>
      </c>
      <c r="AR45" s="366">
        <v>223.53</v>
      </c>
      <c r="AS45" s="366">
        <v>0</v>
      </c>
      <c r="AT45" s="366">
        <v>0</v>
      </c>
      <c r="AU45" s="366">
        <v>126.77</v>
      </c>
      <c r="AV45" s="366">
        <v>703.26</v>
      </c>
      <c r="AW45" s="366">
        <v>205.08</v>
      </c>
      <c r="AX45" s="366">
        <v>212.75</v>
      </c>
      <c r="AY45" s="366">
        <v>342.1</v>
      </c>
      <c r="AZ45" s="366">
        <v>152.69</v>
      </c>
      <c r="BA45" s="366">
        <v>542.45000000000005</v>
      </c>
      <c r="BB45" s="366">
        <v>344.99</v>
      </c>
      <c r="BC45" s="366">
        <v>484.51</v>
      </c>
      <c r="BD45" s="366">
        <v>394.28</v>
      </c>
      <c r="BE45" s="366">
        <v>215.97</v>
      </c>
      <c r="BF45" s="366">
        <v>323.36</v>
      </c>
      <c r="BG45" s="366">
        <v>257.2</v>
      </c>
      <c r="BH45" s="366">
        <v>156.97999999999999</v>
      </c>
      <c r="BI45" s="366">
        <v>223.56</v>
      </c>
      <c r="BJ45" s="366">
        <v>195.32</v>
      </c>
      <c r="BK45" s="366">
        <v>220.47</v>
      </c>
      <c r="BL45" s="366">
        <v>100.36</v>
      </c>
      <c r="BM45" s="366">
        <v>109.57</v>
      </c>
      <c r="BN45" s="366">
        <v>598.53</v>
      </c>
      <c r="BO45" s="366">
        <v>262.67</v>
      </c>
      <c r="BP45" s="366">
        <v>228.53</v>
      </c>
      <c r="BQ45" s="366">
        <v>171.45</v>
      </c>
      <c r="BR45" s="366">
        <v>171.45</v>
      </c>
      <c r="BS45" s="366">
        <v>160.26</v>
      </c>
      <c r="BT45" s="366">
        <v>207.99</v>
      </c>
      <c r="BU45" s="366">
        <v>306.89</v>
      </c>
      <c r="BV45" s="366">
        <v>326.51</v>
      </c>
      <c r="BW45" s="366">
        <v>186.06</v>
      </c>
      <c r="BX45" s="366">
        <v>101.35</v>
      </c>
      <c r="BY45" s="366">
        <v>239.39</v>
      </c>
      <c r="BZ45" s="366">
        <v>239.39</v>
      </c>
      <c r="CA45" s="366">
        <v>237.02</v>
      </c>
      <c r="CB45" s="366">
        <v>119.78</v>
      </c>
      <c r="CC45" s="366">
        <v>183.92</v>
      </c>
      <c r="CD45" s="366">
        <v>186.32</v>
      </c>
      <c r="CE45" s="366">
        <v>203.7</v>
      </c>
      <c r="CF45" s="366">
        <v>576.64</v>
      </c>
      <c r="CG45" s="366">
        <v>576.64</v>
      </c>
      <c r="CH45" s="366">
        <v>186.45</v>
      </c>
      <c r="CI45" s="366">
        <v>99.94</v>
      </c>
      <c r="CJ45" s="366">
        <v>587.59</v>
      </c>
      <c r="CK45" s="366">
        <v>244.48</v>
      </c>
      <c r="CL45" s="366">
        <v>140.56</v>
      </c>
      <c r="CM45" s="366">
        <v>430.79</v>
      </c>
      <c r="CN45" s="366">
        <v>144.69</v>
      </c>
      <c r="CO45" s="366">
        <v>222.14</v>
      </c>
      <c r="CP45" s="366">
        <v>164.76</v>
      </c>
      <c r="CQ45" s="366">
        <v>164.76</v>
      </c>
      <c r="CR45" s="366">
        <v>174.54</v>
      </c>
      <c r="CS45" s="366">
        <v>174.54</v>
      </c>
      <c r="CT45" s="366">
        <v>183.98</v>
      </c>
      <c r="CU45" s="366">
        <v>176.11</v>
      </c>
      <c r="CV45" s="366">
        <v>178.71</v>
      </c>
      <c r="CW45" s="366">
        <v>211.91</v>
      </c>
      <c r="CX45" s="366">
        <v>202.99</v>
      </c>
      <c r="CY45" s="366">
        <v>477.21</v>
      </c>
      <c r="CZ45" s="366">
        <v>498.45</v>
      </c>
      <c r="DA45" s="366">
        <v>244.44</v>
      </c>
      <c r="DB45" s="366">
        <v>191.3</v>
      </c>
      <c r="DC45" s="366">
        <v>191.3</v>
      </c>
      <c r="DD45" s="366">
        <v>361.51</v>
      </c>
      <c r="DE45" s="366">
        <v>322.07</v>
      </c>
      <c r="DF45" s="366">
        <v>749.99</v>
      </c>
      <c r="DG45" s="366">
        <v>129.59</v>
      </c>
      <c r="DH45" s="366">
        <v>384.63</v>
      </c>
      <c r="DI45" s="366">
        <v>442.46</v>
      </c>
      <c r="DJ45" s="366">
        <v>514.65</v>
      </c>
      <c r="DK45" s="366">
        <v>63.77</v>
      </c>
      <c r="DL45" s="366">
        <v>312.89</v>
      </c>
      <c r="DM45" s="366">
        <v>171.65</v>
      </c>
      <c r="DN45" s="366">
        <v>457.22</v>
      </c>
      <c r="DO45" s="366">
        <v>90.34</v>
      </c>
      <c r="DP45" s="366">
        <v>323.2</v>
      </c>
      <c r="DQ45" s="366">
        <v>197.4</v>
      </c>
      <c r="DR45" s="366">
        <v>384.63</v>
      </c>
      <c r="DS45" s="366">
        <v>200.01</v>
      </c>
      <c r="DT45" s="366">
        <v>188.3</v>
      </c>
      <c r="DU45" s="366">
        <v>274.77999999999997</v>
      </c>
      <c r="DV45" s="366">
        <v>275.49</v>
      </c>
      <c r="DW45" s="366">
        <v>16.420000000000002</v>
      </c>
      <c r="DX45" s="366">
        <v>172.38</v>
      </c>
      <c r="DY45" s="366">
        <v>245.77</v>
      </c>
      <c r="DZ45" s="366">
        <v>371.18</v>
      </c>
      <c r="EA45" s="366">
        <v>205.81</v>
      </c>
      <c r="EB45" s="366">
        <v>239.77</v>
      </c>
      <c r="EC45" s="366">
        <v>118.8</v>
      </c>
      <c r="ED45" s="366">
        <v>472.23</v>
      </c>
      <c r="EE45" s="366">
        <v>483.02</v>
      </c>
      <c r="EF45" s="366">
        <v>249.09</v>
      </c>
      <c r="EG45" s="366">
        <v>205.08</v>
      </c>
      <c r="EH45" s="366">
        <v>205.08</v>
      </c>
      <c r="EI45" s="366">
        <v>169.97</v>
      </c>
      <c r="EJ45" s="366">
        <v>372.69</v>
      </c>
      <c r="EK45" s="366">
        <v>48.4</v>
      </c>
      <c r="EL45" s="366">
        <v>48.4</v>
      </c>
      <c r="EM45" s="366">
        <v>142.51</v>
      </c>
      <c r="EN45" s="366">
        <v>142.51</v>
      </c>
      <c r="EO45" s="366">
        <v>329.11</v>
      </c>
      <c r="EP45" s="366">
        <v>251.97</v>
      </c>
      <c r="EQ45" s="366">
        <v>193.47</v>
      </c>
      <c r="ER45" s="366">
        <v>642.25</v>
      </c>
      <c r="ES45" s="366">
        <v>183.97</v>
      </c>
      <c r="ET45" s="366">
        <v>189.42</v>
      </c>
      <c r="EU45" s="366">
        <v>701.63</v>
      </c>
      <c r="EV45" s="366">
        <v>374.35</v>
      </c>
      <c r="EW45" s="366">
        <v>170.89</v>
      </c>
      <c r="EX45" s="366">
        <v>160.71</v>
      </c>
      <c r="EY45" s="366">
        <v>160.71</v>
      </c>
      <c r="EZ45" s="366">
        <v>194.32</v>
      </c>
      <c r="FA45" s="366">
        <v>139.68</v>
      </c>
      <c r="FB45" s="366">
        <v>48.07</v>
      </c>
      <c r="FC45" s="366">
        <v>192.52</v>
      </c>
      <c r="FD45" s="366">
        <v>82.17</v>
      </c>
      <c r="FE45" s="366">
        <v>173.8</v>
      </c>
      <c r="FF45" s="366">
        <v>148.97999999999999</v>
      </c>
      <c r="FG45" s="366">
        <v>533.49</v>
      </c>
      <c r="FH45" s="366">
        <v>533.49</v>
      </c>
      <c r="FI45" s="366">
        <v>355.22</v>
      </c>
      <c r="FJ45" s="366">
        <v>361.01</v>
      </c>
      <c r="FK45" s="366">
        <v>211.71</v>
      </c>
      <c r="FL45" s="366">
        <v>209.9</v>
      </c>
      <c r="FM45" s="366">
        <v>329.11</v>
      </c>
      <c r="FN45" s="366">
        <v>405.1</v>
      </c>
      <c r="FO45" s="366">
        <v>214.18</v>
      </c>
      <c r="FP45" s="366">
        <v>224.87</v>
      </c>
      <c r="FQ45" s="366">
        <v>218.05</v>
      </c>
      <c r="FR45" s="366">
        <v>92.79</v>
      </c>
      <c r="FS45" s="366">
        <v>79.05</v>
      </c>
      <c r="FT45" s="366">
        <v>529.80999999999995</v>
      </c>
      <c r="FU45" s="366">
        <v>87.55</v>
      </c>
      <c r="FV45" s="366">
        <v>765.53</v>
      </c>
      <c r="FW45" s="366">
        <v>765.53</v>
      </c>
      <c r="FX45" s="366">
        <v>765.53</v>
      </c>
      <c r="FY45" s="366">
        <v>88.82</v>
      </c>
      <c r="FZ45" s="366">
        <v>163.71</v>
      </c>
      <c r="GA45" s="366">
        <v>215.97</v>
      </c>
      <c r="GB45" s="366">
        <v>117.52</v>
      </c>
      <c r="GC45" s="366">
        <v>472.23</v>
      </c>
      <c r="GD45" s="366">
        <v>83.45</v>
      </c>
      <c r="GE45" s="366">
        <v>184.08</v>
      </c>
      <c r="GF45" s="366">
        <v>74.02</v>
      </c>
      <c r="GG45" s="366">
        <v>74.02</v>
      </c>
      <c r="GH45" s="366">
        <v>264.42</v>
      </c>
      <c r="GI45" s="366">
        <v>329.27</v>
      </c>
      <c r="GJ45" s="366">
        <v>329.11</v>
      </c>
      <c r="GK45" s="366">
        <v>208.26</v>
      </c>
      <c r="GL45" s="366">
        <v>156.30000000000001</v>
      </c>
      <c r="GM45" s="366">
        <v>156.30000000000001</v>
      </c>
      <c r="GN45" s="366">
        <v>156.30000000000001</v>
      </c>
      <c r="GO45" s="366">
        <v>294.55</v>
      </c>
      <c r="GP45" s="366">
        <v>221.38</v>
      </c>
      <c r="GQ45" s="366">
        <v>253.97</v>
      </c>
      <c r="GR45" s="366">
        <v>357.34</v>
      </c>
      <c r="GS45" s="366">
        <v>223.88</v>
      </c>
      <c r="GT45" s="366">
        <v>205.08</v>
      </c>
      <c r="GU45" s="366">
        <v>81.67</v>
      </c>
      <c r="GV45" s="366">
        <v>379.88</v>
      </c>
      <c r="GW45" s="366">
        <v>132.28</v>
      </c>
      <c r="GX45" s="366">
        <v>201.65</v>
      </c>
      <c r="GY45" s="366">
        <v>147.07</v>
      </c>
      <c r="GZ45" s="366">
        <v>81.89</v>
      </c>
      <c r="HA45" s="366">
        <v>219.59</v>
      </c>
      <c r="HB45" s="366">
        <v>219.59</v>
      </c>
      <c r="HC45" s="366">
        <v>219.59</v>
      </c>
      <c r="HD45" s="366">
        <v>407.47</v>
      </c>
      <c r="HE45" s="366">
        <v>136.36000000000001</v>
      </c>
      <c r="HF45" s="366">
        <v>92.65</v>
      </c>
      <c r="HG45" s="366">
        <v>220.3</v>
      </c>
      <c r="HH45" s="366">
        <v>220.3</v>
      </c>
      <c r="HI45" s="366">
        <v>220.3</v>
      </c>
      <c r="HJ45" s="366">
        <v>94.89</v>
      </c>
      <c r="HK45" s="366">
        <v>277.57</v>
      </c>
      <c r="HL45" s="366">
        <v>190.36</v>
      </c>
      <c r="HM45" s="366">
        <v>326.39</v>
      </c>
      <c r="HN45" s="366">
        <v>329.11</v>
      </c>
      <c r="HO45" s="366">
        <v>731.92</v>
      </c>
      <c r="HP45" s="366">
        <v>82.61</v>
      </c>
      <c r="HQ45" s="366">
        <v>765.53</v>
      </c>
      <c r="HR45" s="366">
        <v>577.91</v>
      </c>
      <c r="HS45" s="366">
        <v>325.36</v>
      </c>
      <c r="HT45" s="366">
        <v>207.68</v>
      </c>
      <c r="HU45" s="366">
        <v>174.93</v>
      </c>
      <c r="HV45" s="366">
        <v>193.25</v>
      </c>
    </row>
    <row r="46" spans="1:230">
      <c r="A46" s="366" t="s">
        <v>69</v>
      </c>
      <c r="B46" s="366">
        <v>701.63</v>
      </c>
      <c r="C46" s="366">
        <v>184.07</v>
      </c>
      <c r="D46" s="366">
        <v>93.36</v>
      </c>
      <c r="E46" s="366">
        <v>93.36</v>
      </c>
      <c r="F46" s="366">
        <v>765.53</v>
      </c>
      <c r="G46" s="366">
        <v>564.16999999999996</v>
      </c>
      <c r="H46" s="366">
        <v>136.97999999999999</v>
      </c>
      <c r="I46" s="366">
        <v>192.15</v>
      </c>
      <c r="J46" s="366">
        <v>160.76</v>
      </c>
      <c r="K46" s="366">
        <v>160.76</v>
      </c>
      <c r="L46" s="366">
        <v>75.45</v>
      </c>
      <c r="M46" s="366">
        <v>209.49</v>
      </c>
      <c r="N46" s="366">
        <v>306.39</v>
      </c>
      <c r="O46" s="366">
        <v>156.97999999999999</v>
      </c>
      <c r="P46" s="366">
        <v>156.97999999999999</v>
      </c>
      <c r="Q46" s="366">
        <v>156.97999999999999</v>
      </c>
      <c r="R46" s="366">
        <v>156.97999999999999</v>
      </c>
      <c r="S46" s="366">
        <v>156.97999999999999</v>
      </c>
      <c r="T46" s="366">
        <v>266.64999999999998</v>
      </c>
      <c r="U46" s="366">
        <v>672.21</v>
      </c>
      <c r="V46" s="366">
        <v>211.91</v>
      </c>
      <c r="W46" s="366">
        <v>374.35</v>
      </c>
      <c r="X46" s="366">
        <v>374.35</v>
      </c>
      <c r="Y46" s="366">
        <v>374.35</v>
      </c>
      <c r="Z46" s="366">
        <v>249.65</v>
      </c>
      <c r="AA46" s="366">
        <v>558.34</v>
      </c>
      <c r="AB46" s="366">
        <v>326.39</v>
      </c>
      <c r="AC46" s="366">
        <v>328.85</v>
      </c>
      <c r="AD46" s="366">
        <v>328.85</v>
      </c>
      <c r="AE46" s="366">
        <v>96.96</v>
      </c>
      <c r="AF46" s="366">
        <v>577.91</v>
      </c>
      <c r="AG46" s="366">
        <v>375.87</v>
      </c>
      <c r="AH46" s="366">
        <v>146.1</v>
      </c>
      <c r="AI46" s="366">
        <v>146.1</v>
      </c>
      <c r="AJ46" s="366">
        <v>146.1</v>
      </c>
      <c r="AK46" s="366">
        <v>271.85000000000002</v>
      </c>
      <c r="AL46" s="366">
        <v>271.85000000000002</v>
      </c>
      <c r="AM46" s="366">
        <v>329.11</v>
      </c>
      <c r="AN46" s="366">
        <v>116.15</v>
      </c>
      <c r="AO46" s="366">
        <v>580.22</v>
      </c>
      <c r="AP46" s="366">
        <v>255.37</v>
      </c>
      <c r="AQ46" s="366">
        <v>722.07</v>
      </c>
      <c r="AR46" s="366">
        <v>223.53</v>
      </c>
      <c r="AS46" s="366">
        <v>0</v>
      </c>
      <c r="AT46" s="366">
        <v>0</v>
      </c>
      <c r="AU46" s="366">
        <v>126.77</v>
      </c>
      <c r="AV46" s="366">
        <v>703.26</v>
      </c>
      <c r="AW46" s="366">
        <v>205.08</v>
      </c>
      <c r="AX46" s="366">
        <v>212.75</v>
      </c>
      <c r="AY46" s="366">
        <v>342.1</v>
      </c>
      <c r="AZ46" s="366">
        <v>152.69</v>
      </c>
      <c r="BA46" s="366">
        <v>542.45000000000005</v>
      </c>
      <c r="BB46" s="366">
        <v>344.99</v>
      </c>
      <c r="BC46" s="366">
        <v>484.51</v>
      </c>
      <c r="BD46" s="366">
        <v>394.28</v>
      </c>
      <c r="BE46" s="366">
        <v>215.97</v>
      </c>
      <c r="BF46" s="366">
        <v>323.36</v>
      </c>
      <c r="BG46" s="366">
        <v>257.2</v>
      </c>
      <c r="BH46" s="366">
        <v>156.97999999999999</v>
      </c>
      <c r="BI46" s="366">
        <v>223.56</v>
      </c>
      <c r="BJ46" s="366">
        <v>195.32</v>
      </c>
      <c r="BK46" s="366">
        <v>220.47</v>
      </c>
      <c r="BL46" s="366">
        <v>100.36</v>
      </c>
      <c r="BM46" s="366">
        <v>109.57</v>
      </c>
      <c r="BN46" s="366">
        <v>598.53</v>
      </c>
      <c r="BO46" s="366">
        <v>262.67</v>
      </c>
      <c r="BP46" s="366">
        <v>228.53</v>
      </c>
      <c r="BQ46" s="366">
        <v>171.45</v>
      </c>
      <c r="BR46" s="366">
        <v>171.45</v>
      </c>
      <c r="BS46" s="366">
        <v>160.26</v>
      </c>
      <c r="BT46" s="366">
        <v>207.99</v>
      </c>
      <c r="BU46" s="366">
        <v>306.89</v>
      </c>
      <c r="BV46" s="366">
        <v>326.51</v>
      </c>
      <c r="BW46" s="366">
        <v>186.06</v>
      </c>
      <c r="BX46" s="366">
        <v>101.35</v>
      </c>
      <c r="BY46" s="366">
        <v>239.39</v>
      </c>
      <c r="BZ46" s="366">
        <v>239.39</v>
      </c>
      <c r="CA46" s="366">
        <v>237.02</v>
      </c>
      <c r="CB46" s="366">
        <v>119.78</v>
      </c>
      <c r="CC46" s="366">
        <v>183.92</v>
      </c>
      <c r="CD46" s="366">
        <v>186.32</v>
      </c>
      <c r="CE46" s="366">
        <v>203.7</v>
      </c>
      <c r="CF46" s="366">
        <v>576.64</v>
      </c>
      <c r="CG46" s="366">
        <v>576.64</v>
      </c>
      <c r="CH46" s="366">
        <v>186.45</v>
      </c>
      <c r="CI46" s="366">
        <v>99.94</v>
      </c>
      <c r="CJ46" s="366">
        <v>587.59</v>
      </c>
      <c r="CK46" s="366">
        <v>244.48</v>
      </c>
      <c r="CL46" s="366">
        <v>140.56</v>
      </c>
      <c r="CM46" s="366">
        <v>430.79</v>
      </c>
      <c r="CN46" s="366">
        <v>144.69</v>
      </c>
      <c r="CO46" s="366">
        <v>222.14</v>
      </c>
      <c r="CP46" s="366">
        <v>164.76</v>
      </c>
      <c r="CQ46" s="366">
        <v>164.76</v>
      </c>
      <c r="CR46" s="366">
        <v>174.54</v>
      </c>
      <c r="CS46" s="366">
        <v>174.54</v>
      </c>
      <c r="CT46" s="366">
        <v>183.98</v>
      </c>
      <c r="CU46" s="366">
        <v>176.11</v>
      </c>
      <c r="CV46" s="366">
        <v>178.71</v>
      </c>
      <c r="CW46" s="366">
        <v>211.91</v>
      </c>
      <c r="CX46" s="366">
        <v>202.99</v>
      </c>
      <c r="CY46" s="366">
        <v>477.21</v>
      </c>
      <c r="CZ46" s="366">
        <v>498.45</v>
      </c>
      <c r="DA46" s="366">
        <v>244.44</v>
      </c>
      <c r="DB46" s="366">
        <v>191.3</v>
      </c>
      <c r="DC46" s="366">
        <v>191.3</v>
      </c>
      <c r="DD46" s="366">
        <v>361.51</v>
      </c>
      <c r="DE46" s="366">
        <v>322.07</v>
      </c>
      <c r="DF46" s="366">
        <v>749.99</v>
      </c>
      <c r="DG46" s="366">
        <v>129.59</v>
      </c>
      <c r="DH46" s="366">
        <v>384.63</v>
      </c>
      <c r="DI46" s="366">
        <v>442.46</v>
      </c>
      <c r="DJ46" s="366">
        <v>514.65</v>
      </c>
      <c r="DK46" s="366">
        <v>63.77</v>
      </c>
      <c r="DL46" s="366">
        <v>312.89</v>
      </c>
      <c r="DM46" s="366">
        <v>171.65</v>
      </c>
      <c r="DN46" s="366">
        <v>457.22</v>
      </c>
      <c r="DO46" s="366">
        <v>90.34</v>
      </c>
      <c r="DP46" s="366">
        <v>323.2</v>
      </c>
      <c r="DQ46" s="366">
        <v>197.4</v>
      </c>
      <c r="DR46" s="366">
        <v>384.63</v>
      </c>
      <c r="DS46" s="366">
        <v>200.01</v>
      </c>
      <c r="DT46" s="366">
        <v>188.3</v>
      </c>
      <c r="DU46" s="366">
        <v>274.77999999999997</v>
      </c>
      <c r="DV46" s="366">
        <v>275.49</v>
      </c>
      <c r="DW46" s="366">
        <v>16.420000000000002</v>
      </c>
      <c r="DX46" s="366">
        <v>172.38</v>
      </c>
      <c r="DY46" s="366">
        <v>245.77</v>
      </c>
      <c r="DZ46" s="366">
        <v>371.18</v>
      </c>
      <c r="EA46" s="366">
        <v>205.81</v>
      </c>
      <c r="EB46" s="366">
        <v>239.77</v>
      </c>
      <c r="EC46" s="366">
        <v>118.8</v>
      </c>
      <c r="ED46" s="366">
        <v>472.23</v>
      </c>
      <c r="EE46" s="366">
        <v>483.02</v>
      </c>
      <c r="EF46" s="366">
        <v>249.09</v>
      </c>
      <c r="EG46" s="366">
        <v>205.08</v>
      </c>
      <c r="EH46" s="366">
        <v>205.08</v>
      </c>
      <c r="EI46" s="366">
        <v>169.97</v>
      </c>
      <c r="EJ46" s="366">
        <v>372.69</v>
      </c>
      <c r="EK46" s="366">
        <v>48.4</v>
      </c>
      <c r="EL46" s="366">
        <v>48.4</v>
      </c>
      <c r="EM46" s="366">
        <v>142.51</v>
      </c>
      <c r="EN46" s="366">
        <v>142.51</v>
      </c>
      <c r="EO46" s="366">
        <v>329.11</v>
      </c>
      <c r="EP46" s="366">
        <v>251.97</v>
      </c>
      <c r="EQ46" s="366">
        <v>193.47</v>
      </c>
      <c r="ER46" s="366">
        <v>642.25</v>
      </c>
      <c r="ES46" s="366">
        <v>183.97</v>
      </c>
      <c r="ET46" s="366">
        <v>189.42</v>
      </c>
      <c r="EU46" s="366">
        <v>701.63</v>
      </c>
      <c r="EV46" s="366">
        <v>374.35</v>
      </c>
      <c r="EW46" s="366">
        <v>170.89</v>
      </c>
      <c r="EX46" s="366">
        <v>160.71</v>
      </c>
      <c r="EY46" s="366">
        <v>160.71</v>
      </c>
      <c r="EZ46" s="366">
        <v>194.32</v>
      </c>
      <c r="FA46" s="366">
        <v>139.68</v>
      </c>
      <c r="FB46" s="366">
        <v>48.07</v>
      </c>
      <c r="FC46" s="366">
        <v>192.52</v>
      </c>
      <c r="FD46" s="366">
        <v>82.17</v>
      </c>
      <c r="FE46" s="366">
        <v>173.8</v>
      </c>
      <c r="FF46" s="366">
        <v>148.97999999999999</v>
      </c>
      <c r="FG46" s="366">
        <v>533.49</v>
      </c>
      <c r="FH46" s="366">
        <v>533.49</v>
      </c>
      <c r="FI46" s="366">
        <v>355.22</v>
      </c>
      <c r="FJ46" s="366">
        <v>361.01</v>
      </c>
      <c r="FK46" s="366">
        <v>211.71</v>
      </c>
      <c r="FL46" s="366">
        <v>209.9</v>
      </c>
      <c r="FM46" s="366">
        <v>329.11</v>
      </c>
      <c r="FN46" s="366">
        <v>405.1</v>
      </c>
      <c r="FO46" s="366">
        <v>214.18</v>
      </c>
      <c r="FP46" s="366">
        <v>224.87</v>
      </c>
      <c r="FQ46" s="366">
        <v>218.05</v>
      </c>
      <c r="FR46" s="366">
        <v>92.79</v>
      </c>
      <c r="FS46" s="366">
        <v>79.05</v>
      </c>
      <c r="FT46" s="366">
        <v>529.80999999999995</v>
      </c>
      <c r="FU46" s="366">
        <v>87.55</v>
      </c>
      <c r="FV46" s="366">
        <v>765.53</v>
      </c>
      <c r="FW46" s="366">
        <v>765.53</v>
      </c>
      <c r="FX46" s="366">
        <v>765.53</v>
      </c>
      <c r="FY46" s="366">
        <v>88.82</v>
      </c>
      <c r="FZ46" s="366">
        <v>163.71</v>
      </c>
      <c r="GA46" s="366">
        <v>215.97</v>
      </c>
      <c r="GB46" s="366">
        <v>117.52</v>
      </c>
      <c r="GC46" s="366">
        <v>472.23</v>
      </c>
      <c r="GD46" s="366">
        <v>83.45</v>
      </c>
      <c r="GE46" s="366">
        <v>184.08</v>
      </c>
      <c r="GF46" s="366">
        <v>74.02</v>
      </c>
      <c r="GG46" s="366">
        <v>74.02</v>
      </c>
      <c r="GH46" s="366">
        <v>264.42</v>
      </c>
      <c r="GI46" s="366">
        <v>329.27</v>
      </c>
      <c r="GJ46" s="366">
        <v>329.11</v>
      </c>
      <c r="GK46" s="366">
        <v>208.26</v>
      </c>
      <c r="GL46" s="366">
        <v>156.30000000000001</v>
      </c>
      <c r="GM46" s="366">
        <v>156.30000000000001</v>
      </c>
      <c r="GN46" s="366">
        <v>156.30000000000001</v>
      </c>
      <c r="GO46" s="366">
        <v>294.55</v>
      </c>
      <c r="GP46" s="366">
        <v>221.38</v>
      </c>
      <c r="GQ46" s="366">
        <v>253.97</v>
      </c>
      <c r="GR46" s="366">
        <v>357.34</v>
      </c>
      <c r="GS46" s="366">
        <v>223.88</v>
      </c>
      <c r="GT46" s="366">
        <v>205.08</v>
      </c>
      <c r="GU46" s="366">
        <v>81.67</v>
      </c>
      <c r="GV46" s="366">
        <v>379.88</v>
      </c>
      <c r="GW46" s="366">
        <v>132.28</v>
      </c>
      <c r="GX46" s="366">
        <v>201.65</v>
      </c>
      <c r="GY46" s="366">
        <v>147.07</v>
      </c>
      <c r="GZ46" s="366">
        <v>81.89</v>
      </c>
      <c r="HA46" s="366">
        <v>219.59</v>
      </c>
      <c r="HB46" s="366">
        <v>219.59</v>
      </c>
      <c r="HC46" s="366">
        <v>219.59</v>
      </c>
      <c r="HD46" s="366">
        <v>407.47</v>
      </c>
      <c r="HE46" s="366">
        <v>136.36000000000001</v>
      </c>
      <c r="HF46" s="366">
        <v>92.65</v>
      </c>
      <c r="HG46" s="366">
        <v>220.3</v>
      </c>
      <c r="HH46" s="366">
        <v>220.3</v>
      </c>
      <c r="HI46" s="366">
        <v>220.3</v>
      </c>
      <c r="HJ46" s="366">
        <v>94.89</v>
      </c>
      <c r="HK46" s="366">
        <v>277.57</v>
      </c>
      <c r="HL46" s="366">
        <v>190.36</v>
      </c>
      <c r="HM46" s="366">
        <v>326.39</v>
      </c>
      <c r="HN46" s="366">
        <v>329.11</v>
      </c>
      <c r="HO46" s="366">
        <v>731.92</v>
      </c>
      <c r="HP46" s="366">
        <v>82.61</v>
      </c>
      <c r="HQ46" s="366">
        <v>765.53</v>
      </c>
      <c r="HR46" s="366">
        <v>577.91</v>
      </c>
      <c r="HS46" s="366">
        <v>325.36</v>
      </c>
      <c r="HT46" s="366">
        <v>207.68</v>
      </c>
      <c r="HU46" s="366">
        <v>174.93</v>
      </c>
      <c r="HV46" s="366">
        <v>193.25</v>
      </c>
    </row>
    <row r="47" spans="1:230">
      <c r="A47" s="366" t="s">
        <v>70</v>
      </c>
      <c r="B47" s="366">
        <v>765.38</v>
      </c>
      <c r="C47" s="366">
        <v>310.83999999999997</v>
      </c>
      <c r="D47" s="366">
        <v>211.61</v>
      </c>
      <c r="E47" s="366">
        <v>211.61</v>
      </c>
      <c r="F47" s="366">
        <v>829.28</v>
      </c>
      <c r="G47" s="366">
        <v>636.85</v>
      </c>
      <c r="H47" s="366">
        <v>255.23</v>
      </c>
      <c r="I47" s="366">
        <v>255.9</v>
      </c>
      <c r="J47" s="366">
        <v>279.01</v>
      </c>
      <c r="K47" s="366">
        <v>279.01</v>
      </c>
      <c r="L47" s="366">
        <v>202.22</v>
      </c>
      <c r="M47" s="366">
        <v>336.26</v>
      </c>
      <c r="N47" s="366">
        <v>386.57</v>
      </c>
      <c r="O47" s="366">
        <v>132.08000000000001</v>
      </c>
      <c r="P47" s="366">
        <v>132.08000000000001</v>
      </c>
      <c r="Q47" s="366">
        <v>132.08000000000001</v>
      </c>
      <c r="R47" s="366">
        <v>132.08000000000001</v>
      </c>
      <c r="S47" s="366">
        <v>132.08000000000001</v>
      </c>
      <c r="T47" s="366">
        <v>330.4</v>
      </c>
      <c r="U47" s="366">
        <v>744.89</v>
      </c>
      <c r="V47" s="366">
        <v>85.14</v>
      </c>
      <c r="W47" s="366">
        <v>473.76</v>
      </c>
      <c r="X47" s="366">
        <v>473.76</v>
      </c>
      <c r="Y47" s="366">
        <v>473.76</v>
      </c>
      <c r="Z47" s="366">
        <v>201.73</v>
      </c>
      <c r="AA47" s="366">
        <v>631.02</v>
      </c>
      <c r="AB47" s="366">
        <v>390.14</v>
      </c>
      <c r="AC47" s="366">
        <v>392.6</v>
      </c>
      <c r="AD47" s="366">
        <v>392.6</v>
      </c>
      <c r="AE47" s="366">
        <v>160.71</v>
      </c>
      <c r="AF47" s="366">
        <v>650.59</v>
      </c>
      <c r="AG47" s="366">
        <v>475.28</v>
      </c>
      <c r="AH47" s="366">
        <v>209.85</v>
      </c>
      <c r="AI47" s="366">
        <v>209.85</v>
      </c>
      <c r="AJ47" s="366">
        <v>209.85</v>
      </c>
      <c r="AK47" s="366">
        <v>223.93</v>
      </c>
      <c r="AL47" s="366">
        <v>223.93</v>
      </c>
      <c r="AM47" s="366">
        <v>392.86</v>
      </c>
      <c r="AN47" s="366">
        <v>172.91</v>
      </c>
      <c r="AO47" s="366">
        <v>643.97</v>
      </c>
      <c r="AP47" s="366">
        <v>319.12</v>
      </c>
      <c r="AQ47" s="366">
        <v>785.82</v>
      </c>
      <c r="AR47" s="366">
        <v>341.78</v>
      </c>
      <c r="AS47" s="366">
        <v>126.77</v>
      </c>
      <c r="AT47" s="366">
        <v>126.77</v>
      </c>
      <c r="AU47" s="366">
        <v>0</v>
      </c>
      <c r="AV47" s="366">
        <v>775.94</v>
      </c>
      <c r="AW47" s="366">
        <v>323.33</v>
      </c>
      <c r="AX47" s="366">
        <v>276.5</v>
      </c>
      <c r="AY47" s="366">
        <v>422.28</v>
      </c>
      <c r="AZ47" s="366">
        <v>279.45999999999998</v>
      </c>
      <c r="BA47" s="366">
        <v>606.20000000000005</v>
      </c>
      <c r="BB47" s="366">
        <v>425.17</v>
      </c>
      <c r="BC47" s="366">
        <v>548.26</v>
      </c>
      <c r="BD47" s="366">
        <v>458.03</v>
      </c>
      <c r="BE47" s="366">
        <v>89.2</v>
      </c>
      <c r="BF47" s="366">
        <v>387.11</v>
      </c>
      <c r="BG47" s="366">
        <v>209.28</v>
      </c>
      <c r="BH47" s="366">
        <v>132.08000000000001</v>
      </c>
      <c r="BI47" s="366">
        <v>341.81</v>
      </c>
      <c r="BJ47" s="366">
        <v>147.4</v>
      </c>
      <c r="BK47" s="366">
        <v>347.24</v>
      </c>
      <c r="BL47" s="366">
        <v>204.61</v>
      </c>
      <c r="BM47" s="366">
        <v>227.82</v>
      </c>
      <c r="BN47" s="366">
        <v>671.21</v>
      </c>
      <c r="BO47" s="366">
        <v>389.44</v>
      </c>
      <c r="BP47" s="366">
        <v>355.3</v>
      </c>
      <c r="BQ47" s="366">
        <v>235.2</v>
      </c>
      <c r="BR47" s="366">
        <v>235.2</v>
      </c>
      <c r="BS47" s="366">
        <v>287.02999999999997</v>
      </c>
      <c r="BT47" s="366">
        <v>326.24</v>
      </c>
      <c r="BU47" s="366">
        <v>370.64</v>
      </c>
      <c r="BV47" s="366">
        <v>390.26</v>
      </c>
      <c r="BW47" s="366">
        <v>59.29</v>
      </c>
      <c r="BX47" s="366">
        <v>228.12</v>
      </c>
      <c r="BY47" s="366">
        <v>112.62</v>
      </c>
      <c r="BZ47" s="366">
        <v>112.62</v>
      </c>
      <c r="CA47" s="366">
        <v>355.27</v>
      </c>
      <c r="CB47" s="366">
        <v>246.55</v>
      </c>
      <c r="CC47" s="366">
        <v>247.67</v>
      </c>
      <c r="CD47" s="366">
        <v>250.07</v>
      </c>
      <c r="CE47" s="366">
        <v>330.47</v>
      </c>
      <c r="CF47" s="366">
        <v>649.32000000000005</v>
      </c>
      <c r="CG47" s="366">
        <v>649.32000000000005</v>
      </c>
      <c r="CH47" s="366">
        <v>250.2</v>
      </c>
      <c r="CI47" s="366">
        <v>153.11000000000001</v>
      </c>
      <c r="CJ47" s="366">
        <v>660.27</v>
      </c>
      <c r="CK47" s="366">
        <v>117.71</v>
      </c>
      <c r="CL47" s="366">
        <v>13.79</v>
      </c>
      <c r="CM47" s="366">
        <v>494.54</v>
      </c>
      <c r="CN47" s="366">
        <v>96.77</v>
      </c>
      <c r="CO47" s="366">
        <v>340.39</v>
      </c>
      <c r="CP47" s="366">
        <v>228.51</v>
      </c>
      <c r="CQ47" s="366">
        <v>228.51</v>
      </c>
      <c r="CR47" s="366">
        <v>292.79000000000002</v>
      </c>
      <c r="CS47" s="366">
        <v>292.79000000000002</v>
      </c>
      <c r="CT47" s="366">
        <v>302.23</v>
      </c>
      <c r="CU47" s="366">
        <v>294.36</v>
      </c>
      <c r="CV47" s="366">
        <v>296.95999999999998</v>
      </c>
      <c r="CW47" s="366">
        <v>85.14</v>
      </c>
      <c r="CX47" s="366">
        <v>266.74</v>
      </c>
      <c r="CY47" s="366">
        <v>540.96</v>
      </c>
      <c r="CZ47" s="366">
        <v>562.20000000000005</v>
      </c>
      <c r="DA47" s="366">
        <v>324.62</v>
      </c>
      <c r="DB47" s="366">
        <v>143.38</v>
      </c>
      <c r="DC47" s="366">
        <v>143.38</v>
      </c>
      <c r="DD47" s="366">
        <v>460.92</v>
      </c>
      <c r="DE47" s="366">
        <v>402.25</v>
      </c>
      <c r="DF47" s="366">
        <v>813.74</v>
      </c>
      <c r="DG47" s="366">
        <v>182.76</v>
      </c>
      <c r="DH47" s="366">
        <v>464.81</v>
      </c>
      <c r="DI47" s="366">
        <v>515.14</v>
      </c>
      <c r="DJ47" s="366">
        <v>578.4</v>
      </c>
      <c r="DK47" s="366">
        <v>190.54</v>
      </c>
      <c r="DL47" s="366">
        <v>376.64</v>
      </c>
      <c r="DM47" s="366">
        <v>298.42</v>
      </c>
      <c r="DN47" s="366">
        <v>529.9</v>
      </c>
      <c r="DO47" s="366">
        <v>217.11</v>
      </c>
      <c r="DP47" s="366">
        <v>422.61</v>
      </c>
      <c r="DQ47" s="366">
        <v>70.63</v>
      </c>
      <c r="DR47" s="366">
        <v>464.81</v>
      </c>
      <c r="DS47" s="366">
        <v>318.26</v>
      </c>
      <c r="DT47" s="366">
        <v>306.55</v>
      </c>
      <c r="DU47" s="366">
        <v>294.27999999999997</v>
      </c>
      <c r="DV47" s="366">
        <v>227.57</v>
      </c>
      <c r="DW47" s="366">
        <v>143.19</v>
      </c>
      <c r="DX47" s="366">
        <v>45.61</v>
      </c>
      <c r="DY47" s="366">
        <v>119</v>
      </c>
      <c r="DZ47" s="366">
        <v>470.59</v>
      </c>
      <c r="EA47" s="366">
        <v>324.06</v>
      </c>
      <c r="EB47" s="366">
        <v>113</v>
      </c>
      <c r="EC47" s="366">
        <v>237.05</v>
      </c>
      <c r="ED47" s="366">
        <v>544.91</v>
      </c>
      <c r="EE47" s="366">
        <v>555.70000000000005</v>
      </c>
      <c r="EF47" s="366">
        <v>312.83999999999997</v>
      </c>
      <c r="EG47" s="366">
        <v>323.33</v>
      </c>
      <c r="EH47" s="366">
        <v>323.33</v>
      </c>
      <c r="EI47" s="366">
        <v>233.72</v>
      </c>
      <c r="EJ47" s="366">
        <v>499.46</v>
      </c>
      <c r="EK47" s="366">
        <v>112.15</v>
      </c>
      <c r="EL47" s="366">
        <v>112.15</v>
      </c>
      <c r="EM47" s="366">
        <v>47.03</v>
      </c>
      <c r="EN47" s="366">
        <v>47.03</v>
      </c>
      <c r="EO47" s="366">
        <v>392.86</v>
      </c>
      <c r="EP47" s="366">
        <v>315.72000000000003</v>
      </c>
      <c r="EQ47" s="366">
        <v>311.72000000000003</v>
      </c>
      <c r="ER47" s="366">
        <v>714.93</v>
      </c>
      <c r="ES47" s="366">
        <v>310.74</v>
      </c>
      <c r="ET47" s="366">
        <v>253.17</v>
      </c>
      <c r="EU47" s="366">
        <v>765.38</v>
      </c>
      <c r="EV47" s="366">
        <v>473.76</v>
      </c>
      <c r="EW47" s="366">
        <v>234.64</v>
      </c>
      <c r="EX47" s="366">
        <v>287.48</v>
      </c>
      <c r="EY47" s="366">
        <v>287.48</v>
      </c>
      <c r="EZ47" s="366">
        <v>67.55</v>
      </c>
      <c r="FA47" s="366">
        <v>12.91</v>
      </c>
      <c r="FB47" s="366">
        <v>174.84</v>
      </c>
      <c r="FC47" s="366">
        <v>65.75</v>
      </c>
      <c r="FD47" s="366">
        <v>140.28</v>
      </c>
      <c r="FE47" s="366">
        <v>237.55</v>
      </c>
      <c r="FF47" s="366">
        <v>212.73</v>
      </c>
      <c r="FG47" s="366">
        <v>597.24</v>
      </c>
      <c r="FH47" s="366">
        <v>597.24</v>
      </c>
      <c r="FI47" s="366">
        <v>454.63</v>
      </c>
      <c r="FJ47" s="366">
        <v>460.42</v>
      </c>
      <c r="FK47" s="366">
        <v>338.48</v>
      </c>
      <c r="FL47" s="366">
        <v>336.67</v>
      </c>
      <c r="FM47" s="366">
        <v>392.86</v>
      </c>
      <c r="FN47" s="366">
        <v>504.51</v>
      </c>
      <c r="FO47" s="366">
        <v>332.43</v>
      </c>
      <c r="FP47" s="366">
        <v>98.1</v>
      </c>
      <c r="FQ47" s="366">
        <v>336.3</v>
      </c>
      <c r="FR47" s="366">
        <v>219.56</v>
      </c>
      <c r="FS47" s="366">
        <v>142.80000000000001</v>
      </c>
      <c r="FT47" s="366">
        <v>593.55999999999995</v>
      </c>
      <c r="FU47" s="366">
        <v>140.72</v>
      </c>
      <c r="FV47" s="366">
        <v>829.28</v>
      </c>
      <c r="FW47" s="366">
        <v>829.28</v>
      </c>
      <c r="FX47" s="366">
        <v>829.28</v>
      </c>
      <c r="FY47" s="366">
        <v>37.950000000000003</v>
      </c>
      <c r="FZ47" s="366">
        <v>227.46</v>
      </c>
      <c r="GA47" s="366">
        <v>89.2</v>
      </c>
      <c r="GB47" s="366">
        <v>181.27</v>
      </c>
      <c r="GC47" s="366">
        <v>544.91</v>
      </c>
      <c r="GD47" s="366">
        <v>210.22</v>
      </c>
      <c r="GE47" s="366">
        <v>302.33</v>
      </c>
      <c r="GF47" s="366">
        <v>127.19</v>
      </c>
      <c r="GG47" s="366">
        <v>127.19</v>
      </c>
      <c r="GH47" s="366">
        <v>137.65</v>
      </c>
      <c r="GI47" s="366">
        <v>393.02</v>
      </c>
      <c r="GJ47" s="366">
        <v>392.86</v>
      </c>
      <c r="GK47" s="366">
        <v>335.03</v>
      </c>
      <c r="GL47" s="366">
        <v>220.05</v>
      </c>
      <c r="GM47" s="366">
        <v>220.05</v>
      </c>
      <c r="GN47" s="366">
        <v>220.05</v>
      </c>
      <c r="GO47" s="366">
        <v>358.3</v>
      </c>
      <c r="GP47" s="366">
        <v>94.61</v>
      </c>
      <c r="GQ47" s="366">
        <v>380.74</v>
      </c>
      <c r="GR47" s="366">
        <v>421.09</v>
      </c>
      <c r="GS47" s="366">
        <v>287.63</v>
      </c>
      <c r="GT47" s="366">
        <v>323.33</v>
      </c>
      <c r="GU47" s="366">
        <v>145.41999999999999</v>
      </c>
      <c r="GV47" s="366">
        <v>506.65</v>
      </c>
      <c r="GW47" s="366">
        <v>196.03</v>
      </c>
      <c r="GX47" s="366">
        <v>319.89999999999998</v>
      </c>
      <c r="GY47" s="366">
        <v>210.82</v>
      </c>
      <c r="GZ47" s="366">
        <v>140</v>
      </c>
      <c r="HA47" s="366">
        <v>337.84</v>
      </c>
      <c r="HB47" s="366">
        <v>337.84</v>
      </c>
      <c r="HC47" s="366">
        <v>337.84</v>
      </c>
      <c r="HD47" s="366">
        <v>506.88</v>
      </c>
      <c r="HE47" s="366">
        <v>40.880000000000003</v>
      </c>
      <c r="HF47" s="366">
        <v>78.02</v>
      </c>
      <c r="HG47" s="366">
        <v>172.38</v>
      </c>
      <c r="HH47" s="366">
        <v>172.38</v>
      </c>
      <c r="HI47" s="366">
        <v>172.38</v>
      </c>
      <c r="HJ47" s="366">
        <v>148.06</v>
      </c>
      <c r="HK47" s="366">
        <v>395.82</v>
      </c>
      <c r="HL47" s="366">
        <v>165.46</v>
      </c>
      <c r="HM47" s="366">
        <v>390.14</v>
      </c>
      <c r="HN47" s="366">
        <v>392.86</v>
      </c>
      <c r="HO47" s="366">
        <v>798.58</v>
      </c>
      <c r="HP47" s="366">
        <v>140.72</v>
      </c>
      <c r="HQ47" s="366">
        <v>829.28</v>
      </c>
      <c r="HR47" s="366">
        <v>650.59</v>
      </c>
      <c r="HS47" s="366">
        <v>389.11</v>
      </c>
      <c r="HT47" s="366">
        <v>271.43</v>
      </c>
      <c r="HU47" s="366">
        <v>238.68</v>
      </c>
      <c r="HV47" s="366">
        <v>257</v>
      </c>
    </row>
    <row r="48" spans="1:230">
      <c r="A48" s="366" t="s">
        <v>71</v>
      </c>
      <c r="B48" s="366">
        <v>61.86</v>
      </c>
      <c r="C48" s="366">
        <v>805.99</v>
      </c>
      <c r="D48" s="366">
        <v>609.9</v>
      </c>
      <c r="E48" s="366">
        <v>609.9</v>
      </c>
      <c r="F48" s="366">
        <v>125.76</v>
      </c>
      <c r="G48" s="366">
        <v>150.75</v>
      </c>
      <c r="H48" s="366">
        <v>566.28</v>
      </c>
      <c r="I48" s="366">
        <v>520.04</v>
      </c>
      <c r="J48" s="366">
        <v>542.5</v>
      </c>
      <c r="K48" s="366">
        <v>542.5</v>
      </c>
      <c r="L48" s="366">
        <v>627.80999999999995</v>
      </c>
      <c r="M48" s="366">
        <v>831.41</v>
      </c>
      <c r="N48" s="366">
        <v>928.31</v>
      </c>
      <c r="O48" s="366">
        <v>771.69</v>
      </c>
      <c r="P48" s="366">
        <v>771.69</v>
      </c>
      <c r="Q48" s="366">
        <v>771.69</v>
      </c>
      <c r="R48" s="366">
        <v>771.69</v>
      </c>
      <c r="S48" s="366">
        <v>771.69</v>
      </c>
      <c r="T48" s="366">
        <v>445.54</v>
      </c>
      <c r="U48" s="366">
        <v>31.05</v>
      </c>
      <c r="V48" s="366">
        <v>861.08</v>
      </c>
      <c r="W48" s="366">
        <v>431.21</v>
      </c>
      <c r="X48" s="366">
        <v>431.21</v>
      </c>
      <c r="Y48" s="366">
        <v>431.21</v>
      </c>
      <c r="Z48" s="366">
        <v>898.82</v>
      </c>
      <c r="AA48" s="366">
        <v>144.91999999999999</v>
      </c>
      <c r="AB48" s="366">
        <v>414.87</v>
      </c>
      <c r="AC48" s="366">
        <v>383.34</v>
      </c>
      <c r="AD48" s="366">
        <v>383.34</v>
      </c>
      <c r="AE48" s="366">
        <v>660.8</v>
      </c>
      <c r="AF48" s="366">
        <v>125.35</v>
      </c>
      <c r="AG48" s="366">
        <v>462.73</v>
      </c>
      <c r="AH48" s="366">
        <v>566.09</v>
      </c>
      <c r="AI48" s="366">
        <v>566.09</v>
      </c>
      <c r="AJ48" s="366">
        <v>566.09</v>
      </c>
      <c r="AK48" s="366">
        <v>921.02</v>
      </c>
      <c r="AL48" s="366">
        <v>921.02</v>
      </c>
      <c r="AM48" s="366">
        <v>417.59</v>
      </c>
      <c r="AN48" s="366">
        <v>730.86</v>
      </c>
      <c r="AO48" s="366">
        <v>167.36</v>
      </c>
      <c r="AP48" s="366">
        <v>464.66</v>
      </c>
      <c r="AQ48" s="366">
        <v>82.3</v>
      </c>
      <c r="AR48" s="366">
        <v>582.24</v>
      </c>
      <c r="AS48" s="366">
        <v>703.26</v>
      </c>
      <c r="AT48" s="366">
        <v>703.26</v>
      </c>
      <c r="AU48" s="366">
        <v>775.94</v>
      </c>
      <c r="AV48" s="366">
        <v>0</v>
      </c>
      <c r="AW48" s="366">
        <v>505.04</v>
      </c>
      <c r="AX48" s="366">
        <v>507.7</v>
      </c>
      <c r="AY48" s="366">
        <v>964.02</v>
      </c>
      <c r="AZ48" s="366">
        <v>774.61</v>
      </c>
      <c r="BA48" s="366">
        <v>221.04</v>
      </c>
      <c r="BB48" s="366">
        <v>966.91</v>
      </c>
      <c r="BC48" s="366">
        <v>263.07</v>
      </c>
      <c r="BD48" s="366">
        <v>353.3</v>
      </c>
      <c r="BE48" s="366">
        <v>865.14</v>
      </c>
      <c r="BF48" s="366">
        <v>411.84</v>
      </c>
      <c r="BG48" s="366">
        <v>906.37</v>
      </c>
      <c r="BH48" s="366">
        <v>771.69</v>
      </c>
      <c r="BI48" s="366">
        <v>582.27</v>
      </c>
      <c r="BJ48" s="366">
        <v>844.49</v>
      </c>
      <c r="BK48" s="366">
        <v>842.39</v>
      </c>
      <c r="BL48" s="366">
        <v>616.9</v>
      </c>
      <c r="BM48" s="366">
        <v>593.69000000000005</v>
      </c>
      <c r="BN48" s="366">
        <v>104.73</v>
      </c>
      <c r="BO48" s="366">
        <v>884.59</v>
      </c>
      <c r="BP48" s="366">
        <v>850.45</v>
      </c>
      <c r="BQ48" s="366">
        <v>540.74</v>
      </c>
      <c r="BR48" s="366">
        <v>540.74</v>
      </c>
      <c r="BS48" s="366">
        <v>782.18</v>
      </c>
      <c r="BT48" s="366">
        <v>574.19000000000005</v>
      </c>
      <c r="BU48" s="366">
        <v>405.3</v>
      </c>
      <c r="BV48" s="366">
        <v>414.99</v>
      </c>
      <c r="BW48" s="366">
        <v>835.23</v>
      </c>
      <c r="BX48" s="366">
        <v>723.27</v>
      </c>
      <c r="BY48" s="366">
        <v>888.56</v>
      </c>
      <c r="BZ48" s="366">
        <v>888.56</v>
      </c>
      <c r="CA48" s="366">
        <v>466.24</v>
      </c>
      <c r="CB48" s="366">
        <v>741.7</v>
      </c>
      <c r="CC48" s="366">
        <v>536.53</v>
      </c>
      <c r="CD48" s="366">
        <v>550.01</v>
      </c>
      <c r="CE48" s="366">
        <v>825.62</v>
      </c>
      <c r="CF48" s="366">
        <v>163.22</v>
      </c>
      <c r="CG48" s="366">
        <v>163.22</v>
      </c>
      <c r="CH48" s="366">
        <v>525.74</v>
      </c>
      <c r="CI48" s="366">
        <v>644.89</v>
      </c>
      <c r="CJ48" s="366">
        <v>115.81</v>
      </c>
      <c r="CK48" s="366">
        <v>893.65</v>
      </c>
      <c r="CL48" s="366">
        <v>789.73</v>
      </c>
      <c r="CM48" s="366">
        <v>316.79000000000002</v>
      </c>
      <c r="CN48" s="366">
        <v>793.86</v>
      </c>
      <c r="CO48" s="366">
        <v>580.85</v>
      </c>
      <c r="CP48" s="366">
        <v>547.42999999999995</v>
      </c>
      <c r="CQ48" s="366">
        <v>547.42999999999995</v>
      </c>
      <c r="CR48" s="366">
        <v>532.16999999999996</v>
      </c>
      <c r="CS48" s="366">
        <v>532.16999999999996</v>
      </c>
      <c r="CT48" s="366">
        <v>522.73</v>
      </c>
      <c r="CU48" s="366">
        <v>530.6</v>
      </c>
      <c r="CV48" s="366">
        <v>524.54999999999995</v>
      </c>
      <c r="CW48" s="366">
        <v>861.08</v>
      </c>
      <c r="CX48" s="366">
        <v>524.24</v>
      </c>
      <c r="CY48" s="366">
        <v>278.73</v>
      </c>
      <c r="CZ48" s="366">
        <v>249.13</v>
      </c>
      <c r="DA48" s="366">
        <v>866.36</v>
      </c>
      <c r="DB48" s="366">
        <v>840.47</v>
      </c>
      <c r="DC48" s="366">
        <v>840.47</v>
      </c>
      <c r="DD48" s="366">
        <v>343.06</v>
      </c>
      <c r="DE48" s="366">
        <v>943.99</v>
      </c>
      <c r="DF48" s="366">
        <v>110.22</v>
      </c>
      <c r="DG48" s="366">
        <v>615.24</v>
      </c>
      <c r="DH48" s="366">
        <v>1006.55</v>
      </c>
      <c r="DI48" s="366">
        <v>260.8</v>
      </c>
      <c r="DJ48" s="366">
        <v>232.93</v>
      </c>
      <c r="DK48" s="366">
        <v>685.69</v>
      </c>
      <c r="DL48" s="366">
        <v>400.97</v>
      </c>
      <c r="DM48" s="366">
        <v>793.57</v>
      </c>
      <c r="DN48" s="366">
        <v>247.83</v>
      </c>
      <c r="DO48" s="366">
        <v>712.26</v>
      </c>
      <c r="DP48" s="366">
        <v>380.06</v>
      </c>
      <c r="DQ48" s="366">
        <v>846.57</v>
      </c>
      <c r="DR48" s="366">
        <v>1006.55</v>
      </c>
      <c r="DS48" s="366">
        <v>581.75</v>
      </c>
      <c r="DT48" s="366">
        <v>570.04</v>
      </c>
      <c r="DU48" s="366">
        <v>896.7</v>
      </c>
      <c r="DV48" s="366">
        <v>924.66</v>
      </c>
      <c r="DW48" s="366">
        <v>686.84</v>
      </c>
      <c r="DX48" s="366">
        <v>821.55</v>
      </c>
      <c r="DY48" s="366">
        <v>894.94</v>
      </c>
      <c r="DZ48" s="366">
        <v>332.08</v>
      </c>
      <c r="EA48" s="366">
        <v>564.52</v>
      </c>
      <c r="EB48" s="366">
        <v>888.94</v>
      </c>
      <c r="EC48" s="366">
        <v>584.46</v>
      </c>
      <c r="ED48" s="366">
        <v>231.03</v>
      </c>
      <c r="EE48" s="366">
        <v>221.15</v>
      </c>
      <c r="EF48" s="366">
        <v>470.94</v>
      </c>
      <c r="EG48" s="366">
        <v>505.04</v>
      </c>
      <c r="EH48" s="366">
        <v>505.04</v>
      </c>
      <c r="EI48" s="366">
        <v>550.48</v>
      </c>
      <c r="EJ48" s="366">
        <v>994.61</v>
      </c>
      <c r="EK48" s="366">
        <v>697.57</v>
      </c>
      <c r="EL48" s="366">
        <v>697.57</v>
      </c>
      <c r="EM48" s="366">
        <v>791.68</v>
      </c>
      <c r="EN48" s="366">
        <v>791.68</v>
      </c>
      <c r="EO48" s="366">
        <v>417.59</v>
      </c>
      <c r="EP48" s="366">
        <v>468.48</v>
      </c>
      <c r="EQ48" s="366">
        <v>513.24</v>
      </c>
      <c r="ER48" s="366">
        <v>64.569999999999993</v>
      </c>
      <c r="ES48" s="366">
        <v>805.89</v>
      </c>
      <c r="ET48" s="366">
        <v>522.77</v>
      </c>
      <c r="EU48" s="366">
        <v>61.86</v>
      </c>
      <c r="EV48" s="366">
        <v>431.21</v>
      </c>
      <c r="EW48" s="366">
        <v>549.86</v>
      </c>
      <c r="EX48" s="366">
        <v>782.63</v>
      </c>
      <c r="EY48" s="366">
        <v>782.63</v>
      </c>
      <c r="EZ48" s="366">
        <v>836.22</v>
      </c>
      <c r="FA48" s="366">
        <v>788.85</v>
      </c>
      <c r="FB48" s="366">
        <v>669.99</v>
      </c>
      <c r="FC48" s="366">
        <v>841.69</v>
      </c>
      <c r="FD48" s="366">
        <v>696.88</v>
      </c>
      <c r="FE48" s="366">
        <v>554.30999999999995</v>
      </c>
      <c r="FF48" s="366">
        <v>632.42999999999995</v>
      </c>
      <c r="FG48" s="366">
        <v>335.01</v>
      </c>
      <c r="FH48" s="366">
        <v>335.01</v>
      </c>
      <c r="FI48" s="366">
        <v>442.08</v>
      </c>
      <c r="FJ48" s="366">
        <v>447.87</v>
      </c>
      <c r="FK48" s="366">
        <v>833.63</v>
      </c>
      <c r="FL48" s="366">
        <v>831.82</v>
      </c>
      <c r="FM48" s="366">
        <v>417.59</v>
      </c>
      <c r="FN48" s="366">
        <v>461.96</v>
      </c>
      <c r="FO48" s="366">
        <v>572.89</v>
      </c>
      <c r="FP48" s="366">
        <v>874.04</v>
      </c>
      <c r="FQ48" s="366">
        <v>576.76</v>
      </c>
      <c r="FR48" s="366">
        <v>645.15</v>
      </c>
      <c r="FS48" s="366">
        <v>633.14</v>
      </c>
      <c r="FT48" s="366">
        <v>217.77</v>
      </c>
      <c r="FU48" s="366">
        <v>657.28</v>
      </c>
      <c r="FV48" s="366">
        <v>125.76</v>
      </c>
      <c r="FW48" s="366">
        <v>125.76</v>
      </c>
      <c r="FX48" s="366">
        <v>125.76</v>
      </c>
      <c r="FY48" s="366">
        <v>737.99</v>
      </c>
      <c r="FZ48" s="366">
        <v>577.17999999999995</v>
      </c>
      <c r="GA48" s="366">
        <v>865.14</v>
      </c>
      <c r="GB48" s="366">
        <v>671.61</v>
      </c>
      <c r="GC48" s="366">
        <v>231.03</v>
      </c>
      <c r="GD48" s="366">
        <v>705.37</v>
      </c>
      <c r="GE48" s="366">
        <v>522.63</v>
      </c>
      <c r="GF48" s="366">
        <v>670.81</v>
      </c>
      <c r="GG48" s="366">
        <v>670.81</v>
      </c>
      <c r="GH48" s="366">
        <v>913.59</v>
      </c>
      <c r="GI48" s="366">
        <v>417.75</v>
      </c>
      <c r="GJ48" s="366">
        <v>417.59</v>
      </c>
      <c r="GK48" s="366">
        <v>830.18</v>
      </c>
      <c r="GL48" s="366">
        <v>564.15</v>
      </c>
      <c r="GM48" s="366">
        <v>564.15</v>
      </c>
      <c r="GN48" s="366">
        <v>564.15</v>
      </c>
      <c r="GO48" s="366">
        <v>425.48</v>
      </c>
      <c r="GP48" s="366">
        <v>870.55</v>
      </c>
      <c r="GQ48" s="366">
        <v>875.89</v>
      </c>
      <c r="GR48" s="366">
        <v>354.85</v>
      </c>
      <c r="GS48" s="366">
        <v>488.31</v>
      </c>
      <c r="GT48" s="366">
        <v>505.04</v>
      </c>
      <c r="GU48" s="366">
        <v>678.97</v>
      </c>
      <c r="GV48" s="366">
        <v>1001.8</v>
      </c>
      <c r="GW48" s="366">
        <v>588.61</v>
      </c>
      <c r="GX48" s="366">
        <v>501.61</v>
      </c>
      <c r="GY48" s="366">
        <v>565.12</v>
      </c>
      <c r="GZ48" s="366">
        <v>696.6</v>
      </c>
      <c r="HA48" s="366">
        <v>578.29999999999995</v>
      </c>
      <c r="HB48" s="366">
        <v>578.29999999999995</v>
      </c>
      <c r="HC48" s="366">
        <v>578.29999999999995</v>
      </c>
      <c r="HD48" s="366">
        <v>295.79000000000002</v>
      </c>
      <c r="HE48" s="366">
        <v>785.53</v>
      </c>
      <c r="HF48" s="366">
        <v>741.82</v>
      </c>
      <c r="HG48" s="366">
        <v>869.47</v>
      </c>
      <c r="HH48" s="366">
        <v>869.47</v>
      </c>
      <c r="HI48" s="366">
        <v>869.47</v>
      </c>
      <c r="HJ48" s="366">
        <v>649.94000000000005</v>
      </c>
      <c r="HK48" s="366">
        <v>431.66</v>
      </c>
      <c r="HL48" s="366">
        <v>805.07</v>
      </c>
      <c r="HM48" s="366">
        <v>414.87</v>
      </c>
      <c r="HN48" s="366">
        <v>417.59</v>
      </c>
      <c r="HO48" s="366">
        <v>28.66</v>
      </c>
      <c r="HP48" s="366">
        <v>697.32</v>
      </c>
      <c r="HQ48" s="366">
        <v>125.76</v>
      </c>
      <c r="HR48" s="366">
        <v>125.35</v>
      </c>
      <c r="HS48" s="366">
        <v>413.84</v>
      </c>
      <c r="HT48" s="366">
        <v>517.54</v>
      </c>
      <c r="HU48" s="366">
        <v>544.22</v>
      </c>
      <c r="HV48" s="366">
        <v>568.69000000000005</v>
      </c>
    </row>
    <row r="49" spans="1:230">
      <c r="A49" s="366" t="s">
        <v>72</v>
      </c>
      <c r="B49" s="366">
        <v>565.54</v>
      </c>
      <c r="C49" s="366">
        <v>307.81</v>
      </c>
      <c r="D49" s="366">
        <v>111.72</v>
      </c>
      <c r="E49" s="366">
        <v>111.72</v>
      </c>
      <c r="F49" s="366">
        <v>629.44000000000005</v>
      </c>
      <c r="G49" s="366">
        <v>365.95</v>
      </c>
      <c r="H49" s="366">
        <v>68.099999999999994</v>
      </c>
      <c r="I49" s="366">
        <v>261.69</v>
      </c>
      <c r="J49" s="366">
        <v>44.32</v>
      </c>
      <c r="K49" s="366">
        <v>44.32</v>
      </c>
      <c r="L49" s="366">
        <v>129.63</v>
      </c>
      <c r="M49" s="366">
        <v>333.23</v>
      </c>
      <c r="N49" s="366">
        <v>430.13</v>
      </c>
      <c r="O49" s="366">
        <v>353.54</v>
      </c>
      <c r="P49" s="366">
        <v>353.54</v>
      </c>
      <c r="Q49" s="366">
        <v>353.54</v>
      </c>
      <c r="R49" s="366">
        <v>353.54</v>
      </c>
      <c r="S49" s="366">
        <v>353.54</v>
      </c>
      <c r="T49" s="366">
        <v>272.73</v>
      </c>
      <c r="U49" s="366">
        <v>473.99</v>
      </c>
      <c r="V49" s="366">
        <v>408.47</v>
      </c>
      <c r="W49" s="366">
        <v>176.13</v>
      </c>
      <c r="X49" s="366">
        <v>176.13</v>
      </c>
      <c r="Y49" s="366">
        <v>176.13</v>
      </c>
      <c r="Z49" s="366">
        <v>446.21</v>
      </c>
      <c r="AA49" s="366">
        <v>360.12</v>
      </c>
      <c r="AB49" s="366">
        <v>300.22000000000003</v>
      </c>
      <c r="AC49" s="366">
        <v>292.35000000000002</v>
      </c>
      <c r="AD49" s="366">
        <v>292.35000000000002</v>
      </c>
      <c r="AE49" s="366">
        <v>162.62</v>
      </c>
      <c r="AF49" s="366">
        <v>379.69</v>
      </c>
      <c r="AG49" s="366">
        <v>177.65</v>
      </c>
      <c r="AH49" s="366">
        <v>307.74</v>
      </c>
      <c r="AI49" s="366">
        <v>307.74</v>
      </c>
      <c r="AJ49" s="366">
        <v>307.74</v>
      </c>
      <c r="AK49" s="366">
        <v>468.41</v>
      </c>
      <c r="AL49" s="366">
        <v>468.41</v>
      </c>
      <c r="AM49" s="366">
        <v>302.94</v>
      </c>
      <c r="AN49" s="366">
        <v>312.70999999999998</v>
      </c>
      <c r="AO49" s="366">
        <v>382.56</v>
      </c>
      <c r="AP49" s="366">
        <v>211.03</v>
      </c>
      <c r="AQ49" s="366">
        <v>585.98</v>
      </c>
      <c r="AR49" s="366">
        <v>84.06</v>
      </c>
      <c r="AS49" s="366">
        <v>205.08</v>
      </c>
      <c r="AT49" s="366">
        <v>205.08</v>
      </c>
      <c r="AU49" s="366">
        <v>323.33</v>
      </c>
      <c r="AV49" s="366">
        <v>505.04</v>
      </c>
      <c r="AW49" s="366">
        <v>0</v>
      </c>
      <c r="AX49" s="366">
        <v>342.87</v>
      </c>
      <c r="AY49" s="366">
        <v>465.84</v>
      </c>
      <c r="AZ49" s="366">
        <v>276.43</v>
      </c>
      <c r="BA49" s="366">
        <v>505.95</v>
      </c>
      <c r="BB49" s="366">
        <v>468.73</v>
      </c>
      <c r="BC49" s="366">
        <v>448.01</v>
      </c>
      <c r="BD49" s="366">
        <v>357.78</v>
      </c>
      <c r="BE49" s="366">
        <v>412.53</v>
      </c>
      <c r="BF49" s="366">
        <v>297.19</v>
      </c>
      <c r="BG49" s="366">
        <v>453.76</v>
      </c>
      <c r="BH49" s="366">
        <v>353.54</v>
      </c>
      <c r="BI49" s="366">
        <v>84.09</v>
      </c>
      <c r="BJ49" s="366">
        <v>391.88</v>
      </c>
      <c r="BK49" s="366">
        <v>344.21</v>
      </c>
      <c r="BL49" s="366">
        <v>118.72</v>
      </c>
      <c r="BM49" s="366">
        <v>95.51</v>
      </c>
      <c r="BN49" s="366">
        <v>400.31</v>
      </c>
      <c r="BO49" s="366">
        <v>386.41</v>
      </c>
      <c r="BP49" s="366">
        <v>352.27</v>
      </c>
      <c r="BQ49" s="366">
        <v>282.39</v>
      </c>
      <c r="BR49" s="366">
        <v>282.39</v>
      </c>
      <c r="BS49" s="366">
        <v>284</v>
      </c>
      <c r="BT49" s="366">
        <v>76.010000000000005</v>
      </c>
      <c r="BU49" s="366">
        <v>280.72000000000003</v>
      </c>
      <c r="BV49" s="366">
        <v>300.33999999999997</v>
      </c>
      <c r="BW49" s="366">
        <v>382.62</v>
      </c>
      <c r="BX49" s="366">
        <v>225.09</v>
      </c>
      <c r="BY49" s="366">
        <v>435.95</v>
      </c>
      <c r="BZ49" s="366">
        <v>435.95</v>
      </c>
      <c r="CA49" s="366">
        <v>38.799999999999997</v>
      </c>
      <c r="CB49" s="366">
        <v>243.52</v>
      </c>
      <c r="CC49" s="366">
        <v>314.04000000000002</v>
      </c>
      <c r="CD49" s="366">
        <v>327.52</v>
      </c>
      <c r="CE49" s="366">
        <v>327.44</v>
      </c>
      <c r="CF49" s="366">
        <v>378.42</v>
      </c>
      <c r="CG49" s="366">
        <v>378.42</v>
      </c>
      <c r="CH49" s="366">
        <v>267.39</v>
      </c>
      <c r="CI49" s="366">
        <v>296.5</v>
      </c>
      <c r="CJ49" s="366">
        <v>389.37</v>
      </c>
      <c r="CK49" s="366">
        <v>441.04</v>
      </c>
      <c r="CL49" s="366">
        <v>337.12</v>
      </c>
      <c r="CM49" s="366">
        <v>394.29</v>
      </c>
      <c r="CN49" s="366">
        <v>341.25</v>
      </c>
      <c r="CO49" s="366">
        <v>82.67</v>
      </c>
      <c r="CP49" s="366">
        <v>289.08</v>
      </c>
      <c r="CQ49" s="366">
        <v>289.08</v>
      </c>
      <c r="CR49" s="366">
        <v>33.99</v>
      </c>
      <c r="CS49" s="366">
        <v>33.99</v>
      </c>
      <c r="CT49" s="366">
        <v>24.55</v>
      </c>
      <c r="CU49" s="366">
        <v>32.42</v>
      </c>
      <c r="CV49" s="366">
        <v>26.37</v>
      </c>
      <c r="CW49" s="366">
        <v>408.47</v>
      </c>
      <c r="CX49" s="366">
        <v>333.11</v>
      </c>
      <c r="CY49" s="366">
        <v>440.71</v>
      </c>
      <c r="CZ49" s="366">
        <v>461.95</v>
      </c>
      <c r="DA49" s="366">
        <v>368.18</v>
      </c>
      <c r="DB49" s="366">
        <v>387.86</v>
      </c>
      <c r="DC49" s="366">
        <v>387.86</v>
      </c>
      <c r="DD49" s="366">
        <v>163.29</v>
      </c>
      <c r="DE49" s="366">
        <v>445.81</v>
      </c>
      <c r="DF49" s="366">
        <v>613.9</v>
      </c>
      <c r="DG49" s="366">
        <v>326.14999999999998</v>
      </c>
      <c r="DH49" s="366">
        <v>508.37</v>
      </c>
      <c r="DI49" s="366">
        <v>244.24</v>
      </c>
      <c r="DJ49" s="366">
        <v>448.13</v>
      </c>
      <c r="DK49" s="366">
        <v>187.51</v>
      </c>
      <c r="DL49" s="366">
        <v>274.72000000000003</v>
      </c>
      <c r="DM49" s="366">
        <v>295.39</v>
      </c>
      <c r="DN49" s="366">
        <v>259</v>
      </c>
      <c r="DO49" s="366">
        <v>214.08</v>
      </c>
      <c r="DP49" s="366">
        <v>124.98</v>
      </c>
      <c r="DQ49" s="366">
        <v>393.96</v>
      </c>
      <c r="DR49" s="366">
        <v>508.37</v>
      </c>
      <c r="DS49" s="366">
        <v>83.57</v>
      </c>
      <c r="DT49" s="366">
        <v>71.86</v>
      </c>
      <c r="DU49" s="366">
        <v>398.52</v>
      </c>
      <c r="DV49" s="366">
        <v>465.23</v>
      </c>
      <c r="DW49" s="366">
        <v>188.66</v>
      </c>
      <c r="DX49" s="366">
        <v>368.94</v>
      </c>
      <c r="DY49" s="366">
        <v>442.33</v>
      </c>
      <c r="DZ49" s="366">
        <v>172.96</v>
      </c>
      <c r="EA49" s="366">
        <v>66.34</v>
      </c>
      <c r="EB49" s="366">
        <v>436.33</v>
      </c>
      <c r="EC49" s="366">
        <v>86.28</v>
      </c>
      <c r="ED49" s="366">
        <v>274.01</v>
      </c>
      <c r="EE49" s="366">
        <v>284.8</v>
      </c>
      <c r="EF49" s="366">
        <v>204.75</v>
      </c>
      <c r="EG49" s="366">
        <v>0</v>
      </c>
      <c r="EH49" s="366">
        <v>0</v>
      </c>
      <c r="EI49" s="366">
        <v>327.99</v>
      </c>
      <c r="EJ49" s="366">
        <v>496.43</v>
      </c>
      <c r="EK49" s="366">
        <v>244.96</v>
      </c>
      <c r="EL49" s="366">
        <v>244.96</v>
      </c>
      <c r="EM49" s="366">
        <v>339.07</v>
      </c>
      <c r="EN49" s="366">
        <v>339.07</v>
      </c>
      <c r="EO49" s="366">
        <v>302.94</v>
      </c>
      <c r="EP49" s="366">
        <v>343.9</v>
      </c>
      <c r="EQ49" s="366">
        <v>15.06</v>
      </c>
      <c r="ER49" s="366">
        <v>444.03</v>
      </c>
      <c r="ES49" s="366">
        <v>307.70999999999998</v>
      </c>
      <c r="ET49" s="366">
        <v>264.42</v>
      </c>
      <c r="EU49" s="366">
        <v>565.54</v>
      </c>
      <c r="EV49" s="366">
        <v>176.13</v>
      </c>
      <c r="EW49" s="366">
        <v>327.37</v>
      </c>
      <c r="EX49" s="366">
        <v>284.45</v>
      </c>
      <c r="EY49" s="366">
        <v>284.45</v>
      </c>
      <c r="EZ49" s="366">
        <v>390.88</v>
      </c>
      <c r="FA49" s="366">
        <v>336.24</v>
      </c>
      <c r="FB49" s="366">
        <v>171.81</v>
      </c>
      <c r="FC49" s="366">
        <v>389.08</v>
      </c>
      <c r="FD49" s="366">
        <v>278.73</v>
      </c>
      <c r="FE49" s="366">
        <v>331.82</v>
      </c>
      <c r="FF49" s="366">
        <v>345.54</v>
      </c>
      <c r="FG49" s="366">
        <v>496.99</v>
      </c>
      <c r="FH49" s="366">
        <v>496.99</v>
      </c>
      <c r="FI49" s="366">
        <v>157</v>
      </c>
      <c r="FJ49" s="366">
        <v>162.79</v>
      </c>
      <c r="FK49" s="366">
        <v>335.45</v>
      </c>
      <c r="FL49" s="366">
        <v>333.64</v>
      </c>
      <c r="FM49" s="366">
        <v>302.94</v>
      </c>
      <c r="FN49" s="366">
        <v>206.88</v>
      </c>
      <c r="FO49" s="366">
        <v>74.709999999999994</v>
      </c>
      <c r="FP49" s="366">
        <v>421.43</v>
      </c>
      <c r="FQ49" s="366">
        <v>78.58</v>
      </c>
      <c r="FR49" s="366">
        <v>146.97</v>
      </c>
      <c r="FS49" s="366">
        <v>275.61</v>
      </c>
      <c r="FT49" s="366">
        <v>432.97</v>
      </c>
      <c r="FU49" s="366">
        <v>284.11</v>
      </c>
      <c r="FV49" s="366">
        <v>629.44000000000005</v>
      </c>
      <c r="FW49" s="366">
        <v>629.44000000000005</v>
      </c>
      <c r="FX49" s="366">
        <v>629.44000000000005</v>
      </c>
      <c r="FY49" s="366">
        <v>285.38</v>
      </c>
      <c r="FZ49" s="366">
        <v>354.69</v>
      </c>
      <c r="GA49" s="366">
        <v>412.53</v>
      </c>
      <c r="GB49" s="366">
        <v>314.08</v>
      </c>
      <c r="GC49" s="366">
        <v>274.01</v>
      </c>
      <c r="GD49" s="366">
        <v>207.19</v>
      </c>
      <c r="GE49" s="366">
        <v>24.45</v>
      </c>
      <c r="GF49" s="366">
        <v>270.58</v>
      </c>
      <c r="GG49" s="366">
        <v>270.58</v>
      </c>
      <c r="GH49" s="366">
        <v>460.98</v>
      </c>
      <c r="GI49" s="366">
        <v>303.10000000000002</v>
      </c>
      <c r="GJ49" s="366">
        <v>302.94</v>
      </c>
      <c r="GK49" s="366">
        <v>332</v>
      </c>
      <c r="GL49" s="366">
        <v>341.66</v>
      </c>
      <c r="GM49" s="366">
        <v>341.66</v>
      </c>
      <c r="GN49" s="366">
        <v>341.66</v>
      </c>
      <c r="GO49" s="366">
        <v>250.21</v>
      </c>
      <c r="GP49" s="366">
        <v>417.94</v>
      </c>
      <c r="GQ49" s="366">
        <v>377.71</v>
      </c>
      <c r="GR49" s="366">
        <v>305.35000000000002</v>
      </c>
      <c r="GS49" s="366">
        <v>229.96</v>
      </c>
      <c r="GT49" s="366">
        <v>0</v>
      </c>
      <c r="GU49" s="366">
        <v>180.79</v>
      </c>
      <c r="GV49" s="366">
        <v>503.62</v>
      </c>
      <c r="GW49" s="366">
        <v>328.84</v>
      </c>
      <c r="GX49" s="366">
        <v>3.43</v>
      </c>
      <c r="GY49" s="366">
        <v>306.77</v>
      </c>
      <c r="GZ49" s="366">
        <v>278.45</v>
      </c>
      <c r="HA49" s="366">
        <v>80.12</v>
      </c>
      <c r="HB49" s="366">
        <v>80.12</v>
      </c>
      <c r="HC49" s="366">
        <v>80.12</v>
      </c>
      <c r="HD49" s="366">
        <v>209.25</v>
      </c>
      <c r="HE49" s="366">
        <v>332.92</v>
      </c>
      <c r="HF49" s="366">
        <v>289.20999999999998</v>
      </c>
      <c r="HG49" s="366">
        <v>416.86</v>
      </c>
      <c r="HH49" s="366">
        <v>416.86</v>
      </c>
      <c r="HI49" s="366">
        <v>416.86</v>
      </c>
      <c r="HJ49" s="366">
        <v>291.45</v>
      </c>
      <c r="HK49" s="366">
        <v>79.349999999999994</v>
      </c>
      <c r="HL49" s="366">
        <v>386.92</v>
      </c>
      <c r="HM49" s="366">
        <v>300.22000000000003</v>
      </c>
      <c r="HN49" s="366">
        <v>302.94</v>
      </c>
      <c r="HO49" s="366">
        <v>533.70000000000005</v>
      </c>
      <c r="HP49" s="366">
        <v>279.17</v>
      </c>
      <c r="HQ49" s="366">
        <v>629.44000000000005</v>
      </c>
      <c r="HR49" s="366">
        <v>379.69</v>
      </c>
      <c r="HS49" s="366">
        <v>299.19</v>
      </c>
      <c r="HT49" s="366">
        <v>251.35</v>
      </c>
      <c r="HU49" s="366">
        <v>285.87</v>
      </c>
      <c r="HV49" s="366">
        <v>346.2</v>
      </c>
    </row>
    <row r="50" spans="1:230">
      <c r="A50" s="366" t="s">
        <v>9</v>
      </c>
      <c r="B50" s="366">
        <v>497.14</v>
      </c>
      <c r="C50" s="366">
        <v>396.82</v>
      </c>
      <c r="D50" s="366">
        <v>297.58999999999997</v>
      </c>
      <c r="E50" s="366">
        <v>297.58999999999997</v>
      </c>
      <c r="F50" s="366">
        <v>561.04</v>
      </c>
      <c r="G50" s="366">
        <v>368.61</v>
      </c>
      <c r="H50" s="366">
        <v>341.21</v>
      </c>
      <c r="I50" s="366">
        <v>81.180000000000007</v>
      </c>
      <c r="J50" s="366">
        <v>364.99</v>
      </c>
      <c r="K50" s="366">
        <v>364.99</v>
      </c>
      <c r="L50" s="366">
        <v>288.2</v>
      </c>
      <c r="M50" s="366">
        <v>422.24</v>
      </c>
      <c r="N50" s="366">
        <v>519.14</v>
      </c>
      <c r="O50" s="366">
        <v>272.25</v>
      </c>
      <c r="P50" s="366">
        <v>272.25</v>
      </c>
      <c r="Q50" s="366">
        <v>272.25</v>
      </c>
      <c r="R50" s="366">
        <v>272.25</v>
      </c>
      <c r="S50" s="366">
        <v>272.25</v>
      </c>
      <c r="T50" s="366">
        <v>142.63999999999999</v>
      </c>
      <c r="U50" s="366">
        <v>476.65</v>
      </c>
      <c r="V50" s="366">
        <v>361.64</v>
      </c>
      <c r="W50" s="366">
        <v>299.04000000000002</v>
      </c>
      <c r="X50" s="366">
        <v>299.04000000000002</v>
      </c>
      <c r="Y50" s="366">
        <v>299.04000000000002</v>
      </c>
      <c r="Z50" s="366">
        <v>399.38</v>
      </c>
      <c r="AA50" s="366">
        <v>362.78</v>
      </c>
      <c r="AB50" s="366">
        <v>121.9</v>
      </c>
      <c r="AC50" s="366">
        <v>124.36</v>
      </c>
      <c r="AD50" s="366">
        <v>124.36</v>
      </c>
      <c r="AE50" s="366">
        <v>246.69</v>
      </c>
      <c r="AF50" s="366">
        <v>382.35</v>
      </c>
      <c r="AG50" s="366">
        <v>300.56</v>
      </c>
      <c r="AH50" s="366">
        <v>127.23</v>
      </c>
      <c r="AI50" s="366">
        <v>127.23</v>
      </c>
      <c r="AJ50" s="366">
        <v>127.23</v>
      </c>
      <c r="AK50" s="366">
        <v>421.58</v>
      </c>
      <c r="AL50" s="366">
        <v>421.58</v>
      </c>
      <c r="AM50" s="366">
        <v>124.62</v>
      </c>
      <c r="AN50" s="366">
        <v>231.42</v>
      </c>
      <c r="AO50" s="366">
        <v>375.73</v>
      </c>
      <c r="AP50" s="366">
        <v>144.4</v>
      </c>
      <c r="AQ50" s="366">
        <v>517.58000000000004</v>
      </c>
      <c r="AR50" s="366">
        <v>420.07</v>
      </c>
      <c r="AS50" s="366">
        <v>212.75</v>
      </c>
      <c r="AT50" s="366">
        <v>212.75</v>
      </c>
      <c r="AU50" s="366">
        <v>276.5</v>
      </c>
      <c r="AV50" s="366">
        <v>507.7</v>
      </c>
      <c r="AW50" s="366">
        <v>342.87</v>
      </c>
      <c r="AX50" s="366">
        <v>0</v>
      </c>
      <c r="AY50" s="366">
        <v>554.85</v>
      </c>
      <c r="AZ50" s="366">
        <v>365.44</v>
      </c>
      <c r="BA50" s="366">
        <v>337.96</v>
      </c>
      <c r="BB50" s="366">
        <v>557.74</v>
      </c>
      <c r="BC50" s="366">
        <v>280.02</v>
      </c>
      <c r="BD50" s="366">
        <v>189.79</v>
      </c>
      <c r="BE50" s="366">
        <v>365.7</v>
      </c>
      <c r="BF50" s="366">
        <v>118.87</v>
      </c>
      <c r="BG50" s="366">
        <v>406.93</v>
      </c>
      <c r="BH50" s="366">
        <v>272.25</v>
      </c>
      <c r="BI50" s="366">
        <v>420.1</v>
      </c>
      <c r="BJ50" s="366">
        <v>345.05</v>
      </c>
      <c r="BK50" s="366">
        <v>433.22</v>
      </c>
      <c r="BL50" s="366">
        <v>290.58999999999997</v>
      </c>
      <c r="BM50" s="366">
        <v>313.8</v>
      </c>
      <c r="BN50" s="366">
        <v>402.97</v>
      </c>
      <c r="BO50" s="366">
        <v>475.42</v>
      </c>
      <c r="BP50" s="366">
        <v>441.28</v>
      </c>
      <c r="BQ50" s="366">
        <v>101.88</v>
      </c>
      <c r="BR50" s="366">
        <v>101.88</v>
      </c>
      <c r="BS50" s="366">
        <v>373.01</v>
      </c>
      <c r="BT50" s="366">
        <v>412.02</v>
      </c>
      <c r="BU50" s="366">
        <v>102.4</v>
      </c>
      <c r="BV50" s="366">
        <v>122.02</v>
      </c>
      <c r="BW50" s="366">
        <v>335.79</v>
      </c>
      <c r="BX50" s="366">
        <v>314.10000000000002</v>
      </c>
      <c r="BY50" s="366">
        <v>389.12</v>
      </c>
      <c r="BZ50" s="366">
        <v>389.12</v>
      </c>
      <c r="CA50" s="366">
        <v>304.07</v>
      </c>
      <c r="CB50" s="366">
        <v>332.53</v>
      </c>
      <c r="CC50" s="366">
        <v>28.83</v>
      </c>
      <c r="CD50" s="366">
        <v>42.31</v>
      </c>
      <c r="CE50" s="366">
        <v>416.45</v>
      </c>
      <c r="CF50" s="366">
        <v>381.08</v>
      </c>
      <c r="CG50" s="366">
        <v>381.08</v>
      </c>
      <c r="CH50" s="366">
        <v>86.88</v>
      </c>
      <c r="CI50" s="366">
        <v>145.44999999999999</v>
      </c>
      <c r="CJ50" s="366">
        <v>392.03</v>
      </c>
      <c r="CK50" s="366">
        <v>394.21</v>
      </c>
      <c r="CL50" s="366">
        <v>290.29000000000002</v>
      </c>
      <c r="CM50" s="366">
        <v>226.3</v>
      </c>
      <c r="CN50" s="366">
        <v>294.42</v>
      </c>
      <c r="CO50" s="366">
        <v>418.68</v>
      </c>
      <c r="CP50" s="366">
        <v>108.57</v>
      </c>
      <c r="CQ50" s="366">
        <v>108.57</v>
      </c>
      <c r="CR50" s="366">
        <v>370</v>
      </c>
      <c r="CS50" s="366">
        <v>370</v>
      </c>
      <c r="CT50" s="366">
        <v>360.56</v>
      </c>
      <c r="CU50" s="366">
        <v>368.43</v>
      </c>
      <c r="CV50" s="366">
        <v>362.38</v>
      </c>
      <c r="CW50" s="366">
        <v>361.64</v>
      </c>
      <c r="CX50" s="366">
        <v>16.54</v>
      </c>
      <c r="CY50" s="366">
        <v>272.72000000000003</v>
      </c>
      <c r="CZ50" s="366">
        <v>293.95999999999998</v>
      </c>
      <c r="DA50" s="366">
        <v>457.19</v>
      </c>
      <c r="DB50" s="366">
        <v>341.03</v>
      </c>
      <c r="DC50" s="366">
        <v>341.03</v>
      </c>
      <c r="DD50" s="366">
        <v>286.2</v>
      </c>
      <c r="DE50" s="366">
        <v>534.82000000000005</v>
      </c>
      <c r="DF50" s="366">
        <v>545.5</v>
      </c>
      <c r="DG50" s="366">
        <v>115.8</v>
      </c>
      <c r="DH50" s="366">
        <v>597.38</v>
      </c>
      <c r="DI50" s="366">
        <v>246.9</v>
      </c>
      <c r="DJ50" s="366">
        <v>310.16000000000003</v>
      </c>
      <c r="DK50" s="366">
        <v>276.52</v>
      </c>
      <c r="DL50" s="366">
        <v>108.4</v>
      </c>
      <c r="DM50" s="366">
        <v>384.4</v>
      </c>
      <c r="DN50" s="366">
        <v>261.66000000000003</v>
      </c>
      <c r="DO50" s="366">
        <v>303.08999999999997</v>
      </c>
      <c r="DP50" s="366">
        <v>247.89</v>
      </c>
      <c r="DQ50" s="366">
        <v>347.13</v>
      </c>
      <c r="DR50" s="366">
        <v>597.38</v>
      </c>
      <c r="DS50" s="366">
        <v>404.24</v>
      </c>
      <c r="DT50" s="366">
        <v>392.53</v>
      </c>
      <c r="DU50" s="366">
        <v>487.53</v>
      </c>
      <c r="DV50" s="366">
        <v>425.22</v>
      </c>
      <c r="DW50" s="366">
        <v>229.17</v>
      </c>
      <c r="DX50" s="366">
        <v>322.11</v>
      </c>
      <c r="DY50" s="366">
        <v>395.5</v>
      </c>
      <c r="DZ50" s="366">
        <v>285.24</v>
      </c>
      <c r="EA50" s="366">
        <v>402.35</v>
      </c>
      <c r="EB50" s="366">
        <v>389.5</v>
      </c>
      <c r="EC50" s="366">
        <v>323.02999999999997</v>
      </c>
      <c r="ED50" s="366">
        <v>276.67</v>
      </c>
      <c r="EE50" s="366">
        <v>287.45999999999998</v>
      </c>
      <c r="EF50" s="366">
        <v>138.12</v>
      </c>
      <c r="EG50" s="366">
        <v>342.87</v>
      </c>
      <c r="EH50" s="366">
        <v>342.87</v>
      </c>
      <c r="EI50" s="366">
        <v>42.78</v>
      </c>
      <c r="EJ50" s="366">
        <v>585.44000000000005</v>
      </c>
      <c r="EK50" s="366">
        <v>198.13</v>
      </c>
      <c r="EL50" s="366">
        <v>198.13</v>
      </c>
      <c r="EM50" s="366">
        <v>292.24</v>
      </c>
      <c r="EN50" s="366">
        <v>292.24</v>
      </c>
      <c r="EO50" s="366">
        <v>124.62</v>
      </c>
      <c r="EP50" s="366">
        <v>39.22</v>
      </c>
      <c r="EQ50" s="366">
        <v>351.07</v>
      </c>
      <c r="ER50" s="366">
        <v>446.69</v>
      </c>
      <c r="ES50" s="366">
        <v>396.72</v>
      </c>
      <c r="ET50" s="366">
        <v>83.91</v>
      </c>
      <c r="EU50" s="366">
        <v>497.14</v>
      </c>
      <c r="EV50" s="366">
        <v>299.04000000000002</v>
      </c>
      <c r="EW50" s="366">
        <v>42.16</v>
      </c>
      <c r="EX50" s="366">
        <v>373.46</v>
      </c>
      <c r="EY50" s="366">
        <v>373.46</v>
      </c>
      <c r="EZ50" s="366">
        <v>336.78</v>
      </c>
      <c r="FA50" s="366">
        <v>289.41000000000003</v>
      </c>
      <c r="FB50" s="366">
        <v>260.82</v>
      </c>
      <c r="FC50" s="366">
        <v>342.25</v>
      </c>
      <c r="FD50" s="366">
        <v>197.44</v>
      </c>
      <c r="FE50" s="366">
        <v>46.61</v>
      </c>
      <c r="FF50" s="366">
        <v>132.99</v>
      </c>
      <c r="FG50" s="366">
        <v>329</v>
      </c>
      <c r="FH50" s="366">
        <v>329</v>
      </c>
      <c r="FI50" s="366">
        <v>279.91000000000003</v>
      </c>
      <c r="FJ50" s="366">
        <v>285.7</v>
      </c>
      <c r="FK50" s="366">
        <v>424.46</v>
      </c>
      <c r="FL50" s="366">
        <v>422.65</v>
      </c>
      <c r="FM50" s="366">
        <v>124.62</v>
      </c>
      <c r="FN50" s="366">
        <v>329.79</v>
      </c>
      <c r="FO50" s="366">
        <v>410.72</v>
      </c>
      <c r="FP50" s="366">
        <v>374.6</v>
      </c>
      <c r="FQ50" s="366">
        <v>414.59</v>
      </c>
      <c r="FR50" s="366">
        <v>305.54000000000002</v>
      </c>
      <c r="FS50" s="366">
        <v>133.69999999999999</v>
      </c>
      <c r="FT50" s="366">
        <v>325.32</v>
      </c>
      <c r="FU50" s="366">
        <v>157.84</v>
      </c>
      <c r="FV50" s="366">
        <v>561.04</v>
      </c>
      <c r="FW50" s="366">
        <v>561.04</v>
      </c>
      <c r="FX50" s="366">
        <v>561.04</v>
      </c>
      <c r="FY50" s="366">
        <v>238.55</v>
      </c>
      <c r="FZ50" s="366">
        <v>69.48</v>
      </c>
      <c r="GA50" s="366">
        <v>365.7</v>
      </c>
      <c r="GB50" s="366">
        <v>172.17</v>
      </c>
      <c r="GC50" s="366">
        <v>276.67</v>
      </c>
      <c r="GD50" s="366">
        <v>296.2</v>
      </c>
      <c r="GE50" s="366">
        <v>360.46</v>
      </c>
      <c r="GF50" s="366">
        <v>171.37</v>
      </c>
      <c r="GG50" s="366">
        <v>171.37</v>
      </c>
      <c r="GH50" s="366">
        <v>414.15</v>
      </c>
      <c r="GI50" s="366">
        <v>124.78</v>
      </c>
      <c r="GJ50" s="366">
        <v>124.62</v>
      </c>
      <c r="GK50" s="366">
        <v>421.01</v>
      </c>
      <c r="GL50" s="366">
        <v>56.45</v>
      </c>
      <c r="GM50" s="366">
        <v>56.45</v>
      </c>
      <c r="GN50" s="366">
        <v>56.45</v>
      </c>
      <c r="GO50" s="366">
        <v>132.91</v>
      </c>
      <c r="GP50" s="366">
        <v>371.11</v>
      </c>
      <c r="GQ50" s="366">
        <v>466.72</v>
      </c>
      <c r="GR50" s="366">
        <v>152.85</v>
      </c>
      <c r="GS50" s="366">
        <v>112.91</v>
      </c>
      <c r="GT50" s="366">
        <v>342.87</v>
      </c>
      <c r="GU50" s="366">
        <v>231.4</v>
      </c>
      <c r="GV50" s="366">
        <v>592.63</v>
      </c>
      <c r="GW50" s="366">
        <v>80.91</v>
      </c>
      <c r="GX50" s="366">
        <v>339.44</v>
      </c>
      <c r="GY50" s="366">
        <v>126.26</v>
      </c>
      <c r="GZ50" s="366">
        <v>197.16</v>
      </c>
      <c r="HA50" s="366">
        <v>416.13</v>
      </c>
      <c r="HB50" s="366">
        <v>416.13</v>
      </c>
      <c r="HC50" s="366">
        <v>416.13</v>
      </c>
      <c r="HD50" s="366">
        <v>248.95</v>
      </c>
      <c r="HE50" s="366">
        <v>286.08999999999997</v>
      </c>
      <c r="HF50" s="366">
        <v>242.38</v>
      </c>
      <c r="HG50" s="366">
        <v>370.03</v>
      </c>
      <c r="HH50" s="366">
        <v>370.03</v>
      </c>
      <c r="HI50" s="366">
        <v>370.03</v>
      </c>
      <c r="HJ50" s="366">
        <v>150.5</v>
      </c>
      <c r="HK50" s="366">
        <v>269.49</v>
      </c>
      <c r="HL50" s="366">
        <v>305.63</v>
      </c>
      <c r="HM50" s="366">
        <v>121.9</v>
      </c>
      <c r="HN50" s="366">
        <v>124.62</v>
      </c>
      <c r="HO50" s="366">
        <v>530.34</v>
      </c>
      <c r="HP50" s="366">
        <v>197.88</v>
      </c>
      <c r="HQ50" s="366">
        <v>561.04</v>
      </c>
      <c r="HR50" s="366">
        <v>382.35</v>
      </c>
      <c r="HS50" s="366">
        <v>120.87</v>
      </c>
      <c r="HT50" s="366">
        <v>96.71</v>
      </c>
      <c r="HU50" s="366">
        <v>105.36</v>
      </c>
      <c r="HV50" s="366">
        <v>60.99</v>
      </c>
    </row>
    <row r="51" spans="1:230">
      <c r="A51" s="366" t="s">
        <v>73</v>
      </c>
      <c r="B51" s="366">
        <v>1024.52</v>
      </c>
      <c r="C51" s="366">
        <v>158.03</v>
      </c>
      <c r="D51" s="366">
        <v>354.12</v>
      </c>
      <c r="E51" s="366">
        <v>354.12</v>
      </c>
      <c r="F51" s="366">
        <v>1088.42</v>
      </c>
      <c r="G51" s="366">
        <v>824.93</v>
      </c>
      <c r="H51" s="366">
        <v>397.74</v>
      </c>
      <c r="I51" s="366">
        <v>534.25</v>
      </c>
      <c r="J51" s="366">
        <v>421.52</v>
      </c>
      <c r="K51" s="366">
        <v>421.52</v>
      </c>
      <c r="L51" s="366">
        <v>336.21</v>
      </c>
      <c r="M51" s="366">
        <v>183.65</v>
      </c>
      <c r="N51" s="366">
        <v>35.71</v>
      </c>
      <c r="O51" s="366">
        <v>499.08</v>
      </c>
      <c r="P51" s="366">
        <v>499.08</v>
      </c>
      <c r="Q51" s="366">
        <v>499.08</v>
      </c>
      <c r="R51" s="366">
        <v>499.08</v>
      </c>
      <c r="S51" s="366">
        <v>499.08</v>
      </c>
      <c r="T51" s="366">
        <v>608.75</v>
      </c>
      <c r="U51" s="366">
        <v>932.97</v>
      </c>
      <c r="V51" s="366">
        <v>507.42</v>
      </c>
      <c r="W51" s="366">
        <v>635.11</v>
      </c>
      <c r="X51" s="366">
        <v>635.11</v>
      </c>
      <c r="Y51" s="366">
        <v>635.11</v>
      </c>
      <c r="Z51" s="366">
        <v>220.55</v>
      </c>
      <c r="AA51" s="366">
        <v>819.1</v>
      </c>
      <c r="AB51" s="366">
        <v>668.49</v>
      </c>
      <c r="AC51" s="366">
        <v>670.95</v>
      </c>
      <c r="AD51" s="366">
        <v>670.95</v>
      </c>
      <c r="AE51" s="366">
        <v>405.02</v>
      </c>
      <c r="AF51" s="366">
        <v>838.67</v>
      </c>
      <c r="AG51" s="366">
        <v>636.63</v>
      </c>
      <c r="AH51" s="366">
        <v>488.2</v>
      </c>
      <c r="AI51" s="366">
        <v>488.2</v>
      </c>
      <c r="AJ51" s="366">
        <v>488.2</v>
      </c>
      <c r="AK51" s="366">
        <v>203.31</v>
      </c>
      <c r="AL51" s="366">
        <v>203.31</v>
      </c>
      <c r="AM51" s="366">
        <v>671.21</v>
      </c>
      <c r="AN51" s="366">
        <v>458.25</v>
      </c>
      <c r="AO51" s="366">
        <v>841.54</v>
      </c>
      <c r="AP51" s="366">
        <v>597.47</v>
      </c>
      <c r="AQ51" s="366">
        <v>1044.96</v>
      </c>
      <c r="AR51" s="366">
        <v>484.29</v>
      </c>
      <c r="AS51" s="366">
        <v>342.1</v>
      </c>
      <c r="AT51" s="366">
        <v>342.1</v>
      </c>
      <c r="AU51" s="366">
        <v>422.28</v>
      </c>
      <c r="AV51" s="366">
        <v>964.02</v>
      </c>
      <c r="AW51" s="366">
        <v>465.84</v>
      </c>
      <c r="AX51" s="366">
        <v>554.85</v>
      </c>
      <c r="AY51" s="366">
        <v>0</v>
      </c>
      <c r="AZ51" s="366">
        <v>207.21</v>
      </c>
      <c r="BA51" s="366">
        <v>884.55</v>
      </c>
      <c r="BB51" s="366">
        <v>4.05</v>
      </c>
      <c r="BC51" s="366">
        <v>826.61</v>
      </c>
      <c r="BD51" s="366">
        <v>736.38</v>
      </c>
      <c r="BE51" s="366">
        <v>511.48</v>
      </c>
      <c r="BF51" s="366">
        <v>665.46</v>
      </c>
      <c r="BG51" s="366">
        <v>217.07</v>
      </c>
      <c r="BH51" s="366">
        <v>499.08</v>
      </c>
      <c r="BI51" s="366">
        <v>484.32</v>
      </c>
      <c r="BJ51" s="366">
        <v>309.83999999999997</v>
      </c>
      <c r="BK51" s="366">
        <v>351.67</v>
      </c>
      <c r="BL51" s="366">
        <v>361.12</v>
      </c>
      <c r="BM51" s="366">
        <v>370.33</v>
      </c>
      <c r="BN51" s="366">
        <v>859.29</v>
      </c>
      <c r="BO51" s="366">
        <v>393.87</v>
      </c>
      <c r="BP51" s="366">
        <v>359.73</v>
      </c>
      <c r="BQ51" s="366">
        <v>513.54999999999995</v>
      </c>
      <c r="BR51" s="366">
        <v>513.54999999999995</v>
      </c>
      <c r="BS51" s="366">
        <v>181.84</v>
      </c>
      <c r="BT51" s="366">
        <v>468.75</v>
      </c>
      <c r="BU51" s="366">
        <v>648.99</v>
      </c>
      <c r="BV51" s="366">
        <v>668.61</v>
      </c>
      <c r="BW51" s="366">
        <v>481.57</v>
      </c>
      <c r="BX51" s="366">
        <v>240.75</v>
      </c>
      <c r="BY51" s="366">
        <v>534.9</v>
      </c>
      <c r="BZ51" s="366">
        <v>534.9</v>
      </c>
      <c r="CA51" s="366">
        <v>497.78</v>
      </c>
      <c r="CB51" s="366">
        <v>250.98</v>
      </c>
      <c r="CC51" s="366">
        <v>526.02</v>
      </c>
      <c r="CD51" s="366">
        <v>528.41999999999996</v>
      </c>
      <c r="CE51" s="366">
        <v>334.9</v>
      </c>
      <c r="CF51" s="366">
        <v>837.4</v>
      </c>
      <c r="CG51" s="366">
        <v>837.4</v>
      </c>
      <c r="CH51" s="366">
        <v>528.54999999999995</v>
      </c>
      <c r="CI51" s="366">
        <v>442.04</v>
      </c>
      <c r="CJ51" s="366">
        <v>848.35</v>
      </c>
      <c r="CK51" s="366">
        <v>539.99</v>
      </c>
      <c r="CL51" s="366">
        <v>436.07</v>
      </c>
      <c r="CM51" s="366">
        <v>772.89</v>
      </c>
      <c r="CN51" s="366">
        <v>325.51</v>
      </c>
      <c r="CO51" s="366">
        <v>482.9</v>
      </c>
      <c r="CP51" s="366">
        <v>506.86</v>
      </c>
      <c r="CQ51" s="366">
        <v>506.86</v>
      </c>
      <c r="CR51" s="366">
        <v>435.3</v>
      </c>
      <c r="CS51" s="366">
        <v>435.3</v>
      </c>
      <c r="CT51" s="366">
        <v>444.74</v>
      </c>
      <c r="CU51" s="366">
        <v>436.87</v>
      </c>
      <c r="CV51" s="366">
        <v>439.47</v>
      </c>
      <c r="CW51" s="366">
        <v>507.42</v>
      </c>
      <c r="CX51" s="366">
        <v>545.09</v>
      </c>
      <c r="CY51" s="366">
        <v>819.31</v>
      </c>
      <c r="CZ51" s="366">
        <v>840.55</v>
      </c>
      <c r="DA51" s="366">
        <v>97.66</v>
      </c>
      <c r="DB51" s="366">
        <v>281.43</v>
      </c>
      <c r="DC51" s="366">
        <v>281.43</v>
      </c>
      <c r="DD51" s="366">
        <v>622.27</v>
      </c>
      <c r="DE51" s="366">
        <v>20.03</v>
      </c>
      <c r="DF51" s="366">
        <v>1072.8800000000001</v>
      </c>
      <c r="DG51" s="366">
        <v>471.69</v>
      </c>
      <c r="DH51" s="366">
        <v>43.69</v>
      </c>
      <c r="DI51" s="366">
        <v>703.22</v>
      </c>
      <c r="DJ51" s="366">
        <v>856.75</v>
      </c>
      <c r="DK51" s="366">
        <v>278.33</v>
      </c>
      <c r="DL51" s="366">
        <v>654.99</v>
      </c>
      <c r="DM51" s="366">
        <v>170.45</v>
      </c>
      <c r="DN51" s="366">
        <v>717.98</v>
      </c>
      <c r="DO51" s="366">
        <v>256.33</v>
      </c>
      <c r="DP51" s="366">
        <v>583.96</v>
      </c>
      <c r="DQ51" s="366">
        <v>492.91</v>
      </c>
      <c r="DR51" s="366">
        <v>43.69</v>
      </c>
      <c r="DS51" s="366">
        <v>460.77</v>
      </c>
      <c r="DT51" s="366">
        <v>449.06</v>
      </c>
      <c r="DU51" s="366">
        <v>128</v>
      </c>
      <c r="DV51" s="366">
        <v>194.71</v>
      </c>
      <c r="DW51" s="366">
        <v>325.68</v>
      </c>
      <c r="DX51" s="366">
        <v>467.89</v>
      </c>
      <c r="DY51" s="366">
        <v>541.28</v>
      </c>
      <c r="DZ51" s="366">
        <v>631.94000000000005</v>
      </c>
      <c r="EA51" s="366">
        <v>466.57</v>
      </c>
      <c r="EB51" s="366">
        <v>535.28</v>
      </c>
      <c r="EC51" s="366">
        <v>379.56</v>
      </c>
      <c r="ED51" s="366">
        <v>732.99</v>
      </c>
      <c r="EE51" s="366">
        <v>743.78</v>
      </c>
      <c r="EF51" s="366">
        <v>591.19000000000005</v>
      </c>
      <c r="EG51" s="366">
        <v>465.84</v>
      </c>
      <c r="EH51" s="366">
        <v>465.84</v>
      </c>
      <c r="EI51" s="366">
        <v>512.07000000000005</v>
      </c>
      <c r="EJ51" s="366">
        <v>503.89</v>
      </c>
      <c r="EK51" s="366">
        <v>390.5</v>
      </c>
      <c r="EL51" s="366">
        <v>390.5</v>
      </c>
      <c r="EM51" s="366">
        <v>387.55</v>
      </c>
      <c r="EN51" s="366">
        <v>387.55</v>
      </c>
      <c r="EO51" s="366">
        <v>671.21</v>
      </c>
      <c r="EP51" s="366">
        <v>594.07000000000005</v>
      </c>
      <c r="EQ51" s="366">
        <v>454.23</v>
      </c>
      <c r="ER51" s="366">
        <v>903.01</v>
      </c>
      <c r="ES51" s="366">
        <v>158.13</v>
      </c>
      <c r="ET51" s="366">
        <v>531.52</v>
      </c>
      <c r="EU51" s="366">
        <v>1024.52</v>
      </c>
      <c r="EV51" s="366">
        <v>635.11</v>
      </c>
      <c r="EW51" s="366">
        <v>512.99</v>
      </c>
      <c r="EX51" s="366">
        <v>291.91000000000003</v>
      </c>
      <c r="EY51" s="366">
        <v>291.91000000000003</v>
      </c>
      <c r="EZ51" s="366">
        <v>489.83</v>
      </c>
      <c r="FA51" s="366">
        <v>409.37</v>
      </c>
      <c r="FB51" s="366">
        <v>294.02999999999997</v>
      </c>
      <c r="FC51" s="366">
        <v>488.03</v>
      </c>
      <c r="FD51" s="366">
        <v>424.27</v>
      </c>
      <c r="FE51" s="366">
        <v>515.9</v>
      </c>
      <c r="FF51" s="366">
        <v>491.08</v>
      </c>
      <c r="FG51" s="366">
        <v>875.59</v>
      </c>
      <c r="FH51" s="366">
        <v>875.59</v>
      </c>
      <c r="FI51" s="366">
        <v>615.98</v>
      </c>
      <c r="FJ51" s="366">
        <v>621.77</v>
      </c>
      <c r="FK51" s="366">
        <v>185.87</v>
      </c>
      <c r="FL51" s="366">
        <v>184.06</v>
      </c>
      <c r="FM51" s="366">
        <v>671.21</v>
      </c>
      <c r="FN51" s="366">
        <v>665.86</v>
      </c>
      <c r="FO51" s="366">
        <v>474.94</v>
      </c>
      <c r="FP51" s="366">
        <v>520.38</v>
      </c>
      <c r="FQ51" s="366">
        <v>478.81</v>
      </c>
      <c r="FR51" s="366">
        <v>353.55</v>
      </c>
      <c r="FS51" s="366">
        <v>421.15</v>
      </c>
      <c r="FT51" s="366">
        <v>871.91</v>
      </c>
      <c r="FU51" s="366">
        <v>429.65</v>
      </c>
      <c r="FV51" s="366">
        <v>1088.42</v>
      </c>
      <c r="FW51" s="366">
        <v>1088.42</v>
      </c>
      <c r="FX51" s="366">
        <v>1088.42</v>
      </c>
      <c r="FY51" s="366">
        <v>417.62</v>
      </c>
      <c r="FZ51" s="366">
        <v>505.81</v>
      </c>
      <c r="GA51" s="366">
        <v>511.48</v>
      </c>
      <c r="GB51" s="366">
        <v>459.62</v>
      </c>
      <c r="GC51" s="366">
        <v>732.99</v>
      </c>
      <c r="GD51" s="366">
        <v>258.64999999999998</v>
      </c>
      <c r="GE51" s="366">
        <v>444.84</v>
      </c>
      <c r="GF51" s="366">
        <v>416.12</v>
      </c>
      <c r="GG51" s="366">
        <v>416.12</v>
      </c>
      <c r="GH51" s="366">
        <v>559.92999999999995</v>
      </c>
      <c r="GI51" s="366">
        <v>671.37</v>
      </c>
      <c r="GJ51" s="366">
        <v>671.21</v>
      </c>
      <c r="GK51" s="366">
        <v>182.42</v>
      </c>
      <c r="GL51" s="366">
        <v>498.4</v>
      </c>
      <c r="GM51" s="366">
        <v>498.4</v>
      </c>
      <c r="GN51" s="366">
        <v>498.4</v>
      </c>
      <c r="GO51" s="366">
        <v>636.65</v>
      </c>
      <c r="GP51" s="366">
        <v>516.89</v>
      </c>
      <c r="GQ51" s="366">
        <v>385.17</v>
      </c>
      <c r="GR51" s="366">
        <v>699.44</v>
      </c>
      <c r="GS51" s="366">
        <v>565.98</v>
      </c>
      <c r="GT51" s="366">
        <v>465.84</v>
      </c>
      <c r="GU51" s="366">
        <v>423.19</v>
      </c>
      <c r="GV51" s="366">
        <v>511.08</v>
      </c>
      <c r="GW51" s="366">
        <v>474.38</v>
      </c>
      <c r="GX51" s="366">
        <v>462.41</v>
      </c>
      <c r="GY51" s="366">
        <v>489.17</v>
      </c>
      <c r="GZ51" s="366">
        <v>423.99</v>
      </c>
      <c r="HA51" s="366">
        <v>480.35</v>
      </c>
      <c r="HB51" s="366">
        <v>480.35</v>
      </c>
      <c r="HC51" s="366">
        <v>480.35</v>
      </c>
      <c r="HD51" s="366">
        <v>668.23</v>
      </c>
      <c r="HE51" s="366">
        <v>381.4</v>
      </c>
      <c r="HF51" s="366">
        <v>378.27</v>
      </c>
      <c r="HG51" s="366">
        <v>318.41000000000003</v>
      </c>
      <c r="HH51" s="366">
        <v>318.41000000000003</v>
      </c>
      <c r="HI51" s="366">
        <v>318.41000000000003</v>
      </c>
      <c r="HJ51" s="366">
        <v>436.99</v>
      </c>
      <c r="HK51" s="366">
        <v>538.33000000000004</v>
      </c>
      <c r="HL51" s="366">
        <v>532.46</v>
      </c>
      <c r="HM51" s="366">
        <v>668.49</v>
      </c>
      <c r="HN51" s="366">
        <v>671.21</v>
      </c>
      <c r="HO51" s="366">
        <v>992.68</v>
      </c>
      <c r="HP51" s="366">
        <v>424.71</v>
      </c>
      <c r="HQ51" s="366">
        <v>1088.42</v>
      </c>
      <c r="HR51" s="366">
        <v>838.67</v>
      </c>
      <c r="HS51" s="366">
        <v>667.46</v>
      </c>
      <c r="HT51" s="366">
        <v>549.78</v>
      </c>
      <c r="HU51" s="366">
        <v>517.03</v>
      </c>
      <c r="HV51" s="366">
        <v>535.35</v>
      </c>
    </row>
    <row r="52" spans="1:230">
      <c r="A52" s="366" t="s">
        <v>74</v>
      </c>
      <c r="B52" s="366">
        <v>835.11</v>
      </c>
      <c r="C52" s="366">
        <v>49.18</v>
      </c>
      <c r="D52" s="366">
        <v>164.71</v>
      </c>
      <c r="E52" s="366">
        <v>164.71</v>
      </c>
      <c r="F52" s="366">
        <v>899.01</v>
      </c>
      <c r="G52" s="366">
        <v>635.52</v>
      </c>
      <c r="H52" s="366">
        <v>208.33</v>
      </c>
      <c r="I52" s="366">
        <v>344.84</v>
      </c>
      <c r="J52" s="366">
        <v>232.11</v>
      </c>
      <c r="K52" s="366">
        <v>232.11</v>
      </c>
      <c r="L52" s="366">
        <v>146.80000000000001</v>
      </c>
      <c r="M52" s="366">
        <v>74.599999999999994</v>
      </c>
      <c r="N52" s="366">
        <v>171.5</v>
      </c>
      <c r="O52" s="366">
        <v>309.67</v>
      </c>
      <c r="P52" s="366">
        <v>309.67</v>
      </c>
      <c r="Q52" s="366">
        <v>309.67</v>
      </c>
      <c r="R52" s="366">
        <v>309.67</v>
      </c>
      <c r="S52" s="366">
        <v>309.67</v>
      </c>
      <c r="T52" s="366">
        <v>419.34</v>
      </c>
      <c r="U52" s="366">
        <v>743.56</v>
      </c>
      <c r="V52" s="366">
        <v>364.6</v>
      </c>
      <c r="W52" s="366">
        <v>445.7</v>
      </c>
      <c r="X52" s="366">
        <v>445.7</v>
      </c>
      <c r="Y52" s="366">
        <v>445.7</v>
      </c>
      <c r="Z52" s="366">
        <v>232.44</v>
      </c>
      <c r="AA52" s="366">
        <v>629.69000000000005</v>
      </c>
      <c r="AB52" s="366">
        <v>479.08</v>
      </c>
      <c r="AC52" s="366">
        <v>481.54</v>
      </c>
      <c r="AD52" s="366">
        <v>481.54</v>
      </c>
      <c r="AE52" s="366">
        <v>215.61</v>
      </c>
      <c r="AF52" s="366">
        <v>649.26</v>
      </c>
      <c r="AG52" s="366">
        <v>447.22</v>
      </c>
      <c r="AH52" s="366">
        <v>298.79000000000002</v>
      </c>
      <c r="AI52" s="366">
        <v>298.79000000000002</v>
      </c>
      <c r="AJ52" s="366">
        <v>298.79000000000002</v>
      </c>
      <c r="AK52" s="366">
        <v>215.2</v>
      </c>
      <c r="AL52" s="366">
        <v>215.2</v>
      </c>
      <c r="AM52" s="366">
        <v>481.8</v>
      </c>
      <c r="AN52" s="366">
        <v>268.83999999999997</v>
      </c>
      <c r="AO52" s="366">
        <v>652.13</v>
      </c>
      <c r="AP52" s="366">
        <v>408.06</v>
      </c>
      <c r="AQ52" s="366">
        <v>855.55</v>
      </c>
      <c r="AR52" s="366">
        <v>294.88</v>
      </c>
      <c r="AS52" s="366">
        <v>152.69</v>
      </c>
      <c r="AT52" s="366">
        <v>152.69</v>
      </c>
      <c r="AU52" s="366">
        <v>279.45999999999998</v>
      </c>
      <c r="AV52" s="366">
        <v>774.61</v>
      </c>
      <c r="AW52" s="366">
        <v>276.43</v>
      </c>
      <c r="AX52" s="366">
        <v>365.44</v>
      </c>
      <c r="AY52" s="366">
        <v>207.21</v>
      </c>
      <c r="AZ52" s="366">
        <v>0</v>
      </c>
      <c r="BA52" s="366">
        <v>695.14</v>
      </c>
      <c r="BB52" s="366">
        <v>210.1</v>
      </c>
      <c r="BC52" s="366">
        <v>637.20000000000005</v>
      </c>
      <c r="BD52" s="366">
        <v>546.97</v>
      </c>
      <c r="BE52" s="366">
        <v>368.66</v>
      </c>
      <c r="BF52" s="366">
        <v>476.05</v>
      </c>
      <c r="BG52" s="366">
        <v>228.96</v>
      </c>
      <c r="BH52" s="366">
        <v>309.67</v>
      </c>
      <c r="BI52" s="366">
        <v>294.91000000000003</v>
      </c>
      <c r="BJ52" s="366">
        <v>321.73</v>
      </c>
      <c r="BK52" s="366">
        <v>162.26</v>
      </c>
      <c r="BL52" s="366">
        <v>171.71</v>
      </c>
      <c r="BM52" s="366">
        <v>180.92</v>
      </c>
      <c r="BN52" s="366">
        <v>669.88</v>
      </c>
      <c r="BO52" s="366">
        <v>204.46</v>
      </c>
      <c r="BP52" s="366">
        <v>170.32</v>
      </c>
      <c r="BQ52" s="366">
        <v>324.14</v>
      </c>
      <c r="BR52" s="366">
        <v>324.14</v>
      </c>
      <c r="BS52" s="366">
        <v>25.37</v>
      </c>
      <c r="BT52" s="366">
        <v>279.33999999999997</v>
      </c>
      <c r="BU52" s="366">
        <v>459.58</v>
      </c>
      <c r="BV52" s="366">
        <v>479.2</v>
      </c>
      <c r="BW52" s="366">
        <v>338.75</v>
      </c>
      <c r="BX52" s="366">
        <v>51.34</v>
      </c>
      <c r="BY52" s="366">
        <v>392.08</v>
      </c>
      <c r="BZ52" s="366">
        <v>392.08</v>
      </c>
      <c r="CA52" s="366">
        <v>308.37</v>
      </c>
      <c r="CB52" s="366">
        <v>61.57</v>
      </c>
      <c r="CC52" s="366">
        <v>336.61</v>
      </c>
      <c r="CD52" s="366">
        <v>339.01</v>
      </c>
      <c r="CE52" s="366">
        <v>145.49</v>
      </c>
      <c r="CF52" s="366">
        <v>647.99</v>
      </c>
      <c r="CG52" s="366">
        <v>647.99</v>
      </c>
      <c r="CH52" s="366">
        <v>339.14</v>
      </c>
      <c r="CI52" s="366">
        <v>252.63</v>
      </c>
      <c r="CJ52" s="366">
        <v>658.94</v>
      </c>
      <c r="CK52" s="366">
        <v>397.17</v>
      </c>
      <c r="CL52" s="366">
        <v>293.25</v>
      </c>
      <c r="CM52" s="366">
        <v>583.48</v>
      </c>
      <c r="CN52" s="366">
        <v>297.38</v>
      </c>
      <c r="CO52" s="366">
        <v>293.49</v>
      </c>
      <c r="CP52" s="366">
        <v>317.45</v>
      </c>
      <c r="CQ52" s="366">
        <v>317.45</v>
      </c>
      <c r="CR52" s="366">
        <v>245.89</v>
      </c>
      <c r="CS52" s="366">
        <v>245.89</v>
      </c>
      <c r="CT52" s="366">
        <v>255.33</v>
      </c>
      <c r="CU52" s="366">
        <v>247.46</v>
      </c>
      <c r="CV52" s="366">
        <v>250.06</v>
      </c>
      <c r="CW52" s="366">
        <v>364.6</v>
      </c>
      <c r="CX52" s="366">
        <v>355.68</v>
      </c>
      <c r="CY52" s="366">
        <v>629.9</v>
      </c>
      <c r="CZ52" s="366">
        <v>651.14</v>
      </c>
      <c r="DA52" s="366">
        <v>109.55</v>
      </c>
      <c r="DB52" s="366">
        <v>293.32</v>
      </c>
      <c r="DC52" s="366">
        <v>293.32</v>
      </c>
      <c r="DD52" s="366">
        <v>432.86</v>
      </c>
      <c r="DE52" s="366">
        <v>187.18</v>
      </c>
      <c r="DF52" s="366">
        <v>883.47</v>
      </c>
      <c r="DG52" s="366">
        <v>282.27999999999997</v>
      </c>
      <c r="DH52" s="366">
        <v>249.74</v>
      </c>
      <c r="DI52" s="366">
        <v>513.80999999999995</v>
      </c>
      <c r="DJ52" s="366">
        <v>667.34</v>
      </c>
      <c r="DK52" s="366">
        <v>88.92</v>
      </c>
      <c r="DL52" s="366">
        <v>465.58</v>
      </c>
      <c r="DM52" s="366">
        <v>36.76</v>
      </c>
      <c r="DN52" s="366">
        <v>528.57000000000005</v>
      </c>
      <c r="DO52" s="366">
        <v>66.92</v>
      </c>
      <c r="DP52" s="366">
        <v>394.55</v>
      </c>
      <c r="DQ52" s="366">
        <v>350.09</v>
      </c>
      <c r="DR52" s="366">
        <v>249.74</v>
      </c>
      <c r="DS52" s="366">
        <v>271.36</v>
      </c>
      <c r="DT52" s="366">
        <v>259.64999999999998</v>
      </c>
      <c r="DU52" s="366">
        <v>139.88999999999999</v>
      </c>
      <c r="DV52" s="366">
        <v>206.6</v>
      </c>
      <c r="DW52" s="366">
        <v>136.27000000000001</v>
      </c>
      <c r="DX52" s="366">
        <v>325.07</v>
      </c>
      <c r="DY52" s="366">
        <v>398.46</v>
      </c>
      <c r="DZ52" s="366">
        <v>442.53</v>
      </c>
      <c r="EA52" s="366">
        <v>277.16000000000003</v>
      </c>
      <c r="EB52" s="366">
        <v>392.46</v>
      </c>
      <c r="EC52" s="366">
        <v>190.15</v>
      </c>
      <c r="ED52" s="366">
        <v>543.58000000000004</v>
      </c>
      <c r="EE52" s="366">
        <v>554.37</v>
      </c>
      <c r="EF52" s="366">
        <v>401.78</v>
      </c>
      <c r="EG52" s="366">
        <v>276.43</v>
      </c>
      <c r="EH52" s="366">
        <v>276.43</v>
      </c>
      <c r="EI52" s="366">
        <v>322.66000000000003</v>
      </c>
      <c r="EJ52" s="366">
        <v>314.48</v>
      </c>
      <c r="EK52" s="366">
        <v>201.09</v>
      </c>
      <c r="EL52" s="366">
        <v>201.09</v>
      </c>
      <c r="EM52" s="366">
        <v>295.2</v>
      </c>
      <c r="EN52" s="366">
        <v>295.2</v>
      </c>
      <c r="EO52" s="366">
        <v>481.8</v>
      </c>
      <c r="EP52" s="366">
        <v>404.66</v>
      </c>
      <c r="EQ52" s="366">
        <v>264.82</v>
      </c>
      <c r="ER52" s="366">
        <v>713.6</v>
      </c>
      <c r="ES52" s="366">
        <v>49.08</v>
      </c>
      <c r="ET52" s="366">
        <v>342.11</v>
      </c>
      <c r="EU52" s="366">
        <v>835.11</v>
      </c>
      <c r="EV52" s="366">
        <v>445.7</v>
      </c>
      <c r="EW52" s="366">
        <v>323.58</v>
      </c>
      <c r="EX52" s="366">
        <v>102.5</v>
      </c>
      <c r="EY52" s="366">
        <v>102.5</v>
      </c>
      <c r="EZ52" s="366">
        <v>347.01</v>
      </c>
      <c r="FA52" s="366">
        <v>292.37</v>
      </c>
      <c r="FB52" s="366">
        <v>104.62</v>
      </c>
      <c r="FC52" s="366">
        <v>345.21</v>
      </c>
      <c r="FD52" s="366">
        <v>234.86</v>
      </c>
      <c r="FE52" s="366">
        <v>326.49</v>
      </c>
      <c r="FF52" s="366">
        <v>301.67</v>
      </c>
      <c r="FG52" s="366">
        <v>686.18</v>
      </c>
      <c r="FH52" s="366">
        <v>686.18</v>
      </c>
      <c r="FI52" s="366">
        <v>426.57</v>
      </c>
      <c r="FJ52" s="366">
        <v>432.36</v>
      </c>
      <c r="FK52" s="366">
        <v>76.819999999999993</v>
      </c>
      <c r="FL52" s="366">
        <v>75.010000000000005</v>
      </c>
      <c r="FM52" s="366">
        <v>481.8</v>
      </c>
      <c r="FN52" s="366">
        <v>476.45</v>
      </c>
      <c r="FO52" s="366">
        <v>285.52999999999997</v>
      </c>
      <c r="FP52" s="366">
        <v>377.56</v>
      </c>
      <c r="FQ52" s="366">
        <v>289.39999999999998</v>
      </c>
      <c r="FR52" s="366">
        <v>164.14</v>
      </c>
      <c r="FS52" s="366">
        <v>231.74</v>
      </c>
      <c r="FT52" s="366">
        <v>682.5</v>
      </c>
      <c r="FU52" s="366">
        <v>240.24</v>
      </c>
      <c r="FV52" s="366">
        <v>899.01</v>
      </c>
      <c r="FW52" s="366">
        <v>899.01</v>
      </c>
      <c r="FX52" s="366">
        <v>899.01</v>
      </c>
      <c r="FY52" s="366">
        <v>241.51</v>
      </c>
      <c r="FZ52" s="366">
        <v>316.39999999999998</v>
      </c>
      <c r="GA52" s="366">
        <v>368.66</v>
      </c>
      <c r="GB52" s="366">
        <v>270.20999999999998</v>
      </c>
      <c r="GC52" s="366">
        <v>543.58000000000004</v>
      </c>
      <c r="GD52" s="366">
        <v>69.239999999999995</v>
      </c>
      <c r="GE52" s="366">
        <v>255.43</v>
      </c>
      <c r="GF52" s="366">
        <v>226.71</v>
      </c>
      <c r="GG52" s="366">
        <v>226.71</v>
      </c>
      <c r="GH52" s="366">
        <v>417.11</v>
      </c>
      <c r="GI52" s="366">
        <v>481.96</v>
      </c>
      <c r="GJ52" s="366">
        <v>481.8</v>
      </c>
      <c r="GK52" s="366">
        <v>73.37</v>
      </c>
      <c r="GL52" s="366">
        <v>308.99</v>
      </c>
      <c r="GM52" s="366">
        <v>308.99</v>
      </c>
      <c r="GN52" s="366">
        <v>308.99</v>
      </c>
      <c r="GO52" s="366">
        <v>447.24</v>
      </c>
      <c r="GP52" s="366">
        <v>374.07</v>
      </c>
      <c r="GQ52" s="366">
        <v>195.76</v>
      </c>
      <c r="GR52" s="366">
        <v>510.03</v>
      </c>
      <c r="GS52" s="366">
        <v>376.57</v>
      </c>
      <c r="GT52" s="366">
        <v>276.43</v>
      </c>
      <c r="GU52" s="366">
        <v>233.78</v>
      </c>
      <c r="GV52" s="366">
        <v>321.67</v>
      </c>
      <c r="GW52" s="366">
        <v>284.97000000000003</v>
      </c>
      <c r="GX52" s="366">
        <v>273</v>
      </c>
      <c r="GY52" s="366">
        <v>299.76</v>
      </c>
      <c r="GZ52" s="366">
        <v>234.58</v>
      </c>
      <c r="HA52" s="366">
        <v>290.94</v>
      </c>
      <c r="HB52" s="366">
        <v>290.94</v>
      </c>
      <c r="HC52" s="366">
        <v>290.94</v>
      </c>
      <c r="HD52" s="366">
        <v>478.82</v>
      </c>
      <c r="HE52" s="366">
        <v>289.05</v>
      </c>
      <c r="HF52" s="366">
        <v>245.34</v>
      </c>
      <c r="HG52" s="366">
        <v>330.3</v>
      </c>
      <c r="HH52" s="366">
        <v>330.3</v>
      </c>
      <c r="HI52" s="366">
        <v>330.3</v>
      </c>
      <c r="HJ52" s="366">
        <v>247.58</v>
      </c>
      <c r="HK52" s="366">
        <v>348.92</v>
      </c>
      <c r="HL52" s="366">
        <v>343.05</v>
      </c>
      <c r="HM52" s="366">
        <v>479.08</v>
      </c>
      <c r="HN52" s="366">
        <v>481.8</v>
      </c>
      <c r="HO52" s="366">
        <v>803.27</v>
      </c>
      <c r="HP52" s="366">
        <v>235.3</v>
      </c>
      <c r="HQ52" s="366">
        <v>899.01</v>
      </c>
      <c r="HR52" s="366">
        <v>649.26</v>
      </c>
      <c r="HS52" s="366">
        <v>478.05</v>
      </c>
      <c r="HT52" s="366">
        <v>360.37</v>
      </c>
      <c r="HU52" s="366">
        <v>327.62</v>
      </c>
      <c r="HV52" s="366">
        <v>345.94</v>
      </c>
    </row>
    <row r="53" spans="1:230">
      <c r="A53" s="366" t="s">
        <v>75</v>
      </c>
      <c r="B53" s="366">
        <v>159.18</v>
      </c>
      <c r="C53" s="366">
        <v>726.52</v>
      </c>
      <c r="D53" s="366">
        <v>610.80999999999995</v>
      </c>
      <c r="E53" s="366">
        <v>610.80999999999995</v>
      </c>
      <c r="F53" s="366">
        <v>223.08</v>
      </c>
      <c r="G53" s="366">
        <v>193.22</v>
      </c>
      <c r="H53" s="366">
        <v>567.19000000000005</v>
      </c>
      <c r="I53" s="366">
        <v>350.3</v>
      </c>
      <c r="J53" s="366">
        <v>543.41</v>
      </c>
      <c r="K53" s="366">
        <v>543.41</v>
      </c>
      <c r="L53" s="366">
        <v>617.9</v>
      </c>
      <c r="M53" s="366">
        <v>751.94</v>
      </c>
      <c r="N53" s="366">
        <v>848.84</v>
      </c>
      <c r="O53" s="366">
        <v>601.95000000000005</v>
      </c>
      <c r="P53" s="366">
        <v>601.95000000000005</v>
      </c>
      <c r="Q53" s="366">
        <v>601.95000000000005</v>
      </c>
      <c r="R53" s="366">
        <v>601.95000000000005</v>
      </c>
      <c r="S53" s="366">
        <v>601.95000000000005</v>
      </c>
      <c r="T53" s="366">
        <v>275.8</v>
      </c>
      <c r="U53" s="366">
        <v>250.73</v>
      </c>
      <c r="V53" s="366">
        <v>691.34</v>
      </c>
      <c r="W53" s="366">
        <v>462.12</v>
      </c>
      <c r="X53" s="366">
        <v>462.12</v>
      </c>
      <c r="Y53" s="366">
        <v>462.12</v>
      </c>
      <c r="Z53" s="366">
        <v>729.08</v>
      </c>
      <c r="AA53" s="366">
        <v>199.05</v>
      </c>
      <c r="AB53" s="366">
        <v>245.13</v>
      </c>
      <c r="AC53" s="366">
        <v>213.6</v>
      </c>
      <c r="AD53" s="366">
        <v>213.6</v>
      </c>
      <c r="AE53" s="366">
        <v>576.39</v>
      </c>
      <c r="AF53" s="366">
        <v>218.62</v>
      </c>
      <c r="AG53" s="366">
        <v>463.64</v>
      </c>
      <c r="AH53" s="366">
        <v>396.35</v>
      </c>
      <c r="AI53" s="366">
        <v>396.35</v>
      </c>
      <c r="AJ53" s="366">
        <v>396.35</v>
      </c>
      <c r="AK53" s="366">
        <v>751.28</v>
      </c>
      <c r="AL53" s="366">
        <v>751.28</v>
      </c>
      <c r="AM53" s="366">
        <v>247.85</v>
      </c>
      <c r="AN53" s="366">
        <v>561.12</v>
      </c>
      <c r="AO53" s="366">
        <v>176.61</v>
      </c>
      <c r="AP53" s="366">
        <v>294.92</v>
      </c>
      <c r="AQ53" s="366">
        <v>179.62</v>
      </c>
      <c r="AR53" s="366">
        <v>583.15</v>
      </c>
      <c r="AS53" s="366">
        <v>542.45000000000005</v>
      </c>
      <c r="AT53" s="366">
        <v>542.45000000000005</v>
      </c>
      <c r="AU53" s="366">
        <v>606.20000000000005</v>
      </c>
      <c r="AV53" s="366">
        <v>221.04</v>
      </c>
      <c r="AW53" s="366">
        <v>505.95</v>
      </c>
      <c r="AX53" s="366">
        <v>337.96</v>
      </c>
      <c r="AY53" s="366">
        <v>884.55</v>
      </c>
      <c r="AZ53" s="366">
        <v>695.14</v>
      </c>
      <c r="BA53" s="366">
        <v>0</v>
      </c>
      <c r="BB53" s="366">
        <v>887.44</v>
      </c>
      <c r="BC53" s="366">
        <v>80.900000000000006</v>
      </c>
      <c r="BD53" s="366">
        <v>148.16999999999999</v>
      </c>
      <c r="BE53" s="366">
        <v>695.4</v>
      </c>
      <c r="BF53" s="366">
        <v>242.1</v>
      </c>
      <c r="BG53" s="366">
        <v>736.63</v>
      </c>
      <c r="BH53" s="366">
        <v>601.95000000000005</v>
      </c>
      <c r="BI53" s="366">
        <v>583.17999999999995</v>
      </c>
      <c r="BJ53" s="366">
        <v>674.75</v>
      </c>
      <c r="BK53" s="366">
        <v>762.92</v>
      </c>
      <c r="BL53" s="366">
        <v>617.80999999999995</v>
      </c>
      <c r="BM53" s="366">
        <v>594.6</v>
      </c>
      <c r="BN53" s="366">
        <v>239.24</v>
      </c>
      <c r="BO53" s="366">
        <v>805.12</v>
      </c>
      <c r="BP53" s="366">
        <v>770.98</v>
      </c>
      <c r="BQ53" s="366">
        <v>371</v>
      </c>
      <c r="BR53" s="366">
        <v>371</v>
      </c>
      <c r="BS53" s="366">
        <v>702.71</v>
      </c>
      <c r="BT53" s="366">
        <v>575.1</v>
      </c>
      <c r="BU53" s="366">
        <v>235.56</v>
      </c>
      <c r="BV53" s="366">
        <v>245.25</v>
      </c>
      <c r="BW53" s="366">
        <v>665.49</v>
      </c>
      <c r="BX53" s="366">
        <v>643.79999999999995</v>
      </c>
      <c r="BY53" s="366">
        <v>718.82</v>
      </c>
      <c r="BZ53" s="366">
        <v>718.82</v>
      </c>
      <c r="CA53" s="366">
        <v>467.15</v>
      </c>
      <c r="CB53" s="366">
        <v>662.23</v>
      </c>
      <c r="CC53" s="366">
        <v>366.79</v>
      </c>
      <c r="CD53" s="366">
        <v>380.27</v>
      </c>
      <c r="CE53" s="366">
        <v>746.15</v>
      </c>
      <c r="CF53" s="366">
        <v>217.35</v>
      </c>
      <c r="CG53" s="366">
        <v>217.35</v>
      </c>
      <c r="CH53" s="366">
        <v>356</v>
      </c>
      <c r="CI53" s="366">
        <v>475.15</v>
      </c>
      <c r="CJ53" s="366">
        <v>228.3</v>
      </c>
      <c r="CK53" s="366">
        <v>723.91</v>
      </c>
      <c r="CL53" s="366">
        <v>619.99</v>
      </c>
      <c r="CM53" s="366">
        <v>111.66</v>
      </c>
      <c r="CN53" s="366">
        <v>624.12</v>
      </c>
      <c r="CO53" s="366">
        <v>581.76</v>
      </c>
      <c r="CP53" s="366">
        <v>377.69</v>
      </c>
      <c r="CQ53" s="366">
        <v>377.69</v>
      </c>
      <c r="CR53" s="366">
        <v>533.08000000000004</v>
      </c>
      <c r="CS53" s="366">
        <v>533.08000000000004</v>
      </c>
      <c r="CT53" s="366">
        <v>523.64</v>
      </c>
      <c r="CU53" s="366">
        <v>531.51</v>
      </c>
      <c r="CV53" s="366">
        <v>525.46</v>
      </c>
      <c r="CW53" s="366">
        <v>691.34</v>
      </c>
      <c r="CX53" s="366">
        <v>354.5</v>
      </c>
      <c r="CY53" s="366">
        <v>73.599999999999994</v>
      </c>
      <c r="CZ53" s="366">
        <v>94.84</v>
      </c>
      <c r="DA53" s="366">
        <v>786.89</v>
      </c>
      <c r="DB53" s="366">
        <v>670.73</v>
      </c>
      <c r="DC53" s="366">
        <v>670.73</v>
      </c>
      <c r="DD53" s="366">
        <v>385.46</v>
      </c>
      <c r="DE53" s="366">
        <v>864.52</v>
      </c>
      <c r="DF53" s="366">
        <v>207.54</v>
      </c>
      <c r="DG53" s="366">
        <v>445.5</v>
      </c>
      <c r="DH53" s="366">
        <v>927.08</v>
      </c>
      <c r="DI53" s="366">
        <v>314.93</v>
      </c>
      <c r="DJ53" s="366">
        <v>111.04</v>
      </c>
      <c r="DK53" s="366">
        <v>606.22</v>
      </c>
      <c r="DL53" s="366">
        <v>231.23</v>
      </c>
      <c r="DM53" s="366">
        <v>714.1</v>
      </c>
      <c r="DN53" s="366">
        <v>301.95999999999998</v>
      </c>
      <c r="DO53" s="366">
        <v>632.79</v>
      </c>
      <c r="DP53" s="366">
        <v>410.97</v>
      </c>
      <c r="DQ53" s="366">
        <v>676.83</v>
      </c>
      <c r="DR53" s="366">
        <v>927.08</v>
      </c>
      <c r="DS53" s="366">
        <v>582.66</v>
      </c>
      <c r="DT53" s="366">
        <v>570.95000000000005</v>
      </c>
      <c r="DU53" s="366">
        <v>817.23</v>
      </c>
      <c r="DV53" s="366">
        <v>754.92</v>
      </c>
      <c r="DW53" s="366">
        <v>558.87</v>
      </c>
      <c r="DX53" s="366">
        <v>651.80999999999995</v>
      </c>
      <c r="DY53" s="366">
        <v>725.2</v>
      </c>
      <c r="DZ53" s="366">
        <v>374.48</v>
      </c>
      <c r="EA53" s="366">
        <v>565.42999999999995</v>
      </c>
      <c r="EB53" s="366">
        <v>719.2</v>
      </c>
      <c r="EC53" s="366">
        <v>585.37</v>
      </c>
      <c r="ED53" s="366">
        <v>285.16000000000003</v>
      </c>
      <c r="EE53" s="366">
        <v>275.27999999999997</v>
      </c>
      <c r="EF53" s="366">
        <v>301.2</v>
      </c>
      <c r="EG53" s="366">
        <v>505.95</v>
      </c>
      <c r="EH53" s="366">
        <v>505.95</v>
      </c>
      <c r="EI53" s="366">
        <v>380.74</v>
      </c>
      <c r="EJ53" s="366">
        <v>915.14</v>
      </c>
      <c r="EK53" s="366">
        <v>527.83000000000004</v>
      </c>
      <c r="EL53" s="366">
        <v>527.83000000000004</v>
      </c>
      <c r="EM53" s="366">
        <v>621.94000000000005</v>
      </c>
      <c r="EN53" s="366">
        <v>621.94000000000005</v>
      </c>
      <c r="EO53" s="366">
        <v>247.85</v>
      </c>
      <c r="EP53" s="366">
        <v>298.74</v>
      </c>
      <c r="EQ53" s="366">
        <v>514.15</v>
      </c>
      <c r="ER53" s="366">
        <v>282.95999999999998</v>
      </c>
      <c r="ES53" s="366">
        <v>726.42</v>
      </c>
      <c r="ET53" s="366">
        <v>353.03</v>
      </c>
      <c r="EU53" s="366">
        <v>159.18</v>
      </c>
      <c r="EV53" s="366">
        <v>462.12</v>
      </c>
      <c r="EW53" s="366">
        <v>380.12</v>
      </c>
      <c r="EX53" s="366">
        <v>703.16</v>
      </c>
      <c r="EY53" s="366">
        <v>703.16</v>
      </c>
      <c r="EZ53" s="366">
        <v>666.48</v>
      </c>
      <c r="FA53" s="366">
        <v>619.11</v>
      </c>
      <c r="FB53" s="366">
        <v>590.52</v>
      </c>
      <c r="FC53" s="366">
        <v>671.95</v>
      </c>
      <c r="FD53" s="366">
        <v>527.14</v>
      </c>
      <c r="FE53" s="366">
        <v>384.57</v>
      </c>
      <c r="FF53" s="366">
        <v>462.69</v>
      </c>
      <c r="FG53" s="366">
        <v>129.88</v>
      </c>
      <c r="FH53" s="366">
        <v>129.88</v>
      </c>
      <c r="FI53" s="366">
        <v>442.99</v>
      </c>
      <c r="FJ53" s="366">
        <v>448.78</v>
      </c>
      <c r="FK53" s="366">
        <v>754.16</v>
      </c>
      <c r="FL53" s="366">
        <v>752.35</v>
      </c>
      <c r="FM53" s="366">
        <v>247.85</v>
      </c>
      <c r="FN53" s="366">
        <v>492.87</v>
      </c>
      <c r="FO53" s="366">
        <v>573.79999999999995</v>
      </c>
      <c r="FP53" s="366">
        <v>704.3</v>
      </c>
      <c r="FQ53" s="366">
        <v>577.66999999999996</v>
      </c>
      <c r="FR53" s="366">
        <v>635.24</v>
      </c>
      <c r="FS53" s="366">
        <v>463.4</v>
      </c>
      <c r="FT53" s="366">
        <v>126.2</v>
      </c>
      <c r="FU53" s="366">
        <v>487.54</v>
      </c>
      <c r="FV53" s="366">
        <v>223.08</v>
      </c>
      <c r="FW53" s="366">
        <v>223.08</v>
      </c>
      <c r="FX53" s="366">
        <v>223.08</v>
      </c>
      <c r="FY53" s="366">
        <v>568.25</v>
      </c>
      <c r="FZ53" s="366">
        <v>407.44</v>
      </c>
      <c r="GA53" s="366">
        <v>695.4</v>
      </c>
      <c r="GB53" s="366">
        <v>501.87</v>
      </c>
      <c r="GC53" s="366">
        <v>285.16000000000003</v>
      </c>
      <c r="GD53" s="366">
        <v>625.9</v>
      </c>
      <c r="GE53" s="366">
        <v>523.54</v>
      </c>
      <c r="GF53" s="366">
        <v>501.07</v>
      </c>
      <c r="GG53" s="366">
        <v>501.07</v>
      </c>
      <c r="GH53" s="366">
        <v>743.85</v>
      </c>
      <c r="GI53" s="366">
        <v>248.01</v>
      </c>
      <c r="GJ53" s="366">
        <v>247.85</v>
      </c>
      <c r="GK53" s="366">
        <v>750.71</v>
      </c>
      <c r="GL53" s="366">
        <v>394.41</v>
      </c>
      <c r="GM53" s="366">
        <v>394.41</v>
      </c>
      <c r="GN53" s="366">
        <v>394.41</v>
      </c>
      <c r="GO53" s="366">
        <v>255.74</v>
      </c>
      <c r="GP53" s="366">
        <v>700.81</v>
      </c>
      <c r="GQ53" s="366">
        <v>796.42</v>
      </c>
      <c r="GR53" s="366">
        <v>242.09</v>
      </c>
      <c r="GS53" s="366">
        <v>318.57</v>
      </c>
      <c r="GT53" s="366">
        <v>505.95</v>
      </c>
      <c r="GU53" s="366">
        <v>561.1</v>
      </c>
      <c r="GV53" s="366">
        <v>922.33</v>
      </c>
      <c r="GW53" s="366">
        <v>418.87</v>
      </c>
      <c r="GX53" s="366">
        <v>502.52</v>
      </c>
      <c r="GY53" s="366">
        <v>395.38</v>
      </c>
      <c r="GZ53" s="366">
        <v>526.86</v>
      </c>
      <c r="HA53" s="366">
        <v>579.21</v>
      </c>
      <c r="HB53" s="366">
        <v>579.21</v>
      </c>
      <c r="HC53" s="366">
        <v>579.21</v>
      </c>
      <c r="HD53" s="366">
        <v>338.19</v>
      </c>
      <c r="HE53" s="366">
        <v>615.79</v>
      </c>
      <c r="HF53" s="366">
        <v>572.08000000000004</v>
      </c>
      <c r="HG53" s="366">
        <v>699.73</v>
      </c>
      <c r="HH53" s="366">
        <v>699.73</v>
      </c>
      <c r="HI53" s="366">
        <v>699.73</v>
      </c>
      <c r="HJ53" s="366">
        <v>480.2</v>
      </c>
      <c r="HK53" s="366">
        <v>432.57</v>
      </c>
      <c r="HL53" s="366">
        <v>635.33000000000004</v>
      </c>
      <c r="HM53" s="366">
        <v>245.13</v>
      </c>
      <c r="HN53" s="366">
        <v>247.85</v>
      </c>
      <c r="HO53" s="366">
        <v>192.38</v>
      </c>
      <c r="HP53" s="366">
        <v>527.58000000000004</v>
      </c>
      <c r="HQ53" s="366">
        <v>223.08</v>
      </c>
      <c r="HR53" s="366">
        <v>218.62</v>
      </c>
      <c r="HS53" s="366">
        <v>244.1</v>
      </c>
      <c r="HT53" s="366">
        <v>347.8</v>
      </c>
      <c r="HU53" s="366">
        <v>374.48</v>
      </c>
      <c r="HV53" s="366">
        <v>398.95</v>
      </c>
    </row>
    <row r="54" spans="1:230">
      <c r="A54" s="366" t="s">
        <v>76</v>
      </c>
      <c r="B54" s="366">
        <v>1027.4100000000001</v>
      </c>
      <c r="C54" s="366">
        <v>160.91999999999999</v>
      </c>
      <c r="D54" s="366">
        <v>357.01</v>
      </c>
      <c r="E54" s="366">
        <v>357.01</v>
      </c>
      <c r="F54" s="366">
        <v>1091.31</v>
      </c>
      <c r="G54" s="366">
        <v>827.82</v>
      </c>
      <c r="H54" s="366">
        <v>400.63</v>
      </c>
      <c r="I54" s="366">
        <v>537.14</v>
      </c>
      <c r="J54" s="366">
        <v>424.41</v>
      </c>
      <c r="K54" s="366">
        <v>424.41</v>
      </c>
      <c r="L54" s="366">
        <v>339.1</v>
      </c>
      <c r="M54" s="366">
        <v>186.54</v>
      </c>
      <c r="N54" s="366">
        <v>38.6</v>
      </c>
      <c r="O54" s="366">
        <v>501.97</v>
      </c>
      <c r="P54" s="366">
        <v>501.97</v>
      </c>
      <c r="Q54" s="366">
        <v>501.97</v>
      </c>
      <c r="R54" s="366">
        <v>501.97</v>
      </c>
      <c r="S54" s="366">
        <v>501.97</v>
      </c>
      <c r="T54" s="366">
        <v>611.64</v>
      </c>
      <c r="U54" s="366">
        <v>935.86</v>
      </c>
      <c r="V54" s="366">
        <v>510.31</v>
      </c>
      <c r="W54" s="366">
        <v>638</v>
      </c>
      <c r="X54" s="366">
        <v>638</v>
      </c>
      <c r="Y54" s="366">
        <v>638</v>
      </c>
      <c r="Z54" s="366">
        <v>223.44</v>
      </c>
      <c r="AA54" s="366">
        <v>821.99</v>
      </c>
      <c r="AB54" s="366">
        <v>671.38</v>
      </c>
      <c r="AC54" s="366">
        <v>673.84</v>
      </c>
      <c r="AD54" s="366">
        <v>673.84</v>
      </c>
      <c r="AE54" s="366">
        <v>407.91</v>
      </c>
      <c r="AF54" s="366">
        <v>841.56</v>
      </c>
      <c r="AG54" s="366">
        <v>639.52</v>
      </c>
      <c r="AH54" s="366">
        <v>491.09</v>
      </c>
      <c r="AI54" s="366">
        <v>491.09</v>
      </c>
      <c r="AJ54" s="366">
        <v>491.09</v>
      </c>
      <c r="AK54" s="366">
        <v>206.2</v>
      </c>
      <c r="AL54" s="366">
        <v>206.2</v>
      </c>
      <c r="AM54" s="366">
        <v>674.1</v>
      </c>
      <c r="AN54" s="366">
        <v>461.14</v>
      </c>
      <c r="AO54" s="366">
        <v>844.43</v>
      </c>
      <c r="AP54" s="366">
        <v>600.36</v>
      </c>
      <c r="AQ54" s="366">
        <v>1047.8499999999999</v>
      </c>
      <c r="AR54" s="366">
        <v>487.18</v>
      </c>
      <c r="AS54" s="366">
        <v>344.99</v>
      </c>
      <c r="AT54" s="366">
        <v>344.99</v>
      </c>
      <c r="AU54" s="366">
        <v>425.17</v>
      </c>
      <c r="AV54" s="366">
        <v>966.91</v>
      </c>
      <c r="AW54" s="366">
        <v>468.73</v>
      </c>
      <c r="AX54" s="366">
        <v>557.74</v>
      </c>
      <c r="AY54" s="366">
        <v>4.05</v>
      </c>
      <c r="AZ54" s="366">
        <v>210.1</v>
      </c>
      <c r="BA54" s="366">
        <v>887.44</v>
      </c>
      <c r="BB54" s="366">
        <v>0</v>
      </c>
      <c r="BC54" s="366">
        <v>829.5</v>
      </c>
      <c r="BD54" s="366">
        <v>739.27</v>
      </c>
      <c r="BE54" s="366">
        <v>514.37</v>
      </c>
      <c r="BF54" s="366">
        <v>668.35</v>
      </c>
      <c r="BG54" s="366">
        <v>219.96</v>
      </c>
      <c r="BH54" s="366">
        <v>501.97</v>
      </c>
      <c r="BI54" s="366">
        <v>487.21</v>
      </c>
      <c r="BJ54" s="366">
        <v>312.73</v>
      </c>
      <c r="BK54" s="366">
        <v>354.56</v>
      </c>
      <c r="BL54" s="366">
        <v>364.01</v>
      </c>
      <c r="BM54" s="366">
        <v>373.22</v>
      </c>
      <c r="BN54" s="366">
        <v>862.18</v>
      </c>
      <c r="BO54" s="366">
        <v>396.76</v>
      </c>
      <c r="BP54" s="366">
        <v>362.62</v>
      </c>
      <c r="BQ54" s="366">
        <v>516.44000000000005</v>
      </c>
      <c r="BR54" s="366">
        <v>516.44000000000005</v>
      </c>
      <c r="BS54" s="366">
        <v>184.73</v>
      </c>
      <c r="BT54" s="366">
        <v>471.64</v>
      </c>
      <c r="BU54" s="366">
        <v>651.88</v>
      </c>
      <c r="BV54" s="366">
        <v>671.5</v>
      </c>
      <c r="BW54" s="366">
        <v>484.46</v>
      </c>
      <c r="BX54" s="366">
        <v>243.64</v>
      </c>
      <c r="BY54" s="366">
        <v>537.79</v>
      </c>
      <c r="BZ54" s="366">
        <v>537.79</v>
      </c>
      <c r="CA54" s="366">
        <v>500.67</v>
      </c>
      <c r="CB54" s="366">
        <v>253.87</v>
      </c>
      <c r="CC54" s="366">
        <v>528.91</v>
      </c>
      <c r="CD54" s="366">
        <v>531.30999999999995</v>
      </c>
      <c r="CE54" s="366">
        <v>337.79</v>
      </c>
      <c r="CF54" s="366">
        <v>840.29</v>
      </c>
      <c r="CG54" s="366">
        <v>840.29</v>
      </c>
      <c r="CH54" s="366">
        <v>531.44000000000005</v>
      </c>
      <c r="CI54" s="366">
        <v>444.93</v>
      </c>
      <c r="CJ54" s="366">
        <v>851.24</v>
      </c>
      <c r="CK54" s="366">
        <v>542.88</v>
      </c>
      <c r="CL54" s="366">
        <v>438.96</v>
      </c>
      <c r="CM54" s="366">
        <v>775.78</v>
      </c>
      <c r="CN54" s="366">
        <v>328.4</v>
      </c>
      <c r="CO54" s="366">
        <v>485.79</v>
      </c>
      <c r="CP54" s="366">
        <v>509.75</v>
      </c>
      <c r="CQ54" s="366">
        <v>509.75</v>
      </c>
      <c r="CR54" s="366">
        <v>438.19</v>
      </c>
      <c r="CS54" s="366">
        <v>438.19</v>
      </c>
      <c r="CT54" s="366">
        <v>447.63</v>
      </c>
      <c r="CU54" s="366">
        <v>439.76</v>
      </c>
      <c r="CV54" s="366">
        <v>442.36</v>
      </c>
      <c r="CW54" s="366">
        <v>510.31</v>
      </c>
      <c r="CX54" s="366">
        <v>547.98</v>
      </c>
      <c r="CY54" s="366">
        <v>822.2</v>
      </c>
      <c r="CZ54" s="366">
        <v>843.44</v>
      </c>
      <c r="DA54" s="366">
        <v>100.55</v>
      </c>
      <c r="DB54" s="366">
        <v>284.32</v>
      </c>
      <c r="DC54" s="366">
        <v>284.32</v>
      </c>
      <c r="DD54" s="366">
        <v>625.16</v>
      </c>
      <c r="DE54" s="366">
        <v>22.92</v>
      </c>
      <c r="DF54" s="366">
        <v>1075.77</v>
      </c>
      <c r="DG54" s="366">
        <v>474.58</v>
      </c>
      <c r="DH54" s="366">
        <v>39.64</v>
      </c>
      <c r="DI54" s="366">
        <v>706.11</v>
      </c>
      <c r="DJ54" s="366">
        <v>859.64</v>
      </c>
      <c r="DK54" s="366">
        <v>281.22000000000003</v>
      </c>
      <c r="DL54" s="366">
        <v>657.88</v>
      </c>
      <c r="DM54" s="366">
        <v>173.34</v>
      </c>
      <c r="DN54" s="366">
        <v>720.87</v>
      </c>
      <c r="DO54" s="366">
        <v>259.22000000000003</v>
      </c>
      <c r="DP54" s="366">
        <v>586.85</v>
      </c>
      <c r="DQ54" s="366">
        <v>495.8</v>
      </c>
      <c r="DR54" s="366">
        <v>39.64</v>
      </c>
      <c r="DS54" s="366">
        <v>463.66</v>
      </c>
      <c r="DT54" s="366">
        <v>451.95</v>
      </c>
      <c r="DU54" s="366">
        <v>130.88999999999999</v>
      </c>
      <c r="DV54" s="366">
        <v>197.6</v>
      </c>
      <c r="DW54" s="366">
        <v>328.57</v>
      </c>
      <c r="DX54" s="366">
        <v>470.78</v>
      </c>
      <c r="DY54" s="366">
        <v>544.16999999999996</v>
      </c>
      <c r="DZ54" s="366">
        <v>634.83000000000004</v>
      </c>
      <c r="EA54" s="366">
        <v>469.46</v>
      </c>
      <c r="EB54" s="366">
        <v>538.16999999999996</v>
      </c>
      <c r="EC54" s="366">
        <v>382.45</v>
      </c>
      <c r="ED54" s="366">
        <v>735.88</v>
      </c>
      <c r="EE54" s="366">
        <v>746.67</v>
      </c>
      <c r="EF54" s="366">
        <v>594.08000000000004</v>
      </c>
      <c r="EG54" s="366">
        <v>468.73</v>
      </c>
      <c r="EH54" s="366">
        <v>468.73</v>
      </c>
      <c r="EI54" s="366">
        <v>514.96</v>
      </c>
      <c r="EJ54" s="366">
        <v>506.78</v>
      </c>
      <c r="EK54" s="366">
        <v>393.39</v>
      </c>
      <c r="EL54" s="366">
        <v>393.39</v>
      </c>
      <c r="EM54" s="366">
        <v>390.44</v>
      </c>
      <c r="EN54" s="366">
        <v>390.44</v>
      </c>
      <c r="EO54" s="366">
        <v>674.1</v>
      </c>
      <c r="EP54" s="366">
        <v>596.96</v>
      </c>
      <c r="EQ54" s="366">
        <v>457.12</v>
      </c>
      <c r="ER54" s="366">
        <v>905.9</v>
      </c>
      <c r="ES54" s="366">
        <v>161.02000000000001</v>
      </c>
      <c r="ET54" s="366">
        <v>534.41</v>
      </c>
      <c r="EU54" s="366">
        <v>1027.4100000000001</v>
      </c>
      <c r="EV54" s="366">
        <v>638</v>
      </c>
      <c r="EW54" s="366">
        <v>515.88</v>
      </c>
      <c r="EX54" s="366">
        <v>294.8</v>
      </c>
      <c r="EY54" s="366">
        <v>294.8</v>
      </c>
      <c r="EZ54" s="366">
        <v>492.72</v>
      </c>
      <c r="FA54" s="366">
        <v>412.26</v>
      </c>
      <c r="FB54" s="366">
        <v>296.92</v>
      </c>
      <c r="FC54" s="366">
        <v>490.92</v>
      </c>
      <c r="FD54" s="366">
        <v>427.16</v>
      </c>
      <c r="FE54" s="366">
        <v>518.79</v>
      </c>
      <c r="FF54" s="366">
        <v>493.97</v>
      </c>
      <c r="FG54" s="366">
        <v>878.48</v>
      </c>
      <c r="FH54" s="366">
        <v>878.48</v>
      </c>
      <c r="FI54" s="366">
        <v>618.87</v>
      </c>
      <c r="FJ54" s="366">
        <v>624.66</v>
      </c>
      <c r="FK54" s="366">
        <v>188.76</v>
      </c>
      <c r="FL54" s="366">
        <v>186.95</v>
      </c>
      <c r="FM54" s="366">
        <v>674.1</v>
      </c>
      <c r="FN54" s="366">
        <v>668.75</v>
      </c>
      <c r="FO54" s="366">
        <v>477.83</v>
      </c>
      <c r="FP54" s="366">
        <v>523.27</v>
      </c>
      <c r="FQ54" s="366">
        <v>481.7</v>
      </c>
      <c r="FR54" s="366">
        <v>356.44</v>
      </c>
      <c r="FS54" s="366">
        <v>424.04</v>
      </c>
      <c r="FT54" s="366">
        <v>874.8</v>
      </c>
      <c r="FU54" s="366">
        <v>432.54</v>
      </c>
      <c r="FV54" s="366">
        <v>1091.31</v>
      </c>
      <c r="FW54" s="366">
        <v>1091.31</v>
      </c>
      <c r="FX54" s="366">
        <v>1091.31</v>
      </c>
      <c r="FY54" s="366">
        <v>420.51</v>
      </c>
      <c r="FZ54" s="366">
        <v>508.7</v>
      </c>
      <c r="GA54" s="366">
        <v>514.37</v>
      </c>
      <c r="GB54" s="366">
        <v>462.51</v>
      </c>
      <c r="GC54" s="366">
        <v>735.88</v>
      </c>
      <c r="GD54" s="366">
        <v>261.54000000000002</v>
      </c>
      <c r="GE54" s="366">
        <v>447.73</v>
      </c>
      <c r="GF54" s="366">
        <v>419.01</v>
      </c>
      <c r="GG54" s="366">
        <v>419.01</v>
      </c>
      <c r="GH54" s="366">
        <v>562.82000000000005</v>
      </c>
      <c r="GI54" s="366">
        <v>674.26</v>
      </c>
      <c r="GJ54" s="366">
        <v>674.1</v>
      </c>
      <c r="GK54" s="366">
        <v>185.31</v>
      </c>
      <c r="GL54" s="366">
        <v>501.29</v>
      </c>
      <c r="GM54" s="366">
        <v>501.29</v>
      </c>
      <c r="GN54" s="366">
        <v>501.29</v>
      </c>
      <c r="GO54" s="366">
        <v>639.54</v>
      </c>
      <c r="GP54" s="366">
        <v>519.78</v>
      </c>
      <c r="GQ54" s="366">
        <v>388.06</v>
      </c>
      <c r="GR54" s="366">
        <v>702.33</v>
      </c>
      <c r="GS54" s="366">
        <v>568.87</v>
      </c>
      <c r="GT54" s="366">
        <v>468.73</v>
      </c>
      <c r="GU54" s="366">
        <v>426.08</v>
      </c>
      <c r="GV54" s="366">
        <v>513.97</v>
      </c>
      <c r="GW54" s="366">
        <v>477.27</v>
      </c>
      <c r="GX54" s="366">
        <v>465.3</v>
      </c>
      <c r="GY54" s="366">
        <v>492.06</v>
      </c>
      <c r="GZ54" s="366">
        <v>426.88</v>
      </c>
      <c r="HA54" s="366">
        <v>483.24</v>
      </c>
      <c r="HB54" s="366">
        <v>483.24</v>
      </c>
      <c r="HC54" s="366">
        <v>483.24</v>
      </c>
      <c r="HD54" s="366">
        <v>671.12</v>
      </c>
      <c r="HE54" s="366">
        <v>384.29</v>
      </c>
      <c r="HF54" s="366">
        <v>381.16</v>
      </c>
      <c r="HG54" s="366">
        <v>321.3</v>
      </c>
      <c r="HH54" s="366">
        <v>321.3</v>
      </c>
      <c r="HI54" s="366">
        <v>321.3</v>
      </c>
      <c r="HJ54" s="366">
        <v>439.88</v>
      </c>
      <c r="HK54" s="366">
        <v>541.22</v>
      </c>
      <c r="HL54" s="366">
        <v>535.35</v>
      </c>
      <c r="HM54" s="366">
        <v>671.38</v>
      </c>
      <c r="HN54" s="366">
        <v>674.1</v>
      </c>
      <c r="HO54" s="366">
        <v>995.57</v>
      </c>
      <c r="HP54" s="366">
        <v>427.6</v>
      </c>
      <c r="HQ54" s="366">
        <v>1091.31</v>
      </c>
      <c r="HR54" s="366">
        <v>841.56</v>
      </c>
      <c r="HS54" s="366">
        <v>670.35</v>
      </c>
      <c r="HT54" s="366">
        <v>552.66999999999996</v>
      </c>
      <c r="HU54" s="366">
        <v>519.91999999999996</v>
      </c>
      <c r="HV54" s="366">
        <v>538.24</v>
      </c>
    </row>
    <row r="55" spans="1:230">
      <c r="A55" s="366" t="s">
        <v>77</v>
      </c>
      <c r="B55" s="366">
        <v>240.08</v>
      </c>
      <c r="C55" s="366">
        <v>668.58</v>
      </c>
      <c r="D55" s="366">
        <v>552.87</v>
      </c>
      <c r="E55" s="366">
        <v>552.87</v>
      </c>
      <c r="F55" s="366">
        <v>303.98</v>
      </c>
      <c r="G55" s="366">
        <v>112.32</v>
      </c>
      <c r="H55" s="366">
        <v>509.25</v>
      </c>
      <c r="I55" s="366">
        <v>292.36</v>
      </c>
      <c r="J55" s="366">
        <v>485.47</v>
      </c>
      <c r="K55" s="366">
        <v>485.47</v>
      </c>
      <c r="L55" s="366">
        <v>559.96</v>
      </c>
      <c r="M55" s="366">
        <v>694</v>
      </c>
      <c r="N55" s="366">
        <v>790.9</v>
      </c>
      <c r="O55" s="366">
        <v>544.01</v>
      </c>
      <c r="P55" s="366">
        <v>544.01</v>
      </c>
      <c r="Q55" s="366">
        <v>544.01</v>
      </c>
      <c r="R55" s="366">
        <v>544.01</v>
      </c>
      <c r="S55" s="366">
        <v>544.01</v>
      </c>
      <c r="T55" s="366">
        <v>217.86</v>
      </c>
      <c r="U55" s="366">
        <v>232.02</v>
      </c>
      <c r="V55" s="366">
        <v>633.4</v>
      </c>
      <c r="W55" s="366">
        <v>404.18</v>
      </c>
      <c r="X55" s="366">
        <v>404.18</v>
      </c>
      <c r="Y55" s="366">
        <v>404.18</v>
      </c>
      <c r="Z55" s="366">
        <v>671.14</v>
      </c>
      <c r="AA55" s="366">
        <v>118.15</v>
      </c>
      <c r="AB55" s="366">
        <v>187.19</v>
      </c>
      <c r="AC55" s="366">
        <v>155.66</v>
      </c>
      <c r="AD55" s="366">
        <v>155.66</v>
      </c>
      <c r="AE55" s="366">
        <v>518.45000000000005</v>
      </c>
      <c r="AF55" s="366">
        <v>137.72</v>
      </c>
      <c r="AG55" s="366">
        <v>405.7</v>
      </c>
      <c r="AH55" s="366">
        <v>338.41</v>
      </c>
      <c r="AI55" s="366">
        <v>338.41</v>
      </c>
      <c r="AJ55" s="366">
        <v>338.41</v>
      </c>
      <c r="AK55" s="366">
        <v>693.34</v>
      </c>
      <c r="AL55" s="366">
        <v>693.34</v>
      </c>
      <c r="AM55" s="366">
        <v>189.91</v>
      </c>
      <c r="AN55" s="366">
        <v>503.18</v>
      </c>
      <c r="AO55" s="366">
        <v>95.71</v>
      </c>
      <c r="AP55" s="366">
        <v>236.98</v>
      </c>
      <c r="AQ55" s="366">
        <v>260.52</v>
      </c>
      <c r="AR55" s="366">
        <v>525.21</v>
      </c>
      <c r="AS55" s="366">
        <v>484.51</v>
      </c>
      <c r="AT55" s="366">
        <v>484.51</v>
      </c>
      <c r="AU55" s="366">
        <v>548.26</v>
      </c>
      <c r="AV55" s="366">
        <v>263.07</v>
      </c>
      <c r="AW55" s="366">
        <v>448.01</v>
      </c>
      <c r="AX55" s="366">
        <v>280.02</v>
      </c>
      <c r="AY55" s="366">
        <v>826.61</v>
      </c>
      <c r="AZ55" s="366">
        <v>637.20000000000005</v>
      </c>
      <c r="BA55" s="366">
        <v>80.900000000000006</v>
      </c>
      <c r="BB55" s="366">
        <v>829.5</v>
      </c>
      <c r="BC55" s="366">
        <v>0</v>
      </c>
      <c r="BD55" s="366">
        <v>90.23</v>
      </c>
      <c r="BE55" s="366">
        <v>637.46</v>
      </c>
      <c r="BF55" s="366">
        <v>184.16</v>
      </c>
      <c r="BG55" s="366">
        <v>678.69</v>
      </c>
      <c r="BH55" s="366">
        <v>544.01</v>
      </c>
      <c r="BI55" s="366">
        <v>525.24</v>
      </c>
      <c r="BJ55" s="366">
        <v>616.80999999999995</v>
      </c>
      <c r="BK55" s="366">
        <v>704.98</v>
      </c>
      <c r="BL55" s="366">
        <v>559.87</v>
      </c>
      <c r="BM55" s="366">
        <v>536.66</v>
      </c>
      <c r="BN55" s="366">
        <v>158.34</v>
      </c>
      <c r="BO55" s="366">
        <v>747.18</v>
      </c>
      <c r="BP55" s="366">
        <v>713.04</v>
      </c>
      <c r="BQ55" s="366">
        <v>313.06</v>
      </c>
      <c r="BR55" s="366">
        <v>313.06</v>
      </c>
      <c r="BS55" s="366">
        <v>644.77</v>
      </c>
      <c r="BT55" s="366">
        <v>517.16</v>
      </c>
      <c r="BU55" s="366">
        <v>177.62</v>
      </c>
      <c r="BV55" s="366">
        <v>187.31</v>
      </c>
      <c r="BW55" s="366">
        <v>607.54999999999995</v>
      </c>
      <c r="BX55" s="366">
        <v>585.86</v>
      </c>
      <c r="BY55" s="366">
        <v>660.88</v>
      </c>
      <c r="BZ55" s="366">
        <v>660.88</v>
      </c>
      <c r="CA55" s="366">
        <v>409.21</v>
      </c>
      <c r="CB55" s="366">
        <v>604.29</v>
      </c>
      <c r="CC55" s="366">
        <v>308.85000000000002</v>
      </c>
      <c r="CD55" s="366">
        <v>322.33</v>
      </c>
      <c r="CE55" s="366">
        <v>688.21</v>
      </c>
      <c r="CF55" s="366">
        <v>136.44999999999999</v>
      </c>
      <c r="CG55" s="366">
        <v>136.44999999999999</v>
      </c>
      <c r="CH55" s="366">
        <v>298.06</v>
      </c>
      <c r="CI55" s="366">
        <v>417.21</v>
      </c>
      <c r="CJ55" s="366">
        <v>147.4</v>
      </c>
      <c r="CK55" s="366">
        <v>665.97</v>
      </c>
      <c r="CL55" s="366">
        <v>562.04999999999995</v>
      </c>
      <c r="CM55" s="366">
        <v>53.72</v>
      </c>
      <c r="CN55" s="366">
        <v>566.17999999999995</v>
      </c>
      <c r="CO55" s="366">
        <v>523.82000000000005</v>
      </c>
      <c r="CP55" s="366">
        <v>319.75</v>
      </c>
      <c r="CQ55" s="366">
        <v>319.75</v>
      </c>
      <c r="CR55" s="366">
        <v>475.14</v>
      </c>
      <c r="CS55" s="366">
        <v>475.14</v>
      </c>
      <c r="CT55" s="366">
        <v>465.7</v>
      </c>
      <c r="CU55" s="366">
        <v>473.57</v>
      </c>
      <c r="CV55" s="366">
        <v>467.52</v>
      </c>
      <c r="CW55" s="366">
        <v>633.4</v>
      </c>
      <c r="CX55" s="366">
        <v>296.56</v>
      </c>
      <c r="CY55" s="366">
        <v>15.66</v>
      </c>
      <c r="CZ55" s="366">
        <v>13.94</v>
      </c>
      <c r="DA55" s="366">
        <v>728.95</v>
      </c>
      <c r="DB55" s="366">
        <v>612.79</v>
      </c>
      <c r="DC55" s="366">
        <v>612.79</v>
      </c>
      <c r="DD55" s="366">
        <v>316.29000000000002</v>
      </c>
      <c r="DE55" s="366">
        <v>806.58</v>
      </c>
      <c r="DF55" s="366">
        <v>288.44</v>
      </c>
      <c r="DG55" s="366">
        <v>387.56</v>
      </c>
      <c r="DH55" s="366">
        <v>869.14</v>
      </c>
      <c r="DI55" s="366">
        <v>234.03</v>
      </c>
      <c r="DJ55" s="366">
        <v>30.14</v>
      </c>
      <c r="DK55" s="366">
        <v>548.28</v>
      </c>
      <c r="DL55" s="366">
        <v>173.29</v>
      </c>
      <c r="DM55" s="366">
        <v>656.16</v>
      </c>
      <c r="DN55" s="366">
        <v>221.06</v>
      </c>
      <c r="DO55" s="366">
        <v>574.85</v>
      </c>
      <c r="DP55" s="366">
        <v>353.03</v>
      </c>
      <c r="DQ55" s="366">
        <v>618.89</v>
      </c>
      <c r="DR55" s="366">
        <v>869.14</v>
      </c>
      <c r="DS55" s="366">
        <v>524.72</v>
      </c>
      <c r="DT55" s="366">
        <v>513.01</v>
      </c>
      <c r="DU55" s="366">
        <v>759.29</v>
      </c>
      <c r="DV55" s="366">
        <v>696.98</v>
      </c>
      <c r="DW55" s="366">
        <v>500.93</v>
      </c>
      <c r="DX55" s="366">
        <v>593.87</v>
      </c>
      <c r="DY55" s="366">
        <v>667.26</v>
      </c>
      <c r="DZ55" s="366">
        <v>305.31</v>
      </c>
      <c r="EA55" s="366">
        <v>507.49</v>
      </c>
      <c r="EB55" s="366">
        <v>661.26</v>
      </c>
      <c r="EC55" s="366">
        <v>527.42999999999995</v>
      </c>
      <c r="ED55" s="366">
        <v>204.26</v>
      </c>
      <c r="EE55" s="366">
        <v>194.38</v>
      </c>
      <c r="EF55" s="366">
        <v>243.26</v>
      </c>
      <c r="EG55" s="366">
        <v>448.01</v>
      </c>
      <c r="EH55" s="366">
        <v>448.01</v>
      </c>
      <c r="EI55" s="366">
        <v>322.8</v>
      </c>
      <c r="EJ55" s="366">
        <v>857.2</v>
      </c>
      <c r="EK55" s="366">
        <v>469.89</v>
      </c>
      <c r="EL55" s="366">
        <v>469.89</v>
      </c>
      <c r="EM55" s="366">
        <v>564</v>
      </c>
      <c r="EN55" s="366">
        <v>564</v>
      </c>
      <c r="EO55" s="366">
        <v>189.91</v>
      </c>
      <c r="EP55" s="366">
        <v>240.8</v>
      </c>
      <c r="EQ55" s="366">
        <v>456.21</v>
      </c>
      <c r="ER55" s="366">
        <v>202.06</v>
      </c>
      <c r="ES55" s="366">
        <v>668.48</v>
      </c>
      <c r="ET55" s="366">
        <v>295.08999999999997</v>
      </c>
      <c r="EU55" s="366">
        <v>240.08</v>
      </c>
      <c r="EV55" s="366">
        <v>404.18</v>
      </c>
      <c r="EW55" s="366">
        <v>322.18</v>
      </c>
      <c r="EX55" s="366">
        <v>645.22</v>
      </c>
      <c r="EY55" s="366">
        <v>645.22</v>
      </c>
      <c r="EZ55" s="366">
        <v>608.54</v>
      </c>
      <c r="FA55" s="366">
        <v>561.16999999999996</v>
      </c>
      <c r="FB55" s="366">
        <v>532.58000000000004</v>
      </c>
      <c r="FC55" s="366">
        <v>614.01</v>
      </c>
      <c r="FD55" s="366">
        <v>469.2</v>
      </c>
      <c r="FE55" s="366">
        <v>326.63</v>
      </c>
      <c r="FF55" s="366">
        <v>404.75</v>
      </c>
      <c r="FG55" s="366">
        <v>71.94</v>
      </c>
      <c r="FH55" s="366">
        <v>71.94</v>
      </c>
      <c r="FI55" s="366">
        <v>385.05</v>
      </c>
      <c r="FJ55" s="366">
        <v>390.84</v>
      </c>
      <c r="FK55" s="366">
        <v>696.22</v>
      </c>
      <c r="FL55" s="366">
        <v>694.41</v>
      </c>
      <c r="FM55" s="366">
        <v>189.91</v>
      </c>
      <c r="FN55" s="366">
        <v>434.93</v>
      </c>
      <c r="FO55" s="366">
        <v>515.86</v>
      </c>
      <c r="FP55" s="366">
        <v>646.36</v>
      </c>
      <c r="FQ55" s="366">
        <v>519.73</v>
      </c>
      <c r="FR55" s="366">
        <v>577.29999999999995</v>
      </c>
      <c r="FS55" s="366">
        <v>405.46</v>
      </c>
      <c r="FT55" s="366">
        <v>45.3</v>
      </c>
      <c r="FU55" s="366">
        <v>429.6</v>
      </c>
      <c r="FV55" s="366">
        <v>303.98</v>
      </c>
      <c r="FW55" s="366">
        <v>303.98</v>
      </c>
      <c r="FX55" s="366">
        <v>303.98</v>
      </c>
      <c r="FY55" s="366">
        <v>510.31</v>
      </c>
      <c r="FZ55" s="366">
        <v>349.5</v>
      </c>
      <c r="GA55" s="366">
        <v>637.46</v>
      </c>
      <c r="GB55" s="366">
        <v>443.93</v>
      </c>
      <c r="GC55" s="366">
        <v>204.26</v>
      </c>
      <c r="GD55" s="366">
        <v>567.96</v>
      </c>
      <c r="GE55" s="366">
        <v>465.6</v>
      </c>
      <c r="GF55" s="366">
        <v>443.13</v>
      </c>
      <c r="GG55" s="366">
        <v>443.13</v>
      </c>
      <c r="GH55" s="366">
        <v>685.91</v>
      </c>
      <c r="GI55" s="366">
        <v>190.07</v>
      </c>
      <c r="GJ55" s="366">
        <v>189.91</v>
      </c>
      <c r="GK55" s="366">
        <v>692.77</v>
      </c>
      <c r="GL55" s="366">
        <v>336.47</v>
      </c>
      <c r="GM55" s="366">
        <v>336.47</v>
      </c>
      <c r="GN55" s="366">
        <v>336.47</v>
      </c>
      <c r="GO55" s="366">
        <v>197.8</v>
      </c>
      <c r="GP55" s="366">
        <v>642.87</v>
      </c>
      <c r="GQ55" s="366">
        <v>738.48</v>
      </c>
      <c r="GR55" s="366">
        <v>184.15</v>
      </c>
      <c r="GS55" s="366">
        <v>260.63</v>
      </c>
      <c r="GT55" s="366">
        <v>448.01</v>
      </c>
      <c r="GU55" s="366">
        <v>503.16</v>
      </c>
      <c r="GV55" s="366">
        <v>864.39</v>
      </c>
      <c r="GW55" s="366">
        <v>360.93</v>
      </c>
      <c r="GX55" s="366">
        <v>444.58</v>
      </c>
      <c r="GY55" s="366">
        <v>337.44</v>
      </c>
      <c r="GZ55" s="366">
        <v>468.92</v>
      </c>
      <c r="HA55" s="366">
        <v>521.27</v>
      </c>
      <c r="HB55" s="366">
        <v>521.27</v>
      </c>
      <c r="HC55" s="366">
        <v>521.27</v>
      </c>
      <c r="HD55" s="366">
        <v>269.02</v>
      </c>
      <c r="HE55" s="366">
        <v>557.85</v>
      </c>
      <c r="HF55" s="366">
        <v>514.14</v>
      </c>
      <c r="HG55" s="366">
        <v>641.79</v>
      </c>
      <c r="HH55" s="366">
        <v>641.79</v>
      </c>
      <c r="HI55" s="366">
        <v>641.79</v>
      </c>
      <c r="HJ55" s="366">
        <v>422.26</v>
      </c>
      <c r="HK55" s="366">
        <v>374.63</v>
      </c>
      <c r="HL55" s="366">
        <v>577.39</v>
      </c>
      <c r="HM55" s="366">
        <v>187.19</v>
      </c>
      <c r="HN55" s="366">
        <v>189.91</v>
      </c>
      <c r="HO55" s="366">
        <v>273.27999999999997</v>
      </c>
      <c r="HP55" s="366">
        <v>469.64</v>
      </c>
      <c r="HQ55" s="366">
        <v>303.98</v>
      </c>
      <c r="HR55" s="366">
        <v>137.72</v>
      </c>
      <c r="HS55" s="366">
        <v>186.16</v>
      </c>
      <c r="HT55" s="366">
        <v>289.86</v>
      </c>
      <c r="HU55" s="366">
        <v>316.54000000000002</v>
      </c>
      <c r="HV55" s="366">
        <v>341.01</v>
      </c>
    </row>
    <row r="56" spans="1:230">
      <c r="A56" s="366" t="s">
        <v>78</v>
      </c>
      <c r="B56" s="366">
        <v>307.35000000000002</v>
      </c>
      <c r="C56" s="366">
        <v>578.35</v>
      </c>
      <c r="D56" s="366">
        <v>462.64</v>
      </c>
      <c r="E56" s="366">
        <v>462.64</v>
      </c>
      <c r="F56" s="366">
        <v>371.25</v>
      </c>
      <c r="G56" s="366">
        <v>202.55</v>
      </c>
      <c r="H56" s="366">
        <v>419.02</v>
      </c>
      <c r="I56" s="366">
        <v>202.13</v>
      </c>
      <c r="J56" s="366">
        <v>395.24</v>
      </c>
      <c r="K56" s="366">
        <v>395.24</v>
      </c>
      <c r="L56" s="366">
        <v>469.73</v>
      </c>
      <c r="M56" s="366">
        <v>603.77</v>
      </c>
      <c r="N56" s="366">
        <v>700.67</v>
      </c>
      <c r="O56" s="366">
        <v>453.78</v>
      </c>
      <c r="P56" s="366">
        <v>453.78</v>
      </c>
      <c r="Q56" s="366">
        <v>453.78</v>
      </c>
      <c r="R56" s="366">
        <v>453.78</v>
      </c>
      <c r="S56" s="366">
        <v>453.78</v>
      </c>
      <c r="T56" s="366">
        <v>127.63</v>
      </c>
      <c r="U56" s="366">
        <v>322.25</v>
      </c>
      <c r="V56" s="366">
        <v>543.16999999999996</v>
      </c>
      <c r="W56" s="366">
        <v>313.95</v>
      </c>
      <c r="X56" s="366">
        <v>313.95</v>
      </c>
      <c r="Y56" s="366">
        <v>313.95</v>
      </c>
      <c r="Z56" s="366">
        <v>580.91</v>
      </c>
      <c r="AA56" s="366">
        <v>208.38</v>
      </c>
      <c r="AB56" s="366">
        <v>96.96</v>
      </c>
      <c r="AC56" s="366">
        <v>65.430000000000007</v>
      </c>
      <c r="AD56" s="366">
        <v>65.430000000000007</v>
      </c>
      <c r="AE56" s="366">
        <v>428.22</v>
      </c>
      <c r="AF56" s="366">
        <v>227.95</v>
      </c>
      <c r="AG56" s="366">
        <v>315.47000000000003</v>
      </c>
      <c r="AH56" s="366">
        <v>248.18</v>
      </c>
      <c r="AI56" s="366">
        <v>248.18</v>
      </c>
      <c r="AJ56" s="366">
        <v>248.18</v>
      </c>
      <c r="AK56" s="366">
        <v>603.11</v>
      </c>
      <c r="AL56" s="366">
        <v>603.11</v>
      </c>
      <c r="AM56" s="366">
        <v>99.68</v>
      </c>
      <c r="AN56" s="366">
        <v>412.95</v>
      </c>
      <c r="AO56" s="366">
        <v>185.94</v>
      </c>
      <c r="AP56" s="366">
        <v>146.75</v>
      </c>
      <c r="AQ56" s="366">
        <v>327.79</v>
      </c>
      <c r="AR56" s="366">
        <v>434.98</v>
      </c>
      <c r="AS56" s="366">
        <v>394.28</v>
      </c>
      <c r="AT56" s="366">
        <v>394.28</v>
      </c>
      <c r="AU56" s="366">
        <v>458.03</v>
      </c>
      <c r="AV56" s="366">
        <v>353.3</v>
      </c>
      <c r="AW56" s="366">
        <v>357.78</v>
      </c>
      <c r="AX56" s="366">
        <v>189.79</v>
      </c>
      <c r="AY56" s="366">
        <v>736.38</v>
      </c>
      <c r="AZ56" s="366">
        <v>546.97</v>
      </c>
      <c r="BA56" s="366">
        <v>148.16999999999999</v>
      </c>
      <c r="BB56" s="366">
        <v>739.27</v>
      </c>
      <c r="BC56" s="366">
        <v>90.23</v>
      </c>
      <c r="BD56" s="366">
        <v>0</v>
      </c>
      <c r="BE56" s="366">
        <v>547.23</v>
      </c>
      <c r="BF56" s="366">
        <v>93.93</v>
      </c>
      <c r="BG56" s="366">
        <v>588.46</v>
      </c>
      <c r="BH56" s="366">
        <v>453.78</v>
      </c>
      <c r="BI56" s="366">
        <v>435.01</v>
      </c>
      <c r="BJ56" s="366">
        <v>526.58000000000004</v>
      </c>
      <c r="BK56" s="366">
        <v>614.75</v>
      </c>
      <c r="BL56" s="366">
        <v>469.64</v>
      </c>
      <c r="BM56" s="366">
        <v>446.43</v>
      </c>
      <c r="BN56" s="366">
        <v>248.57</v>
      </c>
      <c r="BO56" s="366">
        <v>656.95</v>
      </c>
      <c r="BP56" s="366">
        <v>622.80999999999995</v>
      </c>
      <c r="BQ56" s="366">
        <v>222.83</v>
      </c>
      <c r="BR56" s="366">
        <v>222.83</v>
      </c>
      <c r="BS56" s="366">
        <v>554.54</v>
      </c>
      <c r="BT56" s="366">
        <v>426.93</v>
      </c>
      <c r="BU56" s="366">
        <v>87.39</v>
      </c>
      <c r="BV56" s="366">
        <v>97.08</v>
      </c>
      <c r="BW56" s="366">
        <v>517.32000000000005</v>
      </c>
      <c r="BX56" s="366">
        <v>495.63</v>
      </c>
      <c r="BY56" s="366">
        <v>570.65</v>
      </c>
      <c r="BZ56" s="366">
        <v>570.65</v>
      </c>
      <c r="CA56" s="366">
        <v>318.98</v>
      </c>
      <c r="CB56" s="366">
        <v>514.05999999999995</v>
      </c>
      <c r="CC56" s="366">
        <v>218.62</v>
      </c>
      <c r="CD56" s="366">
        <v>232.1</v>
      </c>
      <c r="CE56" s="366">
        <v>597.98</v>
      </c>
      <c r="CF56" s="366">
        <v>226.68</v>
      </c>
      <c r="CG56" s="366">
        <v>226.68</v>
      </c>
      <c r="CH56" s="366">
        <v>207.83</v>
      </c>
      <c r="CI56" s="366">
        <v>326.98</v>
      </c>
      <c r="CJ56" s="366">
        <v>237.63</v>
      </c>
      <c r="CK56" s="366">
        <v>575.74</v>
      </c>
      <c r="CL56" s="366">
        <v>471.82</v>
      </c>
      <c r="CM56" s="366">
        <v>36.51</v>
      </c>
      <c r="CN56" s="366">
        <v>475.95</v>
      </c>
      <c r="CO56" s="366">
        <v>433.59</v>
      </c>
      <c r="CP56" s="366">
        <v>229.52</v>
      </c>
      <c r="CQ56" s="366">
        <v>229.52</v>
      </c>
      <c r="CR56" s="366">
        <v>384.91</v>
      </c>
      <c r="CS56" s="366">
        <v>384.91</v>
      </c>
      <c r="CT56" s="366">
        <v>375.47</v>
      </c>
      <c r="CU56" s="366">
        <v>383.34</v>
      </c>
      <c r="CV56" s="366">
        <v>377.29</v>
      </c>
      <c r="CW56" s="366">
        <v>543.16999999999996</v>
      </c>
      <c r="CX56" s="366">
        <v>206.33</v>
      </c>
      <c r="CY56" s="366">
        <v>82.93</v>
      </c>
      <c r="CZ56" s="366">
        <v>104.17</v>
      </c>
      <c r="DA56" s="366">
        <v>638.72</v>
      </c>
      <c r="DB56" s="366">
        <v>522.55999999999995</v>
      </c>
      <c r="DC56" s="366">
        <v>522.55999999999995</v>
      </c>
      <c r="DD56" s="366">
        <v>237.29</v>
      </c>
      <c r="DE56" s="366">
        <v>716.35</v>
      </c>
      <c r="DF56" s="366">
        <v>355.71</v>
      </c>
      <c r="DG56" s="366">
        <v>297.33</v>
      </c>
      <c r="DH56" s="366">
        <v>778.91</v>
      </c>
      <c r="DI56" s="366">
        <v>187.97</v>
      </c>
      <c r="DJ56" s="366">
        <v>120.37</v>
      </c>
      <c r="DK56" s="366">
        <v>458.05</v>
      </c>
      <c r="DL56" s="366">
        <v>83.06</v>
      </c>
      <c r="DM56" s="366">
        <v>565.92999999999995</v>
      </c>
      <c r="DN56" s="366">
        <v>202.73</v>
      </c>
      <c r="DO56" s="366">
        <v>484.62</v>
      </c>
      <c r="DP56" s="366">
        <v>262.8</v>
      </c>
      <c r="DQ56" s="366">
        <v>528.66</v>
      </c>
      <c r="DR56" s="366">
        <v>778.91</v>
      </c>
      <c r="DS56" s="366">
        <v>434.49</v>
      </c>
      <c r="DT56" s="366">
        <v>422.78</v>
      </c>
      <c r="DU56" s="366">
        <v>669.06</v>
      </c>
      <c r="DV56" s="366">
        <v>606.75</v>
      </c>
      <c r="DW56" s="366">
        <v>410.7</v>
      </c>
      <c r="DX56" s="366">
        <v>503.64</v>
      </c>
      <c r="DY56" s="366">
        <v>577.03</v>
      </c>
      <c r="DZ56" s="366">
        <v>226.31</v>
      </c>
      <c r="EA56" s="366">
        <v>417.26</v>
      </c>
      <c r="EB56" s="366">
        <v>571.03</v>
      </c>
      <c r="EC56" s="366">
        <v>437.2</v>
      </c>
      <c r="ED56" s="366">
        <v>217.74</v>
      </c>
      <c r="EE56" s="366">
        <v>228.53</v>
      </c>
      <c r="EF56" s="366">
        <v>153.03</v>
      </c>
      <c r="EG56" s="366">
        <v>357.78</v>
      </c>
      <c r="EH56" s="366">
        <v>357.78</v>
      </c>
      <c r="EI56" s="366">
        <v>232.57</v>
      </c>
      <c r="EJ56" s="366">
        <v>766.97</v>
      </c>
      <c r="EK56" s="366">
        <v>379.66</v>
      </c>
      <c r="EL56" s="366">
        <v>379.66</v>
      </c>
      <c r="EM56" s="366">
        <v>473.77</v>
      </c>
      <c r="EN56" s="366">
        <v>473.77</v>
      </c>
      <c r="EO56" s="366">
        <v>99.68</v>
      </c>
      <c r="EP56" s="366">
        <v>150.57</v>
      </c>
      <c r="EQ56" s="366">
        <v>365.98</v>
      </c>
      <c r="ER56" s="366">
        <v>292.29000000000002</v>
      </c>
      <c r="ES56" s="366">
        <v>578.25</v>
      </c>
      <c r="ET56" s="366">
        <v>204.86</v>
      </c>
      <c r="EU56" s="366">
        <v>307.35000000000002</v>
      </c>
      <c r="EV56" s="366">
        <v>313.95</v>
      </c>
      <c r="EW56" s="366">
        <v>231.95</v>
      </c>
      <c r="EX56" s="366">
        <v>554.99</v>
      </c>
      <c r="EY56" s="366">
        <v>554.99</v>
      </c>
      <c r="EZ56" s="366">
        <v>518.30999999999995</v>
      </c>
      <c r="FA56" s="366">
        <v>470.94</v>
      </c>
      <c r="FB56" s="366">
        <v>442.35</v>
      </c>
      <c r="FC56" s="366">
        <v>523.78</v>
      </c>
      <c r="FD56" s="366">
        <v>378.97</v>
      </c>
      <c r="FE56" s="366">
        <v>236.4</v>
      </c>
      <c r="FF56" s="366">
        <v>314.52</v>
      </c>
      <c r="FG56" s="366">
        <v>139.21</v>
      </c>
      <c r="FH56" s="366">
        <v>139.21</v>
      </c>
      <c r="FI56" s="366">
        <v>294.82</v>
      </c>
      <c r="FJ56" s="366">
        <v>300.61</v>
      </c>
      <c r="FK56" s="366">
        <v>605.99</v>
      </c>
      <c r="FL56" s="366">
        <v>604.17999999999995</v>
      </c>
      <c r="FM56" s="366">
        <v>99.68</v>
      </c>
      <c r="FN56" s="366">
        <v>344.7</v>
      </c>
      <c r="FO56" s="366">
        <v>425.63</v>
      </c>
      <c r="FP56" s="366">
        <v>556.13</v>
      </c>
      <c r="FQ56" s="366">
        <v>429.5</v>
      </c>
      <c r="FR56" s="366">
        <v>487.07</v>
      </c>
      <c r="FS56" s="366">
        <v>315.23</v>
      </c>
      <c r="FT56" s="366">
        <v>135.53</v>
      </c>
      <c r="FU56" s="366">
        <v>339.37</v>
      </c>
      <c r="FV56" s="366">
        <v>371.25</v>
      </c>
      <c r="FW56" s="366">
        <v>371.25</v>
      </c>
      <c r="FX56" s="366">
        <v>371.25</v>
      </c>
      <c r="FY56" s="366">
        <v>420.08</v>
      </c>
      <c r="FZ56" s="366">
        <v>259.27</v>
      </c>
      <c r="GA56" s="366">
        <v>547.23</v>
      </c>
      <c r="GB56" s="366">
        <v>353.7</v>
      </c>
      <c r="GC56" s="366">
        <v>217.74</v>
      </c>
      <c r="GD56" s="366">
        <v>477.73</v>
      </c>
      <c r="GE56" s="366">
        <v>375.37</v>
      </c>
      <c r="GF56" s="366">
        <v>352.9</v>
      </c>
      <c r="GG56" s="366">
        <v>352.9</v>
      </c>
      <c r="GH56" s="366">
        <v>595.67999999999995</v>
      </c>
      <c r="GI56" s="366">
        <v>99.84</v>
      </c>
      <c r="GJ56" s="366">
        <v>99.68</v>
      </c>
      <c r="GK56" s="366">
        <v>602.54</v>
      </c>
      <c r="GL56" s="366">
        <v>246.24</v>
      </c>
      <c r="GM56" s="366">
        <v>246.24</v>
      </c>
      <c r="GN56" s="366">
        <v>246.24</v>
      </c>
      <c r="GO56" s="366">
        <v>107.57</v>
      </c>
      <c r="GP56" s="366">
        <v>552.64</v>
      </c>
      <c r="GQ56" s="366">
        <v>648.25</v>
      </c>
      <c r="GR56" s="366">
        <v>93.92</v>
      </c>
      <c r="GS56" s="366">
        <v>170.4</v>
      </c>
      <c r="GT56" s="366">
        <v>357.78</v>
      </c>
      <c r="GU56" s="366">
        <v>412.93</v>
      </c>
      <c r="GV56" s="366">
        <v>774.16</v>
      </c>
      <c r="GW56" s="366">
        <v>270.7</v>
      </c>
      <c r="GX56" s="366">
        <v>354.35</v>
      </c>
      <c r="GY56" s="366">
        <v>247.21</v>
      </c>
      <c r="GZ56" s="366">
        <v>378.69</v>
      </c>
      <c r="HA56" s="366">
        <v>431.04</v>
      </c>
      <c r="HB56" s="366">
        <v>431.04</v>
      </c>
      <c r="HC56" s="366">
        <v>431.04</v>
      </c>
      <c r="HD56" s="366">
        <v>190.02</v>
      </c>
      <c r="HE56" s="366">
        <v>467.62</v>
      </c>
      <c r="HF56" s="366">
        <v>423.91</v>
      </c>
      <c r="HG56" s="366">
        <v>551.55999999999995</v>
      </c>
      <c r="HH56" s="366">
        <v>551.55999999999995</v>
      </c>
      <c r="HI56" s="366">
        <v>551.55999999999995</v>
      </c>
      <c r="HJ56" s="366">
        <v>332.03</v>
      </c>
      <c r="HK56" s="366">
        <v>284.39999999999998</v>
      </c>
      <c r="HL56" s="366">
        <v>487.16</v>
      </c>
      <c r="HM56" s="366">
        <v>96.96</v>
      </c>
      <c r="HN56" s="366">
        <v>99.68</v>
      </c>
      <c r="HO56" s="366">
        <v>340.55</v>
      </c>
      <c r="HP56" s="366">
        <v>379.41</v>
      </c>
      <c r="HQ56" s="366">
        <v>371.25</v>
      </c>
      <c r="HR56" s="366">
        <v>227.95</v>
      </c>
      <c r="HS56" s="366">
        <v>95.93</v>
      </c>
      <c r="HT56" s="366">
        <v>199.63</v>
      </c>
      <c r="HU56" s="366">
        <v>226.31</v>
      </c>
      <c r="HV56" s="366">
        <v>250.78</v>
      </c>
    </row>
    <row r="57" spans="1:230">
      <c r="A57" s="366" t="s">
        <v>79</v>
      </c>
      <c r="B57" s="366">
        <v>854.58</v>
      </c>
      <c r="C57" s="366">
        <v>400.04</v>
      </c>
      <c r="D57" s="366">
        <v>300.81</v>
      </c>
      <c r="E57" s="366">
        <v>300.81</v>
      </c>
      <c r="F57" s="366">
        <v>918.48</v>
      </c>
      <c r="G57" s="366">
        <v>726.05</v>
      </c>
      <c r="H57" s="366">
        <v>344.43</v>
      </c>
      <c r="I57" s="366">
        <v>345.1</v>
      </c>
      <c r="J57" s="366">
        <v>368.21</v>
      </c>
      <c r="K57" s="366">
        <v>368.21</v>
      </c>
      <c r="L57" s="366">
        <v>291.42</v>
      </c>
      <c r="M57" s="366">
        <v>425.46</v>
      </c>
      <c r="N57" s="366">
        <v>475.77</v>
      </c>
      <c r="O57" s="366">
        <v>188.39</v>
      </c>
      <c r="P57" s="366">
        <v>188.39</v>
      </c>
      <c r="Q57" s="366">
        <v>188.39</v>
      </c>
      <c r="R57" s="366">
        <v>188.39</v>
      </c>
      <c r="S57" s="366">
        <v>188.39</v>
      </c>
      <c r="T57" s="366">
        <v>419.6</v>
      </c>
      <c r="U57" s="366">
        <v>834.09</v>
      </c>
      <c r="V57" s="366">
        <v>4.0599999999999996</v>
      </c>
      <c r="W57" s="366">
        <v>562.96</v>
      </c>
      <c r="X57" s="366">
        <v>562.96</v>
      </c>
      <c r="Y57" s="366">
        <v>562.96</v>
      </c>
      <c r="Z57" s="366">
        <v>290.93</v>
      </c>
      <c r="AA57" s="366">
        <v>720.22</v>
      </c>
      <c r="AB57" s="366">
        <v>479.34</v>
      </c>
      <c r="AC57" s="366">
        <v>481.8</v>
      </c>
      <c r="AD57" s="366">
        <v>481.8</v>
      </c>
      <c r="AE57" s="366">
        <v>249.91</v>
      </c>
      <c r="AF57" s="366">
        <v>739.79</v>
      </c>
      <c r="AG57" s="366">
        <v>564.48</v>
      </c>
      <c r="AH57" s="366">
        <v>299.05</v>
      </c>
      <c r="AI57" s="366">
        <v>299.05</v>
      </c>
      <c r="AJ57" s="366">
        <v>299.05</v>
      </c>
      <c r="AK57" s="366">
        <v>313.13</v>
      </c>
      <c r="AL57" s="366">
        <v>313.13</v>
      </c>
      <c r="AM57" s="366">
        <v>482.06</v>
      </c>
      <c r="AN57" s="366">
        <v>229.22</v>
      </c>
      <c r="AO57" s="366">
        <v>733.17</v>
      </c>
      <c r="AP57" s="366">
        <v>408.32</v>
      </c>
      <c r="AQ57" s="366">
        <v>875.02</v>
      </c>
      <c r="AR57" s="366">
        <v>430.98</v>
      </c>
      <c r="AS57" s="366">
        <v>215.97</v>
      </c>
      <c r="AT57" s="366">
        <v>215.97</v>
      </c>
      <c r="AU57" s="366">
        <v>89.2</v>
      </c>
      <c r="AV57" s="366">
        <v>865.14</v>
      </c>
      <c r="AW57" s="366">
        <v>412.53</v>
      </c>
      <c r="AX57" s="366">
        <v>365.7</v>
      </c>
      <c r="AY57" s="366">
        <v>511.48</v>
      </c>
      <c r="AZ57" s="366">
        <v>368.66</v>
      </c>
      <c r="BA57" s="366">
        <v>695.4</v>
      </c>
      <c r="BB57" s="366">
        <v>514.37</v>
      </c>
      <c r="BC57" s="366">
        <v>637.46</v>
      </c>
      <c r="BD57" s="366">
        <v>547.23</v>
      </c>
      <c r="BE57" s="366">
        <v>0</v>
      </c>
      <c r="BF57" s="366">
        <v>476.31</v>
      </c>
      <c r="BG57" s="366">
        <v>298.48</v>
      </c>
      <c r="BH57" s="366">
        <v>188.39</v>
      </c>
      <c r="BI57" s="366">
        <v>431.01</v>
      </c>
      <c r="BJ57" s="366">
        <v>236.6</v>
      </c>
      <c r="BK57" s="366">
        <v>436.44</v>
      </c>
      <c r="BL57" s="366">
        <v>293.81</v>
      </c>
      <c r="BM57" s="366">
        <v>317.02</v>
      </c>
      <c r="BN57" s="366">
        <v>760.41</v>
      </c>
      <c r="BO57" s="366">
        <v>478.64</v>
      </c>
      <c r="BP57" s="366">
        <v>444.5</v>
      </c>
      <c r="BQ57" s="366">
        <v>324.39999999999998</v>
      </c>
      <c r="BR57" s="366">
        <v>324.39999999999998</v>
      </c>
      <c r="BS57" s="366">
        <v>376.23</v>
      </c>
      <c r="BT57" s="366">
        <v>415.44</v>
      </c>
      <c r="BU57" s="366">
        <v>459.84</v>
      </c>
      <c r="BV57" s="366">
        <v>479.46</v>
      </c>
      <c r="BW57" s="366">
        <v>57.27</v>
      </c>
      <c r="BX57" s="366">
        <v>317.32</v>
      </c>
      <c r="BY57" s="366">
        <v>23.42</v>
      </c>
      <c r="BZ57" s="366">
        <v>23.42</v>
      </c>
      <c r="CA57" s="366">
        <v>444.47</v>
      </c>
      <c r="CB57" s="366">
        <v>335.75</v>
      </c>
      <c r="CC57" s="366">
        <v>336.87</v>
      </c>
      <c r="CD57" s="366">
        <v>339.27</v>
      </c>
      <c r="CE57" s="366">
        <v>419.67</v>
      </c>
      <c r="CF57" s="366">
        <v>738.52</v>
      </c>
      <c r="CG57" s="366">
        <v>738.52</v>
      </c>
      <c r="CH57" s="366">
        <v>339.4</v>
      </c>
      <c r="CI57" s="366">
        <v>242.31</v>
      </c>
      <c r="CJ57" s="366">
        <v>749.47</v>
      </c>
      <c r="CK57" s="366">
        <v>28.51</v>
      </c>
      <c r="CL57" s="366">
        <v>102.99</v>
      </c>
      <c r="CM57" s="366">
        <v>583.74</v>
      </c>
      <c r="CN57" s="366">
        <v>185.97</v>
      </c>
      <c r="CO57" s="366">
        <v>429.59</v>
      </c>
      <c r="CP57" s="366">
        <v>317.70999999999998</v>
      </c>
      <c r="CQ57" s="366">
        <v>317.70999999999998</v>
      </c>
      <c r="CR57" s="366">
        <v>381.99</v>
      </c>
      <c r="CS57" s="366">
        <v>381.99</v>
      </c>
      <c r="CT57" s="366">
        <v>391.43</v>
      </c>
      <c r="CU57" s="366">
        <v>383.56</v>
      </c>
      <c r="CV57" s="366">
        <v>386.16</v>
      </c>
      <c r="CW57" s="366">
        <v>4.0599999999999996</v>
      </c>
      <c r="CX57" s="366">
        <v>355.94</v>
      </c>
      <c r="CY57" s="366">
        <v>630.16</v>
      </c>
      <c r="CZ57" s="366">
        <v>651.4</v>
      </c>
      <c r="DA57" s="366">
        <v>413.82</v>
      </c>
      <c r="DB57" s="366">
        <v>232.58</v>
      </c>
      <c r="DC57" s="366">
        <v>232.58</v>
      </c>
      <c r="DD57" s="366">
        <v>550.12</v>
      </c>
      <c r="DE57" s="366">
        <v>491.45</v>
      </c>
      <c r="DF57" s="366">
        <v>902.94</v>
      </c>
      <c r="DG57" s="366">
        <v>271.95999999999998</v>
      </c>
      <c r="DH57" s="366">
        <v>554.01</v>
      </c>
      <c r="DI57" s="366">
        <v>604.34</v>
      </c>
      <c r="DJ57" s="366">
        <v>667.6</v>
      </c>
      <c r="DK57" s="366">
        <v>279.74</v>
      </c>
      <c r="DL57" s="366">
        <v>465.84</v>
      </c>
      <c r="DM57" s="366">
        <v>387.62</v>
      </c>
      <c r="DN57" s="366">
        <v>619.1</v>
      </c>
      <c r="DO57" s="366">
        <v>306.31</v>
      </c>
      <c r="DP57" s="366">
        <v>511.81</v>
      </c>
      <c r="DQ57" s="366">
        <v>39.49</v>
      </c>
      <c r="DR57" s="366">
        <v>554.01</v>
      </c>
      <c r="DS57" s="366">
        <v>407.46</v>
      </c>
      <c r="DT57" s="366">
        <v>395.75</v>
      </c>
      <c r="DU57" s="366">
        <v>383.48</v>
      </c>
      <c r="DV57" s="366">
        <v>316.77</v>
      </c>
      <c r="DW57" s="366">
        <v>232.39</v>
      </c>
      <c r="DX57" s="366">
        <v>43.59</v>
      </c>
      <c r="DY57" s="366">
        <v>29.8</v>
      </c>
      <c r="DZ57" s="366">
        <v>559.79</v>
      </c>
      <c r="EA57" s="366">
        <v>413.26</v>
      </c>
      <c r="EB57" s="366">
        <v>23.8</v>
      </c>
      <c r="EC57" s="366">
        <v>326.25</v>
      </c>
      <c r="ED57" s="366">
        <v>634.11</v>
      </c>
      <c r="EE57" s="366">
        <v>644.9</v>
      </c>
      <c r="EF57" s="366">
        <v>402.04</v>
      </c>
      <c r="EG57" s="366">
        <v>412.53</v>
      </c>
      <c r="EH57" s="366">
        <v>412.53</v>
      </c>
      <c r="EI57" s="366">
        <v>322.92</v>
      </c>
      <c r="EJ57" s="366">
        <v>588.66</v>
      </c>
      <c r="EK57" s="366">
        <v>201.35</v>
      </c>
      <c r="EL57" s="366">
        <v>201.35</v>
      </c>
      <c r="EM57" s="366">
        <v>136.22999999999999</v>
      </c>
      <c r="EN57" s="366">
        <v>136.22999999999999</v>
      </c>
      <c r="EO57" s="366">
        <v>482.06</v>
      </c>
      <c r="EP57" s="366">
        <v>404.92</v>
      </c>
      <c r="EQ57" s="366">
        <v>400.92</v>
      </c>
      <c r="ER57" s="366">
        <v>804.13</v>
      </c>
      <c r="ES57" s="366">
        <v>399.94</v>
      </c>
      <c r="ET57" s="366">
        <v>342.37</v>
      </c>
      <c r="EU57" s="366">
        <v>854.58</v>
      </c>
      <c r="EV57" s="366">
        <v>562.96</v>
      </c>
      <c r="EW57" s="366">
        <v>323.83999999999997</v>
      </c>
      <c r="EX57" s="366">
        <v>376.68</v>
      </c>
      <c r="EY57" s="366">
        <v>376.68</v>
      </c>
      <c r="EZ57" s="366">
        <v>156.75</v>
      </c>
      <c r="FA57" s="366">
        <v>102.11</v>
      </c>
      <c r="FB57" s="366">
        <v>264.04000000000002</v>
      </c>
      <c r="FC57" s="366">
        <v>63.73</v>
      </c>
      <c r="FD57" s="366">
        <v>229.48</v>
      </c>
      <c r="FE57" s="366">
        <v>326.75</v>
      </c>
      <c r="FF57" s="366">
        <v>301.93</v>
      </c>
      <c r="FG57" s="366">
        <v>686.44</v>
      </c>
      <c r="FH57" s="366">
        <v>686.44</v>
      </c>
      <c r="FI57" s="366">
        <v>543.83000000000004</v>
      </c>
      <c r="FJ57" s="366">
        <v>549.62</v>
      </c>
      <c r="FK57" s="366">
        <v>427.68</v>
      </c>
      <c r="FL57" s="366">
        <v>425.87</v>
      </c>
      <c r="FM57" s="366">
        <v>482.06</v>
      </c>
      <c r="FN57" s="366">
        <v>593.71</v>
      </c>
      <c r="FO57" s="366">
        <v>421.63</v>
      </c>
      <c r="FP57" s="366">
        <v>8.9</v>
      </c>
      <c r="FQ57" s="366">
        <v>425.5</v>
      </c>
      <c r="FR57" s="366">
        <v>308.76</v>
      </c>
      <c r="FS57" s="366">
        <v>232</v>
      </c>
      <c r="FT57" s="366">
        <v>682.76</v>
      </c>
      <c r="FU57" s="366">
        <v>229.92</v>
      </c>
      <c r="FV57" s="366">
        <v>918.48</v>
      </c>
      <c r="FW57" s="366">
        <v>918.48</v>
      </c>
      <c r="FX57" s="366">
        <v>918.48</v>
      </c>
      <c r="FY57" s="366">
        <v>127.15</v>
      </c>
      <c r="FZ57" s="366">
        <v>316.66000000000003</v>
      </c>
      <c r="GA57" s="366">
        <v>0</v>
      </c>
      <c r="GB57" s="366">
        <v>270.47000000000003</v>
      </c>
      <c r="GC57" s="366">
        <v>634.11</v>
      </c>
      <c r="GD57" s="366">
        <v>299.42</v>
      </c>
      <c r="GE57" s="366">
        <v>391.53</v>
      </c>
      <c r="GF57" s="366">
        <v>216.39</v>
      </c>
      <c r="GG57" s="366">
        <v>216.39</v>
      </c>
      <c r="GH57" s="366">
        <v>48.45</v>
      </c>
      <c r="GI57" s="366">
        <v>482.22</v>
      </c>
      <c r="GJ57" s="366">
        <v>482.06</v>
      </c>
      <c r="GK57" s="366">
        <v>424.23</v>
      </c>
      <c r="GL57" s="366">
        <v>309.25</v>
      </c>
      <c r="GM57" s="366">
        <v>309.25</v>
      </c>
      <c r="GN57" s="366">
        <v>309.25</v>
      </c>
      <c r="GO57" s="366">
        <v>447.5</v>
      </c>
      <c r="GP57" s="366">
        <v>5.41</v>
      </c>
      <c r="GQ57" s="366">
        <v>469.94</v>
      </c>
      <c r="GR57" s="366">
        <v>510.29</v>
      </c>
      <c r="GS57" s="366">
        <v>376.83</v>
      </c>
      <c r="GT57" s="366">
        <v>412.53</v>
      </c>
      <c r="GU57" s="366">
        <v>234.62</v>
      </c>
      <c r="GV57" s="366">
        <v>595.85</v>
      </c>
      <c r="GW57" s="366">
        <v>285.23</v>
      </c>
      <c r="GX57" s="366">
        <v>409.1</v>
      </c>
      <c r="GY57" s="366">
        <v>300.02</v>
      </c>
      <c r="GZ57" s="366">
        <v>229.2</v>
      </c>
      <c r="HA57" s="366">
        <v>427.04</v>
      </c>
      <c r="HB57" s="366">
        <v>427.04</v>
      </c>
      <c r="HC57" s="366">
        <v>427.04</v>
      </c>
      <c r="HD57" s="366">
        <v>596.08000000000004</v>
      </c>
      <c r="HE57" s="366">
        <v>130.08000000000001</v>
      </c>
      <c r="HF57" s="366">
        <v>167.22</v>
      </c>
      <c r="HG57" s="366">
        <v>261.58</v>
      </c>
      <c r="HH57" s="366">
        <v>261.58</v>
      </c>
      <c r="HI57" s="366">
        <v>261.58</v>
      </c>
      <c r="HJ57" s="366">
        <v>237.26</v>
      </c>
      <c r="HK57" s="366">
        <v>485.02</v>
      </c>
      <c r="HL57" s="366">
        <v>155.01</v>
      </c>
      <c r="HM57" s="366">
        <v>479.34</v>
      </c>
      <c r="HN57" s="366">
        <v>482.06</v>
      </c>
      <c r="HO57" s="366">
        <v>887.78</v>
      </c>
      <c r="HP57" s="366">
        <v>229.92</v>
      </c>
      <c r="HQ57" s="366">
        <v>918.48</v>
      </c>
      <c r="HR57" s="366">
        <v>739.79</v>
      </c>
      <c r="HS57" s="366">
        <v>478.31</v>
      </c>
      <c r="HT57" s="366">
        <v>360.63</v>
      </c>
      <c r="HU57" s="366">
        <v>327.88</v>
      </c>
      <c r="HV57" s="366">
        <v>346.2</v>
      </c>
    </row>
    <row r="58" spans="1:230">
      <c r="A58" s="366" t="s">
        <v>80</v>
      </c>
      <c r="B58" s="366">
        <v>401.28</v>
      </c>
      <c r="C58" s="366">
        <v>507.43</v>
      </c>
      <c r="D58" s="366">
        <v>402.05</v>
      </c>
      <c r="E58" s="366">
        <v>402.05</v>
      </c>
      <c r="F58" s="366">
        <v>465.18</v>
      </c>
      <c r="G58" s="366">
        <v>272.75</v>
      </c>
      <c r="H58" s="366">
        <v>358.43</v>
      </c>
      <c r="I58" s="366">
        <v>131.21</v>
      </c>
      <c r="J58" s="366">
        <v>334.65</v>
      </c>
      <c r="K58" s="366">
        <v>334.65</v>
      </c>
      <c r="L58" s="366">
        <v>398.81</v>
      </c>
      <c r="M58" s="366">
        <v>532.85</v>
      </c>
      <c r="N58" s="366">
        <v>629.75</v>
      </c>
      <c r="O58" s="366">
        <v>382.86</v>
      </c>
      <c r="P58" s="366">
        <v>382.86</v>
      </c>
      <c r="Q58" s="366">
        <v>382.86</v>
      </c>
      <c r="R58" s="366">
        <v>382.86</v>
      </c>
      <c r="S58" s="366">
        <v>382.86</v>
      </c>
      <c r="T58" s="366">
        <v>56.71</v>
      </c>
      <c r="U58" s="366">
        <v>380.79</v>
      </c>
      <c r="V58" s="366">
        <v>472.25</v>
      </c>
      <c r="W58" s="366">
        <v>253.36</v>
      </c>
      <c r="X58" s="366">
        <v>253.36</v>
      </c>
      <c r="Y58" s="366">
        <v>253.36</v>
      </c>
      <c r="Z58" s="366">
        <v>509.99</v>
      </c>
      <c r="AA58" s="366">
        <v>266.92</v>
      </c>
      <c r="AB58" s="366">
        <v>3.03</v>
      </c>
      <c r="AC58" s="366">
        <v>28.5</v>
      </c>
      <c r="AD58" s="366">
        <v>28.5</v>
      </c>
      <c r="AE58" s="366">
        <v>357.3</v>
      </c>
      <c r="AF58" s="366">
        <v>286.49</v>
      </c>
      <c r="AG58" s="366">
        <v>254.88</v>
      </c>
      <c r="AH58" s="366">
        <v>177.26</v>
      </c>
      <c r="AI58" s="366">
        <v>177.26</v>
      </c>
      <c r="AJ58" s="366">
        <v>177.26</v>
      </c>
      <c r="AK58" s="366">
        <v>532.19000000000005</v>
      </c>
      <c r="AL58" s="366">
        <v>532.19000000000005</v>
      </c>
      <c r="AM58" s="366">
        <v>5.75</v>
      </c>
      <c r="AN58" s="366">
        <v>342.03</v>
      </c>
      <c r="AO58" s="366">
        <v>279.87</v>
      </c>
      <c r="AP58" s="366">
        <v>86.16</v>
      </c>
      <c r="AQ58" s="366">
        <v>421.72</v>
      </c>
      <c r="AR58" s="366">
        <v>374.39</v>
      </c>
      <c r="AS58" s="366">
        <v>323.36</v>
      </c>
      <c r="AT58" s="366">
        <v>323.36</v>
      </c>
      <c r="AU58" s="366">
        <v>387.11</v>
      </c>
      <c r="AV58" s="366">
        <v>411.84</v>
      </c>
      <c r="AW58" s="366">
        <v>297.19</v>
      </c>
      <c r="AX58" s="366">
        <v>118.87</v>
      </c>
      <c r="AY58" s="366">
        <v>665.46</v>
      </c>
      <c r="AZ58" s="366">
        <v>476.05</v>
      </c>
      <c r="BA58" s="366">
        <v>242.1</v>
      </c>
      <c r="BB58" s="366">
        <v>668.35</v>
      </c>
      <c r="BC58" s="366">
        <v>184.16</v>
      </c>
      <c r="BD58" s="366">
        <v>93.93</v>
      </c>
      <c r="BE58" s="366">
        <v>476.31</v>
      </c>
      <c r="BF58" s="366">
        <v>0</v>
      </c>
      <c r="BG58" s="366">
        <v>517.54</v>
      </c>
      <c r="BH58" s="366">
        <v>382.86</v>
      </c>
      <c r="BI58" s="366">
        <v>374.42</v>
      </c>
      <c r="BJ58" s="366">
        <v>455.66</v>
      </c>
      <c r="BK58" s="366">
        <v>543.83000000000004</v>
      </c>
      <c r="BL58" s="366">
        <v>401.2</v>
      </c>
      <c r="BM58" s="366">
        <v>385.84</v>
      </c>
      <c r="BN58" s="366">
        <v>307.11</v>
      </c>
      <c r="BO58" s="366">
        <v>586.03</v>
      </c>
      <c r="BP58" s="366">
        <v>551.89</v>
      </c>
      <c r="BQ58" s="366">
        <v>151.91</v>
      </c>
      <c r="BR58" s="366">
        <v>151.91</v>
      </c>
      <c r="BS58" s="366">
        <v>483.62</v>
      </c>
      <c r="BT58" s="366">
        <v>366.34</v>
      </c>
      <c r="BU58" s="366">
        <v>16.47</v>
      </c>
      <c r="BV58" s="366">
        <v>3.15</v>
      </c>
      <c r="BW58" s="366">
        <v>446.4</v>
      </c>
      <c r="BX58" s="366">
        <v>424.71</v>
      </c>
      <c r="BY58" s="366">
        <v>499.73</v>
      </c>
      <c r="BZ58" s="366">
        <v>499.73</v>
      </c>
      <c r="CA58" s="366">
        <v>258.39</v>
      </c>
      <c r="CB58" s="366">
        <v>443.14</v>
      </c>
      <c r="CC58" s="366">
        <v>147.69999999999999</v>
      </c>
      <c r="CD58" s="366">
        <v>161.18</v>
      </c>
      <c r="CE58" s="366">
        <v>527.05999999999995</v>
      </c>
      <c r="CF58" s="366">
        <v>285.22000000000003</v>
      </c>
      <c r="CG58" s="366">
        <v>285.22000000000003</v>
      </c>
      <c r="CH58" s="366">
        <v>136.91</v>
      </c>
      <c r="CI58" s="366">
        <v>256.06</v>
      </c>
      <c r="CJ58" s="366">
        <v>296.17</v>
      </c>
      <c r="CK58" s="366">
        <v>504.82</v>
      </c>
      <c r="CL58" s="366">
        <v>400.9</v>
      </c>
      <c r="CM58" s="366">
        <v>130.44</v>
      </c>
      <c r="CN58" s="366">
        <v>405.03</v>
      </c>
      <c r="CO58" s="366">
        <v>373</v>
      </c>
      <c r="CP58" s="366">
        <v>158.6</v>
      </c>
      <c r="CQ58" s="366">
        <v>158.6</v>
      </c>
      <c r="CR58" s="366">
        <v>324.32</v>
      </c>
      <c r="CS58" s="366">
        <v>324.32</v>
      </c>
      <c r="CT58" s="366">
        <v>314.88</v>
      </c>
      <c r="CU58" s="366">
        <v>322.75</v>
      </c>
      <c r="CV58" s="366">
        <v>316.7</v>
      </c>
      <c r="CW58" s="366">
        <v>472.25</v>
      </c>
      <c r="CX58" s="366">
        <v>135.41</v>
      </c>
      <c r="CY58" s="366">
        <v>176.86</v>
      </c>
      <c r="CZ58" s="366">
        <v>198.1</v>
      </c>
      <c r="DA58" s="366">
        <v>567.79999999999995</v>
      </c>
      <c r="DB58" s="366">
        <v>451.64</v>
      </c>
      <c r="DC58" s="366">
        <v>451.64</v>
      </c>
      <c r="DD58" s="366">
        <v>200.36</v>
      </c>
      <c r="DE58" s="366">
        <v>645.42999999999995</v>
      </c>
      <c r="DF58" s="366">
        <v>449.64</v>
      </c>
      <c r="DG58" s="366">
        <v>226.41</v>
      </c>
      <c r="DH58" s="366">
        <v>707.99</v>
      </c>
      <c r="DI58" s="366">
        <v>151.04</v>
      </c>
      <c r="DJ58" s="366">
        <v>214.3</v>
      </c>
      <c r="DK58" s="366">
        <v>387.13</v>
      </c>
      <c r="DL58" s="366">
        <v>22.47</v>
      </c>
      <c r="DM58" s="366">
        <v>495.01</v>
      </c>
      <c r="DN58" s="366">
        <v>165.8</v>
      </c>
      <c r="DO58" s="366">
        <v>413.7</v>
      </c>
      <c r="DP58" s="366">
        <v>202.21</v>
      </c>
      <c r="DQ58" s="366">
        <v>457.74</v>
      </c>
      <c r="DR58" s="366">
        <v>707.99</v>
      </c>
      <c r="DS58" s="366">
        <v>373.9</v>
      </c>
      <c r="DT58" s="366">
        <v>362.19</v>
      </c>
      <c r="DU58" s="366">
        <v>598.14</v>
      </c>
      <c r="DV58" s="366">
        <v>535.83000000000004</v>
      </c>
      <c r="DW58" s="366">
        <v>339.78</v>
      </c>
      <c r="DX58" s="366">
        <v>432.72</v>
      </c>
      <c r="DY58" s="366">
        <v>506.11</v>
      </c>
      <c r="DZ58" s="366">
        <v>189.38</v>
      </c>
      <c r="EA58" s="366">
        <v>356.67</v>
      </c>
      <c r="EB58" s="366">
        <v>500.11</v>
      </c>
      <c r="EC58" s="366">
        <v>376.61</v>
      </c>
      <c r="ED58" s="366">
        <v>180.81</v>
      </c>
      <c r="EE58" s="366">
        <v>191.6</v>
      </c>
      <c r="EF58" s="366">
        <v>92.44</v>
      </c>
      <c r="EG58" s="366">
        <v>297.19</v>
      </c>
      <c r="EH58" s="366">
        <v>297.19</v>
      </c>
      <c r="EI58" s="366">
        <v>161.65</v>
      </c>
      <c r="EJ58" s="366">
        <v>696.05</v>
      </c>
      <c r="EK58" s="366">
        <v>308.74</v>
      </c>
      <c r="EL58" s="366">
        <v>308.74</v>
      </c>
      <c r="EM58" s="366">
        <v>402.85</v>
      </c>
      <c r="EN58" s="366">
        <v>402.85</v>
      </c>
      <c r="EO58" s="366">
        <v>5.75</v>
      </c>
      <c r="EP58" s="366">
        <v>79.650000000000006</v>
      </c>
      <c r="EQ58" s="366">
        <v>305.39</v>
      </c>
      <c r="ER58" s="366">
        <v>350.83</v>
      </c>
      <c r="ES58" s="366">
        <v>507.33</v>
      </c>
      <c r="ET58" s="366">
        <v>133.94</v>
      </c>
      <c r="EU58" s="366">
        <v>401.28</v>
      </c>
      <c r="EV58" s="366">
        <v>253.36</v>
      </c>
      <c r="EW58" s="366">
        <v>161.03</v>
      </c>
      <c r="EX58" s="366">
        <v>484.07</v>
      </c>
      <c r="EY58" s="366">
        <v>484.07</v>
      </c>
      <c r="EZ58" s="366">
        <v>447.39</v>
      </c>
      <c r="FA58" s="366">
        <v>400.02</v>
      </c>
      <c r="FB58" s="366">
        <v>371.43</v>
      </c>
      <c r="FC58" s="366">
        <v>452.86</v>
      </c>
      <c r="FD58" s="366">
        <v>308.05</v>
      </c>
      <c r="FE58" s="366">
        <v>165.48</v>
      </c>
      <c r="FF58" s="366">
        <v>243.6</v>
      </c>
      <c r="FG58" s="366">
        <v>233.14</v>
      </c>
      <c r="FH58" s="366">
        <v>233.14</v>
      </c>
      <c r="FI58" s="366">
        <v>234.23</v>
      </c>
      <c r="FJ58" s="366">
        <v>240.02</v>
      </c>
      <c r="FK58" s="366">
        <v>535.07000000000005</v>
      </c>
      <c r="FL58" s="366">
        <v>533.26</v>
      </c>
      <c r="FM58" s="366">
        <v>5.75</v>
      </c>
      <c r="FN58" s="366">
        <v>284.11</v>
      </c>
      <c r="FO58" s="366">
        <v>365.04</v>
      </c>
      <c r="FP58" s="366">
        <v>485.21</v>
      </c>
      <c r="FQ58" s="366">
        <v>368.91</v>
      </c>
      <c r="FR58" s="366">
        <v>416.15</v>
      </c>
      <c r="FS58" s="366">
        <v>244.31</v>
      </c>
      <c r="FT58" s="366">
        <v>229.46</v>
      </c>
      <c r="FU58" s="366">
        <v>268.45</v>
      </c>
      <c r="FV58" s="366">
        <v>465.18</v>
      </c>
      <c r="FW58" s="366">
        <v>465.18</v>
      </c>
      <c r="FX58" s="366">
        <v>465.18</v>
      </c>
      <c r="FY58" s="366">
        <v>349.16</v>
      </c>
      <c r="FZ58" s="366">
        <v>188.35</v>
      </c>
      <c r="GA58" s="366">
        <v>476.31</v>
      </c>
      <c r="GB58" s="366">
        <v>282.77999999999997</v>
      </c>
      <c r="GC58" s="366">
        <v>180.81</v>
      </c>
      <c r="GD58" s="366">
        <v>406.81</v>
      </c>
      <c r="GE58" s="366">
        <v>314.77999999999997</v>
      </c>
      <c r="GF58" s="366">
        <v>281.98</v>
      </c>
      <c r="GG58" s="366">
        <v>281.98</v>
      </c>
      <c r="GH58" s="366">
        <v>524.76</v>
      </c>
      <c r="GI58" s="366">
        <v>5.91</v>
      </c>
      <c r="GJ58" s="366">
        <v>5.75</v>
      </c>
      <c r="GK58" s="366">
        <v>531.62</v>
      </c>
      <c r="GL58" s="366">
        <v>175.32</v>
      </c>
      <c r="GM58" s="366">
        <v>175.32</v>
      </c>
      <c r="GN58" s="366">
        <v>175.32</v>
      </c>
      <c r="GO58" s="366">
        <v>46.98</v>
      </c>
      <c r="GP58" s="366">
        <v>481.72</v>
      </c>
      <c r="GQ58" s="366">
        <v>577.33000000000004</v>
      </c>
      <c r="GR58" s="366">
        <v>56.99</v>
      </c>
      <c r="GS58" s="366">
        <v>99.48</v>
      </c>
      <c r="GT58" s="366">
        <v>297.19</v>
      </c>
      <c r="GU58" s="366">
        <v>342.01</v>
      </c>
      <c r="GV58" s="366">
        <v>703.24</v>
      </c>
      <c r="GW58" s="366">
        <v>199.78</v>
      </c>
      <c r="GX58" s="366">
        <v>293.76</v>
      </c>
      <c r="GY58" s="366">
        <v>176.29</v>
      </c>
      <c r="GZ58" s="366">
        <v>307.77</v>
      </c>
      <c r="HA58" s="366">
        <v>370.45</v>
      </c>
      <c r="HB58" s="366">
        <v>370.45</v>
      </c>
      <c r="HC58" s="366">
        <v>370.45</v>
      </c>
      <c r="HD58" s="366">
        <v>153.09</v>
      </c>
      <c r="HE58" s="366">
        <v>396.7</v>
      </c>
      <c r="HF58" s="366">
        <v>352.99</v>
      </c>
      <c r="HG58" s="366">
        <v>480.64</v>
      </c>
      <c r="HH58" s="366">
        <v>480.64</v>
      </c>
      <c r="HI58" s="366">
        <v>480.64</v>
      </c>
      <c r="HJ58" s="366">
        <v>261.11</v>
      </c>
      <c r="HK58" s="366">
        <v>223.81</v>
      </c>
      <c r="HL58" s="366">
        <v>416.24</v>
      </c>
      <c r="HM58" s="366">
        <v>3.03</v>
      </c>
      <c r="HN58" s="366">
        <v>5.75</v>
      </c>
      <c r="HO58" s="366">
        <v>434.48</v>
      </c>
      <c r="HP58" s="366">
        <v>308.49</v>
      </c>
      <c r="HQ58" s="366">
        <v>465.18</v>
      </c>
      <c r="HR58" s="366">
        <v>286.49</v>
      </c>
      <c r="HS58" s="366">
        <v>2</v>
      </c>
      <c r="HT58" s="366">
        <v>139.04</v>
      </c>
      <c r="HU58" s="366">
        <v>155.38999999999999</v>
      </c>
      <c r="HV58" s="366">
        <v>179.86</v>
      </c>
    </row>
    <row r="59" spans="1:230">
      <c r="A59" s="366" t="s">
        <v>81</v>
      </c>
      <c r="B59" s="366">
        <v>895.81</v>
      </c>
      <c r="C59" s="366">
        <v>179.78</v>
      </c>
      <c r="D59" s="366">
        <v>342.04</v>
      </c>
      <c r="E59" s="366">
        <v>342.04</v>
      </c>
      <c r="F59" s="366">
        <v>959.71</v>
      </c>
      <c r="G59" s="366">
        <v>767.28</v>
      </c>
      <c r="H59" s="366">
        <v>385.66</v>
      </c>
      <c r="I59" s="366">
        <v>386.33</v>
      </c>
      <c r="J59" s="366">
        <v>409.44</v>
      </c>
      <c r="K59" s="366">
        <v>409.44</v>
      </c>
      <c r="L59" s="366">
        <v>332.65</v>
      </c>
      <c r="M59" s="366">
        <v>205.4</v>
      </c>
      <c r="N59" s="366">
        <v>181.36</v>
      </c>
      <c r="O59" s="366">
        <v>341.36</v>
      </c>
      <c r="P59" s="366">
        <v>341.36</v>
      </c>
      <c r="Q59" s="366">
        <v>341.36</v>
      </c>
      <c r="R59" s="366">
        <v>341.36</v>
      </c>
      <c r="S59" s="366">
        <v>341.36</v>
      </c>
      <c r="T59" s="366">
        <v>460.83</v>
      </c>
      <c r="U59" s="366">
        <v>875.32</v>
      </c>
      <c r="V59" s="366">
        <v>294.42</v>
      </c>
      <c r="W59" s="366">
        <v>604.19000000000005</v>
      </c>
      <c r="X59" s="366">
        <v>604.19000000000005</v>
      </c>
      <c r="Y59" s="366">
        <v>604.19000000000005</v>
      </c>
      <c r="Z59" s="366">
        <v>7.55</v>
      </c>
      <c r="AA59" s="366">
        <v>761.45</v>
      </c>
      <c r="AB59" s="366">
        <v>520.57000000000005</v>
      </c>
      <c r="AC59" s="366">
        <v>523.03</v>
      </c>
      <c r="AD59" s="366">
        <v>523.03</v>
      </c>
      <c r="AE59" s="366">
        <v>291.14</v>
      </c>
      <c r="AF59" s="366">
        <v>781.02</v>
      </c>
      <c r="AG59" s="366">
        <v>605.71</v>
      </c>
      <c r="AH59" s="366">
        <v>340.28</v>
      </c>
      <c r="AI59" s="366">
        <v>340.28</v>
      </c>
      <c r="AJ59" s="366">
        <v>340.28</v>
      </c>
      <c r="AK59" s="366">
        <v>29.75</v>
      </c>
      <c r="AL59" s="366">
        <v>29.75</v>
      </c>
      <c r="AM59" s="366">
        <v>523.29</v>
      </c>
      <c r="AN59" s="366">
        <v>304.69</v>
      </c>
      <c r="AO59" s="366">
        <v>774.4</v>
      </c>
      <c r="AP59" s="366">
        <v>449.55</v>
      </c>
      <c r="AQ59" s="366">
        <v>916.25</v>
      </c>
      <c r="AR59" s="366">
        <v>472.21</v>
      </c>
      <c r="AS59" s="366">
        <v>257.2</v>
      </c>
      <c r="AT59" s="366">
        <v>257.2</v>
      </c>
      <c r="AU59" s="366">
        <v>209.28</v>
      </c>
      <c r="AV59" s="366">
        <v>906.37</v>
      </c>
      <c r="AW59" s="366">
        <v>453.76</v>
      </c>
      <c r="AX59" s="366">
        <v>406.93</v>
      </c>
      <c r="AY59" s="366">
        <v>217.07</v>
      </c>
      <c r="AZ59" s="366">
        <v>228.96</v>
      </c>
      <c r="BA59" s="366">
        <v>736.63</v>
      </c>
      <c r="BB59" s="366">
        <v>219.96</v>
      </c>
      <c r="BC59" s="366">
        <v>678.69</v>
      </c>
      <c r="BD59" s="366">
        <v>588.46</v>
      </c>
      <c r="BE59" s="366">
        <v>298.48</v>
      </c>
      <c r="BF59" s="366">
        <v>517.54</v>
      </c>
      <c r="BG59" s="366">
        <v>0</v>
      </c>
      <c r="BH59" s="366">
        <v>341.36</v>
      </c>
      <c r="BI59" s="366">
        <v>472.24</v>
      </c>
      <c r="BJ59" s="366">
        <v>96.84</v>
      </c>
      <c r="BK59" s="366">
        <v>373.42</v>
      </c>
      <c r="BL59" s="366">
        <v>335.04</v>
      </c>
      <c r="BM59" s="366">
        <v>358.25</v>
      </c>
      <c r="BN59" s="366">
        <v>801.64</v>
      </c>
      <c r="BO59" s="366">
        <v>415.62</v>
      </c>
      <c r="BP59" s="366">
        <v>381.48</v>
      </c>
      <c r="BQ59" s="366">
        <v>365.63</v>
      </c>
      <c r="BR59" s="366">
        <v>365.63</v>
      </c>
      <c r="BS59" s="366">
        <v>203.59</v>
      </c>
      <c r="BT59" s="366">
        <v>456.67</v>
      </c>
      <c r="BU59" s="366">
        <v>501.07</v>
      </c>
      <c r="BV59" s="366">
        <v>520.69000000000005</v>
      </c>
      <c r="BW59" s="366">
        <v>268.57</v>
      </c>
      <c r="BX59" s="366">
        <v>262.5</v>
      </c>
      <c r="BY59" s="366">
        <v>321.89999999999998</v>
      </c>
      <c r="BZ59" s="366">
        <v>321.89999999999998</v>
      </c>
      <c r="CA59" s="366">
        <v>485.7</v>
      </c>
      <c r="CB59" s="366">
        <v>272.73</v>
      </c>
      <c r="CC59" s="366">
        <v>378.1</v>
      </c>
      <c r="CD59" s="366">
        <v>380.5</v>
      </c>
      <c r="CE59" s="366">
        <v>356.65</v>
      </c>
      <c r="CF59" s="366">
        <v>779.75</v>
      </c>
      <c r="CG59" s="366">
        <v>779.75</v>
      </c>
      <c r="CH59" s="366">
        <v>380.63</v>
      </c>
      <c r="CI59" s="366">
        <v>283.54000000000002</v>
      </c>
      <c r="CJ59" s="366">
        <v>790.7</v>
      </c>
      <c r="CK59" s="366">
        <v>326.99</v>
      </c>
      <c r="CL59" s="366">
        <v>223.07</v>
      </c>
      <c r="CM59" s="366">
        <v>624.97</v>
      </c>
      <c r="CN59" s="366">
        <v>112.51</v>
      </c>
      <c r="CO59" s="366">
        <v>470.82</v>
      </c>
      <c r="CP59" s="366">
        <v>358.94</v>
      </c>
      <c r="CQ59" s="366">
        <v>358.94</v>
      </c>
      <c r="CR59" s="366">
        <v>423.22</v>
      </c>
      <c r="CS59" s="366">
        <v>423.22</v>
      </c>
      <c r="CT59" s="366">
        <v>432.66</v>
      </c>
      <c r="CU59" s="366">
        <v>424.79</v>
      </c>
      <c r="CV59" s="366">
        <v>427.39</v>
      </c>
      <c r="CW59" s="366">
        <v>294.42</v>
      </c>
      <c r="CX59" s="366">
        <v>397.17</v>
      </c>
      <c r="CY59" s="366">
        <v>671.39</v>
      </c>
      <c r="CZ59" s="366">
        <v>692.63</v>
      </c>
      <c r="DA59" s="366">
        <v>119.41</v>
      </c>
      <c r="DB59" s="366">
        <v>68.430000000000007</v>
      </c>
      <c r="DC59" s="366">
        <v>68.430000000000007</v>
      </c>
      <c r="DD59" s="366">
        <v>591.35</v>
      </c>
      <c r="DE59" s="366">
        <v>197.04</v>
      </c>
      <c r="DF59" s="366">
        <v>944.17</v>
      </c>
      <c r="DG59" s="366">
        <v>313.19</v>
      </c>
      <c r="DH59" s="366">
        <v>259.60000000000002</v>
      </c>
      <c r="DI59" s="366">
        <v>645.57000000000005</v>
      </c>
      <c r="DJ59" s="366">
        <v>708.83</v>
      </c>
      <c r="DK59" s="366">
        <v>300.08</v>
      </c>
      <c r="DL59" s="366">
        <v>507.07</v>
      </c>
      <c r="DM59" s="366">
        <v>192.2</v>
      </c>
      <c r="DN59" s="366">
        <v>660.33</v>
      </c>
      <c r="DO59" s="366">
        <v>278.08</v>
      </c>
      <c r="DP59" s="366">
        <v>553.04</v>
      </c>
      <c r="DQ59" s="366">
        <v>279.91000000000003</v>
      </c>
      <c r="DR59" s="366">
        <v>259.60000000000002</v>
      </c>
      <c r="DS59" s="366">
        <v>448.69</v>
      </c>
      <c r="DT59" s="366">
        <v>436.98</v>
      </c>
      <c r="DU59" s="366">
        <v>89.07</v>
      </c>
      <c r="DV59" s="366">
        <v>22.36</v>
      </c>
      <c r="DW59" s="366">
        <v>273.62</v>
      </c>
      <c r="DX59" s="366">
        <v>254.89</v>
      </c>
      <c r="DY59" s="366">
        <v>328.28</v>
      </c>
      <c r="DZ59" s="366">
        <v>601.02</v>
      </c>
      <c r="EA59" s="366">
        <v>454.49</v>
      </c>
      <c r="EB59" s="366">
        <v>322.27999999999997</v>
      </c>
      <c r="EC59" s="366">
        <v>367.48</v>
      </c>
      <c r="ED59" s="366">
        <v>675.34</v>
      </c>
      <c r="EE59" s="366">
        <v>686.13</v>
      </c>
      <c r="EF59" s="366">
        <v>443.27</v>
      </c>
      <c r="EG59" s="366">
        <v>453.76</v>
      </c>
      <c r="EH59" s="366">
        <v>453.76</v>
      </c>
      <c r="EI59" s="366">
        <v>364.15</v>
      </c>
      <c r="EJ59" s="366">
        <v>525.64</v>
      </c>
      <c r="EK59" s="366">
        <v>242.58</v>
      </c>
      <c r="EL59" s="366">
        <v>242.58</v>
      </c>
      <c r="EM59" s="366">
        <v>174.55</v>
      </c>
      <c r="EN59" s="366">
        <v>174.55</v>
      </c>
      <c r="EO59" s="366">
        <v>523.29</v>
      </c>
      <c r="EP59" s="366">
        <v>446.15</v>
      </c>
      <c r="EQ59" s="366">
        <v>442.15</v>
      </c>
      <c r="ER59" s="366">
        <v>845.36</v>
      </c>
      <c r="ES59" s="366">
        <v>179.88</v>
      </c>
      <c r="ET59" s="366">
        <v>383.6</v>
      </c>
      <c r="EU59" s="366">
        <v>895.81</v>
      </c>
      <c r="EV59" s="366">
        <v>604.19000000000005</v>
      </c>
      <c r="EW59" s="366">
        <v>365.07</v>
      </c>
      <c r="EX59" s="366">
        <v>313.66000000000003</v>
      </c>
      <c r="EY59" s="366">
        <v>313.66000000000003</v>
      </c>
      <c r="EZ59" s="366">
        <v>276.83</v>
      </c>
      <c r="FA59" s="366">
        <v>196.37</v>
      </c>
      <c r="FB59" s="366">
        <v>305.27</v>
      </c>
      <c r="FC59" s="366">
        <v>275.02999999999997</v>
      </c>
      <c r="FD59" s="366">
        <v>270.70999999999998</v>
      </c>
      <c r="FE59" s="366">
        <v>367.98</v>
      </c>
      <c r="FF59" s="366">
        <v>343.16</v>
      </c>
      <c r="FG59" s="366">
        <v>727.67</v>
      </c>
      <c r="FH59" s="366">
        <v>727.67</v>
      </c>
      <c r="FI59" s="366">
        <v>585.05999999999995</v>
      </c>
      <c r="FJ59" s="366">
        <v>590.85</v>
      </c>
      <c r="FK59" s="366">
        <v>207.62</v>
      </c>
      <c r="FL59" s="366">
        <v>205.81</v>
      </c>
      <c r="FM59" s="366">
        <v>523.29</v>
      </c>
      <c r="FN59" s="366">
        <v>634.94000000000005</v>
      </c>
      <c r="FO59" s="366">
        <v>462.86</v>
      </c>
      <c r="FP59" s="366">
        <v>307.38</v>
      </c>
      <c r="FQ59" s="366">
        <v>466.73</v>
      </c>
      <c r="FR59" s="366">
        <v>349.99</v>
      </c>
      <c r="FS59" s="366">
        <v>273.23</v>
      </c>
      <c r="FT59" s="366">
        <v>723.99</v>
      </c>
      <c r="FU59" s="366">
        <v>271.14999999999998</v>
      </c>
      <c r="FV59" s="366">
        <v>959.71</v>
      </c>
      <c r="FW59" s="366">
        <v>959.71</v>
      </c>
      <c r="FX59" s="366">
        <v>959.71</v>
      </c>
      <c r="FY59" s="366">
        <v>204.62</v>
      </c>
      <c r="FZ59" s="366">
        <v>357.89</v>
      </c>
      <c r="GA59" s="366">
        <v>298.48</v>
      </c>
      <c r="GB59" s="366">
        <v>311.7</v>
      </c>
      <c r="GC59" s="366">
        <v>675.34</v>
      </c>
      <c r="GD59" s="366">
        <v>280.39999999999998</v>
      </c>
      <c r="GE59" s="366">
        <v>432.76</v>
      </c>
      <c r="GF59" s="366">
        <v>257.62</v>
      </c>
      <c r="GG59" s="366">
        <v>257.62</v>
      </c>
      <c r="GH59" s="366">
        <v>346.93</v>
      </c>
      <c r="GI59" s="366">
        <v>523.45000000000005</v>
      </c>
      <c r="GJ59" s="366">
        <v>523.29</v>
      </c>
      <c r="GK59" s="366">
        <v>204.17</v>
      </c>
      <c r="GL59" s="366">
        <v>350.48</v>
      </c>
      <c r="GM59" s="366">
        <v>350.48</v>
      </c>
      <c r="GN59" s="366">
        <v>350.48</v>
      </c>
      <c r="GO59" s="366">
        <v>488.73</v>
      </c>
      <c r="GP59" s="366">
        <v>303.89</v>
      </c>
      <c r="GQ59" s="366">
        <v>406.92</v>
      </c>
      <c r="GR59" s="366">
        <v>551.52</v>
      </c>
      <c r="GS59" s="366">
        <v>418.06</v>
      </c>
      <c r="GT59" s="366">
        <v>453.76</v>
      </c>
      <c r="GU59" s="366">
        <v>275.85000000000002</v>
      </c>
      <c r="GV59" s="366">
        <v>532.83000000000004</v>
      </c>
      <c r="GW59" s="366">
        <v>326.45999999999998</v>
      </c>
      <c r="GX59" s="366">
        <v>450.33</v>
      </c>
      <c r="GY59" s="366">
        <v>341.25</v>
      </c>
      <c r="GZ59" s="366">
        <v>270.43</v>
      </c>
      <c r="HA59" s="366">
        <v>468.27</v>
      </c>
      <c r="HB59" s="366">
        <v>468.27</v>
      </c>
      <c r="HC59" s="366">
        <v>468.27</v>
      </c>
      <c r="HD59" s="366">
        <v>637.30999999999995</v>
      </c>
      <c r="HE59" s="366">
        <v>168.4</v>
      </c>
      <c r="HF59" s="366">
        <v>165.27</v>
      </c>
      <c r="HG59" s="366">
        <v>105.41</v>
      </c>
      <c r="HH59" s="366">
        <v>105.41</v>
      </c>
      <c r="HI59" s="366">
        <v>105.41</v>
      </c>
      <c r="HJ59" s="366">
        <v>278.49</v>
      </c>
      <c r="HK59" s="366">
        <v>526.25</v>
      </c>
      <c r="HL59" s="366">
        <v>374.74</v>
      </c>
      <c r="HM59" s="366">
        <v>520.57000000000005</v>
      </c>
      <c r="HN59" s="366">
        <v>523.29</v>
      </c>
      <c r="HO59" s="366">
        <v>929.01</v>
      </c>
      <c r="HP59" s="366">
        <v>271.14999999999998</v>
      </c>
      <c r="HQ59" s="366">
        <v>959.71</v>
      </c>
      <c r="HR59" s="366">
        <v>781.02</v>
      </c>
      <c r="HS59" s="366">
        <v>519.54</v>
      </c>
      <c r="HT59" s="366">
        <v>401.86</v>
      </c>
      <c r="HU59" s="366">
        <v>369.11</v>
      </c>
      <c r="HV59" s="366">
        <v>387.43</v>
      </c>
    </row>
    <row r="60" spans="1:230">
      <c r="A60" s="366" t="s">
        <v>82</v>
      </c>
      <c r="B60" s="366">
        <v>761.13</v>
      </c>
      <c r="C60" s="366">
        <v>341.05</v>
      </c>
      <c r="D60" s="366">
        <v>241.82</v>
      </c>
      <c r="E60" s="366">
        <v>241.82</v>
      </c>
      <c r="F60" s="366">
        <v>825.03</v>
      </c>
      <c r="G60" s="366">
        <v>632.6</v>
      </c>
      <c r="H60" s="366">
        <v>285.44</v>
      </c>
      <c r="I60" s="366">
        <v>251.65</v>
      </c>
      <c r="J60" s="366">
        <v>309.22000000000003</v>
      </c>
      <c r="K60" s="366">
        <v>309.22000000000003</v>
      </c>
      <c r="L60" s="366">
        <v>232.43</v>
      </c>
      <c r="M60" s="366">
        <v>366.47</v>
      </c>
      <c r="N60" s="366">
        <v>463.37</v>
      </c>
      <c r="O60" s="366">
        <v>0</v>
      </c>
      <c r="P60" s="366">
        <v>0</v>
      </c>
      <c r="Q60" s="366">
        <v>0</v>
      </c>
      <c r="R60" s="366">
        <v>0</v>
      </c>
      <c r="S60" s="366">
        <v>0</v>
      </c>
      <c r="T60" s="366">
        <v>326.14999999999998</v>
      </c>
      <c r="U60" s="366">
        <v>740.64</v>
      </c>
      <c r="V60" s="366">
        <v>184.33</v>
      </c>
      <c r="W60" s="366">
        <v>469.51</v>
      </c>
      <c r="X60" s="366">
        <v>469.51</v>
      </c>
      <c r="Y60" s="366">
        <v>469.51</v>
      </c>
      <c r="Z60" s="366">
        <v>333.81</v>
      </c>
      <c r="AA60" s="366">
        <v>626.77</v>
      </c>
      <c r="AB60" s="366">
        <v>385.89</v>
      </c>
      <c r="AC60" s="366">
        <v>388.35</v>
      </c>
      <c r="AD60" s="366">
        <v>388.35</v>
      </c>
      <c r="AE60" s="366">
        <v>190.92</v>
      </c>
      <c r="AF60" s="366">
        <v>646.34</v>
      </c>
      <c r="AG60" s="366">
        <v>471.03</v>
      </c>
      <c r="AH60" s="366">
        <v>205.6</v>
      </c>
      <c r="AI60" s="366">
        <v>205.6</v>
      </c>
      <c r="AJ60" s="366">
        <v>205.6</v>
      </c>
      <c r="AK60" s="366">
        <v>356.01</v>
      </c>
      <c r="AL60" s="366">
        <v>356.01</v>
      </c>
      <c r="AM60" s="366">
        <v>388.61</v>
      </c>
      <c r="AN60" s="366">
        <v>40.83</v>
      </c>
      <c r="AO60" s="366">
        <v>639.72</v>
      </c>
      <c r="AP60" s="366">
        <v>314.87</v>
      </c>
      <c r="AQ60" s="366">
        <v>781.57</v>
      </c>
      <c r="AR60" s="366">
        <v>371.99</v>
      </c>
      <c r="AS60" s="366">
        <v>156.97999999999999</v>
      </c>
      <c r="AT60" s="366">
        <v>156.97999999999999</v>
      </c>
      <c r="AU60" s="366">
        <v>132.08000000000001</v>
      </c>
      <c r="AV60" s="366">
        <v>771.69</v>
      </c>
      <c r="AW60" s="366">
        <v>353.54</v>
      </c>
      <c r="AX60" s="366">
        <v>272.25</v>
      </c>
      <c r="AY60" s="366">
        <v>499.08</v>
      </c>
      <c r="AZ60" s="366">
        <v>309.67</v>
      </c>
      <c r="BA60" s="366">
        <v>601.95000000000005</v>
      </c>
      <c r="BB60" s="366">
        <v>501.97</v>
      </c>
      <c r="BC60" s="366">
        <v>544.01</v>
      </c>
      <c r="BD60" s="366">
        <v>453.78</v>
      </c>
      <c r="BE60" s="366">
        <v>188.39</v>
      </c>
      <c r="BF60" s="366">
        <v>382.86</v>
      </c>
      <c r="BG60" s="366">
        <v>341.36</v>
      </c>
      <c r="BH60" s="366">
        <v>0</v>
      </c>
      <c r="BI60" s="366">
        <v>372.02</v>
      </c>
      <c r="BJ60" s="366">
        <v>279.48</v>
      </c>
      <c r="BK60" s="366">
        <v>377.45</v>
      </c>
      <c r="BL60" s="366">
        <v>234.82</v>
      </c>
      <c r="BM60" s="366">
        <v>258.02999999999997</v>
      </c>
      <c r="BN60" s="366">
        <v>666.96</v>
      </c>
      <c r="BO60" s="366">
        <v>419.65</v>
      </c>
      <c r="BP60" s="366">
        <v>385.51</v>
      </c>
      <c r="BQ60" s="366">
        <v>230.95</v>
      </c>
      <c r="BR60" s="366">
        <v>230.95</v>
      </c>
      <c r="BS60" s="366">
        <v>317.24</v>
      </c>
      <c r="BT60" s="366">
        <v>356.45</v>
      </c>
      <c r="BU60" s="366">
        <v>366.39</v>
      </c>
      <c r="BV60" s="366">
        <v>386.01</v>
      </c>
      <c r="BW60" s="366">
        <v>191.37</v>
      </c>
      <c r="BX60" s="366">
        <v>258.33</v>
      </c>
      <c r="BY60" s="366">
        <v>211.81</v>
      </c>
      <c r="BZ60" s="366">
        <v>211.81</v>
      </c>
      <c r="CA60" s="366">
        <v>385.48</v>
      </c>
      <c r="CB60" s="366">
        <v>276.76</v>
      </c>
      <c r="CC60" s="366">
        <v>243.42</v>
      </c>
      <c r="CD60" s="366">
        <v>245.82</v>
      </c>
      <c r="CE60" s="366">
        <v>360.68</v>
      </c>
      <c r="CF60" s="366">
        <v>645.07000000000005</v>
      </c>
      <c r="CG60" s="366">
        <v>645.07000000000005</v>
      </c>
      <c r="CH60" s="366">
        <v>245.95</v>
      </c>
      <c r="CI60" s="366">
        <v>126.8</v>
      </c>
      <c r="CJ60" s="366">
        <v>656.02</v>
      </c>
      <c r="CK60" s="366">
        <v>216.9</v>
      </c>
      <c r="CL60" s="366">
        <v>118.29</v>
      </c>
      <c r="CM60" s="366">
        <v>490.29</v>
      </c>
      <c r="CN60" s="366">
        <v>228.85</v>
      </c>
      <c r="CO60" s="366">
        <v>370.6</v>
      </c>
      <c r="CP60" s="366">
        <v>224.26</v>
      </c>
      <c r="CQ60" s="366">
        <v>224.26</v>
      </c>
      <c r="CR60" s="366">
        <v>323</v>
      </c>
      <c r="CS60" s="366">
        <v>323</v>
      </c>
      <c r="CT60" s="366">
        <v>332.44</v>
      </c>
      <c r="CU60" s="366">
        <v>324.57</v>
      </c>
      <c r="CV60" s="366">
        <v>327.17</v>
      </c>
      <c r="CW60" s="366">
        <v>184.33</v>
      </c>
      <c r="CX60" s="366">
        <v>262.49</v>
      </c>
      <c r="CY60" s="366">
        <v>536.71</v>
      </c>
      <c r="CZ60" s="366">
        <v>557.95000000000005</v>
      </c>
      <c r="DA60" s="366">
        <v>401.42</v>
      </c>
      <c r="DB60" s="366">
        <v>275.45999999999998</v>
      </c>
      <c r="DC60" s="366">
        <v>275.45999999999998</v>
      </c>
      <c r="DD60" s="366">
        <v>456.67</v>
      </c>
      <c r="DE60" s="366">
        <v>479.05</v>
      </c>
      <c r="DF60" s="366">
        <v>809.49</v>
      </c>
      <c r="DG60" s="366">
        <v>156.44999999999999</v>
      </c>
      <c r="DH60" s="366">
        <v>541.61</v>
      </c>
      <c r="DI60" s="366">
        <v>510.89</v>
      </c>
      <c r="DJ60" s="366">
        <v>574.15</v>
      </c>
      <c r="DK60" s="366">
        <v>220.75</v>
      </c>
      <c r="DL60" s="366">
        <v>372.39</v>
      </c>
      <c r="DM60" s="366">
        <v>328.63</v>
      </c>
      <c r="DN60" s="366">
        <v>525.65</v>
      </c>
      <c r="DO60" s="366">
        <v>247.32</v>
      </c>
      <c r="DP60" s="366">
        <v>418.36</v>
      </c>
      <c r="DQ60" s="366">
        <v>187.39</v>
      </c>
      <c r="DR60" s="366">
        <v>541.61</v>
      </c>
      <c r="DS60" s="366">
        <v>348.47</v>
      </c>
      <c r="DT60" s="366">
        <v>336.76</v>
      </c>
      <c r="DU60" s="366">
        <v>426.36</v>
      </c>
      <c r="DV60" s="366">
        <v>359.65</v>
      </c>
      <c r="DW60" s="366">
        <v>173.4</v>
      </c>
      <c r="DX60" s="366">
        <v>177.69</v>
      </c>
      <c r="DY60" s="366">
        <v>218.19</v>
      </c>
      <c r="DZ60" s="366">
        <v>466.34</v>
      </c>
      <c r="EA60" s="366">
        <v>354.27</v>
      </c>
      <c r="EB60" s="366">
        <v>212.19</v>
      </c>
      <c r="EC60" s="366">
        <v>267.26</v>
      </c>
      <c r="ED60" s="366">
        <v>540.66</v>
      </c>
      <c r="EE60" s="366">
        <v>551.45000000000005</v>
      </c>
      <c r="EF60" s="366">
        <v>308.58999999999997</v>
      </c>
      <c r="EG60" s="366">
        <v>353.54</v>
      </c>
      <c r="EH60" s="366">
        <v>353.54</v>
      </c>
      <c r="EI60" s="366">
        <v>229.47</v>
      </c>
      <c r="EJ60" s="366">
        <v>529.66999999999996</v>
      </c>
      <c r="EK60" s="366">
        <v>123.26</v>
      </c>
      <c r="EL60" s="366">
        <v>123.26</v>
      </c>
      <c r="EM60" s="366">
        <v>179.11</v>
      </c>
      <c r="EN60" s="366">
        <v>179.11</v>
      </c>
      <c r="EO60" s="366">
        <v>388.61</v>
      </c>
      <c r="EP60" s="366">
        <v>311.47000000000003</v>
      </c>
      <c r="EQ60" s="366">
        <v>341.93</v>
      </c>
      <c r="ER60" s="366">
        <v>710.68</v>
      </c>
      <c r="ES60" s="366">
        <v>340.95</v>
      </c>
      <c r="ET60" s="366">
        <v>248.92</v>
      </c>
      <c r="EU60" s="366">
        <v>761.13</v>
      </c>
      <c r="EV60" s="366">
        <v>469.51</v>
      </c>
      <c r="EW60" s="366">
        <v>230.39</v>
      </c>
      <c r="EX60" s="366">
        <v>317.69</v>
      </c>
      <c r="EY60" s="366">
        <v>317.69</v>
      </c>
      <c r="EZ60" s="366">
        <v>64.53</v>
      </c>
      <c r="FA60" s="366">
        <v>144.99</v>
      </c>
      <c r="FB60" s="366">
        <v>205.05</v>
      </c>
      <c r="FC60" s="366">
        <v>197.83</v>
      </c>
      <c r="FD60" s="366">
        <v>80.08</v>
      </c>
      <c r="FE60" s="366">
        <v>233.3</v>
      </c>
      <c r="FF60" s="366">
        <v>208.48</v>
      </c>
      <c r="FG60" s="366">
        <v>592.99</v>
      </c>
      <c r="FH60" s="366">
        <v>592.99</v>
      </c>
      <c r="FI60" s="366">
        <v>450.38</v>
      </c>
      <c r="FJ60" s="366">
        <v>456.17</v>
      </c>
      <c r="FK60" s="366">
        <v>368.69</v>
      </c>
      <c r="FL60" s="366">
        <v>366.88</v>
      </c>
      <c r="FM60" s="366">
        <v>388.61</v>
      </c>
      <c r="FN60" s="366">
        <v>500.26</v>
      </c>
      <c r="FO60" s="366">
        <v>362.64</v>
      </c>
      <c r="FP60" s="366">
        <v>197.29</v>
      </c>
      <c r="FQ60" s="366">
        <v>366.51</v>
      </c>
      <c r="FR60" s="366">
        <v>249.77</v>
      </c>
      <c r="FS60" s="366">
        <v>173.01</v>
      </c>
      <c r="FT60" s="366">
        <v>589.30999999999995</v>
      </c>
      <c r="FU60" s="366">
        <v>114.41</v>
      </c>
      <c r="FV60" s="366">
        <v>825.03</v>
      </c>
      <c r="FW60" s="366">
        <v>825.03</v>
      </c>
      <c r="FX60" s="366">
        <v>825.03</v>
      </c>
      <c r="FY60" s="366">
        <v>170.03</v>
      </c>
      <c r="FZ60" s="366">
        <v>223.21</v>
      </c>
      <c r="GA60" s="366">
        <v>188.39</v>
      </c>
      <c r="GB60" s="366">
        <v>211.48</v>
      </c>
      <c r="GC60" s="366">
        <v>540.66</v>
      </c>
      <c r="GD60" s="366">
        <v>240.43</v>
      </c>
      <c r="GE60" s="366">
        <v>332.54</v>
      </c>
      <c r="GF60" s="366">
        <v>100.88</v>
      </c>
      <c r="GG60" s="366">
        <v>100.88</v>
      </c>
      <c r="GH60" s="366">
        <v>236.84</v>
      </c>
      <c r="GI60" s="366">
        <v>388.77</v>
      </c>
      <c r="GJ60" s="366">
        <v>388.61</v>
      </c>
      <c r="GK60" s="366">
        <v>365.24</v>
      </c>
      <c r="GL60" s="366">
        <v>215.8</v>
      </c>
      <c r="GM60" s="366">
        <v>215.8</v>
      </c>
      <c r="GN60" s="366">
        <v>215.8</v>
      </c>
      <c r="GO60" s="366">
        <v>354.05</v>
      </c>
      <c r="GP60" s="366">
        <v>193.8</v>
      </c>
      <c r="GQ60" s="366">
        <v>410.95</v>
      </c>
      <c r="GR60" s="366">
        <v>416.84</v>
      </c>
      <c r="GS60" s="366">
        <v>283.38</v>
      </c>
      <c r="GT60" s="366">
        <v>353.54</v>
      </c>
      <c r="GU60" s="366">
        <v>175.63</v>
      </c>
      <c r="GV60" s="366">
        <v>536.86</v>
      </c>
      <c r="GW60" s="366">
        <v>191.78</v>
      </c>
      <c r="GX60" s="366">
        <v>350.11</v>
      </c>
      <c r="GY60" s="366">
        <v>206.57</v>
      </c>
      <c r="GZ60" s="366">
        <v>75.09</v>
      </c>
      <c r="HA60" s="366">
        <v>368.05</v>
      </c>
      <c r="HB60" s="366">
        <v>368.05</v>
      </c>
      <c r="HC60" s="366">
        <v>368.05</v>
      </c>
      <c r="HD60" s="366">
        <v>502.63</v>
      </c>
      <c r="HE60" s="366">
        <v>172.96</v>
      </c>
      <c r="HF60" s="366">
        <v>180.97</v>
      </c>
      <c r="HG60" s="366">
        <v>304.45999999999998</v>
      </c>
      <c r="HH60" s="366">
        <v>304.45999999999998</v>
      </c>
      <c r="HI60" s="366">
        <v>304.45999999999998</v>
      </c>
      <c r="HJ60" s="366">
        <v>121.75</v>
      </c>
      <c r="HK60" s="366">
        <v>426.03</v>
      </c>
      <c r="HL60" s="366">
        <v>33.380000000000003</v>
      </c>
      <c r="HM60" s="366">
        <v>385.89</v>
      </c>
      <c r="HN60" s="366">
        <v>388.61</v>
      </c>
      <c r="HO60" s="366">
        <v>794.33</v>
      </c>
      <c r="HP60" s="366">
        <v>80.52</v>
      </c>
      <c r="HQ60" s="366">
        <v>825.03</v>
      </c>
      <c r="HR60" s="366">
        <v>646.34</v>
      </c>
      <c r="HS60" s="366">
        <v>384.86</v>
      </c>
      <c r="HT60" s="366">
        <v>267.18</v>
      </c>
      <c r="HU60" s="366">
        <v>234.43</v>
      </c>
      <c r="HV60" s="366">
        <v>252.75</v>
      </c>
    </row>
    <row r="61" spans="1:230">
      <c r="A61" s="366" t="s">
        <v>83</v>
      </c>
      <c r="B61" s="366">
        <v>642.77</v>
      </c>
      <c r="C61" s="366">
        <v>326.29000000000002</v>
      </c>
      <c r="D61" s="366">
        <v>130.19999999999999</v>
      </c>
      <c r="E61" s="366">
        <v>130.19999999999999</v>
      </c>
      <c r="F61" s="366">
        <v>706.67</v>
      </c>
      <c r="G61" s="366">
        <v>443.18</v>
      </c>
      <c r="H61" s="366">
        <v>86.58</v>
      </c>
      <c r="I61" s="366">
        <v>338.92</v>
      </c>
      <c r="J61" s="366">
        <v>62.8</v>
      </c>
      <c r="K61" s="366">
        <v>62.8</v>
      </c>
      <c r="L61" s="366">
        <v>148.11000000000001</v>
      </c>
      <c r="M61" s="366">
        <v>351.71</v>
      </c>
      <c r="N61" s="366">
        <v>448.61</v>
      </c>
      <c r="O61" s="366">
        <v>372.02</v>
      </c>
      <c r="P61" s="366">
        <v>372.02</v>
      </c>
      <c r="Q61" s="366">
        <v>372.02</v>
      </c>
      <c r="R61" s="366">
        <v>372.02</v>
      </c>
      <c r="S61" s="366">
        <v>372.02</v>
      </c>
      <c r="T61" s="366">
        <v>349.96</v>
      </c>
      <c r="U61" s="366">
        <v>551.22</v>
      </c>
      <c r="V61" s="366">
        <v>426.95</v>
      </c>
      <c r="W61" s="366">
        <v>253.36</v>
      </c>
      <c r="X61" s="366">
        <v>253.36</v>
      </c>
      <c r="Y61" s="366">
        <v>253.36</v>
      </c>
      <c r="Z61" s="366">
        <v>464.69</v>
      </c>
      <c r="AA61" s="366">
        <v>437.35</v>
      </c>
      <c r="AB61" s="366">
        <v>377.45</v>
      </c>
      <c r="AC61" s="366">
        <v>369.58</v>
      </c>
      <c r="AD61" s="366">
        <v>369.58</v>
      </c>
      <c r="AE61" s="366">
        <v>181.1</v>
      </c>
      <c r="AF61" s="366">
        <v>456.92</v>
      </c>
      <c r="AG61" s="366">
        <v>254.88</v>
      </c>
      <c r="AH61" s="366">
        <v>361.14</v>
      </c>
      <c r="AI61" s="366">
        <v>361.14</v>
      </c>
      <c r="AJ61" s="366">
        <v>361.14</v>
      </c>
      <c r="AK61" s="366">
        <v>486.89</v>
      </c>
      <c r="AL61" s="366">
        <v>486.89</v>
      </c>
      <c r="AM61" s="366">
        <v>380.17</v>
      </c>
      <c r="AN61" s="366">
        <v>331.19</v>
      </c>
      <c r="AO61" s="366">
        <v>459.79</v>
      </c>
      <c r="AP61" s="366">
        <v>288.26</v>
      </c>
      <c r="AQ61" s="366">
        <v>663.21</v>
      </c>
      <c r="AR61" s="366">
        <v>0.56999999999999995</v>
      </c>
      <c r="AS61" s="366">
        <v>223.56</v>
      </c>
      <c r="AT61" s="366">
        <v>223.56</v>
      </c>
      <c r="AU61" s="366">
        <v>341.81</v>
      </c>
      <c r="AV61" s="366">
        <v>582.27</v>
      </c>
      <c r="AW61" s="366">
        <v>84.09</v>
      </c>
      <c r="AX61" s="366">
        <v>420.1</v>
      </c>
      <c r="AY61" s="366">
        <v>484.32</v>
      </c>
      <c r="AZ61" s="366">
        <v>294.91000000000003</v>
      </c>
      <c r="BA61" s="366">
        <v>583.17999999999995</v>
      </c>
      <c r="BB61" s="366">
        <v>487.21</v>
      </c>
      <c r="BC61" s="366">
        <v>525.24</v>
      </c>
      <c r="BD61" s="366">
        <v>435.01</v>
      </c>
      <c r="BE61" s="366">
        <v>431.01</v>
      </c>
      <c r="BF61" s="366">
        <v>374.42</v>
      </c>
      <c r="BG61" s="366">
        <v>472.24</v>
      </c>
      <c r="BH61" s="366">
        <v>372.02</v>
      </c>
      <c r="BI61" s="366">
        <v>0</v>
      </c>
      <c r="BJ61" s="366">
        <v>410.36</v>
      </c>
      <c r="BK61" s="366">
        <v>362.69</v>
      </c>
      <c r="BL61" s="366">
        <v>137.19999999999999</v>
      </c>
      <c r="BM61" s="366">
        <v>113.99</v>
      </c>
      <c r="BN61" s="366">
        <v>477.54</v>
      </c>
      <c r="BO61" s="366">
        <v>404.89</v>
      </c>
      <c r="BP61" s="366">
        <v>370.75</v>
      </c>
      <c r="BQ61" s="366">
        <v>359.62</v>
      </c>
      <c r="BR61" s="366">
        <v>359.62</v>
      </c>
      <c r="BS61" s="366">
        <v>302.48</v>
      </c>
      <c r="BT61" s="366">
        <v>27.42</v>
      </c>
      <c r="BU61" s="366">
        <v>357.95</v>
      </c>
      <c r="BV61" s="366">
        <v>377.57</v>
      </c>
      <c r="BW61" s="366">
        <v>401.1</v>
      </c>
      <c r="BX61" s="366">
        <v>243.57</v>
      </c>
      <c r="BY61" s="366">
        <v>454.43</v>
      </c>
      <c r="BZ61" s="366">
        <v>454.43</v>
      </c>
      <c r="CA61" s="366">
        <v>116.03</v>
      </c>
      <c r="CB61" s="366">
        <v>262</v>
      </c>
      <c r="CC61" s="366">
        <v>391.27</v>
      </c>
      <c r="CD61" s="366">
        <v>401.36</v>
      </c>
      <c r="CE61" s="366">
        <v>345.92</v>
      </c>
      <c r="CF61" s="366">
        <v>455.65</v>
      </c>
      <c r="CG61" s="366">
        <v>455.65</v>
      </c>
      <c r="CH61" s="366">
        <v>344.62</v>
      </c>
      <c r="CI61" s="366">
        <v>314.98</v>
      </c>
      <c r="CJ61" s="366">
        <v>466.6</v>
      </c>
      <c r="CK61" s="366">
        <v>459.52</v>
      </c>
      <c r="CL61" s="366">
        <v>355.6</v>
      </c>
      <c r="CM61" s="366">
        <v>471.52</v>
      </c>
      <c r="CN61" s="366">
        <v>359.73</v>
      </c>
      <c r="CO61" s="366">
        <v>1.42</v>
      </c>
      <c r="CP61" s="366">
        <v>366.31</v>
      </c>
      <c r="CQ61" s="366">
        <v>366.31</v>
      </c>
      <c r="CR61" s="366">
        <v>52.09</v>
      </c>
      <c r="CS61" s="366">
        <v>52.09</v>
      </c>
      <c r="CT61" s="366">
        <v>59.54</v>
      </c>
      <c r="CU61" s="366">
        <v>51.67</v>
      </c>
      <c r="CV61" s="366">
        <v>80.75</v>
      </c>
      <c r="CW61" s="366">
        <v>426.95</v>
      </c>
      <c r="CX61" s="366">
        <v>410.34</v>
      </c>
      <c r="CY61" s="366">
        <v>517.94000000000005</v>
      </c>
      <c r="CZ61" s="366">
        <v>539.17999999999995</v>
      </c>
      <c r="DA61" s="366">
        <v>386.66</v>
      </c>
      <c r="DB61" s="366">
        <v>406.34</v>
      </c>
      <c r="DC61" s="366">
        <v>406.34</v>
      </c>
      <c r="DD61" s="366">
        <v>240.52</v>
      </c>
      <c r="DE61" s="366">
        <v>464.29</v>
      </c>
      <c r="DF61" s="366">
        <v>691.13</v>
      </c>
      <c r="DG61" s="366">
        <v>344.63</v>
      </c>
      <c r="DH61" s="366">
        <v>526.85</v>
      </c>
      <c r="DI61" s="366">
        <v>321.47000000000003</v>
      </c>
      <c r="DJ61" s="366">
        <v>525.36</v>
      </c>
      <c r="DK61" s="366">
        <v>205.99</v>
      </c>
      <c r="DL61" s="366">
        <v>351.95</v>
      </c>
      <c r="DM61" s="366">
        <v>313.87</v>
      </c>
      <c r="DN61" s="366">
        <v>336.23</v>
      </c>
      <c r="DO61" s="366">
        <v>232.56</v>
      </c>
      <c r="DP61" s="366">
        <v>202.21</v>
      </c>
      <c r="DQ61" s="366">
        <v>412.44</v>
      </c>
      <c r="DR61" s="366">
        <v>526.85</v>
      </c>
      <c r="DS61" s="366">
        <v>48.22</v>
      </c>
      <c r="DT61" s="366">
        <v>47.11</v>
      </c>
      <c r="DU61" s="366">
        <v>417</v>
      </c>
      <c r="DV61" s="366">
        <v>483.71</v>
      </c>
      <c r="DW61" s="366">
        <v>207.14</v>
      </c>
      <c r="DX61" s="366">
        <v>387.42</v>
      </c>
      <c r="DY61" s="366">
        <v>460.81</v>
      </c>
      <c r="DZ61" s="366">
        <v>250.19</v>
      </c>
      <c r="EA61" s="366">
        <v>17.75</v>
      </c>
      <c r="EB61" s="366">
        <v>454.81</v>
      </c>
      <c r="EC61" s="366">
        <v>104.76</v>
      </c>
      <c r="ED61" s="366">
        <v>351.24</v>
      </c>
      <c r="EE61" s="366">
        <v>362.03</v>
      </c>
      <c r="EF61" s="366">
        <v>281.98</v>
      </c>
      <c r="EG61" s="366">
        <v>84.09</v>
      </c>
      <c r="EH61" s="366">
        <v>84.09</v>
      </c>
      <c r="EI61" s="366">
        <v>385.01</v>
      </c>
      <c r="EJ61" s="366">
        <v>514.91</v>
      </c>
      <c r="EK61" s="366">
        <v>263.44</v>
      </c>
      <c r="EL61" s="366">
        <v>263.44</v>
      </c>
      <c r="EM61" s="366">
        <v>357.55</v>
      </c>
      <c r="EN61" s="366">
        <v>357.55</v>
      </c>
      <c r="EO61" s="366">
        <v>380.17</v>
      </c>
      <c r="EP61" s="366">
        <v>421.13</v>
      </c>
      <c r="EQ61" s="366">
        <v>69.03</v>
      </c>
      <c r="ER61" s="366">
        <v>521.26</v>
      </c>
      <c r="ES61" s="366">
        <v>326.19</v>
      </c>
      <c r="ET61" s="366">
        <v>341.65</v>
      </c>
      <c r="EU61" s="366">
        <v>642.77</v>
      </c>
      <c r="EV61" s="366">
        <v>253.36</v>
      </c>
      <c r="EW61" s="366">
        <v>385.93</v>
      </c>
      <c r="EX61" s="366">
        <v>302.93</v>
      </c>
      <c r="EY61" s="366">
        <v>302.93</v>
      </c>
      <c r="EZ61" s="366">
        <v>409.36</v>
      </c>
      <c r="FA61" s="366">
        <v>354.72</v>
      </c>
      <c r="FB61" s="366">
        <v>190.29</v>
      </c>
      <c r="FC61" s="366">
        <v>407.56</v>
      </c>
      <c r="FD61" s="366">
        <v>297.20999999999998</v>
      </c>
      <c r="FE61" s="366">
        <v>388.84</v>
      </c>
      <c r="FF61" s="366">
        <v>364.02</v>
      </c>
      <c r="FG61" s="366">
        <v>574.22</v>
      </c>
      <c r="FH61" s="366">
        <v>574.22</v>
      </c>
      <c r="FI61" s="366">
        <v>234.23</v>
      </c>
      <c r="FJ61" s="366">
        <v>240.02</v>
      </c>
      <c r="FK61" s="366">
        <v>353.93</v>
      </c>
      <c r="FL61" s="366">
        <v>352.12</v>
      </c>
      <c r="FM61" s="366">
        <v>380.17</v>
      </c>
      <c r="FN61" s="366">
        <v>284.11</v>
      </c>
      <c r="FO61" s="366">
        <v>26.12</v>
      </c>
      <c r="FP61" s="366">
        <v>439.91</v>
      </c>
      <c r="FQ61" s="366">
        <v>5.69</v>
      </c>
      <c r="FR61" s="366">
        <v>165.45</v>
      </c>
      <c r="FS61" s="366">
        <v>294.08999999999997</v>
      </c>
      <c r="FT61" s="366">
        <v>510.2</v>
      </c>
      <c r="FU61" s="366">
        <v>302.58999999999997</v>
      </c>
      <c r="FV61" s="366">
        <v>706.67</v>
      </c>
      <c r="FW61" s="366">
        <v>706.67</v>
      </c>
      <c r="FX61" s="366">
        <v>706.67</v>
      </c>
      <c r="FY61" s="366">
        <v>303.86</v>
      </c>
      <c r="FZ61" s="366">
        <v>378.75</v>
      </c>
      <c r="GA61" s="366">
        <v>431.01</v>
      </c>
      <c r="GB61" s="366">
        <v>332.56</v>
      </c>
      <c r="GC61" s="366">
        <v>351.24</v>
      </c>
      <c r="GD61" s="366">
        <v>225.67</v>
      </c>
      <c r="GE61" s="366">
        <v>59.64</v>
      </c>
      <c r="GF61" s="366">
        <v>289.06</v>
      </c>
      <c r="GG61" s="366">
        <v>289.06</v>
      </c>
      <c r="GH61" s="366">
        <v>479.46</v>
      </c>
      <c r="GI61" s="366">
        <v>380.33</v>
      </c>
      <c r="GJ61" s="366">
        <v>380.17</v>
      </c>
      <c r="GK61" s="366">
        <v>350.48</v>
      </c>
      <c r="GL61" s="366">
        <v>371.34</v>
      </c>
      <c r="GM61" s="366">
        <v>371.34</v>
      </c>
      <c r="GN61" s="366">
        <v>371.34</v>
      </c>
      <c r="GO61" s="366">
        <v>327.44</v>
      </c>
      <c r="GP61" s="366">
        <v>436.42</v>
      </c>
      <c r="GQ61" s="366">
        <v>396.19</v>
      </c>
      <c r="GR61" s="366">
        <v>382.58</v>
      </c>
      <c r="GS61" s="366">
        <v>307.19</v>
      </c>
      <c r="GT61" s="366">
        <v>84.09</v>
      </c>
      <c r="GU61" s="366">
        <v>199.27</v>
      </c>
      <c r="GV61" s="366">
        <v>522.1</v>
      </c>
      <c r="GW61" s="366">
        <v>347.32</v>
      </c>
      <c r="GX61" s="366">
        <v>80.66</v>
      </c>
      <c r="GY61" s="366">
        <v>362.11</v>
      </c>
      <c r="GZ61" s="366">
        <v>296.93</v>
      </c>
      <c r="HA61" s="366">
        <v>31.53</v>
      </c>
      <c r="HB61" s="366">
        <v>31.53</v>
      </c>
      <c r="HC61" s="366">
        <v>31.53</v>
      </c>
      <c r="HD61" s="366">
        <v>286.48</v>
      </c>
      <c r="HE61" s="366">
        <v>351.4</v>
      </c>
      <c r="HF61" s="366">
        <v>307.69</v>
      </c>
      <c r="HG61" s="366">
        <v>435.34</v>
      </c>
      <c r="HH61" s="366">
        <v>435.34</v>
      </c>
      <c r="HI61" s="366">
        <v>435.34</v>
      </c>
      <c r="HJ61" s="366">
        <v>309.93</v>
      </c>
      <c r="HK61" s="366">
        <v>156.58000000000001</v>
      </c>
      <c r="HL61" s="366">
        <v>405.4</v>
      </c>
      <c r="HM61" s="366">
        <v>377.45</v>
      </c>
      <c r="HN61" s="366">
        <v>380.17</v>
      </c>
      <c r="HO61" s="366">
        <v>610.92999999999995</v>
      </c>
      <c r="HP61" s="366">
        <v>297.64999999999998</v>
      </c>
      <c r="HQ61" s="366">
        <v>706.67</v>
      </c>
      <c r="HR61" s="366">
        <v>456.92</v>
      </c>
      <c r="HS61" s="366">
        <v>376.42</v>
      </c>
      <c r="HT61" s="366">
        <v>328.58</v>
      </c>
      <c r="HU61" s="366">
        <v>363.1</v>
      </c>
      <c r="HV61" s="366">
        <v>408.29</v>
      </c>
    </row>
    <row r="62" spans="1:230">
      <c r="A62" s="366" t="s">
        <v>84</v>
      </c>
      <c r="B62" s="366">
        <v>833.93</v>
      </c>
      <c r="C62" s="366">
        <v>272.55</v>
      </c>
      <c r="D62" s="366">
        <v>280.16000000000003</v>
      </c>
      <c r="E62" s="366">
        <v>280.16000000000003</v>
      </c>
      <c r="F62" s="366">
        <v>897.83</v>
      </c>
      <c r="G62" s="366">
        <v>705.4</v>
      </c>
      <c r="H62" s="366">
        <v>323.77999999999997</v>
      </c>
      <c r="I62" s="366">
        <v>324.45</v>
      </c>
      <c r="J62" s="366">
        <v>347.56</v>
      </c>
      <c r="K62" s="366">
        <v>347.56</v>
      </c>
      <c r="L62" s="366">
        <v>270.77</v>
      </c>
      <c r="M62" s="366">
        <v>298.17</v>
      </c>
      <c r="N62" s="366">
        <v>274.13</v>
      </c>
      <c r="O62" s="366">
        <v>279.48</v>
      </c>
      <c r="P62" s="366">
        <v>279.48</v>
      </c>
      <c r="Q62" s="366">
        <v>279.48</v>
      </c>
      <c r="R62" s="366">
        <v>279.48</v>
      </c>
      <c r="S62" s="366">
        <v>279.48</v>
      </c>
      <c r="T62" s="366">
        <v>398.95</v>
      </c>
      <c r="U62" s="366">
        <v>813.44</v>
      </c>
      <c r="V62" s="366">
        <v>232.54</v>
      </c>
      <c r="W62" s="366">
        <v>542.30999999999995</v>
      </c>
      <c r="X62" s="366">
        <v>542.30999999999995</v>
      </c>
      <c r="Y62" s="366">
        <v>542.30999999999995</v>
      </c>
      <c r="Z62" s="366">
        <v>89.29</v>
      </c>
      <c r="AA62" s="366">
        <v>699.57</v>
      </c>
      <c r="AB62" s="366">
        <v>458.69</v>
      </c>
      <c r="AC62" s="366">
        <v>461.15</v>
      </c>
      <c r="AD62" s="366">
        <v>461.15</v>
      </c>
      <c r="AE62" s="366">
        <v>229.26</v>
      </c>
      <c r="AF62" s="366">
        <v>719.14</v>
      </c>
      <c r="AG62" s="366">
        <v>543.83000000000004</v>
      </c>
      <c r="AH62" s="366">
        <v>278.39999999999998</v>
      </c>
      <c r="AI62" s="366">
        <v>278.39999999999998</v>
      </c>
      <c r="AJ62" s="366">
        <v>278.39999999999998</v>
      </c>
      <c r="AK62" s="366">
        <v>111.49</v>
      </c>
      <c r="AL62" s="366">
        <v>111.49</v>
      </c>
      <c r="AM62" s="366">
        <v>461.41</v>
      </c>
      <c r="AN62" s="366">
        <v>242.81</v>
      </c>
      <c r="AO62" s="366">
        <v>712.52</v>
      </c>
      <c r="AP62" s="366">
        <v>387.67</v>
      </c>
      <c r="AQ62" s="366">
        <v>854.37</v>
      </c>
      <c r="AR62" s="366">
        <v>410.33</v>
      </c>
      <c r="AS62" s="366">
        <v>195.32</v>
      </c>
      <c r="AT62" s="366">
        <v>195.32</v>
      </c>
      <c r="AU62" s="366">
        <v>147.4</v>
      </c>
      <c r="AV62" s="366">
        <v>844.49</v>
      </c>
      <c r="AW62" s="366">
        <v>391.88</v>
      </c>
      <c r="AX62" s="366">
        <v>345.05</v>
      </c>
      <c r="AY62" s="366">
        <v>309.83999999999997</v>
      </c>
      <c r="AZ62" s="366">
        <v>321.73</v>
      </c>
      <c r="BA62" s="366">
        <v>674.75</v>
      </c>
      <c r="BB62" s="366">
        <v>312.73</v>
      </c>
      <c r="BC62" s="366">
        <v>616.80999999999995</v>
      </c>
      <c r="BD62" s="366">
        <v>526.58000000000004</v>
      </c>
      <c r="BE62" s="366">
        <v>236.6</v>
      </c>
      <c r="BF62" s="366">
        <v>455.66</v>
      </c>
      <c r="BG62" s="366">
        <v>96.84</v>
      </c>
      <c r="BH62" s="366">
        <v>279.48</v>
      </c>
      <c r="BI62" s="366">
        <v>410.36</v>
      </c>
      <c r="BJ62" s="366">
        <v>0</v>
      </c>
      <c r="BK62" s="366">
        <v>415.79</v>
      </c>
      <c r="BL62" s="366">
        <v>273.16000000000003</v>
      </c>
      <c r="BM62" s="366">
        <v>296.37</v>
      </c>
      <c r="BN62" s="366">
        <v>739.76</v>
      </c>
      <c r="BO62" s="366">
        <v>457.99</v>
      </c>
      <c r="BP62" s="366">
        <v>423.85</v>
      </c>
      <c r="BQ62" s="366">
        <v>303.75</v>
      </c>
      <c r="BR62" s="366">
        <v>303.75</v>
      </c>
      <c r="BS62" s="366">
        <v>296.36</v>
      </c>
      <c r="BT62" s="366">
        <v>394.79</v>
      </c>
      <c r="BU62" s="366">
        <v>439.19</v>
      </c>
      <c r="BV62" s="366">
        <v>458.81</v>
      </c>
      <c r="BW62" s="366">
        <v>206.69</v>
      </c>
      <c r="BX62" s="366">
        <v>296.67</v>
      </c>
      <c r="BY62" s="366">
        <v>260.02</v>
      </c>
      <c r="BZ62" s="366">
        <v>260.02</v>
      </c>
      <c r="CA62" s="366">
        <v>423.82</v>
      </c>
      <c r="CB62" s="366">
        <v>315.10000000000002</v>
      </c>
      <c r="CC62" s="366">
        <v>316.22000000000003</v>
      </c>
      <c r="CD62" s="366">
        <v>318.62</v>
      </c>
      <c r="CE62" s="366">
        <v>399.02</v>
      </c>
      <c r="CF62" s="366">
        <v>717.87</v>
      </c>
      <c r="CG62" s="366">
        <v>717.87</v>
      </c>
      <c r="CH62" s="366">
        <v>318.75</v>
      </c>
      <c r="CI62" s="366">
        <v>221.66</v>
      </c>
      <c r="CJ62" s="366">
        <v>728.82</v>
      </c>
      <c r="CK62" s="366">
        <v>265.11</v>
      </c>
      <c r="CL62" s="366">
        <v>161.19</v>
      </c>
      <c r="CM62" s="366">
        <v>563.09</v>
      </c>
      <c r="CN62" s="366">
        <v>50.63</v>
      </c>
      <c r="CO62" s="366">
        <v>408.94</v>
      </c>
      <c r="CP62" s="366">
        <v>297.06</v>
      </c>
      <c r="CQ62" s="366">
        <v>297.06</v>
      </c>
      <c r="CR62" s="366">
        <v>361.34</v>
      </c>
      <c r="CS62" s="366">
        <v>361.34</v>
      </c>
      <c r="CT62" s="366">
        <v>370.78</v>
      </c>
      <c r="CU62" s="366">
        <v>362.91</v>
      </c>
      <c r="CV62" s="366">
        <v>365.51</v>
      </c>
      <c r="CW62" s="366">
        <v>232.54</v>
      </c>
      <c r="CX62" s="366">
        <v>335.29</v>
      </c>
      <c r="CY62" s="366">
        <v>609.51</v>
      </c>
      <c r="CZ62" s="366">
        <v>630.75</v>
      </c>
      <c r="DA62" s="366">
        <v>212.18</v>
      </c>
      <c r="DB62" s="366">
        <v>30.94</v>
      </c>
      <c r="DC62" s="366">
        <v>30.94</v>
      </c>
      <c r="DD62" s="366">
        <v>529.47</v>
      </c>
      <c r="DE62" s="366">
        <v>289.81</v>
      </c>
      <c r="DF62" s="366">
        <v>882.29</v>
      </c>
      <c r="DG62" s="366">
        <v>251.31</v>
      </c>
      <c r="DH62" s="366">
        <v>352.37</v>
      </c>
      <c r="DI62" s="366">
        <v>583.69000000000005</v>
      </c>
      <c r="DJ62" s="366">
        <v>646.95000000000005</v>
      </c>
      <c r="DK62" s="366">
        <v>259.08999999999997</v>
      </c>
      <c r="DL62" s="366">
        <v>445.19</v>
      </c>
      <c r="DM62" s="366">
        <v>284.97000000000003</v>
      </c>
      <c r="DN62" s="366">
        <v>598.45000000000005</v>
      </c>
      <c r="DO62" s="366">
        <v>285.66000000000003</v>
      </c>
      <c r="DP62" s="366">
        <v>491.16</v>
      </c>
      <c r="DQ62" s="366">
        <v>218.03</v>
      </c>
      <c r="DR62" s="366">
        <v>352.37</v>
      </c>
      <c r="DS62" s="366">
        <v>386.81</v>
      </c>
      <c r="DT62" s="366">
        <v>375.1</v>
      </c>
      <c r="DU62" s="366">
        <v>181.84</v>
      </c>
      <c r="DV62" s="366">
        <v>115.13</v>
      </c>
      <c r="DW62" s="366">
        <v>211.74</v>
      </c>
      <c r="DX62" s="366">
        <v>193.01</v>
      </c>
      <c r="DY62" s="366">
        <v>266.39999999999998</v>
      </c>
      <c r="DZ62" s="366">
        <v>539.14</v>
      </c>
      <c r="EA62" s="366">
        <v>392.61</v>
      </c>
      <c r="EB62" s="366">
        <v>260.39999999999998</v>
      </c>
      <c r="EC62" s="366">
        <v>305.60000000000002</v>
      </c>
      <c r="ED62" s="366">
        <v>613.46</v>
      </c>
      <c r="EE62" s="366">
        <v>624.25</v>
      </c>
      <c r="EF62" s="366">
        <v>381.39</v>
      </c>
      <c r="EG62" s="366">
        <v>391.88</v>
      </c>
      <c r="EH62" s="366">
        <v>391.88</v>
      </c>
      <c r="EI62" s="366">
        <v>302.27</v>
      </c>
      <c r="EJ62" s="366">
        <v>568.01</v>
      </c>
      <c r="EK62" s="366">
        <v>180.7</v>
      </c>
      <c r="EL62" s="366">
        <v>180.7</v>
      </c>
      <c r="EM62" s="366">
        <v>112.67</v>
      </c>
      <c r="EN62" s="366">
        <v>112.67</v>
      </c>
      <c r="EO62" s="366">
        <v>461.41</v>
      </c>
      <c r="EP62" s="366">
        <v>384.27</v>
      </c>
      <c r="EQ62" s="366">
        <v>380.27</v>
      </c>
      <c r="ER62" s="366">
        <v>783.48</v>
      </c>
      <c r="ES62" s="366">
        <v>272.64999999999998</v>
      </c>
      <c r="ET62" s="366">
        <v>321.72000000000003</v>
      </c>
      <c r="EU62" s="366">
        <v>833.93</v>
      </c>
      <c r="EV62" s="366">
        <v>542.30999999999995</v>
      </c>
      <c r="EW62" s="366">
        <v>303.19</v>
      </c>
      <c r="EX62" s="366">
        <v>356.03</v>
      </c>
      <c r="EY62" s="366">
        <v>356.03</v>
      </c>
      <c r="EZ62" s="366">
        <v>214.95</v>
      </c>
      <c r="FA62" s="366">
        <v>134.49</v>
      </c>
      <c r="FB62" s="366">
        <v>243.39</v>
      </c>
      <c r="FC62" s="366">
        <v>213.15</v>
      </c>
      <c r="FD62" s="366">
        <v>208.83</v>
      </c>
      <c r="FE62" s="366">
        <v>306.10000000000002</v>
      </c>
      <c r="FF62" s="366">
        <v>281.27999999999997</v>
      </c>
      <c r="FG62" s="366">
        <v>665.79</v>
      </c>
      <c r="FH62" s="366">
        <v>665.79</v>
      </c>
      <c r="FI62" s="366">
        <v>523.17999999999995</v>
      </c>
      <c r="FJ62" s="366">
        <v>528.97</v>
      </c>
      <c r="FK62" s="366">
        <v>300.39</v>
      </c>
      <c r="FL62" s="366">
        <v>298.58</v>
      </c>
      <c r="FM62" s="366">
        <v>461.41</v>
      </c>
      <c r="FN62" s="366">
        <v>573.05999999999995</v>
      </c>
      <c r="FO62" s="366">
        <v>400.98</v>
      </c>
      <c r="FP62" s="366">
        <v>245.5</v>
      </c>
      <c r="FQ62" s="366">
        <v>404.85</v>
      </c>
      <c r="FR62" s="366">
        <v>288.11</v>
      </c>
      <c r="FS62" s="366">
        <v>211.35</v>
      </c>
      <c r="FT62" s="366">
        <v>662.11</v>
      </c>
      <c r="FU62" s="366">
        <v>209.27</v>
      </c>
      <c r="FV62" s="366">
        <v>897.83</v>
      </c>
      <c r="FW62" s="366">
        <v>897.83</v>
      </c>
      <c r="FX62" s="366">
        <v>897.83</v>
      </c>
      <c r="FY62" s="366">
        <v>142.74</v>
      </c>
      <c r="FZ62" s="366">
        <v>296.01</v>
      </c>
      <c r="GA62" s="366">
        <v>236.6</v>
      </c>
      <c r="GB62" s="366">
        <v>249.82</v>
      </c>
      <c r="GC62" s="366">
        <v>613.46</v>
      </c>
      <c r="GD62" s="366">
        <v>278.77</v>
      </c>
      <c r="GE62" s="366">
        <v>370.88</v>
      </c>
      <c r="GF62" s="366">
        <v>195.74</v>
      </c>
      <c r="GG62" s="366">
        <v>195.74</v>
      </c>
      <c r="GH62" s="366">
        <v>285.05</v>
      </c>
      <c r="GI62" s="366">
        <v>461.57</v>
      </c>
      <c r="GJ62" s="366">
        <v>461.41</v>
      </c>
      <c r="GK62" s="366">
        <v>296.94</v>
      </c>
      <c r="GL62" s="366">
        <v>288.60000000000002</v>
      </c>
      <c r="GM62" s="366">
        <v>288.60000000000002</v>
      </c>
      <c r="GN62" s="366">
        <v>288.60000000000002</v>
      </c>
      <c r="GO62" s="366">
        <v>426.85</v>
      </c>
      <c r="GP62" s="366">
        <v>242.01</v>
      </c>
      <c r="GQ62" s="366">
        <v>449.29</v>
      </c>
      <c r="GR62" s="366">
        <v>489.64</v>
      </c>
      <c r="GS62" s="366">
        <v>356.18</v>
      </c>
      <c r="GT62" s="366">
        <v>391.88</v>
      </c>
      <c r="GU62" s="366">
        <v>213.97</v>
      </c>
      <c r="GV62" s="366">
        <v>575.20000000000005</v>
      </c>
      <c r="GW62" s="366">
        <v>264.58</v>
      </c>
      <c r="GX62" s="366">
        <v>388.45</v>
      </c>
      <c r="GY62" s="366">
        <v>279.37</v>
      </c>
      <c r="GZ62" s="366">
        <v>208.55</v>
      </c>
      <c r="HA62" s="366">
        <v>406.39</v>
      </c>
      <c r="HB62" s="366">
        <v>406.39</v>
      </c>
      <c r="HC62" s="366">
        <v>406.39</v>
      </c>
      <c r="HD62" s="366">
        <v>575.42999999999995</v>
      </c>
      <c r="HE62" s="366">
        <v>106.52</v>
      </c>
      <c r="HF62" s="366">
        <v>103.39</v>
      </c>
      <c r="HG62" s="366">
        <v>59.94</v>
      </c>
      <c r="HH62" s="366">
        <v>59.94</v>
      </c>
      <c r="HI62" s="366">
        <v>59.94</v>
      </c>
      <c r="HJ62" s="366">
        <v>216.61</v>
      </c>
      <c r="HK62" s="366">
        <v>464.37</v>
      </c>
      <c r="HL62" s="366">
        <v>312.86</v>
      </c>
      <c r="HM62" s="366">
        <v>458.69</v>
      </c>
      <c r="HN62" s="366">
        <v>461.41</v>
      </c>
      <c r="HO62" s="366">
        <v>867.13</v>
      </c>
      <c r="HP62" s="366">
        <v>209.27</v>
      </c>
      <c r="HQ62" s="366">
        <v>897.83</v>
      </c>
      <c r="HR62" s="366">
        <v>719.14</v>
      </c>
      <c r="HS62" s="366">
        <v>457.66</v>
      </c>
      <c r="HT62" s="366">
        <v>339.98</v>
      </c>
      <c r="HU62" s="366">
        <v>307.23</v>
      </c>
      <c r="HV62" s="366">
        <v>325.55</v>
      </c>
    </row>
    <row r="63" spans="1:230">
      <c r="A63" s="366" t="s">
        <v>85</v>
      </c>
      <c r="B63" s="366">
        <v>902.89</v>
      </c>
      <c r="C63" s="366">
        <v>193.64</v>
      </c>
      <c r="D63" s="366">
        <v>232.49</v>
      </c>
      <c r="E63" s="366">
        <v>232.49</v>
      </c>
      <c r="F63" s="366">
        <v>966.79</v>
      </c>
      <c r="G63" s="366">
        <v>703.3</v>
      </c>
      <c r="H63" s="366">
        <v>276.11</v>
      </c>
      <c r="I63" s="366">
        <v>412.62</v>
      </c>
      <c r="J63" s="366">
        <v>299.89</v>
      </c>
      <c r="K63" s="366">
        <v>299.89</v>
      </c>
      <c r="L63" s="366">
        <v>214.58</v>
      </c>
      <c r="M63" s="366">
        <v>219.06</v>
      </c>
      <c r="N63" s="366">
        <v>315.95999999999998</v>
      </c>
      <c r="O63" s="366">
        <v>377.45</v>
      </c>
      <c r="P63" s="366">
        <v>377.45</v>
      </c>
      <c r="Q63" s="366">
        <v>377.45</v>
      </c>
      <c r="R63" s="366">
        <v>377.45</v>
      </c>
      <c r="S63" s="366">
        <v>377.45</v>
      </c>
      <c r="T63" s="366">
        <v>487.12</v>
      </c>
      <c r="U63" s="366">
        <v>811.34</v>
      </c>
      <c r="V63" s="366">
        <v>432.38</v>
      </c>
      <c r="W63" s="366">
        <v>513.48</v>
      </c>
      <c r="X63" s="366">
        <v>513.48</v>
      </c>
      <c r="Y63" s="366">
        <v>513.48</v>
      </c>
      <c r="Z63" s="366">
        <v>376.9</v>
      </c>
      <c r="AA63" s="366">
        <v>697.47</v>
      </c>
      <c r="AB63" s="366">
        <v>546.86</v>
      </c>
      <c r="AC63" s="366">
        <v>549.32000000000005</v>
      </c>
      <c r="AD63" s="366">
        <v>549.32000000000005</v>
      </c>
      <c r="AE63" s="366">
        <v>283.39</v>
      </c>
      <c r="AF63" s="366">
        <v>717.04</v>
      </c>
      <c r="AG63" s="366">
        <v>515</v>
      </c>
      <c r="AH63" s="366">
        <v>366.57</v>
      </c>
      <c r="AI63" s="366">
        <v>366.57</v>
      </c>
      <c r="AJ63" s="366">
        <v>366.57</v>
      </c>
      <c r="AK63" s="366">
        <v>359.66</v>
      </c>
      <c r="AL63" s="366">
        <v>359.66</v>
      </c>
      <c r="AM63" s="366">
        <v>549.58000000000004</v>
      </c>
      <c r="AN63" s="366">
        <v>336.62</v>
      </c>
      <c r="AO63" s="366">
        <v>719.91</v>
      </c>
      <c r="AP63" s="366">
        <v>475.84</v>
      </c>
      <c r="AQ63" s="366">
        <v>923.33</v>
      </c>
      <c r="AR63" s="366">
        <v>362.66</v>
      </c>
      <c r="AS63" s="366">
        <v>220.47</v>
      </c>
      <c r="AT63" s="366">
        <v>220.47</v>
      </c>
      <c r="AU63" s="366">
        <v>347.24</v>
      </c>
      <c r="AV63" s="366">
        <v>842.39</v>
      </c>
      <c r="AW63" s="366">
        <v>344.21</v>
      </c>
      <c r="AX63" s="366">
        <v>433.22</v>
      </c>
      <c r="AY63" s="366">
        <v>351.67</v>
      </c>
      <c r="AZ63" s="366">
        <v>162.26</v>
      </c>
      <c r="BA63" s="366">
        <v>762.92</v>
      </c>
      <c r="BB63" s="366">
        <v>354.56</v>
      </c>
      <c r="BC63" s="366">
        <v>704.98</v>
      </c>
      <c r="BD63" s="366">
        <v>614.75</v>
      </c>
      <c r="BE63" s="366">
        <v>436.44</v>
      </c>
      <c r="BF63" s="366">
        <v>543.83000000000004</v>
      </c>
      <c r="BG63" s="366">
        <v>373.42</v>
      </c>
      <c r="BH63" s="366">
        <v>377.45</v>
      </c>
      <c r="BI63" s="366">
        <v>362.69</v>
      </c>
      <c r="BJ63" s="366">
        <v>415.79</v>
      </c>
      <c r="BK63" s="366">
        <v>0</v>
      </c>
      <c r="BL63" s="366">
        <v>239.49</v>
      </c>
      <c r="BM63" s="366">
        <v>248.7</v>
      </c>
      <c r="BN63" s="366">
        <v>737.66</v>
      </c>
      <c r="BO63" s="366">
        <v>42.2</v>
      </c>
      <c r="BP63" s="366">
        <v>8.06</v>
      </c>
      <c r="BQ63" s="366">
        <v>391.92</v>
      </c>
      <c r="BR63" s="366">
        <v>391.92</v>
      </c>
      <c r="BS63" s="366">
        <v>169.83</v>
      </c>
      <c r="BT63" s="366">
        <v>347.12</v>
      </c>
      <c r="BU63" s="366">
        <v>527.36</v>
      </c>
      <c r="BV63" s="366">
        <v>546.98</v>
      </c>
      <c r="BW63" s="366">
        <v>406.53</v>
      </c>
      <c r="BX63" s="366">
        <v>119.12</v>
      </c>
      <c r="BY63" s="366">
        <v>459.86</v>
      </c>
      <c r="BZ63" s="366">
        <v>459.86</v>
      </c>
      <c r="CA63" s="366">
        <v>376.15</v>
      </c>
      <c r="CB63" s="366">
        <v>101.01</v>
      </c>
      <c r="CC63" s="366">
        <v>404.39</v>
      </c>
      <c r="CD63" s="366">
        <v>406.79</v>
      </c>
      <c r="CE63" s="366">
        <v>16.77</v>
      </c>
      <c r="CF63" s="366">
        <v>715.77</v>
      </c>
      <c r="CG63" s="366">
        <v>715.77</v>
      </c>
      <c r="CH63" s="366">
        <v>406.92</v>
      </c>
      <c r="CI63" s="366">
        <v>320.41000000000003</v>
      </c>
      <c r="CJ63" s="366">
        <v>726.72</v>
      </c>
      <c r="CK63" s="366">
        <v>464.95</v>
      </c>
      <c r="CL63" s="366">
        <v>361.03</v>
      </c>
      <c r="CM63" s="366">
        <v>651.26</v>
      </c>
      <c r="CN63" s="366">
        <v>365.16</v>
      </c>
      <c r="CO63" s="366">
        <v>361.27</v>
      </c>
      <c r="CP63" s="366">
        <v>385.23</v>
      </c>
      <c r="CQ63" s="366">
        <v>385.23</v>
      </c>
      <c r="CR63" s="366">
        <v>313.67</v>
      </c>
      <c r="CS63" s="366">
        <v>313.67</v>
      </c>
      <c r="CT63" s="366">
        <v>323.11</v>
      </c>
      <c r="CU63" s="366">
        <v>315.24</v>
      </c>
      <c r="CV63" s="366">
        <v>317.83999999999997</v>
      </c>
      <c r="CW63" s="366">
        <v>432.38</v>
      </c>
      <c r="CX63" s="366">
        <v>423.46</v>
      </c>
      <c r="CY63" s="366">
        <v>697.68</v>
      </c>
      <c r="CZ63" s="366">
        <v>718.92</v>
      </c>
      <c r="DA63" s="366">
        <v>254.01</v>
      </c>
      <c r="DB63" s="366">
        <v>411.77</v>
      </c>
      <c r="DC63" s="366">
        <v>411.77</v>
      </c>
      <c r="DD63" s="366">
        <v>500.64</v>
      </c>
      <c r="DE63" s="366">
        <v>331.64</v>
      </c>
      <c r="DF63" s="366">
        <v>951.25</v>
      </c>
      <c r="DG63" s="366">
        <v>350.06</v>
      </c>
      <c r="DH63" s="366">
        <v>394.2</v>
      </c>
      <c r="DI63" s="366">
        <v>581.59</v>
      </c>
      <c r="DJ63" s="366">
        <v>735.12</v>
      </c>
      <c r="DK63" s="366">
        <v>156.69999999999999</v>
      </c>
      <c r="DL63" s="366">
        <v>533.36</v>
      </c>
      <c r="DM63" s="366">
        <v>181.22</v>
      </c>
      <c r="DN63" s="366">
        <v>596.35</v>
      </c>
      <c r="DO63" s="366">
        <v>134.69999999999999</v>
      </c>
      <c r="DP63" s="366">
        <v>462.33</v>
      </c>
      <c r="DQ63" s="366">
        <v>417.87</v>
      </c>
      <c r="DR63" s="366">
        <v>394.2</v>
      </c>
      <c r="DS63" s="366">
        <v>339.14</v>
      </c>
      <c r="DT63" s="366">
        <v>327.43</v>
      </c>
      <c r="DU63" s="366">
        <v>284.35000000000002</v>
      </c>
      <c r="DV63" s="366">
        <v>351.06</v>
      </c>
      <c r="DW63" s="366">
        <v>204.05</v>
      </c>
      <c r="DX63" s="366">
        <v>392.85</v>
      </c>
      <c r="DY63" s="366">
        <v>466.24</v>
      </c>
      <c r="DZ63" s="366">
        <v>510.31</v>
      </c>
      <c r="EA63" s="366">
        <v>344.94</v>
      </c>
      <c r="EB63" s="366">
        <v>460.24</v>
      </c>
      <c r="EC63" s="366">
        <v>257.93</v>
      </c>
      <c r="ED63" s="366">
        <v>611.36</v>
      </c>
      <c r="EE63" s="366">
        <v>622.15</v>
      </c>
      <c r="EF63" s="366">
        <v>469.56</v>
      </c>
      <c r="EG63" s="366">
        <v>344.21</v>
      </c>
      <c r="EH63" s="366">
        <v>344.21</v>
      </c>
      <c r="EI63" s="366">
        <v>390.44</v>
      </c>
      <c r="EJ63" s="366">
        <v>152.22</v>
      </c>
      <c r="EK63" s="366">
        <v>268.87</v>
      </c>
      <c r="EL63" s="366">
        <v>268.87</v>
      </c>
      <c r="EM63" s="366">
        <v>362.98</v>
      </c>
      <c r="EN63" s="366">
        <v>362.98</v>
      </c>
      <c r="EO63" s="366">
        <v>549.58000000000004</v>
      </c>
      <c r="EP63" s="366">
        <v>472.44</v>
      </c>
      <c r="EQ63" s="366">
        <v>332.6</v>
      </c>
      <c r="ER63" s="366">
        <v>781.38</v>
      </c>
      <c r="ES63" s="366">
        <v>193.54</v>
      </c>
      <c r="ET63" s="366">
        <v>409.89</v>
      </c>
      <c r="EU63" s="366">
        <v>902.89</v>
      </c>
      <c r="EV63" s="366">
        <v>513.48</v>
      </c>
      <c r="EW63" s="366">
        <v>391.36</v>
      </c>
      <c r="EX63" s="366">
        <v>59.78</v>
      </c>
      <c r="EY63" s="366">
        <v>59.78</v>
      </c>
      <c r="EZ63" s="366">
        <v>414.79</v>
      </c>
      <c r="FA63" s="366">
        <v>360.15</v>
      </c>
      <c r="FB63" s="366">
        <v>172.4</v>
      </c>
      <c r="FC63" s="366">
        <v>412.99</v>
      </c>
      <c r="FD63" s="366">
        <v>302.64</v>
      </c>
      <c r="FE63" s="366">
        <v>394.27</v>
      </c>
      <c r="FF63" s="366">
        <v>369.45</v>
      </c>
      <c r="FG63" s="366">
        <v>753.96</v>
      </c>
      <c r="FH63" s="366">
        <v>753.96</v>
      </c>
      <c r="FI63" s="366">
        <v>494.35</v>
      </c>
      <c r="FJ63" s="366">
        <v>500.14</v>
      </c>
      <c r="FK63" s="366">
        <v>221.28</v>
      </c>
      <c r="FL63" s="366">
        <v>219.47</v>
      </c>
      <c r="FM63" s="366">
        <v>549.58000000000004</v>
      </c>
      <c r="FN63" s="366">
        <v>544.23</v>
      </c>
      <c r="FO63" s="366">
        <v>353.31</v>
      </c>
      <c r="FP63" s="366">
        <v>445.34</v>
      </c>
      <c r="FQ63" s="366">
        <v>357.18</v>
      </c>
      <c r="FR63" s="366">
        <v>231.92</v>
      </c>
      <c r="FS63" s="366">
        <v>299.52</v>
      </c>
      <c r="FT63" s="366">
        <v>750.28</v>
      </c>
      <c r="FU63" s="366">
        <v>308.02</v>
      </c>
      <c r="FV63" s="366">
        <v>966.79</v>
      </c>
      <c r="FW63" s="366">
        <v>966.79</v>
      </c>
      <c r="FX63" s="366">
        <v>966.79</v>
      </c>
      <c r="FY63" s="366">
        <v>309.29000000000002</v>
      </c>
      <c r="FZ63" s="366">
        <v>384.18</v>
      </c>
      <c r="GA63" s="366">
        <v>436.44</v>
      </c>
      <c r="GB63" s="366">
        <v>337.99</v>
      </c>
      <c r="GC63" s="366">
        <v>611.36</v>
      </c>
      <c r="GD63" s="366">
        <v>137.02000000000001</v>
      </c>
      <c r="GE63" s="366">
        <v>323.20999999999998</v>
      </c>
      <c r="GF63" s="366">
        <v>294.49</v>
      </c>
      <c r="GG63" s="366">
        <v>294.49</v>
      </c>
      <c r="GH63" s="366">
        <v>484.89</v>
      </c>
      <c r="GI63" s="366">
        <v>549.74</v>
      </c>
      <c r="GJ63" s="366">
        <v>549.58000000000004</v>
      </c>
      <c r="GK63" s="366">
        <v>217.83</v>
      </c>
      <c r="GL63" s="366">
        <v>376.77</v>
      </c>
      <c r="GM63" s="366">
        <v>376.77</v>
      </c>
      <c r="GN63" s="366">
        <v>376.77</v>
      </c>
      <c r="GO63" s="366">
        <v>515.02</v>
      </c>
      <c r="GP63" s="366">
        <v>441.85</v>
      </c>
      <c r="GQ63" s="366">
        <v>33.5</v>
      </c>
      <c r="GR63" s="366">
        <v>577.80999999999995</v>
      </c>
      <c r="GS63" s="366">
        <v>444.35</v>
      </c>
      <c r="GT63" s="366">
        <v>344.21</v>
      </c>
      <c r="GU63" s="366">
        <v>301.56</v>
      </c>
      <c r="GV63" s="366">
        <v>159.41</v>
      </c>
      <c r="GW63" s="366">
        <v>352.75</v>
      </c>
      <c r="GX63" s="366">
        <v>340.78</v>
      </c>
      <c r="GY63" s="366">
        <v>367.54</v>
      </c>
      <c r="GZ63" s="366">
        <v>302.36</v>
      </c>
      <c r="HA63" s="366">
        <v>358.72</v>
      </c>
      <c r="HB63" s="366">
        <v>358.72</v>
      </c>
      <c r="HC63" s="366">
        <v>358.72</v>
      </c>
      <c r="HD63" s="366">
        <v>546.6</v>
      </c>
      <c r="HE63" s="366">
        <v>356.83</v>
      </c>
      <c r="HF63" s="366">
        <v>313.12</v>
      </c>
      <c r="HG63" s="366">
        <v>440.77</v>
      </c>
      <c r="HH63" s="366">
        <v>440.77</v>
      </c>
      <c r="HI63" s="366">
        <v>440.77</v>
      </c>
      <c r="HJ63" s="366">
        <v>315.36</v>
      </c>
      <c r="HK63" s="366">
        <v>416.7</v>
      </c>
      <c r="HL63" s="366">
        <v>410.83</v>
      </c>
      <c r="HM63" s="366">
        <v>546.86</v>
      </c>
      <c r="HN63" s="366">
        <v>549.58000000000004</v>
      </c>
      <c r="HO63" s="366">
        <v>871.05</v>
      </c>
      <c r="HP63" s="366">
        <v>303.08</v>
      </c>
      <c r="HQ63" s="366">
        <v>966.79</v>
      </c>
      <c r="HR63" s="366">
        <v>717.04</v>
      </c>
      <c r="HS63" s="366">
        <v>545.83000000000004</v>
      </c>
      <c r="HT63" s="366">
        <v>428.15</v>
      </c>
      <c r="HU63" s="366">
        <v>395.4</v>
      </c>
      <c r="HV63" s="366">
        <v>413.72</v>
      </c>
    </row>
    <row r="64" spans="1:230">
      <c r="A64" s="366" t="s">
        <v>86</v>
      </c>
      <c r="B64" s="366">
        <v>677.4</v>
      </c>
      <c r="C64" s="366">
        <v>203.09</v>
      </c>
      <c r="D64" s="366">
        <v>7</v>
      </c>
      <c r="E64" s="366">
        <v>7</v>
      </c>
      <c r="F64" s="366">
        <v>741.3</v>
      </c>
      <c r="G64" s="366">
        <v>477.81</v>
      </c>
      <c r="H64" s="366">
        <v>50.62</v>
      </c>
      <c r="I64" s="366">
        <v>269.99</v>
      </c>
      <c r="J64" s="366">
        <v>74.400000000000006</v>
      </c>
      <c r="K64" s="366">
        <v>74.400000000000006</v>
      </c>
      <c r="L64" s="366">
        <v>24.91</v>
      </c>
      <c r="M64" s="366">
        <v>228.51</v>
      </c>
      <c r="N64" s="366">
        <v>325.41000000000003</v>
      </c>
      <c r="O64" s="366">
        <v>234.82</v>
      </c>
      <c r="P64" s="366">
        <v>234.82</v>
      </c>
      <c r="Q64" s="366">
        <v>234.82</v>
      </c>
      <c r="R64" s="366">
        <v>234.82</v>
      </c>
      <c r="S64" s="366">
        <v>234.82</v>
      </c>
      <c r="T64" s="366">
        <v>344.49</v>
      </c>
      <c r="U64" s="366">
        <v>585.85</v>
      </c>
      <c r="V64" s="366">
        <v>289.75</v>
      </c>
      <c r="W64" s="366">
        <v>287.99</v>
      </c>
      <c r="X64" s="366">
        <v>287.99</v>
      </c>
      <c r="Y64" s="366">
        <v>287.99</v>
      </c>
      <c r="Z64" s="366">
        <v>327.49</v>
      </c>
      <c r="AA64" s="366">
        <v>471.98</v>
      </c>
      <c r="AB64" s="366">
        <v>404.23</v>
      </c>
      <c r="AC64" s="366">
        <v>404.21</v>
      </c>
      <c r="AD64" s="366">
        <v>404.21</v>
      </c>
      <c r="AE64" s="366">
        <v>43.9</v>
      </c>
      <c r="AF64" s="366">
        <v>491.55</v>
      </c>
      <c r="AG64" s="366">
        <v>289.51</v>
      </c>
      <c r="AH64" s="366">
        <v>223.94</v>
      </c>
      <c r="AI64" s="366">
        <v>223.94</v>
      </c>
      <c r="AJ64" s="366">
        <v>223.94</v>
      </c>
      <c r="AK64" s="366">
        <v>349.69</v>
      </c>
      <c r="AL64" s="366">
        <v>349.69</v>
      </c>
      <c r="AM64" s="366">
        <v>406.95</v>
      </c>
      <c r="AN64" s="366">
        <v>193.99</v>
      </c>
      <c r="AO64" s="366">
        <v>494.42</v>
      </c>
      <c r="AP64" s="366">
        <v>322.89</v>
      </c>
      <c r="AQ64" s="366">
        <v>697.84</v>
      </c>
      <c r="AR64" s="366">
        <v>137.16999999999999</v>
      </c>
      <c r="AS64" s="366">
        <v>100.36</v>
      </c>
      <c r="AT64" s="366">
        <v>100.36</v>
      </c>
      <c r="AU64" s="366">
        <v>204.61</v>
      </c>
      <c r="AV64" s="366">
        <v>616.9</v>
      </c>
      <c r="AW64" s="366">
        <v>118.72</v>
      </c>
      <c r="AX64" s="366">
        <v>290.58999999999997</v>
      </c>
      <c r="AY64" s="366">
        <v>361.12</v>
      </c>
      <c r="AZ64" s="366">
        <v>171.71</v>
      </c>
      <c r="BA64" s="366">
        <v>617.80999999999995</v>
      </c>
      <c r="BB64" s="366">
        <v>364.01</v>
      </c>
      <c r="BC64" s="366">
        <v>559.87</v>
      </c>
      <c r="BD64" s="366">
        <v>469.64</v>
      </c>
      <c r="BE64" s="366">
        <v>293.81</v>
      </c>
      <c r="BF64" s="366">
        <v>401.2</v>
      </c>
      <c r="BG64" s="366">
        <v>335.04</v>
      </c>
      <c r="BH64" s="366">
        <v>234.82</v>
      </c>
      <c r="BI64" s="366">
        <v>137.19999999999999</v>
      </c>
      <c r="BJ64" s="366">
        <v>273.16000000000003</v>
      </c>
      <c r="BK64" s="366">
        <v>239.49</v>
      </c>
      <c r="BL64" s="366">
        <v>0</v>
      </c>
      <c r="BM64" s="366">
        <v>23.21</v>
      </c>
      <c r="BN64" s="366">
        <v>512.16999999999996</v>
      </c>
      <c r="BO64" s="366">
        <v>281.69</v>
      </c>
      <c r="BP64" s="366">
        <v>247.55</v>
      </c>
      <c r="BQ64" s="366">
        <v>249.29</v>
      </c>
      <c r="BR64" s="366">
        <v>249.29</v>
      </c>
      <c r="BS64" s="366">
        <v>179.28</v>
      </c>
      <c r="BT64" s="366">
        <v>121.63</v>
      </c>
      <c r="BU64" s="366">
        <v>384.73</v>
      </c>
      <c r="BV64" s="366">
        <v>404.35</v>
      </c>
      <c r="BW64" s="366">
        <v>263.89999999999998</v>
      </c>
      <c r="BX64" s="366">
        <v>120.37</v>
      </c>
      <c r="BY64" s="366">
        <v>317.23</v>
      </c>
      <c r="BZ64" s="366">
        <v>317.23</v>
      </c>
      <c r="CA64" s="366">
        <v>150.66</v>
      </c>
      <c r="CB64" s="366">
        <v>138.80000000000001</v>
      </c>
      <c r="CC64" s="366">
        <v>261.76</v>
      </c>
      <c r="CD64" s="366">
        <v>264.16000000000003</v>
      </c>
      <c r="CE64" s="366">
        <v>222.72</v>
      </c>
      <c r="CF64" s="366">
        <v>490.28</v>
      </c>
      <c r="CG64" s="366">
        <v>490.28</v>
      </c>
      <c r="CH64" s="366">
        <v>264.29000000000002</v>
      </c>
      <c r="CI64" s="366">
        <v>177.78</v>
      </c>
      <c r="CJ64" s="366">
        <v>501.23</v>
      </c>
      <c r="CK64" s="366">
        <v>322.32</v>
      </c>
      <c r="CL64" s="366">
        <v>218.4</v>
      </c>
      <c r="CM64" s="366">
        <v>506.15</v>
      </c>
      <c r="CN64" s="366">
        <v>222.53</v>
      </c>
      <c r="CO64" s="366">
        <v>135.78</v>
      </c>
      <c r="CP64" s="366">
        <v>242.6</v>
      </c>
      <c r="CQ64" s="366">
        <v>242.6</v>
      </c>
      <c r="CR64" s="366">
        <v>88.18</v>
      </c>
      <c r="CS64" s="366">
        <v>88.18</v>
      </c>
      <c r="CT64" s="366">
        <v>97.62</v>
      </c>
      <c r="CU64" s="366">
        <v>89.75</v>
      </c>
      <c r="CV64" s="366">
        <v>92.35</v>
      </c>
      <c r="CW64" s="366">
        <v>289.75</v>
      </c>
      <c r="CX64" s="366">
        <v>280.83</v>
      </c>
      <c r="CY64" s="366">
        <v>552.57000000000005</v>
      </c>
      <c r="CZ64" s="366">
        <v>573.80999999999995</v>
      </c>
      <c r="DA64" s="366">
        <v>263.45999999999998</v>
      </c>
      <c r="DB64" s="366">
        <v>269.14</v>
      </c>
      <c r="DC64" s="366">
        <v>269.14</v>
      </c>
      <c r="DD64" s="366">
        <v>275.14999999999998</v>
      </c>
      <c r="DE64" s="366">
        <v>341.09</v>
      </c>
      <c r="DF64" s="366">
        <v>725.76</v>
      </c>
      <c r="DG64" s="366">
        <v>207.43</v>
      </c>
      <c r="DH64" s="366">
        <v>403.65</v>
      </c>
      <c r="DI64" s="366">
        <v>356.1</v>
      </c>
      <c r="DJ64" s="366">
        <v>559.99</v>
      </c>
      <c r="DK64" s="366">
        <v>82.79</v>
      </c>
      <c r="DL64" s="366">
        <v>386.58</v>
      </c>
      <c r="DM64" s="366">
        <v>190.67</v>
      </c>
      <c r="DN64" s="366">
        <v>370.86</v>
      </c>
      <c r="DO64" s="366">
        <v>109.36</v>
      </c>
      <c r="DP64" s="366">
        <v>236.84</v>
      </c>
      <c r="DQ64" s="366">
        <v>275.24</v>
      </c>
      <c r="DR64" s="366">
        <v>403.65</v>
      </c>
      <c r="DS64" s="366">
        <v>113.65</v>
      </c>
      <c r="DT64" s="366">
        <v>101.94</v>
      </c>
      <c r="DU64" s="366">
        <v>293.8</v>
      </c>
      <c r="DV64" s="366">
        <v>353.33</v>
      </c>
      <c r="DW64" s="366">
        <v>83.94</v>
      </c>
      <c r="DX64" s="366">
        <v>250.22</v>
      </c>
      <c r="DY64" s="366">
        <v>323.61</v>
      </c>
      <c r="DZ64" s="366">
        <v>284.82</v>
      </c>
      <c r="EA64" s="366">
        <v>119.45</v>
      </c>
      <c r="EB64" s="366">
        <v>317.61</v>
      </c>
      <c r="EC64" s="366">
        <v>32.44</v>
      </c>
      <c r="ED64" s="366">
        <v>385.87</v>
      </c>
      <c r="EE64" s="366">
        <v>396.66</v>
      </c>
      <c r="EF64" s="366">
        <v>316.61</v>
      </c>
      <c r="EG64" s="366">
        <v>118.72</v>
      </c>
      <c r="EH64" s="366">
        <v>118.72</v>
      </c>
      <c r="EI64" s="366">
        <v>247.81</v>
      </c>
      <c r="EJ64" s="366">
        <v>391.71</v>
      </c>
      <c r="EK64" s="366">
        <v>126.24</v>
      </c>
      <c r="EL64" s="366">
        <v>126.24</v>
      </c>
      <c r="EM64" s="366">
        <v>220.35</v>
      </c>
      <c r="EN64" s="366">
        <v>220.35</v>
      </c>
      <c r="EO64" s="366">
        <v>406.95</v>
      </c>
      <c r="EP64" s="366">
        <v>329.81</v>
      </c>
      <c r="EQ64" s="366">
        <v>107.11</v>
      </c>
      <c r="ER64" s="366">
        <v>555.89</v>
      </c>
      <c r="ES64" s="366">
        <v>202.99</v>
      </c>
      <c r="ET64" s="366">
        <v>267.26</v>
      </c>
      <c r="EU64" s="366">
        <v>677.4</v>
      </c>
      <c r="EV64" s="366">
        <v>287.99</v>
      </c>
      <c r="EW64" s="366">
        <v>248.73</v>
      </c>
      <c r="EX64" s="366">
        <v>179.73</v>
      </c>
      <c r="EY64" s="366">
        <v>179.73</v>
      </c>
      <c r="EZ64" s="366">
        <v>272.16000000000003</v>
      </c>
      <c r="FA64" s="366">
        <v>217.52</v>
      </c>
      <c r="FB64" s="366">
        <v>67.09</v>
      </c>
      <c r="FC64" s="366">
        <v>270.36</v>
      </c>
      <c r="FD64" s="366">
        <v>160.01</v>
      </c>
      <c r="FE64" s="366">
        <v>251.64</v>
      </c>
      <c r="FF64" s="366">
        <v>226.82</v>
      </c>
      <c r="FG64" s="366">
        <v>608.85</v>
      </c>
      <c r="FH64" s="366">
        <v>608.85</v>
      </c>
      <c r="FI64" s="366">
        <v>268.86</v>
      </c>
      <c r="FJ64" s="366">
        <v>274.64999999999998</v>
      </c>
      <c r="FK64" s="366">
        <v>230.73</v>
      </c>
      <c r="FL64" s="366">
        <v>228.92</v>
      </c>
      <c r="FM64" s="366">
        <v>406.95</v>
      </c>
      <c r="FN64" s="366">
        <v>318.74</v>
      </c>
      <c r="FO64" s="366">
        <v>127.82</v>
      </c>
      <c r="FP64" s="366">
        <v>302.70999999999998</v>
      </c>
      <c r="FQ64" s="366">
        <v>131.69</v>
      </c>
      <c r="FR64" s="366">
        <v>42.25</v>
      </c>
      <c r="FS64" s="366">
        <v>156.88999999999999</v>
      </c>
      <c r="FT64" s="366">
        <v>544.83000000000004</v>
      </c>
      <c r="FU64" s="366">
        <v>165.39</v>
      </c>
      <c r="FV64" s="366">
        <v>741.3</v>
      </c>
      <c r="FW64" s="366">
        <v>741.3</v>
      </c>
      <c r="FX64" s="366">
        <v>741.3</v>
      </c>
      <c r="FY64" s="366">
        <v>166.66</v>
      </c>
      <c r="FZ64" s="366">
        <v>241.55</v>
      </c>
      <c r="GA64" s="366">
        <v>293.81</v>
      </c>
      <c r="GB64" s="366">
        <v>195.36</v>
      </c>
      <c r="GC64" s="366">
        <v>385.87</v>
      </c>
      <c r="GD64" s="366">
        <v>102.47</v>
      </c>
      <c r="GE64" s="366">
        <v>97.72</v>
      </c>
      <c r="GF64" s="366">
        <v>151.86000000000001</v>
      </c>
      <c r="GG64" s="366">
        <v>151.86000000000001</v>
      </c>
      <c r="GH64" s="366">
        <v>342.26</v>
      </c>
      <c r="GI64" s="366">
        <v>407.11</v>
      </c>
      <c r="GJ64" s="366">
        <v>406.95</v>
      </c>
      <c r="GK64" s="366">
        <v>227.28</v>
      </c>
      <c r="GL64" s="366">
        <v>234.14</v>
      </c>
      <c r="GM64" s="366">
        <v>234.14</v>
      </c>
      <c r="GN64" s="366">
        <v>234.14</v>
      </c>
      <c r="GO64" s="366">
        <v>362.07</v>
      </c>
      <c r="GP64" s="366">
        <v>299.22000000000003</v>
      </c>
      <c r="GQ64" s="366">
        <v>272.99</v>
      </c>
      <c r="GR64" s="366">
        <v>417.21</v>
      </c>
      <c r="GS64" s="366">
        <v>301.72000000000003</v>
      </c>
      <c r="GT64" s="366">
        <v>118.72</v>
      </c>
      <c r="GU64" s="366">
        <v>62.07</v>
      </c>
      <c r="GV64" s="366">
        <v>398.9</v>
      </c>
      <c r="GW64" s="366">
        <v>210.12</v>
      </c>
      <c r="GX64" s="366">
        <v>115.29</v>
      </c>
      <c r="GY64" s="366">
        <v>224.91</v>
      </c>
      <c r="GZ64" s="366">
        <v>159.72999999999999</v>
      </c>
      <c r="HA64" s="366">
        <v>133.22999999999999</v>
      </c>
      <c r="HB64" s="366">
        <v>133.22999999999999</v>
      </c>
      <c r="HC64" s="366">
        <v>133.22999999999999</v>
      </c>
      <c r="HD64" s="366">
        <v>321.11</v>
      </c>
      <c r="HE64" s="366">
        <v>214.2</v>
      </c>
      <c r="HF64" s="366">
        <v>170.49</v>
      </c>
      <c r="HG64" s="366">
        <v>298.14</v>
      </c>
      <c r="HH64" s="366">
        <v>298.14</v>
      </c>
      <c r="HI64" s="366">
        <v>298.14</v>
      </c>
      <c r="HJ64" s="366">
        <v>172.73</v>
      </c>
      <c r="HK64" s="366">
        <v>191.21</v>
      </c>
      <c r="HL64" s="366">
        <v>268.2</v>
      </c>
      <c r="HM64" s="366">
        <v>404.23</v>
      </c>
      <c r="HN64" s="366">
        <v>406.95</v>
      </c>
      <c r="HO64" s="366">
        <v>645.55999999999995</v>
      </c>
      <c r="HP64" s="366">
        <v>160.44999999999999</v>
      </c>
      <c r="HQ64" s="366">
        <v>741.3</v>
      </c>
      <c r="HR64" s="366">
        <v>491.55</v>
      </c>
      <c r="HS64" s="366">
        <v>403.2</v>
      </c>
      <c r="HT64" s="366">
        <v>285.52</v>
      </c>
      <c r="HU64" s="366">
        <v>252.77</v>
      </c>
      <c r="HV64" s="366">
        <v>271.08999999999997</v>
      </c>
    </row>
    <row r="65" spans="1:230">
      <c r="A65" s="366" t="s">
        <v>87</v>
      </c>
      <c r="B65" s="366">
        <v>654.19000000000005</v>
      </c>
      <c r="C65" s="366">
        <v>212.3</v>
      </c>
      <c r="D65" s="366">
        <v>16.21</v>
      </c>
      <c r="E65" s="366">
        <v>16.21</v>
      </c>
      <c r="F65" s="366">
        <v>718.09</v>
      </c>
      <c r="G65" s="366">
        <v>454.6</v>
      </c>
      <c r="H65" s="366">
        <v>27.41</v>
      </c>
      <c r="I65" s="366">
        <v>293.2</v>
      </c>
      <c r="J65" s="366">
        <v>51.19</v>
      </c>
      <c r="K65" s="366">
        <v>51.19</v>
      </c>
      <c r="L65" s="366">
        <v>34.119999999999997</v>
      </c>
      <c r="M65" s="366">
        <v>237.72</v>
      </c>
      <c r="N65" s="366">
        <v>334.62</v>
      </c>
      <c r="O65" s="366">
        <v>258.02999999999997</v>
      </c>
      <c r="P65" s="366">
        <v>258.02999999999997</v>
      </c>
      <c r="Q65" s="366">
        <v>258.02999999999997</v>
      </c>
      <c r="R65" s="366">
        <v>258.02999999999997</v>
      </c>
      <c r="S65" s="366">
        <v>258.02999999999997</v>
      </c>
      <c r="T65" s="366">
        <v>361.38</v>
      </c>
      <c r="U65" s="366">
        <v>562.64</v>
      </c>
      <c r="V65" s="366">
        <v>312.95999999999998</v>
      </c>
      <c r="W65" s="366">
        <v>264.77999999999997</v>
      </c>
      <c r="X65" s="366">
        <v>264.77999999999997</v>
      </c>
      <c r="Y65" s="366">
        <v>264.77999999999997</v>
      </c>
      <c r="Z65" s="366">
        <v>350.7</v>
      </c>
      <c r="AA65" s="366">
        <v>448.77</v>
      </c>
      <c r="AB65" s="366">
        <v>388.87</v>
      </c>
      <c r="AC65" s="366">
        <v>381</v>
      </c>
      <c r="AD65" s="366">
        <v>381</v>
      </c>
      <c r="AE65" s="366">
        <v>67.11</v>
      </c>
      <c r="AF65" s="366">
        <v>468.34</v>
      </c>
      <c r="AG65" s="366">
        <v>266.3</v>
      </c>
      <c r="AH65" s="366">
        <v>247.15</v>
      </c>
      <c r="AI65" s="366">
        <v>247.15</v>
      </c>
      <c r="AJ65" s="366">
        <v>247.15</v>
      </c>
      <c r="AK65" s="366">
        <v>372.9</v>
      </c>
      <c r="AL65" s="366">
        <v>372.9</v>
      </c>
      <c r="AM65" s="366">
        <v>391.59</v>
      </c>
      <c r="AN65" s="366">
        <v>217.2</v>
      </c>
      <c r="AO65" s="366">
        <v>471.21</v>
      </c>
      <c r="AP65" s="366">
        <v>299.68</v>
      </c>
      <c r="AQ65" s="366">
        <v>674.63</v>
      </c>
      <c r="AR65" s="366">
        <v>113.96</v>
      </c>
      <c r="AS65" s="366">
        <v>109.57</v>
      </c>
      <c r="AT65" s="366">
        <v>109.57</v>
      </c>
      <c r="AU65" s="366">
        <v>227.82</v>
      </c>
      <c r="AV65" s="366">
        <v>593.69000000000005</v>
      </c>
      <c r="AW65" s="366">
        <v>95.51</v>
      </c>
      <c r="AX65" s="366">
        <v>313.8</v>
      </c>
      <c r="AY65" s="366">
        <v>370.33</v>
      </c>
      <c r="AZ65" s="366">
        <v>180.92</v>
      </c>
      <c r="BA65" s="366">
        <v>594.6</v>
      </c>
      <c r="BB65" s="366">
        <v>373.22</v>
      </c>
      <c r="BC65" s="366">
        <v>536.66</v>
      </c>
      <c r="BD65" s="366">
        <v>446.43</v>
      </c>
      <c r="BE65" s="366">
        <v>317.02</v>
      </c>
      <c r="BF65" s="366">
        <v>385.84</v>
      </c>
      <c r="BG65" s="366">
        <v>358.25</v>
      </c>
      <c r="BH65" s="366">
        <v>258.02999999999997</v>
      </c>
      <c r="BI65" s="366">
        <v>113.99</v>
      </c>
      <c r="BJ65" s="366">
        <v>296.37</v>
      </c>
      <c r="BK65" s="366">
        <v>248.7</v>
      </c>
      <c r="BL65" s="366">
        <v>23.21</v>
      </c>
      <c r="BM65" s="366">
        <v>0</v>
      </c>
      <c r="BN65" s="366">
        <v>488.96</v>
      </c>
      <c r="BO65" s="366">
        <v>290.89999999999998</v>
      </c>
      <c r="BP65" s="366">
        <v>256.76</v>
      </c>
      <c r="BQ65" s="366">
        <v>272.5</v>
      </c>
      <c r="BR65" s="366">
        <v>272.5</v>
      </c>
      <c r="BS65" s="366">
        <v>188.49</v>
      </c>
      <c r="BT65" s="366">
        <v>98.42</v>
      </c>
      <c r="BU65" s="366">
        <v>369.37</v>
      </c>
      <c r="BV65" s="366">
        <v>388.99</v>
      </c>
      <c r="BW65" s="366">
        <v>287.11</v>
      </c>
      <c r="BX65" s="366">
        <v>129.58000000000001</v>
      </c>
      <c r="BY65" s="366">
        <v>340.44</v>
      </c>
      <c r="BZ65" s="366">
        <v>340.44</v>
      </c>
      <c r="CA65" s="366">
        <v>127.45</v>
      </c>
      <c r="CB65" s="366">
        <v>148.01</v>
      </c>
      <c r="CC65" s="366">
        <v>284.97000000000003</v>
      </c>
      <c r="CD65" s="366">
        <v>287.37</v>
      </c>
      <c r="CE65" s="366">
        <v>231.93</v>
      </c>
      <c r="CF65" s="366">
        <v>467.07</v>
      </c>
      <c r="CG65" s="366">
        <v>467.07</v>
      </c>
      <c r="CH65" s="366">
        <v>287.5</v>
      </c>
      <c r="CI65" s="366">
        <v>200.99</v>
      </c>
      <c r="CJ65" s="366">
        <v>478.02</v>
      </c>
      <c r="CK65" s="366">
        <v>345.53</v>
      </c>
      <c r="CL65" s="366">
        <v>241.61</v>
      </c>
      <c r="CM65" s="366">
        <v>482.94</v>
      </c>
      <c r="CN65" s="366">
        <v>245.74</v>
      </c>
      <c r="CO65" s="366">
        <v>112.57</v>
      </c>
      <c r="CP65" s="366">
        <v>265.81</v>
      </c>
      <c r="CQ65" s="366">
        <v>265.81</v>
      </c>
      <c r="CR65" s="366">
        <v>64.97</v>
      </c>
      <c r="CS65" s="366">
        <v>64.97</v>
      </c>
      <c r="CT65" s="366">
        <v>74.41</v>
      </c>
      <c r="CU65" s="366">
        <v>66.540000000000006</v>
      </c>
      <c r="CV65" s="366">
        <v>69.14</v>
      </c>
      <c r="CW65" s="366">
        <v>312.95999999999998</v>
      </c>
      <c r="CX65" s="366">
        <v>304.04000000000002</v>
      </c>
      <c r="CY65" s="366">
        <v>529.36</v>
      </c>
      <c r="CZ65" s="366">
        <v>550.6</v>
      </c>
      <c r="DA65" s="366">
        <v>272.67</v>
      </c>
      <c r="DB65" s="366">
        <v>292.35000000000002</v>
      </c>
      <c r="DC65" s="366">
        <v>292.35000000000002</v>
      </c>
      <c r="DD65" s="366">
        <v>251.94</v>
      </c>
      <c r="DE65" s="366">
        <v>350.3</v>
      </c>
      <c r="DF65" s="366">
        <v>702.55</v>
      </c>
      <c r="DG65" s="366">
        <v>230.64</v>
      </c>
      <c r="DH65" s="366">
        <v>412.86</v>
      </c>
      <c r="DI65" s="366">
        <v>332.89</v>
      </c>
      <c r="DJ65" s="366">
        <v>536.78</v>
      </c>
      <c r="DK65" s="366">
        <v>92</v>
      </c>
      <c r="DL65" s="366">
        <v>363.37</v>
      </c>
      <c r="DM65" s="366">
        <v>199.88</v>
      </c>
      <c r="DN65" s="366">
        <v>347.65</v>
      </c>
      <c r="DO65" s="366">
        <v>118.57</v>
      </c>
      <c r="DP65" s="366">
        <v>213.63</v>
      </c>
      <c r="DQ65" s="366">
        <v>298.45</v>
      </c>
      <c r="DR65" s="366">
        <v>412.86</v>
      </c>
      <c r="DS65" s="366">
        <v>90.44</v>
      </c>
      <c r="DT65" s="366">
        <v>78.73</v>
      </c>
      <c r="DU65" s="366">
        <v>303.01</v>
      </c>
      <c r="DV65" s="366">
        <v>369.72</v>
      </c>
      <c r="DW65" s="366">
        <v>93.15</v>
      </c>
      <c r="DX65" s="366">
        <v>273.43</v>
      </c>
      <c r="DY65" s="366">
        <v>346.82</v>
      </c>
      <c r="DZ65" s="366">
        <v>261.61</v>
      </c>
      <c r="EA65" s="366">
        <v>96.24</v>
      </c>
      <c r="EB65" s="366">
        <v>340.82</v>
      </c>
      <c r="EC65" s="366">
        <v>9.23</v>
      </c>
      <c r="ED65" s="366">
        <v>362.66</v>
      </c>
      <c r="EE65" s="366">
        <v>373.45</v>
      </c>
      <c r="EF65" s="366">
        <v>293.39999999999998</v>
      </c>
      <c r="EG65" s="366">
        <v>95.51</v>
      </c>
      <c r="EH65" s="366">
        <v>95.51</v>
      </c>
      <c r="EI65" s="366">
        <v>271.02</v>
      </c>
      <c r="EJ65" s="366">
        <v>400.92</v>
      </c>
      <c r="EK65" s="366">
        <v>149.44999999999999</v>
      </c>
      <c r="EL65" s="366">
        <v>149.44999999999999</v>
      </c>
      <c r="EM65" s="366">
        <v>243.56</v>
      </c>
      <c r="EN65" s="366">
        <v>243.56</v>
      </c>
      <c r="EO65" s="366">
        <v>391.59</v>
      </c>
      <c r="EP65" s="366">
        <v>353.02</v>
      </c>
      <c r="EQ65" s="366">
        <v>83.9</v>
      </c>
      <c r="ER65" s="366">
        <v>532.67999999999995</v>
      </c>
      <c r="ES65" s="366">
        <v>212.2</v>
      </c>
      <c r="ET65" s="366">
        <v>290.47000000000003</v>
      </c>
      <c r="EU65" s="366">
        <v>654.19000000000005</v>
      </c>
      <c r="EV65" s="366">
        <v>264.77999999999997</v>
      </c>
      <c r="EW65" s="366">
        <v>271.94</v>
      </c>
      <c r="EX65" s="366">
        <v>188.94</v>
      </c>
      <c r="EY65" s="366">
        <v>188.94</v>
      </c>
      <c r="EZ65" s="366">
        <v>295.37</v>
      </c>
      <c r="FA65" s="366">
        <v>240.73</v>
      </c>
      <c r="FB65" s="366">
        <v>76.3</v>
      </c>
      <c r="FC65" s="366">
        <v>293.57</v>
      </c>
      <c r="FD65" s="366">
        <v>183.22</v>
      </c>
      <c r="FE65" s="366">
        <v>274.85000000000002</v>
      </c>
      <c r="FF65" s="366">
        <v>250.03</v>
      </c>
      <c r="FG65" s="366">
        <v>585.64</v>
      </c>
      <c r="FH65" s="366">
        <v>585.64</v>
      </c>
      <c r="FI65" s="366">
        <v>245.65</v>
      </c>
      <c r="FJ65" s="366">
        <v>251.44</v>
      </c>
      <c r="FK65" s="366">
        <v>239.94</v>
      </c>
      <c r="FL65" s="366">
        <v>238.13</v>
      </c>
      <c r="FM65" s="366">
        <v>391.59</v>
      </c>
      <c r="FN65" s="366">
        <v>295.52999999999997</v>
      </c>
      <c r="FO65" s="366">
        <v>104.61</v>
      </c>
      <c r="FP65" s="366">
        <v>325.92</v>
      </c>
      <c r="FQ65" s="366">
        <v>108.48</v>
      </c>
      <c r="FR65" s="366">
        <v>51.46</v>
      </c>
      <c r="FS65" s="366">
        <v>180.1</v>
      </c>
      <c r="FT65" s="366">
        <v>521.62</v>
      </c>
      <c r="FU65" s="366">
        <v>188.6</v>
      </c>
      <c r="FV65" s="366">
        <v>718.09</v>
      </c>
      <c r="FW65" s="366">
        <v>718.09</v>
      </c>
      <c r="FX65" s="366">
        <v>718.09</v>
      </c>
      <c r="FY65" s="366">
        <v>189.87</v>
      </c>
      <c r="FZ65" s="366">
        <v>264.76</v>
      </c>
      <c r="GA65" s="366">
        <v>317.02</v>
      </c>
      <c r="GB65" s="366">
        <v>218.57</v>
      </c>
      <c r="GC65" s="366">
        <v>362.66</v>
      </c>
      <c r="GD65" s="366">
        <v>111.68</v>
      </c>
      <c r="GE65" s="366">
        <v>74.510000000000005</v>
      </c>
      <c r="GF65" s="366">
        <v>175.07</v>
      </c>
      <c r="GG65" s="366">
        <v>175.07</v>
      </c>
      <c r="GH65" s="366">
        <v>365.47</v>
      </c>
      <c r="GI65" s="366">
        <v>391.75</v>
      </c>
      <c r="GJ65" s="366">
        <v>391.59</v>
      </c>
      <c r="GK65" s="366">
        <v>236.49</v>
      </c>
      <c r="GL65" s="366">
        <v>257.35000000000002</v>
      </c>
      <c r="GM65" s="366">
        <v>257.35000000000002</v>
      </c>
      <c r="GN65" s="366">
        <v>257.35000000000002</v>
      </c>
      <c r="GO65" s="366">
        <v>338.86</v>
      </c>
      <c r="GP65" s="366">
        <v>322.43</v>
      </c>
      <c r="GQ65" s="366">
        <v>282.2</v>
      </c>
      <c r="GR65" s="366">
        <v>394</v>
      </c>
      <c r="GS65" s="366">
        <v>318.61</v>
      </c>
      <c r="GT65" s="366">
        <v>95.51</v>
      </c>
      <c r="GU65" s="366">
        <v>85.28</v>
      </c>
      <c r="GV65" s="366">
        <v>408.11</v>
      </c>
      <c r="GW65" s="366">
        <v>233.33</v>
      </c>
      <c r="GX65" s="366">
        <v>92.08</v>
      </c>
      <c r="GY65" s="366">
        <v>248.12</v>
      </c>
      <c r="GZ65" s="366">
        <v>182.94</v>
      </c>
      <c r="HA65" s="366">
        <v>110.02</v>
      </c>
      <c r="HB65" s="366">
        <v>110.02</v>
      </c>
      <c r="HC65" s="366">
        <v>110.02</v>
      </c>
      <c r="HD65" s="366">
        <v>297.89999999999998</v>
      </c>
      <c r="HE65" s="366">
        <v>237.41</v>
      </c>
      <c r="HF65" s="366">
        <v>193.7</v>
      </c>
      <c r="HG65" s="366">
        <v>321.35000000000002</v>
      </c>
      <c r="HH65" s="366">
        <v>321.35000000000002</v>
      </c>
      <c r="HI65" s="366">
        <v>321.35000000000002</v>
      </c>
      <c r="HJ65" s="366">
        <v>195.94</v>
      </c>
      <c r="HK65" s="366">
        <v>168</v>
      </c>
      <c r="HL65" s="366">
        <v>291.41000000000003</v>
      </c>
      <c r="HM65" s="366">
        <v>388.87</v>
      </c>
      <c r="HN65" s="366">
        <v>391.59</v>
      </c>
      <c r="HO65" s="366">
        <v>622.35</v>
      </c>
      <c r="HP65" s="366">
        <v>183.66</v>
      </c>
      <c r="HQ65" s="366">
        <v>718.09</v>
      </c>
      <c r="HR65" s="366">
        <v>468.34</v>
      </c>
      <c r="HS65" s="366">
        <v>387.84</v>
      </c>
      <c r="HT65" s="366">
        <v>308.73</v>
      </c>
      <c r="HU65" s="366">
        <v>275.98</v>
      </c>
      <c r="HV65" s="366">
        <v>294.3</v>
      </c>
    </row>
    <row r="66" spans="1:230">
      <c r="A66" s="366" t="s">
        <v>88</v>
      </c>
      <c r="B66" s="366">
        <v>165.23</v>
      </c>
      <c r="C66" s="366">
        <v>701.26</v>
      </c>
      <c r="D66" s="366">
        <v>505.17</v>
      </c>
      <c r="E66" s="366">
        <v>505.17</v>
      </c>
      <c r="F66" s="366">
        <v>229.13</v>
      </c>
      <c r="G66" s="366">
        <v>46.02</v>
      </c>
      <c r="H66" s="366">
        <v>461.55</v>
      </c>
      <c r="I66" s="366">
        <v>415.31</v>
      </c>
      <c r="J66" s="366">
        <v>437.77</v>
      </c>
      <c r="K66" s="366">
        <v>437.77</v>
      </c>
      <c r="L66" s="366">
        <v>523.08000000000004</v>
      </c>
      <c r="M66" s="366">
        <v>726.68</v>
      </c>
      <c r="N66" s="366">
        <v>823.58</v>
      </c>
      <c r="O66" s="366">
        <v>666.96</v>
      </c>
      <c r="P66" s="366">
        <v>666.96</v>
      </c>
      <c r="Q66" s="366">
        <v>666.96</v>
      </c>
      <c r="R66" s="366">
        <v>666.96</v>
      </c>
      <c r="S66" s="366">
        <v>666.96</v>
      </c>
      <c r="T66" s="366">
        <v>340.81</v>
      </c>
      <c r="U66" s="366">
        <v>73.680000000000007</v>
      </c>
      <c r="V66" s="366">
        <v>756.35</v>
      </c>
      <c r="W66" s="366">
        <v>326.48</v>
      </c>
      <c r="X66" s="366">
        <v>326.48</v>
      </c>
      <c r="Y66" s="366">
        <v>326.48</v>
      </c>
      <c r="Z66" s="366">
        <v>794.09</v>
      </c>
      <c r="AA66" s="366">
        <v>40.19</v>
      </c>
      <c r="AB66" s="366">
        <v>310.14</v>
      </c>
      <c r="AC66" s="366">
        <v>278.61</v>
      </c>
      <c r="AD66" s="366">
        <v>278.61</v>
      </c>
      <c r="AE66" s="366">
        <v>556.07000000000005</v>
      </c>
      <c r="AF66" s="366">
        <v>20.62</v>
      </c>
      <c r="AG66" s="366">
        <v>358</v>
      </c>
      <c r="AH66" s="366">
        <v>461.36</v>
      </c>
      <c r="AI66" s="366">
        <v>461.36</v>
      </c>
      <c r="AJ66" s="366">
        <v>461.36</v>
      </c>
      <c r="AK66" s="366">
        <v>816.29</v>
      </c>
      <c r="AL66" s="366">
        <v>816.29</v>
      </c>
      <c r="AM66" s="366">
        <v>312.86</v>
      </c>
      <c r="AN66" s="366">
        <v>626.13</v>
      </c>
      <c r="AO66" s="366">
        <v>62.63</v>
      </c>
      <c r="AP66" s="366">
        <v>359.93</v>
      </c>
      <c r="AQ66" s="366">
        <v>185.67</v>
      </c>
      <c r="AR66" s="366">
        <v>477.51</v>
      </c>
      <c r="AS66" s="366">
        <v>598.53</v>
      </c>
      <c r="AT66" s="366">
        <v>598.53</v>
      </c>
      <c r="AU66" s="366">
        <v>671.21</v>
      </c>
      <c r="AV66" s="366">
        <v>104.73</v>
      </c>
      <c r="AW66" s="366">
        <v>400.31</v>
      </c>
      <c r="AX66" s="366">
        <v>402.97</v>
      </c>
      <c r="AY66" s="366">
        <v>859.29</v>
      </c>
      <c r="AZ66" s="366">
        <v>669.88</v>
      </c>
      <c r="BA66" s="366">
        <v>239.24</v>
      </c>
      <c r="BB66" s="366">
        <v>862.18</v>
      </c>
      <c r="BC66" s="366">
        <v>158.34</v>
      </c>
      <c r="BD66" s="366">
        <v>248.57</v>
      </c>
      <c r="BE66" s="366">
        <v>760.41</v>
      </c>
      <c r="BF66" s="366">
        <v>307.11</v>
      </c>
      <c r="BG66" s="366">
        <v>801.64</v>
      </c>
      <c r="BH66" s="366">
        <v>666.96</v>
      </c>
      <c r="BI66" s="366">
        <v>477.54</v>
      </c>
      <c r="BJ66" s="366">
        <v>739.76</v>
      </c>
      <c r="BK66" s="366">
        <v>737.66</v>
      </c>
      <c r="BL66" s="366">
        <v>512.16999999999996</v>
      </c>
      <c r="BM66" s="366">
        <v>488.96</v>
      </c>
      <c r="BN66" s="366">
        <v>0</v>
      </c>
      <c r="BO66" s="366">
        <v>779.86</v>
      </c>
      <c r="BP66" s="366">
        <v>745.72</v>
      </c>
      <c r="BQ66" s="366">
        <v>436.01</v>
      </c>
      <c r="BR66" s="366">
        <v>436.01</v>
      </c>
      <c r="BS66" s="366">
        <v>677.45</v>
      </c>
      <c r="BT66" s="366">
        <v>469.46</v>
      </c>
      <c r="BU66" s="366">
        <v>300.57</v>
      </c>
      <c r="BV66" s="366">
        <v>310.26</v>
      </c>
      <c r="BW66" s="366">
        <v>730.5</v>
      </c>
      <c r="BX66" s="366">
        <v>618.54</v>
      </c>
      <c r="BY66" s="366">
        <v>783.83</v>
      </c>
      <c r="BZ66" s="366">
        <v>783.83</v>
      </c>
      <c r="CA66" s="366">
        <v>361.51</v>
      </c>
      <c r="CB66" s="366">
        <v>636.97</v>
      </c>
      <c r="CC66" s="366">
        <v>431.8</v>
      </c>
      <c r="CD66" s="366">
        <v>445.28</v>
      </c>
      <c r="CE66" s="366">
        <v>720.89</v>
      </c>
      <c r="CF66" s="366">
        <v>58.49</v>
      </c>
      <c r="CG66" s="366">
        <v>58.49</v>
      </c>
      <c r="CH66" s="366">
        <v>421.01</v>
      </c>
      <c r="CI66" s="366">
        <v>540.16</v>
      </c>
      <c r="CJ66" s="366">
        <v>11.08</v>
      </c>
      <c r="CK66" s="366">
        <v>788.92</v>
      </c>
      <c r="CL66" s="366">
        <v>685</v>
      </c>
      <c r="CM66" s="366">
        <v>212.06</v>
      </c>
      <c r="CN66" s="366">
        <v>689.13</v>
      </c>
      <c r="CO66" s="366">
        <v>476.12</v>
      </c>
      <c r="CP66" s="366">
        <v>442.7</v>
      </c>
      <c r="CQ66" s="366">
        <v>442.7</v>
      </c>
      <c r="CR66" s="366">
        <v>427.44</v>
      </c>
      <c r="CS66" s="366">
        <v>427.44</v>
      </c>
      <c r="CT66" s="366">
        <v>418</v>
      </c>
      <c r="CU66" s="366">
        <v>425.87</v>
      </c>
      <c r="CV66" s="366">
        <v>419.82</v>
      </c>
      <c r="CW66" s="366">
        <v>756.35</v>
      </c>
      <c r="CX66" s="366">
        <v>419.51</v>
      </c>
      <c r="CY66" s="366">
        <v>174</v>
      </c>
      <c r="CZ66" s="366">
        <v>144.4</v>
      </c>
      <c r="DA66" s="366">
        <v>761.63</v>
      </c>
      <c r="DB66" s="366">
        <v>735.74</v>
      </c>
      <c r="DC66" s="366">
        <v>735.74</v>
      </c>
      <c r="DD66" s="366">
        <v>238.33</v>
      </c>
      <c r="DE66" s="366">
        <v>839.26</v>
      </c>
      <c r="DF66" s="366">
        <v>213.59</v>
      </c>
      <c r="DG66" s="366">
        <v>510.51</v>
      </c>
      <c r="DH66" s="366">
        <v>901.82</v>
      </c>
      <c r="DI66" s="366">
        <v>156.07</v>
      </c>
      <c r="DJ66" s="366">
        <v>128.19999999999999</v>
      </c>
      <c r="DK66" s="366">
        <v>580.96</v>
      </c>
      <c r="DL66" s="366">
        <v>296.24</v>
      </c>
      <c r="DM66" s="366">
        <v>688.84</v>
      </c>
      <c r="DN66" s="366">
        <v>143.1</v>
      </c>
      <c r="DO66" s="366">
        <v>607.53</v>
      </c>
      <c r="DP66" s="366">
        <v>275.33</v>
      </c>
      <c r="DQ66" s="366">
        <v>741.84</v>
      </c>
      <c r="DR66" s="366">
        <v>901.82</v>
      </c>
      <c r="DS66" s="366">
        <v>477.02</v>
      </c>
      <c r="DT66" s="366">
        <v>465.31</v>
      </c>
      <c r="DU66" s="366">
        <v>791.97</v>
      </c>
      <c r="DV66" s="366">
        <v>819.93</v>
      </c>
      <c r="DW66" s="366">
        <v>582.11</v>
      </c>
      <c r="DX66" s="366">
        <v>716.82</v>
      </c>
      <c r="DY66" s="366">
        <v>790.21</v>
      </c>
      <c r="DZ66" s="366">
        <v>227.35</v>
      </c>
      <c r="EA66" s="366">
        <v>459.79</v>
      </c>
      <c r="EB66" s="366">
        <v>784.21</v>
      </c>
      <c r="EC66" s="366">
        <v>479.73</v>
      </c>
      <c r="ED66" s="366">
        <v>126.3</v>
      </c>
      <c r="EE66" s="366">
        <v>116.42</v>
      </c>
      <c r="EF66" s="366">
        <v>366.21</v>
      </c>
      <c r="EG66" s="366">
        <v>400.31</v>
      </c>
      <c r="EH66" s="366">
        <v>400.31</v>
      </c>
      <c r="EI66" s="366">
        <v>445.75</v>
      </c>
      <c r="EJ66" s="366">
        <v>889.88</v>
      </c>
      <c r="EK66" s="366">
        <v>592.84</v>
      </c>
      <c r="EL66" s="366">
        <v>592.84</v>
      </c>
      <c r="EM66" s="366">
        <v>686.95</v>
      </c>
      <c r="EN66" s="366">
        <v>686.95</v>
      </c>
      <c r="EO66" s="366">
        <v>312.86</v>
      </c>
      <c r="EP66" s="366">
        <v>363.75</v>
      </c>
      <c r="EQ66" s="366">
        <v>408.51</v>
      </c>
      <c r="ER66" s="366">
        <v>124.1</v>
      </c>
      <c r="ES66" s="366">
        <v>701.16</v>
      </c>
      <c r="ET66" s="366">
        <v>418.04</v>
      </c>
      <c r="EU66" s="366">
        <v>165.23</v>
      </c>
      <c r="EV66" s="366">
        <v>326.48</v>
      </c>
      <c r="EW66" s="366">
        <v>445.13</v>
      </c>
      <c r="EX66" s="366">
        <v>677.9</v>
      </c>
      <c r="EY66" s="366">
        <v>677.9</v>
      </c>
      <c r="EZ66" s="366">
        <v>731.49</v>
      </c>
      <c r="FA66" s="366">
        <v>684.12</v>
      </c>
      <c r="FB66" s="366">
        <v>565.26</v>
      </c>
      <c r="FC66" s="366">
        <v>736.96</v>
      </c>
      <c r="FD66" s="366">
        <v>592.15</v>
      </c>
      <c r="FE66" s="366">
        <v>449.58</v>
      </c>
      <c r="FF66" s="366">
        <v>527.70000000000005</v>
      </c>
      <c r="FG66" s="366">
        <v>230.28</v>
      </c>
      <c r="FH66" s="366">
        <v>230.28</v>
      </c>
      <c r="FI66" s="366">
        <v>337.35</v>
      </c>
      <c r="FJ66" s="366">
        <v>343.14</v>
      </c>
      <c r="FK66" s="366">
        <v>728.9</v>
      </c>
      <c r="FL66" s="366">
        <v>727.09</v>
      </c>
      <c r="FM66" s="366">
        <v>312.86</v>
      </c>
      <c r="FN66" s="366">
        <v>357.23</v>
      </c>
      <c r="FO66" s="366">
        <v>468.16</v>
      </c>
      <c r="FP66" s="366">
        <v>769.31</v>
      </c>
      <c r="FQ66" s="366">
        <v>472.03</v>
      </c>
      <c r="FR66" s="366">
        <v>540.41999999999996</v>
      </c>
      <c r="FS66" s="366">
        <v>528.41</v>
      </c>
      <c r="FT66" s="366">
        <v>113.04</v>
      </c>
      <c r="FU66" s="366">
        <v>552.54999999999995</v>
      </c>
      <c r="FV66" s="366">
        <v>229.13</v>
      </c>
      <c r="FW66" s="366">
        <v>229.13</v>
      </c>
      <c r="FX66" s="366">
        <v>229.13</v>
      </c>
      <c r="FY66" s="366">
        <v>633.26</v>
      </c>
      <c r="FZ66" s="366">
        <v>472.45</v>
      </c>
      <c r="GA66" s="366">
        <v>760.41</v>
      </c>
      <c r="GB66" s="366">
        <v>566.88</v>
      </c>
      <c r="GC66" s="366">
        <v>126.3</v>
      </c>
      <c r="GD66" s="366">
        <v>600.64</v>
      </c>
      <c r="GE66" s="366">
        <v>417.9</v>
      </c>
      <c r="GF66" s="366">
        <v>566.08000000000004</v>
      </c>
      <c r="GG66" s="366">
        <v>566.08000000000004</v>
      </c>
      <c r="GH66" s="366">
        <v>808.86</v>
      </c>
      <c r="GI66" s="366">
        <v>313.02</v>
      </c>
      <c r="GJ66" s="366">
        <v>312.86</v>
      </c>
      <c r="GK66" s="366">
        <v>725.45</v>
      </c>
      <c r="GL66" s="366">
        <v>459.42</v>
      </c>
      <c r="GM66" s="366">
        <v>459.42</v>
      </c>
      <c r="GN66" s="366">
        <v>459.42</v>
      </c>
      <c r="GO66" s="366">
        <v>320.75</v>
      </c>
      <c r="GP66" s="366">
        <v>765.82</v>
      </c>
      <c r="GQ66" s="366">
        <v>771.16</v>
      </c>
      <c r="GR66" s="366">
        <v>250.12</v>
      </c>
      <c r="GS66" s="366">
        <v>383.58</v>
      </c>
      <c r="GT66" s="366">
        <v>400.31</v>
      </c>
      <c r="GU66" s="366">
        <v>574.24</v>
      </c>
      <c r="GV66" s="366">
        <v>897.07</v>
      </c>
      <c r="GW66" s="366">
        <v>483.88</v>
      </c>
      <c r="GX66" s="366">
        <v>396.88</v>
      </c>
      <c r="GY66" s="366">
        <v>460.39</v>
      </c>
      <c r="GZ66" s="366">
        <v>591.87</v>
      </c>
      <c r="HA66" s="366">
        <v>473.57</v>
      </c>
      <c r="HB66" s="366">
        <v>473.57</v>
      </c>
      <c r="HC66" s="366">
        <v>473.57</v>
      </c>
      <c r="HD66" s="366">
        <v>191.06</v>
      </c>
      <c r="HE66" s="366">
        <v>680.8</v>
      </c>
      <c r="HF66" s="366">
        <v>637.09</v>
      </c>
      <c r="HG66" s="366">
        <v>764.74</v>
      </c>
      <c r="HH66" s="366">
        <v>764.74</v>
      </c>
      <c r="HI66" s="366">
        <v>764.74</v>
      </c>
      <c r="HJ66" s="366">
        <v>545.21</v>
      </c>
      <c r="HK66" s="366">
        <v>326.93</v>
      </c>
      <c r="HL66" s="366">
        <v>700.34</v>
      </c>
      <c r="HM66" s="366">
        <v>310.14</v>
      </c>
      <c r="HN66" s="366">
        <v>312.86</v>
      </c>
      <c r="HO66" s="366">
        <v>133.38999999999999</v>
      </c>
      <c r="HP66" s="366">
        <v>592.59</v>
      </c>
      <c r="HQ66" s="366">
        <v>229.13</v>
      </c>
      <c r="HR66" s="366">
        <v>20.62</v>
      </c>
      <c r="HS66" s="366">
        <v>309.11</v>
      </c>
      <c r="HT66" s="366">
        <v>412.81</v>
      </c>
      <c r="HU66" s="366">
        <v>439.49</v>
      </c>
      <c r="HV66" s="366">
        <v>463.96</v>
      </c>
    </row>
    <row r="67" spans="1:230">
      <c r="A67" s="366" t="s">
        <v>89</v>
      </c>
      <c r="B67" s="366">
        <v>945.09</v>
      </c>
      <c r="C67" s="366">
        <v>235.84</v>
      </c>
      <c r="D67" s="366">
        <v>274.69</v>
      </c>
      <c r="E67" s="366">
        <v>274.69</v>
      </c>
      <c r="F67" s="366">
        <v>1008.99</v>
      </c>
      <c r="G67" s="366">
        <v>745.5</v>
      </c>
      <c r="H67" s="366">
        <v>318.31</v>
      </c>
      <c r="I67" s="366">
        <v>454.82</v>
      </c>
      <c r="J67" s="366">
        <v>342.09</v>
      </c>
      <c r="K67" s="366">
        <v>342.09</v>
      </c>
      <c r="L67" s="366">
        <v>256.77999999999997</v>
      </c>
      <c r="M67" s="366">
        <v>261.26</v>
      </c>
      <c r="N67" s="366">
        <v>358.16</v>
      </c>
      <c r="O67" s="366">
        <v>419.65</v>
      </c>
      <c r="P67" s="366">
        <v>419.65</v>
      </c>
      <c r="Q67" s="366">
        <v>419.65</v>
      </c>
      <c r="R67" s="366">
        <v>419.65</v>
      </c>
      <c r="S67" s="366">
        <v>419.65</v>
      </c>
      <c r="T67" s="366">
        <v>529.32000000000005</v>
      </c>
      <c r="U67" s="366">
        <v>853.54</v>
      </c>
      <c r="V67" s="366">
        <v>474.58</v>
      </c>
      <c r="W67" s="366">
        <v>555.67999999999995</v>
      </c>
      <c r="X67" s="366">
        <v>555.67999999999995</v>
      </c>
      <c r="Y67" s="366">
        <v>555.67999999999995</v>
      </c>
      <c r="Z67" s="366">
        <v>419.1</v>
      </c>
      <c r="AA67" s="366">
        <v>739.67</v>
      </c>
      <c r="AB67" s="366">
        <v>589.05999999999995</v>
      </c>
      <c r="AC67" s="366">
        <v>591.52</v>
      </c>
      <c r="AD67" s="366">
        <v>591.52</v>
      </c>
      <c r="AE67" s="366">
        <v>325.58999999999997</v>
      </c>
      <c r="AF67" s="366">
        <v>759.24</v>
      </c>
      <c r="AG67" s="366">
        <v>557.20000000000005</v>
      </c>
      <c r="AH67" s="366">
        <v>408.77</v>
      </c>
      <c r="AI67" s="366">
        <v>408.77</v>
      </c>
      <c r="AJ67" s="366">
        <v>408.77</v>
      </c>
      <c r="AK67" s="366">
        <v>401.86</v>
      </c>
      <c r="AL67" s="366">
        <v>401.86</v>
      </c>
      <c r="AM67" s="366">
        <v>591.78</v>
      </c>
      <c r="AN67" s="366">
        <v>378.82</v>
      </c>
      <c r="AO67" s="366">
        <v>762.11</v>
      </c>
      <c r="AP67" s="366">
        <v>518.04</v>
      </c>
      <c r="AQ67" s="366">
        <v>965.53</v>
      </c>
      <c r="AR67" s="366">
        <v>404.86</v>
      </c>
      <c r="AS67" s="366">
        <v>262.67</v>
      </c>
      <c r="AT67" s="366">
        <v>262.67</v>
      </c>
      <c r="AU67" s="366">
        <v>389.44</v>
      </c>
      <c r="AV67" s="366">
        <v>884.59</v>
      </c>
      <c r="AW67" s="366">
        <v>386.41</v>
      </c>
      <c r="AX67" s="366">
        <v>475.42</v>
      </c>
      <c r="AY67" s="366">
        <v>393.87</v>
      </c>
      <c r="AZ67" s="366">
        <v>204.46</v>
      </c>
      <c r="BA67" s="366">
        <v>805.12</v>
      </c>
      <c r="BB67" s="366">
        <v>396.76</v>
      </c>
      <c r="BC67" s="366">
        <v>747.18</v>
      </c>
      <c r="BD67" s="366">
        <v>656.95</v>
      </c>
      <c r="BE67" s="366">
        <v>478.64</v>
      </c>
      <c r="BF67" s="366">
        <v>586.03</v>
      </c>
      <c r="BG67" s="366">
        <v>415.62</v>
      </c>
      <c r="BH67" s="366">
        <v>419.65</v>
      </c>
      <c r="BI67" s="366">
        <v>404.89</v>
      </c>
      <c r="BJ67" s="366">
        <v>457.99</v>
      </c>
      <c r="BK67" s="366">
        <v>42.2</v>
      </c>
      <c r="BL67" s="366">
        <v>281.69</v>
      </c>
      <c r="BM67" s="366">
        <v>290.89999999999998</v>
      </c>
      <c r="BN67" s="366">
        <v>779.86</v>
      </c>
      <c r="BO67" s="366">
        <v>0</v>
      </c>
      <c r="BP67" s="366">
        <v>34.14</v>
      </c>
      <c r="BQ67" s="366">
        <v>434.12</v>
      </c>
      <c r="BR67" s="366">
        <v>434.12</v>
      </c>
      <c r="BS67" s="366">
        <v>212.03</v>
      </c>
      <c r="BT67" s="366">
        <v>389.32</v>
      </c>
      <c r="BU67" s="366">
        <v>569.55999999999995</v>
      </c>
      <c r="BV67" s="366">
        <v>589.17999999999995</v>
      </c>
      <c r="BW67" s="366">
        <v>448.73</v>
      </c>
      <c r="BX67" s="366">
        <v>161.32</v>
      </c>
      <c r="BY67" s="366">
        <v>502.06</v>
      </c>
      <c r="BZ67" s="366">
        <v>502.06</v>
      </c>
      <c r="CA67" s="366">
        <v>418.35</v>
      </c>
      <c r="CB67" s="366">
        <v>143.21</v>
      </c>
      <c r="CC67" s="366">
        <v>446.59</v>
      </c>
      <c r="CD67" s="366">
        <v>448.99</v>
      </c>
      <c r="CE67" s="366">
        <v>58.97</v>
      </c>
      <c r="CF67" s="366">
        <v>757.97</v>
      </c>
      <c r="CG67" s="366">
        <v>757.97</v>
      </c>
      <c r="CH67" s="366">
        <v>449.12</v>
      </c>
      <c r="CI67" s="366">
        <v>362.61</v>
      </c>
      <c r="CJ67" s="366">
        <v>768.92</v>
      </c>
      <c r="CK67" s="366">
        <v>507.15</v>
      </c>
      <c r="CL67" s="366">
        <v>403.23</v>
      </c>
      <c r="CM67" s="366">
        <v>693.46</v>
      </c>
      <c r="CN67" s="366">
        <v>407.36</v>
      </c>
      <c r="CO67" s="366">
        <v>403.47</v>
      </c>
      <c r="CP67" s="366">
        <v>427.43</v>
      </c>
      <c r="CQ67" s="366">
        <v>427.43</v>
      </c>
      <c r="CR67" s="366">
        <v>355.87</v>
      </c>
      <c r="CS67" s="366">
        <v>355.87</v>
      </c>
      <c r="CT67" s="366">
        <v>365.31</v>
      </c>
      <c r="CU67" s="366">
        <v>357.44</v>
      </c>
      <c r="CV67" s="366">
        <v>360.04</v>
      </c>
      <c r="CW67" s="366">
        <v>474.58</v>
      </c>
      <c r="CX67" s="366">
        <v>465.66</v>
      </c>
      <c r="CY67" s="366">
        <v>739.88</v>
      </c>
      <c r="CZ67" s="366">
        <v>761.12</v>
      </c>
      <c r="DA67" s="366">
        <v>296.20999999999998</v>
      </c>
      <c r="DB67" s="366">
        <v>453.97</v>
      </c>
      <c r="DC67" s="366">
        <v>453.97</v>
      </c>
      <c r="DD67" s="366">
        <v>542.84</v>
      </c>
      <c r="DE67" s="366">
        <v>373.84</v>
      </c>
      <c r="DF67" s="366">
        <v>993.45</v>
      </c>
      <c r="DG67" s="366">
        <v>392.26</v>
      </c>
      <c r="DH67" s="366">
        <v>436.4</v>
      </c>
      <c r="DI67" s="366">
        <v>623.79</v>
      </c>
      <c r="DJ67" s="366">
        <v>777.32</v>
      </c>
      <c r="DK67" s="366">
        <v>198.9</v>
      </c>
      <c r="DL67" s="366">
        <v>575.55999999999995</v>
      </c>
      <c r="DM67" s="366">
        <v>223.42</v>
      </c>
      <c r="DN67" s="366">
        <v>638.54999999999995</v>
      </c>
      <c r="DO67" s="366">
        <v>176.9</v>
      </c>
      <c r="DP67" s="366">
        <v>504.53</v>
      </c>
      <c r="DQ67" s="366">
        <v>460.07</v>
      </c>
      <c r="DR67" s="366">
        <v>436.4</v>
      </c>
      <c r="DS67" s="366">
        <v>381.34</v>
      </c>
      <c r="DT67" s="366">
        <v>369.63</v>
      </c>
      <c r="DU67" s="366">
        <v>326.55</v>
      </c>
      <c r="DV67" s="366">
        <v>393.26</v>
      </c>
      <c r="DW67" s="366">
        <v>246.25</v>
      </c>
      <c r="DX67" s="366">
        <v>435.05</v>
      </c>
      <c r="DY67" s="366">
        <v>508.44</v>
      </c>
      <c r="DZ67" s="366">
        <v>552.51</v>
      </c>
      <c r="EA67" s="366">
        <v>387.14</v>
      </c>
      <c r="EB67" s="366">
        <v>502.44</v>
      </c>
      <c r="EC67" s="366">
        <v>300.13</v>
      </c>
      <c r="ED67" s="366">
        <v>653.55999999999995</v>
      </c>
      <c r="EE67" s="366">
        <v>664.35</v>
      </c>
      <c r="EF67" s="366">
        <v>511.76</v>
      </c>
      <c r="EG67" s="366">
        <v>386.41</v>
      </c>
      <c r="EH67" s="366">
        <v>386.41</v>
      </c>
      <c r="EI67" s="366">
        <v>432.64</v>
      </c>
      <c r="EJ67" s="366">
        <v>118.16</v>
      </c>
      <c r="EK67" s="366">
        <v>311.07</v>
      </c>
      <c r="EL67" s="366">
        <v>311.07</v>
      </c>
      <c r="EM67" s="366">
        <v>405.18</v>
      </c>
      <c r="EN67" s="366">
        <v>405.18</v>
      </c>
      <c r="EO67" s="366">
        <v>591.78</v>
      </c>
      <c r="EP67" s="366">
        <v>514.64</v>
      </c>
      <c r="EQ67" s="366">
        <v>374.8</v>
      </c>
      <c r="ER67" s="366">
        <v>823.58</v>
      </c>
      <c r="ES67" s="366">
        <v>235.74</v>
      </c>
      <c r="ET67" s="366">
        <v>452.09</v>
      </c>
      <c r="EU67" s="366">
        <v>945.09</v>
      </c>
      <c r="EV67" s="366">
        <v>555.67999999999995</v>
      </c>
      <c r="EW67" s="366">
        <v>433.56</v>
      </c>
      <c r="EX67" s="366">
        <v>101.98</v>
      </c>
      <c r="EY67" s="366">
        <v>101.98</v>
      </c>
      <c r="EZ67" s="366">
        <v>456.99</v>
      </c>
      <c r="FA67" s="366">
        <v>402.35</v>
      </c>
      <c r="FB67" s="366">
        <v>214.6</v>
      </c>
      <c r="FC67" s="366">
        <v>455.19</v>
      </c>
      <c r="FD67" s="366">
        <v>344.84</v>
      </c>
      <c r="FE67" s="366">
        <v>436.47</v>
      </c>
      <c r="FF67" s="366">
        <v>411.65</v>
      </c>
      <c r="FG67" s="366">
        <v>796.16</v>
      </c>
      <c r="FH67" s="366">
        <v>796.16</v>
      </c>
      <c r="FI67" s="366">
        <v>536.54999999999995</v>
      </c>
      <c r="FJ67" s="366">
        <v>542.34</v>
      </c>
      <c r="FK67" s="366">
        <v>263.48</v>
      </c>
      <c r="FL67" s="366">
        <v>261.67</v>
      </c>
      <c r="FM67" s="366">
        <v>591.78</v>
      </c>
      <c r="FN67" s="366">
        <v>586.42999999999995</v>
      </c>
      <c r="FO67" s="366">
        <v>395.51</v>
      </c>
      <c r="FP67" s="366">
        <v>487.54</v>
      </c>
      <c r="FQ67" s="366">
        <v>399.38</v>
      </c>
      <c r="FR67" s="366">
        <v>274.12</v>
      </c>
      <c r="FS67" s="366">
        <v>341.72</v>
      </c>
      <c r="FT67" s="366">
        <v>792.48</v>
      </c>
      <c r="FU67" s="366">
        <v>350.22</v>
      </c>
      <c r="FV67" s="366">
        <v>1008.99</v>
      </c>
      <c r="FW67" s="366">
        <v>1008.99</v>
      </c>
      <c r="FX67" s="366">
        <v>1008.99</v>
      </c>
      <c r="FY67" s="366">
        <v>351.49</v>
      </c>
      <c r="FZ67" s="366">
        <v>426.38</v>
      </c>
      <c r="GA67" s="366">
        <v>478.64</v>
      </c>
      <c r="GB67" s="366">
        <v>380.19</v>
      </c>
      <c r="GC67" s="366">
        <v>653.55999999999995</v>
      </c>
      <c r="GD67" s="366">
        <v>179.22</v>
      </c>
      <c r="GE67" s="366">
        <v>365.41</v>
      </c>
      <c r="GF67" s="366">
        <v>336.69</v>
      </c>
      <c r="GG67" s="366">
        <v>336.69</v>
      </c>
      <c r="GH67" s="366">
        <v>527.09</v>
      </c>
      <c r="GI67" s="366">
        <v>591.94000000000005</v>
      </c>
      <c r="GJ67" s="366">
        <v>591.78</v>
      </c>
      <c r="GK67" s="366">
        <v>260.02999999999997</v>
      </c>
      <c r="GL67" s="366">
        <v>418.97</v>
      </c>
      <c r="GM67" s="366">
        <v>418.97</v>
      </c>
      <c r="GN67" s="366">
        <v>418.97</v>
      </c>
      <c r="GO67" s="366">
        <v>557.22</v>
      </c>
      <c r="GP67" s="366">
        <v>484.05</v>
      </c>
      <c r="GQ67" s="366">
        <v>8.6999999999999993</v>
      </c>
      <c r="GR67" s="366">
        <v>620.01</v>
      </c>
      <c r="GS67" s="366">
        <v>486.55</v>
      </c>
      <c r="GT67" s="366">
        <v>386.41</v>
      </c>
      <c r="GU67" s="366">
        <v>343.76</v>
      </c>
      <c r="GV67" s="366">
        <v>125.35</v>
      </c>
      <c r="GW67" s="366">
        <v>394.95</v>
      </c>
      <c r="GX67" s="366">
        <v>382.98</v>
      </c>
      <c r="GY67" s="366">
        <v>409.74</v>
      </c>
      <c r="GZ67" s="366">
        <v>344.56</v>
      </c>
      <c r="HA67" s="366">
        <v>400.92</v>
      </c>
      <c r="HB67" s="366">
        <v>400.92</v>
      </c>
      <c r="HC67" s="366">
        <v>400.92</v>
      </c>
      <c r="HD67" s="366">
        <v>588.79999999999995</v>
      </c>
      <c r="HE67" s="366">
        <v>399.03</v>
      </c>
      <c r="HF67" s="366">
        <v>355.32</v>
      </c>
      <c r="HG67" s="366">
        <v>482.97</v>
      </c>
      <c r="HH67" s="366">
        <v>482.97</v>
      </c>
      <c r="HI67" s="366">
        <v>482.97</v>
      </c>
      <c r="HJ67" s="366">
        <v>357.56</v>
      </c>
      <c r="HK67" s="366">
        <v>458.9</v>
      </c>
      <c r="HL67" s="366">
        <v>453.03</v>
      </c>
      <c r="HM67" s="366">
        <v>589.05999999999995</v>
      </c>
      <c r="HN67" s="366">
        <v>591.78</v>
      </c>
      <c r="HO67" s="366">
        <v>913.25</v>
      </c>
      <c r="HP67" s="366">
        <v>345.28</v>
      </c>
      <c r="HQ67" s="366">
        <v>1008.99</v>
      </c>
      <c r="HR67" s="366">
        <v>759.24</v>
      </c>
      <c r="HS67" s="366">
        <v>588.03</v>
      </c>
      <c r="HT67" s="366">
        <v>470.35</v>
      </c>
      <c r="HU67" s="366">
        <v>437.6</v>
      </c>
      <c r="HV67" s="366">
        <v>455.92</v>
      </c>
    </row>
    <row r="68" spans="1:230">
      <c r="A68" s="366" t="s">
        <v>90</v>
      </c>
      <c r="B68" s="366">
        <v>910.95</v>
      </c>
      <c r="C68" s="366">
        <v>201.7</v>
      </c>
      <c r="D68" s="366">
        <v>240.55</v>
      </c>
      <c r="E68" s="366">
        <v>240.55</v>
      </c>
      <c r="F68" s="366">
        <v>974.85</v>
      </c>
      <c r="G68" s="366">
        <v>711.36</v>
      </c>
      <c r="H68" s="366">
        <v>284.17</v>
      </c>
      <c r="I68" s="366">
        <v>420.68</v>
      </c>
      <c r="J68" s="366">
        <v>307.95</v>
      </c>
      <c r="K68" s="366">
        <v>307.95</v>
      </c>
      <c r="L68" s="366">
        <v>222.64</v>
      </c>
      <c r="M68" s="366">
        <v>227.12</v>
      </c>
      <c r="N68" s="366">
        <v>324.02</v>
      </c>
      <c r="O68" s="366">
        <v>385.51</v>
      </c>
      <c r="P68" s="366">
        <v>385.51</v>
      </c>
      <c r="Q68" s="366">
        <v>385.51</v>
      </c>
      <c r="R68" s="366">
        <v>385.51</v>
      </c>
      <c r="S68" s="366">
        <v>385.51</v>
      </c>
      <c r="T68" s="366">
        <v>495.18</v>
      </c>
      <c r="U68" s="366">
        <v>819.4</v>
      </c>
      <c r="V68" s="366">
        <v>440.44</v>
      </c>
      <c r="W68" s="366">
        <v>521.54</v>
      </c>
      <c r="X68" s="366">
        <v>521.54</v>
      </c>
      <c r="Y68" s="366">
        <v>521.54</v>
      </c>
      <c r="Z68" s="366">
        <v>384.96</v>
      </c>
      <c r="AA68" s="366">
        <v>705.53</v>
      </c>
      <c r="AB68" s="366">
        <v>554.91999999999996</v>
      </c>
      <c r="AC68" s="366">
        <v>557.38</v>
      </c>
      <c r="AD68" s="366">
        <v>557.38</v>
      </c>
      <c r="AE68" s="366">
        <v>291.45</v>
      </c>
      <c r="AF68" s="366">
        <v>725.1</v>
      </c>
      <c r="AG68" s="366">
        <v>523.05999999999995</v>
      </c>
      <c r="AH68" s="366">
        <v>374.63</v>
      </c>
      <c r="AI68" s="366">
        <v>374.63</v>
      </c>
      <c r="AJ68" s="366">
        <v>374.63</v>
      </c>
      <c r="AK68" s="366">
        <v>367.72</v>
      </c>
      <c r="AL68" s="366">
        <v>367.72</v>
      </c>
      <c r="AM68" s="366">
        <v>557.64</v>
      </c>
      <c r="AN68" s="366">
        <v>344.68</v>
      </c>
      <c r="AO68" s="366">
        <v>727.97</v>
      </c>
      <c r="AP68" s="366">
        <v>483.9</v>
      </c>
      <c r="AQ68" s="366">
        <v>931.39</v>
      </c>
      <c r="AR68" s="366">
        <v>370.72</v>
      </c>
      <c r="AS68" s="366">
        <v>228.53</v>
      </c>
      <c r="AT68" s="366">
        <v>228.53</v>
      </c>
      <c r="AU68" s="366">
        <v>355.3</v>
      </c>
      <c r="AV68" s="366">
        <v>850.45</v>
      </c>
      <c r="AW68" s="366">
        <v>352.27</v>
      </c>
      <c r="AX68" s="366">
        <v>441.28</v>
      </c>
      <c r="AY68" s="366">
        <v>359.73</v>
      </c>
      <c r="AZ68" s="366">
        <v>170.32</v>
      </c>
      <c r="BA68" s="366">
        <v>770.98</v>
      </c>
      <c r="BB68" s="366">
        <v>362.62</v>
      </c>
      <c r="BC68" s="366">
        <v>713.04</v>
      </c>
      <c r="BD68" s="366">
        <v>622.80999999999995</v>
      </c>
      <c r="BE68" s="366">
        <v>444.5</v>
      </c>
      <c r="BF68" s="366">
        <v>551.89</v>
      </c>
      <c r="BG68" s="366">
        <v>381.48</v>
      </c>
      <c r="BH68" s="366">
        <v>385.51</v>
      </c>
      <c r="BI68" s="366">
        <v>370.75</v>
      </c>
      <c r="BJ68" s="366">
        <v>423.85</v>
      </c>
      <c r="BK68" s="366">
        <v>8.06</v>
      </c>
      <c r="BL68" s="366">
        <v>247.55</v>
      </c>
      <c r="BM68" s="366">
        <v>256.76</v>
      </c>
      <c r="BN68" s="366">
        <v>745.72</v>
      </c>
      <c r="BO68" s="366">
        <v>34.14</v>
      </c>
      <c r="BP68" s="366">
        <v>0</v>
      </c>
      <c r="BQ68" s="366">
        <v>399.98</v>
      </c>
      <c r="BR68" s="366">
        <v>399.98</v>
      </c>
      <c r="BS68" s="366">
        <v>177.89</v>
      </c>
      <c r="BT68" s="366">
        <v>355.18</v>
      </c>
      <c r="BU68" s="366">
        <v>535.41999999999996</v>
      </c>
      <c r="BV68" s="366">
        <v>555.04</v>
      </c>
      <c r="BW68" s="366">
        <v>414.59</v>
      </c>
      <c r="BX68" s="366">
        <v>127.18</v>
      </c>
      <c r="BY68" s="366">
        <v>467.92</v>
      </c>
      <c r="BZ68" s="366">
        <v>467.92</v>
      </c>
      <c r="CA68" s="366">
        <v>384.21</v>
      </c>
      <c r="CB68" s="366">
        <v>109.07</v>
      </c>
      <c r="CC68" s="366">
        <v>412.45</v>
      </c>
      <c r="CD68" s="366">
        <v>414.85</v>
      </c>
      <c r="CE68" s="366">
        <v>24.83</v>
      </c>
      <c r="CF68" s="366">
        <v>723.83</v>
      </c>
      <c r="CG68" s="366">
        <v>723.83</v>
      </c>
      <c r="CH68" s="366">
        <v>414.98</v>
      </c>
      <c r="CI68" s="366">
        <v>328.47</v>
      </c>
      <c r="CJ68" s="366">
        <v>734.78</v>
      </c>
      <c r="CK68" s="366">
        <v>473.01</v>
      </c>
      <c r="CL68" s="366">
        <v>369.09</v>
      </c>
      <c r="CM68" s="366">
        <v>659.32</v>
      </c>
      <c r="CN68" s="366">
        <v>373.22</v>
      </c>
      <c r="CO68" s="366">
        <v>369.33</v>
      </c>
      <c r="CP68" s="366">
        <v>393.29</v>
      </c>
      <c r="CQ68" s="366">
        <v>393.29</v>
      </c>
      <c r="CR68" s="366">
        <v>321.73</v>
      </c>
      <c r="CS68" s="366">
        <v>321.73</v>
      </c>
      <c r="CT68" s="366">
        <v>331.17</v>
      </c>
      <c r="CU68" s="366">
        <v>323.3</v>
      </c>
      <c r="CV68" s="366">
        <v>325.89999999999998</v>
      </c>
      <c r="CW68" s="366">
        <v>440.44</v>
      </c>
      <c r="CX68" s="366">
        <v>431.52</v>
      </c>
      <c r="CY68" s="366">
        <v>705.74</v>
      </c>
      <c r="CZ68" s="366">
        <v>726.98</v>
      </c>
      <c r="DA68" s="366">
        <v>262.07</v>
      </c>
      <c r="DB68" s="366">
        <v>419.83</v>
      </c>
      <c r="DC68" s="366">
        <v>419.83</v>
      </c>
      <c r="DD68" s="366">
        <v>508.7</v>
      </c>
      <c r="DE68" s="366">
        <v>339.7</v>
      </c>
      <c r="DF68" s="366">
        <v>959.31</v>
      </c>
      <c r="DG68" s="366">
        <v>358.12</v>
      </c>
      <c r="DH68" s="366">
        <v>402.26</v>
      </c>
      <c r="DI68" s="366">
        <v>589.65</v>
      </c>
      <c r="DJ68" s="366">
        <v>743.18</v>
      </c>
      <c r="DK68" s="366">
        <v>164.76</v>
      </c>
      <c r="DL68" s="366">
        <v>541.41999999999996</v>
      </c>
      <c r="DM68" s="366">
        <v>189.28</v>
      </c>
      <c r="DN68" s="366">
        <v>604.41</v>
      </c>
      <c r="DO68" s="366">
        <v>142.76</v>
      </c>
      <c r="DP68" s="366">
        <v>470.39</v>
      </c>
      <c r="DQ68" s="366">
        <v>425.93</v>
      </c>
      <c r="DR68" s="366">
        <v>402.26</v>
      </c>
      <c r="DS68" s="366">
        <v>347.2</v>
      </c>
      <c r="DT68" s="366">
        <v>335.49</v>
      </c>
      <c r="DU68" s="366">
        <v>292.41000000000003</v>
      </c>
      <c r="DV68" s="366">
        <v>359.12</v>
      </c>
      <c r="DW68" s="366">
        <v>212.11</v>
      </c>
      <c r="DX68" s="366">
        <v>400.91</v>
      </c>
      <c r="DY68" s="366">
        <v>474.3</v>
      </c>
      <c r="DZ68" s="366">
        <v>518.37</v>
      </c>
      <c r="EA68" s="366">
        <v>353</v>
      </c>
      <c r="EB68" s="366">
        <v>468.3</v>
      </c>
      <c r="EC68" s="366">
        <v>265.99</v>
      </c>
      <c r="ED68" s="366">
        <v>619.41999999999996</v>
      </c>
      <c r="EE68" s="366">
        <v>630.21</v>
      </c>
      <c r="EF68" s="366">
        <v>477.62</v>
      </c>
      <c r="EG68" s="366">
        <v>352.27</v>
      </c>
      <c r="EH68" s="366">
        <v>352.27</v>
      </c>
      <c r="EI68" s="366">
        <v>398.5</v>
      </c>
      <c r="EJ68" s="366">
        <v>144.16</v>
      </c>
      <c r="EK68" s="366">
        <v>276.93</v>
      </c>
      <c r="EL68" s="366">
        <v>276.93</v>
      </c>
      <c r="EM68" s="366">
        <v>371.04</v>
      </c>
      <c r="EN68" s="366">
        <v>371.04</v>
      </c>
      <c r="EO68" s="366">
        <v>557.64</v>
      </c>
      <c r="EP68" s="366">
        <v>480.5</v>
      </c>
      <c r="EQ68" s="366">
        <v>340.66</v>
      </c>
      <c r="ER68" s="366">
        <v>789.44</v>
      </c>
      <c r="ES68" s="366">
        <v>201.6</v>
      </c>
      <c r="ET68" s="366">
        <v>417.95</v>
      </c>
      <c r="EU68" s="366">
        <v>910.95</v>
      </c>
      <c r="EV68" s="366">
        <v>521.54</v>
      </c>
      <c r="EW68" s="366">
        <v>399.42</v>
      </c>
      <c r="EX68" s="366">
        <v>67.84</v>
      </c>
      <c r="EY68" s="366">
        <v>67.84</v>
      </c>
      <c r="EZ68" s="366">
        <v>422.85</v>
      </c>
      <c r="FA68" s="366">
        <v>368.21</v>
      </c>
      <c r="FB68" s="366">
        <v>180.46</v>
      </c>
      <c r="FC68" s="366">
        <v>421.05</v>
      </c>
      <c r="FD68" s="366">
        <v>310.7</v>
      </c>
      <c r="FE68" s="366">
        <v>402.33</v>
      </c>
      <c r="FF68" s="366">
        <v>377.51</v>
      </c>
      <c r="FG68" s="366">
        <v>762.02</v>
      </c>
      <c r="FH68" s="366">
        <v>762.02</v>
      </c>
      <c r="FI68" s="366">
        <v>502.41</v>
      </c>
      <c r="FJ68" s="366">
        <v>508.2</v>
      </c>
      <c r="FK68" s="366">
        <v>229.34</v>
      </c>
      <c r="FL68" s="366">
        <v>227.53</v>
      </c>
      <c r="FM68" s="366">
        <v>557.64</v>
      </c>
      <c r="FN68" s="366">
        <v>552.29</v>
      </c>
      <c r="FO68" s="366">
        <v>361.37</v>
      </c>
      <c r="FP68" s="366">
        <v>453.4</v>
      </c>
      <c r="FQ68" s="366">
        <v>365.24</v>
      </c>
      <c r="FR68" s="366">
        <v>239.98</v>
      </c>
      <c r="FS68" s="366">
        <v>307.58</v>
      </c>
      <c r="FT68" s="366">
        <v>758.34</v>
      </c>
      <c r="FU68" s="366">
        <v>316.08</v>
      </c>
      <c r="FV68" s="366">
        <v>974.85</v>
      </c>
      <c r="FW68" s="366">
        <v>974.85</v>
      </c>
      <c r="FX68" s="366">
        <v>974.85</v>
      </c>
      <c r="FY68" s="366">
        <v>317.35000000000002</v>
      </c>
      <c r="FZ68" s="366">
        <v>392.24</v>
      </c>
      <c r="GA68" s="366">
        <v>444.5</v>
      </c>
      <c r="GB68" s="366">
        <v>346.05</v>
      </c>
      <c r="GC68" s="366">
        <v>619.41999999999996</v>
      </c>
      <c r="GD68" s="366">
        <v>145.08000000000001</v>
      </c>
      <c r="GE68" s="366">
        <v>331.27</v>
      </c>
      <c r="GF68" s="366">
        <v>302.55</v>
      </c>
      <c r="GG68" s="366">
        <v>302.55</v>
      </c>
      <c r="GH68" s="366">
        <v>492.95</v>
      </c>
      <c r="GI68" s="366">
        <v>557.79999999999995</v>
      </c>
      <c r="GJ68" s="366">
        <v>557.64</v>
      </c>
      <c r="GK68" s="366">
        <v>225.89</v>
      </c>
      <c r="GL68" s="366">
        <v>384.83</v>
      </c>
      <c r="GM68" s="366">
        <v>384.83</v>
      </c>
      <c r="GN68" s="366">
        <v>384.83</v>
      </c>
      <c r="GO68" s="366">
        <v>523.08000000000004</v>
      </c>
      <c r="GP68" s="366">
        <v>449.91</v>
      </c>
      <c r="GQ68" s="366">
        <v>25.44</v>
      </c>
      <c r="GR68" s="366">
        <v>585.87</v>
      </c>
      <c r="GS68" s="366">
        <v>452.41</v>
      </c>
      <c r="GT68" s="366">
        <v>352.27</v>
      </c>
      <c r="GU68" s="366">
        <v>309.62</v>
      </c>
      <c r="GV68" s="366">
        <v>151.35</v>
      </c>
      <c r="GW68" s="366">
        <v>360.81</v>
      </c>
      <c r="GX68" s="366">
        <v>348.84</v>
      </c>
      <c r="GY68" s="366">
        <v>375.6</v>
      </c>
      <c r="GZ68" s="366">
        <v>310.42</v>
      </c>
      <c r="HA68" s="366">
        <v>366.78</v>
      </c>
      <c r="HB68" s="366">
        <v>366.78</v>
      </c>
      <c r="HC68" s="366">
        <v>366.78</v>
      </c>
      <c r="HD68" s="366">
        <v>554.66</v>
      </c>
      <c r="HE68" s="366">
        <v>364.89</v>
      </c>
      <c r="HF68" s="366">
        <v>321.18</v>
      </c>
      <c r="HG68" s="366">
        <v>448.83</v>
      </c>
      <c r="HH68" s="366">
        <v>448.83</v>
      </c>
      <c r="HI68" s="366">
        <v>448.83</v>
      </c>
      <c r="HJ68" s="366">
        <v>323.42</v>
      </c>
      <c r="HK68" s="366">
        <v>424.76</v>
      </c>
      <c r="HL68" s="366">
        <v>418.89</v>
      </c>
      <c r="HM68" s="366">
        <v>554.91999999999996</v>
      </c>
      <c r="HN68" s="366">
        <v>557.64</v>
      </c>
      <c r="HO68" s="366">
        <v>879.11</v>
      </c>
      <c r="HP68" s="366">
        <v>311.14</v>
      </c>
      <c r="HQ68" s="366">
        <v>974.85</v>
      </c>
      <c r="HR68" s="366">
        <v>725.1</v>
      </c>
      <c r="HS68" s="366">
        <v>553.89</v>
      </c>
      <c r="HT68" s="366">
        <v>436.21</v>
      </c>
      <c r="HU68" s="366">
        <v>403.46</v>
      </c>
      <c r="HV68" s="366">
        <v>421.78</v>
      </c>
    </row>
    <row r="69" spans="1:230">
      <c r="A69" s="366" t="s">
        <v>91</v>
      </c>
      <c r="B69" s="366">
        <v>530.17999999999995</v>
      </c>
      <c r="C69" s="366">
        <v>355.52</v>
      </c>
      <c r="D69" s="366">
        <v>256.29000000000002</v>
      </c>
      <c r="E69" s="366">
        <v>256.29000000000002</v>
      </c>
      <c r="F69" s="366">
        <v>594.08000000000004</v>
      </c>
      <c r="G69" s="366">
        <v>401.65</v>
      </c>
      <c r="H69" s="366">
        <v>299.91000000000003</v>
      </c>
      <c r="I69" s="366">
        <v>20.7</v>
      </c>
      <c r="J69" s="366">
        <v>319.85000000000002</v>
      </c>
      <c r="K69" s="366">
        <v>319.85000000000002</v>
      </c>
      <c r="L69" s="366">
        <v>246.9</v>
      </c>
      <c r="M69" s="366">
        <v>380.94</v>
      </c>
      <c r="N69" s="366">
        <v>477.84</v>
      </c>
      <c r="O69" s="366">
        <v>230.95</v>
      </c>
      <c r="P69" s="366">
        <v>230.95</v>
      </c>
      <c r="Q69" s="366">
        <v>230.95</v>
      </c>
      <c r="R69" s="366">
        <v>230.95</v>
      </c>
      <c r="S69" s="366">
        <v>230.95</v>
      </c>
      <c r="T69" s="366">
        <v>95.2</v>
      </c>
      <c r="U69" s="366">
        <v>509.69</v>
      </c>
      <c r="V69" s="366">
        <v>320.33999999999997</v>
      </c>
      <c r="W69" s="366">
        <v>238.56</v>
      </c>
      <c r="X69" s="366">
        <v>238.56</v>
      </c>
      <c r="Y69" s="366">
        <v>238.56</v>
      </c>
      <c r="Z69" s="366">
        <v>358.08</v>
      </c>
      <c r="AA69" s="366">
        <v>395.82</v>
      </c>
      <c r="AB69" s="366">
        <v>154.94</v>
      </c>
      <c r="AC69" s="366">
        <v>157.4</v>
      </c>
      <c r="AD69" s="366">
        <v>157.4</v>
      </c>
      <c r="AE69" s="366">
        <v>205.39</v>
      </c>
      <c r="AF69" s="366">
        <v>415.39</v>
      </c>
      <c r="AG69" s="366">
        <v>240.08</v>
      </c>
      <c r="AH69" s="366">
        <v>25.35</v>
      </c>
      <c r="AI69" s="366">
        <v>25.35</v>
      </c>
      <c r="AJ69" s="366">
        <v>25.35</v>
      </c>
      <c r="AK69" s="366">
        <v>380.28</v>
      </c>
      <c r="AL69" s="366">
        <v>380.28</v>
      </c>
      <c r="AM69" s="366">
        <v>157.66</v>
      </c>
      <c r="AN69" s="366">
        <v>190.12</v>
      </c>
      <c r="AO69" s="366">
        <v>408.77</v>
      </c>
      <c r="AP69" s="366">
        <v>83.92</v>
      </c>
      <c r="AQ69" s="366">
        <v>550.62</v>
      </c>
      <c r="AR69" s="366">
        <v>359.59</v>
      </c>
      <c r="AS69" s="366">
        <v>171.45</v>
      </c>
      <c r="AT69" s="366">
        <v>171.45</v>
      </c>
      <c r="AU69" s="366">
        <v>235.2</v>
      </c>
      <c r="AV69" s="366">
        <v>540.74</v>
      </c>
      <c r="AW69" s="366">
        <v>282.39</v>
      </c>
      <c r="AX69" s="366">
        <v>101.88</v>
      </c>
      <c r="AY69" s="366">
        <v>513.54999999999995</v>
      </c>
      <c r="AZ69" s="366">
        <v>324.14</v>
      </c>
      <c r="BA69" s="366">
        <v>371</v>
      </c>
      <c r="BB69" s="366">
        <v>516.44000000000005</v>
      </c>
      <c r="BC69" s="366">
        <v>313.06</v>
      </c>
      <c r="BD69" s="366">
        <v>222.83</v>
      </c>
      <c r="BE69" s="366">
        <v>324.39999999999998</v>
      </c>
      <c r="BF69" s="366">
        <v>151.91</v>
      </c>
      <c r="BG69" s="366">
        <v>365.63</v>
      </c>
      <c r="BH69" s="366">
        <v>230.95</v>
      </c>
      <c r="BI69" s="366">
        <v>359.62</v>
      </c>
      <c r="BJ69" s="366">
        <v>303.75</v>
      </c>
      <c r="BK69" s="366">
        <v>391.92</v>
      </c>
      <c r="BL69" s="366">
        <v>249.29</v>
      </c>
      <c r="BM69" s="366">
        <v>272.5</v>
      </c>
      <c r="BN69" s="366">
        <v>436.01</v>
      </c>
      <c r="BO69" s="366">
        <v>434.12</v>
      </c>
      <c r="BP69" s="366">
        <v>399.98</v>
      </c>
      <c r="BQ69" s="366">
        <v>0</v>
      </c>
      <c r="BR69" s="366">
        <v>0</v>
      </c>
      <c r="BS69" s="366">
        <v>331.71</v>
      </c>
      <c r="BT69" s="366">
        <v>351.54</v>
      </c>
      <c r="BU69" s="366">
        <v>135.44</v>
      </c>
      <c r="BV69" s="366">
        <v>155.06</v>
      </c>
      <c r="BW69" s="366">
        <v>294.49</v>
      </c>
      <c r="BX69" s="366">
        <v>272.8</v>
      </c>
      <c r="BY69" s="366">
        <v>347.82</v>
      </c>
      <c r="BZ69" s="366">
        <v>347.82</v>
      </c>
      <c r="CA69" s="366">
        <v>243.59</v>
      </c>
      <c r="CB69" s="366">
        <v>291.23</v>
      </c>
      <c r="CC69" s="366">
        <v>73.05</v>
      </c>
      <c r="CD69" s="366">
        <v>86.53</v>
      </c>
      <c r="CE69" s="366">
        <v>375.15</v>
      </c>
      <c r="CF69" s="366">
        <v>414.12</v>
      </c>
      <c r="CG69" s="366">
        <v>414.12</v>
      </c>
      <c r="CH69" s="366">
        <v>15</v>
      </c>
      <c r="CI69" s="366">
        <v>104.15</v>
      </c>
      <c r="CJ69" s="366">
        <v>425.07</v>
      </c>
      <c r="CK69" s="366">
        <v>352.91</v>
      </c>
      <c r="CL69" s="366">
        <v>248.99</v>
      </c>
      <c r="CM69" s="366">
        <v>259.33999999999997</v>
      </c>
      <c r="CN69" s="366">
        <v>253.12</v>
      </c>
      <c r="CO69" s="366">
        <v>358.2</v>
      </c>
      <c r="CP69" s="366">
        <v>6.69</v>
      </c>
      <c r="CQ69" s="366">
        <v>6.69</v>
      </c>
      <c r="CR69" s="366">
        <v>309.52</v>
      </c>
      <c r="CS69" s="366">
        <v>309.52</v>
      </c>
      <c r="CT69" s="366">
        <v>300.08</v>
      </c>
      <c r="CU69" s="366">
        <v>307.95</v>
      </c>
      <c r="CV69" s="366">
        <v>301.89999999999998</v>
      </c>
      <c r="CW69" s="366">
        <v>320.33999999999997</v>
      </c>
      <c r="CX69" s="366">
        <v>92.12</v>
      </c>
      <c r="CY69" s="366">
        <v>305.76</v>
      </c>
      <c r="CZ69" s="366">
        <v>327</v>
      </c>
      <c r="DA69" s="366">
        <v>415.89</v>
      </c>
      <c r="DB69" s="366">
        <v>299.73</v>
      </c>
      <c r="DC69" s="366">
        <v>299.73</v>
      </c>
      <c r="DD69" s="366">
        <v>225.72</v>
      </c>
      <c r="DE69" s="366">
        <v>493.52</v>
      </c>
      <c r="DF69" s="366">
        <v>578.54</v>
      </c>
      <c r="DG69" s="366">
        <v>74.5</v>
      </c>
      <c r="DH69" s="366">
        <v>556.08000000000004</v>
      </c>
      <c r="DI69" s="366">
        <v>279.94</v>
      </c>
      <c r="DJ69" s="366">
        <v>343.2</v>
      </c>
      <c r="DK69" s="366">
        <v>235.22</v>
      </c>
      <c r="DL69" s="366">
        <v>141.44</v>
      </c>
      <c r="DM69" s="366">
        <v>343.1</v>
      </c>
      <c r="DN69" s="366">
        <v>294.7</v>
      </c>
      <c r="DO69" s="366">
        <v>261.79000000000002</v>
      </c>
      <c r="DP69" s="366">
        <v>187.41</v>
      </c>
      <c r="DQ69" s="366">
        <v>305.83</v>
      </c>
      <c r="DR69" s="366">
        <v>556.08000000000004</v>
      </c>
      <c r="DS69" s="366">
        <v>359.1</v>
      </c>
      <c r="DT69" s="366">
        <v>347.39</v>
      </c>
      <c r="DU69" s="366">
        <v>446.23</v>
      </c>
      <c r="DV69" s="366">
        <v>383.92</v>
      </c>
      <c r="DW69" s="366">
        <v>187.87</v>
      </c>
      <c r="DX69" s="366">
        <v>280.81</v>
      </c>
      <c r="DY69" s="366">
        <v>354.2</v>
      </c>
      <c r="DZ69" s="366">
        <v>235.39</v>
      </c>
      <c r="EA69" s="366">
        <v>341.87</v>
      </c>
      <c r="EB69" s="366">
        <v>348.2</v>
      </c>
      <c r="EC69" s="366">
        <v>281.73</v>
      </c>
      <c r="ED69" s="366">
        <v>309.70999999999998</v>
      </c>
      <c r="EE69" s="366">
        <v>320.5</v>
      </c>
      <c r="EF69" s="366">
        <v>77.64</v>
      </c>
      <c r="EG69" s="366">
        <v>282.39</v>
      </c>
      <c r="EH69" s="366">
        <v>282.39</v>
      </c>
      <c r="EI69" s="366">
        <v>87</v>
      </c>
      <c r="EJ69" s="366">
        <v>544.14</v>
      </c>
      <c r="EK69" s="366">
        <v>156.83000000000001</v>
      </c>
      <c r="EL69" s="366">
        <v>156.83000000000001</v>
      </c>
      <c r="EM69" s="366">
        <v>250.94</v>
      </c>
      <c r="EN69" s="366">
        <v>250.94</v>
      </c>
      <c r="EO69" s="366">
        <v>157.66</v>
      </c>
      <c r="EP69" s="366">
        <v>141.1</v>
      </c>
      <c r="EQ69" s="366">
        <v>290.58999999999997</v>
      </c>
      <c r="ER69" s="366">
        <v>479.73</v>
      </c>
      <c r="ES69" s="366">
        <v>355.42</v>
      </c>
      <c r="ET69" s="366">
        <v>17.97</v>
      </c>
      <c r="EU69" s="366">
        <v>530.17999999999995</v>
      </c>
      <c r="EV69" s="366">
        <v>238.56</v>
      </c>
      <c r="EW69" s="366">
        <v>86.38</v>
      </c>
      <c r="EX69" s="366">
        <v>332.16</v>
      </c>
      <c r="EY69" s="366">
        <v>332.16</v>
      </c>
      <c r="EZ69" s="366">
        <v>295.48</v>
      </c>
      <c r="FA69" s="366">
        <v>248.11</v>
      </c>
      <c r="FB69" s="366">
        <v>219.52</v>
      </c>
      <c r="FC69" s="366">
        <v>300.95</v>
      </c>
      <c r="FD69" s="366">
        <v>156.13999999999999</v>
      </c>
      <c r="FE69" s="366">
        <v>90.83</v>
      </c>
      <c r="FF69" s="366">
        <v>91.69</v>
      </c>
      <c r="FG69" s="366">
        <v>362.04</v>
      </c>
      <c r="FH69" s="366">
        <v>362.04</v>
      </c>
      <c r="FI69" s="366">
        <v>219.43</v>
      </c>
      <c r="FJ69" s="366">
        <v>225.22</v>
      </c>
      <c r="FK69" s="366">
        <v>383.16</v>
      </c>
      <c r="FL69" s="366">
        <v>381.35</v>
      </c>
      <c r="FM69" s="366">
        <v>157.66</v>
      </c>
      <c r="FN69" s="366">
        <v>269.31</v>
      </c>
      <c r="FO69" s="366">
        <v>350.24</v>
      </c>
      <c r="FP69" s="366">
        <v>333.3</v>
      </c>
      <c r="FQ69" s="366">
        <v>354.11</v>
      </c>
      <c r="FR69" s="366">
        <v>264.24</v>
      </c>
      <c r="FS69" s="366">
        <v>92.4</v>
      </c>
      <c r="FT69" s="366">
        <v>358.36</v>
      </c>
      <c r="FU69" s="366">
        <v>116.54</v>
      </c>
      <c r="FV69" s="366">
        <v>594.08000000000004</v>
      </c>
      <c r="FW69" s="366">
        <v>594.08000000000004</v>
      </c>
      <c r="FX69" s="366">
        <v>594.08000000000004</v>
      </c>
      <c r="FY69" s="366">
        <v>197.25</v>
      </c>
      <c r="FZ69" s="366">
        <v>106.42</v>
      </c>
      <c r="GA69" s="366">
        <v>324.39999999999998</v>
      </c>
      <c r="GB69" s="366">
        <v>130.87</v>
      </c>
      <c r="GC69" s="366">
        <v>309.70999999999998</v>
      </c>
      <c r="GD69" s="366">
        <v>254.9</v>
      </c>
      <c r="GE69" s="366">
        <v>299.98</v>
      </c>
      <c r="GF69" s="366">
        <v>130.07</v>
      </c>
      <c r="GG69" s="366">
        <v>130.07</v>
      </c>
      <c r="GH69" s="366">
        <v>372.85</v>
      </c>
      <c r="GI69" s="366">
        <v>157.82</v>
      </c>
      <c r="GJ69" s="366">
        <v>157.66</v>
      </c>
      <c r="GK69" s="366">
        <v>379.71</v>
      </c>
      <c r="GL69" s="366">
        <v>99.01</v>
      </c>
      <c r="GM69" s="366">
        <v>99.01</v>
      </c>
      <c r="GN69" s="366">
        <v>99.01</v>
      </c>
      <c r="GO69" s="366">
        <v>123.1</v>
      </c>
      <c r="GP69" s="366">
        <v>329.81</v>
      </c>
      <c r="GQ69" s="366">
        <v>425.42</v>
      </c>
      <c r="GR69" s="366">
        <v>185.89</v>
      </c>
      <c r="GS69" s="366">
        <v>52.43</v>
      </c>
      <c r="GT69" s="366">
        <v>282.39</v>
      </c>
      <c r="GU69" s="366">
        <v>190.1</v>
      </c>
      <c r="GV69" s="366">
        <v>551.33000000000004</v>
      </c>
      <c r="GW69" s="366">
        <v>74.989999999999995</v>
      </c>
      <c r="GX69" s="366">
        <v>278.95999999999998</v>
      </c>
      <c r="GY69" s="366">
        <v>24.38</v>
      </c>
      <c r="GZ69" s="366">
        <v>155.86000000000001</v>
      </c>
      <c r="HA69" s="366">
        <v>355.65</v>
      </c>
      <c r="HB69" s="366">
        <v>355.65</v>
      </c>
      <c r="HC69" s="366">
        <v>355.65</v>
      </c>
      <c r="HD69" s="366">
        <v>271.68</v>
      </c>
      <c r="HE69" s="366">
        <v>244.79</v>
      </c>
      <c r="HF69" s="366">
        <v>201.08</v>
      </c>
      <c r="HG69" s="366">
        <v>328.73</v>
      </c>
      <c r="HH69" s="366">
        <v>328.73</v>
      </c>
      <c r="HI69" s="366">
        <v>328.73</v>
      </c>
      <c r="HJ69" s="366">
        <v>109.2</v>
      </c>
      <c r="HK69" s="366">
        <v>209.01</v>
      </c>
      <c r="HL69" s="366">
        <v>264.33</v>
      </c>
      <c r="HM69" s="366">
        <v>154.94</v>
      </c>
      <c r="HN69" s="366">
        <v>157.66</v>
      </c>
      <c r="HO69" s="366">
        <v>563.38</v>
      </c>
      <c r="HP69" s="366">
        <v>156.58000000000001</v>
      </c>
      <c r="HQ69" s="366">
        <v>594.08000000000004</v>
      </c>
      <c r="HR69" s="366">
        <v>415.39</v>
      </c>
      <c r="HS69" s="366">
        <v>153.91</v>
      </c>
      <c r="HT69" s="366">
        <v>36.229999999999997</v>
      </c>
      <c r="HU69" s="366">
        <v>3.48</v>
      </c>
      <c r="HV69" s="366">
        <v>105.21</v>
      </c>
    </row>
    <row r="70" spans="1:230">
      <c r="A70" s="366" t="s">
        <v>92</v>
      </c>
      <c r="B70" s="366">
        <v>530.17999999999995</v>
      </c>
      <c r="C70" s="366">
        <v>355.52</v>
      </c>
      <c r="D70" s="366">
        <v>256.29000000000002</v>
      </c>
      <c r="E70" s="366">
        <v>256.29000000000002</v>
      </c>
      <c r="F70" s="366">
        <v>594.08000000000004</v>
      </c>
      <c r="G70" s="366">
        <v>401.65</v>
      </c>
      <c r="H70" s="366">
        <v>299.91000000000003</v>
      </c>
      <c r="I70" s="366">
        <v>20.7</v>
      </c>
      <c r="J70" s="366">
        <v>319.85000000000002</v>
      </c>
      <c r="K70" s="366">
        <v>319.85000000000002</v>
      </c>
      <c r="L70" s="366">
        <v>246.9</v>
      </c>
      <c r="M70" s="366">
        <v>380.94</v>
      </c>
      <c r="N70" s="366">
        <v>477.84</v>
      </c>
      <c r="O70" s="366">
        <v>230.95</v>
      </c>
      <c r="P70" s="366">
        <v>230.95</v>
      </c>
      <c r="Q70" s="366">
        <v>230.95</v>
      </c>
      <c r="R70" s="366">
        <v>230.95</v>
      </c>
      <c r="S70" s="366">
        <v>230.95</v>
      </c>
      <c r="T70" s="366">
        <v>95.2</v>
      </c>
      <c r="U70" s="366">
        <v>509.69</v>
      </c>
      <c r="V70" s="366">
        <v>320.33999999999997</v>
      </c>
      <c r="W70" s="366">
        <v>238.56</v>
      </c>
      <c r="X70" s="366">
        <v>238.56</v>
      </c>
      <c r="Y70" s="366">
        <v>238.56</v>
      </c>
      <c r="Z70" s="366">
        <v>358.08</v>
      </c>
      <c r="AA70" s="366">
        <v>395.82</v>
      </c>
      <c r="AB70" s="366">
        <v>154.94</v>
      </c>
      <c r="AC70" s="366">
        <v>157.4</v>
      </c>
      <c r="AD70" s="366">
        <v>157.4</v>
      </c>
      <c r="AE70" s="366">
        <v>205.39</v>
      </c>
      <c r="AF70" s="366">
        <v>415.39</v>
      </c>
      <c r="AG70" s="366">
        <v>240.08</v>
      </c>
      <c r="AH70" s="366">
        <v>25.35</v>
      </c>
      <c r="AI70" s="366">
        <v>25.35</v>
      </c>
      <c r="AJ70" s="366">
        <v>25.35</v>
      </c>
      <c r="AK70" s="366">
        <v>380.28</v>
      </c>
      <c r="AL70" s="366">
        <v>380.28</v>
      </c>
      <c r="AM70" s="366">
        <v>157.66</v>
      </c>
      <c r="AN70" s="366">
        <v>190.12</v>
      </c>
      <c r="AO70" s="366">
        <v>408.77</v>
      </c>
      <c r="AP70" s="366">
        <v>83.92</v>
      </c>
      <c r="AQ70" s="366">
        <v>550.62</v>
      </c>
      <c r="AR70" s="366">
        <v>359.59</v>
      </c>
      <c r="AS70" s="366">
        <v>171.45</v>
      </c>
      <c r="AT70" s="366">
        <v>171.45</v>
      </c>
      <c r="AU70" s="366">
        <v>235.2</v>
      </c>
      <c r="AV70" s="366">
        <v>540.74</v>
      </c>
      <c r="AW70" s="366">
        <v>282.39</v>
      </c>
      <c r="AX70" s="366">
        <v>101.88</v>
      </c>
      <c r="AY70" s="366">
        <v>513.54999999999995</v>
      </c>
      <c r="AZ70" s="366">
        <v>324.14</v>
      </c>
      <c r="BA70" s="366">
        <v>371</v>
      </c>
      <c r="BB70" s="366">
        <v>516.44000000000005</v>
      </c>
      <c r="BC70" s="366">
        <v>313.06</v>
      </c>
      <c r="BD70" s="366">
        <v>222.83</v>
      </c>
      <c r="BE70" s="366">
        <v>324.39999999999998</v>
      </c>
      <c r="BF70" s="366">
        <v>151.91</v>
      </c>
      <c r="BG70" s="366">
        <v>365.63</v>
      </c>
      <c r="BH70" s="366">
        <v>230.95</v>
      </c>
      <c r="BI70" s="366">
        <v>359.62</v>
      </c>
      <c r="BJ70" s="366">
        <v>303.75</v>
      </c>
      <c r="BK70" s="366">
        <v>391.92</v>
      </c>
      <c r="BL70" s="366">
        <v>249.29</v>
      </c>
      <c r="BM70" s="366">
        <v>272.5</v>
      </c>
      <c r="BN70" s="366">
        <v>436.01</v>
      </c>
      <c r="BO70" s="366">
        <v>434.12</v>
      </c>
      <c r="BP70" s="366">
        <v>399.98</v>
      </c>
      <c r="BQ70" s="366">
        <v>0</v>
      </c>
      <c r="BR70" s="366">
        <v>0</v>
      </c>
      <c r="BS70" s="366">
        <v>331.71</v>
      </c>
      <c r="BT70" s="366">
        <v>351.54</v>
      </c>
      <c r="BU70" s="366">
        <v>135.44</v>
      </c>
      <c r="BV70" s="366">
        <v>155.06</v>
      </c>
      <c r="BW70" s="366">
        <v>294.49</v>
      </c>
      <c r="BX70" s="366">
        <v>272.8</v>
      </c>
      <c r="BY70" s="366">
        <v>347.82</v>
      </c>
      <c r="BZ70" s="366">
        <v>347.82</v>
      </c>
      <c r="CA70" s="366">
        <v>243.59</v>
      </c>
      <c r="CB70" s="366">
        <v>291.23</v>
      </c>
      <c r="CC70" s="366">
        <v>73.05</v>
      </c>
      <c r="CD70" s="366">
        <v>86.53</v>
      </c>
      <c r="CE70" s="366">
        <v>375.15</v>
      </c>
      <c r="CF70" s="366">
        <v>414.12</v>
      </c>
      <c r="CG70" s="366">
        <v>414.12</v>
      </c>
      <c r="CH70" s="366">
        <v>15</v>
      </c>
      <c r="CI70" s="366">
        <v>104.15</v>
      </c>
      <c r="CJ70" s="366">
        <v>425.07</v>
      </c>
      <c r="CK70" s="366">
        <v>352.91</v>
      </c>
      <c r="CL70" s="366">
        <v>248.99</v>
      </c>
      <c r="CM70" s="366">
        <v>259.33999999999997</v>
      </c>
      <c r="CN70" s="366">
        <v>253.12</v>
      </c>
      <c r="CO70" s="366">
        <v>358.2</v>
      </c>
      <c r="CP70" s="366">
        <v>6.69</v>
      </c>
      <c r="CQ70" s="366">
        <v>6.69</v>
      </c>
      <c r="CR70" s="366">
        <v>309.52</v>
      </c>
      <c r="CS70" s="366">
        <v>309.52</v>
      </c>
      <c r="CT70" s="366">
        <v>300.08</v>
      </c>
      <c r="CU70" s="366">
        <v>307.95</v>
      </c>
      <c r="CV70" s="366">
        <v>301.89999999999998</v>
      </c>
      <c r="CW70" s="366">
        <v>320.33999999999997</v>
      </c>
      <c r="CX70" s="366">
        <v>92.12</v>
      </c>
      <c r="CY70" s="366">
        <v>305.76</v>
      </c>
      <c r="CZ70" s="366">
        <v>327</v>
      </c>
      <c r="DA70" s="366">
        <v>415.89</v>
      </c>
      <c r="DB70" s="366">
        <v>299.73</v>
      </c>
      <c r="DC70" s="366">
        <v>299.73</v>
      </c>
      <c r="DD70" s="366">
        <v>225.72</v>
      </c>
      <c r="DE70" s="366">
        <v>493.52</v>
      </c>
      <c r="DF70" s="366">
        <v>578.54</v>
      </c>
      <c r="DG70" s="366">
        <v>74.5</v>
      </c>
      <c r="DH70" s="366">
        <v>556.08000000000004</v>
      </c>
      <c r="DI70" s="366">
        <v>279.94</v>
      </c>
      <c r="DJ70" s="366">
        <v>343.2</v>
      </c>
      <c r="DK70" s="366">
        <v>235.22</v>
      </c>
      <c r="DL70" s="366">
        <v>141.44</v>
      </c>
      <c r="DM70" s="366">
        <v>343.1</v>
      </c>
      <c r="DN70" s="366">
        <v>294.7</v>
      </c>
      <c r="DO70" s="366">
        <v>261.79000000000002</v>
      </c>
      <c r="DP70" s="366">
        <v>187.41</v>
      </c>
      <c r="DQ70" s="366">
        <v>305.83</v>
      </c>
      <c r="DR70" s="366">
        <v>556.08000000000004</v>
      </c>
      <c r="DS70" s="366">
        <v>359.1</v>
      </c>
      <c r="DT70" s="366">
        <v>347.39</v>
      </c>
      <c r="DU70" s="366">
        <v>446.23</v>
      </c>
      <c r="DV70" s="366">
        <v>383.92</v>
      </c>
      <c r="DW70" s="366">
        <v>187.87</v>
      </c>
      <c r="DX70" s="366">
        <v>280.81</v>
      </c>
      <c r="DY70" s="366">
        <v>354.2</v>
      </c>
      <c r="DZ70" s="366">
        <v>235.39</v>
      </c>
      <c r="EA70" s="366">
        <v>341.87</v>
      </c>
      <c r="EB70" s="366">
        <v>348.2</v>
      </c>
      <c r="EC70" s="366">
        <v>281.73</v>
      </c>
      <c r="ED70" s="366">
        <v>309.70999999999998</v>
      </c>
      <c r="EE70" s="366">
        <v>320.5</v>
      </c>
      <c r="EF70" s="366">
        <v>77.64</v>
      </c>
      <c r="EG70" s="366">
        <v>282.39</v>
      </c>
      <c r="EH70" s="366">
        <v>282.39</v>
      </c>
      <c r="EI70" s="366">
        <v>87</v>
      </c>
      <c r="EJ70" s="366">
        <v>544.14</v>
      </c>
      <c r="EK70" s="366">
        <v>156.83000000000001</v>
      </c>
      <c r="EL70" s="366">
        <v>156.83000000000001</v>
      </c>
      <c r="EM70" s="366">
        <v>250.94</v>
      </c>
      <c r="EN70" s="366">
        <v>250.94</v>
      </c>
      <c r="EO70" s="366">
        <v>157.66</v>
      </c>
      <c r="EP70" s="366">
        <v>141.1</v>
      </c>
      <c r="EQ70" s="366">
        <v>290.58999999999997</v>
      </c>
      <c r="ER70" s="366">
        <v>479.73</v>
      </c>
      <c r="ES70" s="366">
        <v>355.42</v>
      </c>
      <c r="ET70" s="366">
        <v>17.97</v>
      </c>
      <c r="EU70" s="366">
        <v>530.17999999999995</v>
      </c>
      <c r="EV70" s="366">
        <v>238.56</v>
      </c>
      <c r="EW70" s="366">
        <v>86.38</v>
      </c>
      <c r="EX70" s="366">
        <v>332.16</v>
      </c>
      <c r="EY70" s="366">
        <v>332.16</v>
      </c>
      <c r="EZ70" s="366">
        <v>295.48</v>
      </c>
      <c r="FA70" s="366">
        <v>248.11</v>
      </c>
      <c r="FB70" s="366">
        <v>219.52</v>
      </c>
      <c r="FC70" s="366">
        <v>300.95</v>
      </c>
      <c r="FD70" s="366">
        <v>156.13999999999999</v>
      </c>
      <c r="FE70" s="366">
        <v>90.83</v>
      </c>
      <c r="FF70" s="366">
        <v>91.69</v>
      </c>
      <c r="FG70" s="366">
        <v>362.04</v>
      </c>
      <c r="FH70" s="366">
        <v>362.04</v>
      </c>
      <c r="FI70" s="366">
        <v>219.43</v>
      </c>
      <c r="FJ70" s="366">
        <v>225.22</v>
      </c>
      <c r="FK70" s="366">
        <v>383.16</v>
      </c>
      <c r="FL70" s="366">
        <v>381.35</v>
      </c>
      <c r="FM70" s="366">
        <v>157.66</v>
      </c>
      <c r="FN70" s="366">
        <v>269.31</v>
      </c>
      <c r="FO70" s="366">
        <v>350.24</v>
      </c>
      <c r="FP70" s="366">
        <v>333.3</v>
      </c>
      <c r="FQ70" s="366">
        <v>354.11</v>
      </c>
      <c r="FR70" s="366">
        <v>264.24</v>
      </c>
      <c r="FS70" s="366">
        <v>92.4</v>
      </c>
      <c r="FT70" s="366">
        <v>358.36</v>
      </c>
      <c r="FU70" s="366">
        <v>116.54</v>
      </c>
      <c r="FV70" s="366">
        <v>594.08000000000004</v>
      </c>
      <c r="FW70" s="366">
        <v>594.08000000000004</v>
      </c>
      <c r="FX70" s="366">
        <v>594.08000000000004</v>
      </c>
      <c r="FY70" s="366">
        <v>197.25</v>
      </c>
      <c r="FZ70" s="366">
        <v>106.42</v>
      </c>
      <c r="GA70" s="366">
        <v>324.39999999999998</v>
      </c>
      <c r="GB70" s="366">
        <v>130.87</v>
      </c>
      <c r="GC70" s="366">
        <v>309.70999999999998</v>
      </c>
      <c r="GD70" s="366">
        <v>254.9</v>
      </c>
      <c r="GE70" s="366">
        <v>299.98</v>
      </c>
      <c r="GF70" s="366">
        <v>130.07</v>
      </c>
      <c r="GG70" s="366">
        <v>130.07</v>
      </c>
      <c r="GH70" s="366">
        <v>372.85</v>
      </c>
      <c r="GI70" s="366">
        <v>157.82</v>
      </c>
      <c r="GJ70" s="366">
        <v>157.66</v>
      </c>
      <c r="GK70" s="366">
        <v>379.71</v>
      </c>
      <c r="GL70" s="366">
        <v>99.01</v>
      </c>
      <c r="GM70" s="366">
        <v>99.01</v>
      </c>
      <c r="GN70" s="366">
        <v>99.01</v>
      </c>
      <c r="GO70" s="366">
        <v>123.1</v>
      </c>
      <c r="GP70" s="366">
        <v>329.81</v>
      </c>
      <c r="GQ70" s="366">
        <v>425.42</v>
      </c>
      <c r="GR70" s="366">
        <v>185.89</v>
      </c>
      <c r="GS70" s="366">
        <v>52.43</v>
      </c>
      <c r="GT70" s="366">
        <v>282.39</v>
      </c>
      <c r="GU70" s="366">
        <v>190.1</v>
      </c>
      <c r="GV70" s="366">
        <v>551.33000000000004</v>
      </c>
      <c r="GW70" s="366">
        <v>74.989999999999995</v>
      </c>
      <c r="GX70" s="366">
        <v>278.95999999999998</v>
      </c>
      <c r="GY70" s="366">
        <v>24.38</v>
      </c>
      <c r="GZ70" s="366">
        <v>155.86000000000001</v>
      </c>
      <c r="HA70" s="366">
        <v>355.65</v>
      </c>
      <c r="HB70" s="366">
        <v>355.65</v>
      </c>
      <c r="HC70" s="366">
        <v>355.65</v>
      </c>
      <c r="HD70" s="366">
        <v>271.68</v>
      </c>
      <c r="HE70" s="366">
        <v>244.79</v>
      </c>
      <c r="HF70" s="366">
        <v>201.08</v>
      </c>
      <c r="HG70" s="366">
        <v>328.73</v>
      </c>
      <c r="HH70" s="366">
        <v>328.73</v>
      </c>
      <c r="HI70" s="366">
        <v>328.73</v>
      </c>
      <c r="HJ70" s="366">
        <v>109.2</v>
      </c>
      <c r="HK70" s="366">
        <v>209.01</v>
      </c>
      <c r="HL70" s="366">
        <v>264.33</v>
      </c>
      <c r="HM70" s="366">
        <v>154.94</v>
      </c>
      <c r="HN70" s="366">
        <v>157.66</v>
      </c>
      <c r="HO70" s="366">
        <v>563.38</v>
      </c>
      <c r="HP70" s="366">
        <v>156.58000000000001</v>
      </c>
      <c r="HQ70" s="366">
        <v>594.08000000000004</v>
      </c>
      <c r="HR70" s="366">
        <v>415.39</v>
      </c>
      <c r="HS70" s="366">
        <v>153.91</v>
      </c>
      <c r="HT70" s="366">
        <v>36.229999999999997</v>
      </c>
      <c r="HU70" s="366">
        <v>3.48</v>
      </c>
      <c r="HV70" s="366">
        <v>105.21</v>
      </c>
    </row>
    <row r="71" spans="1:230">
      <c r="A71" s="366" t="s">
        <v>93</v>
      </c>
      <c r="B71" s="366">
        <v>842.68</v>
      </c>
      <c r="C71" s="366">
        <v>23.81</v>
      </c>
      <c r="D71" s="366">
        <v>172.28</v>
      </c>
      <c r="E71" s="366">
        <v>172.28</v>
      </c>
      <c r="F71" s="366">
        <v>906.58</v>
      </c>
      <c r="G71" s="366">
        <v>643.09</v>
      </c>
      <c r="H71" s="366">
        <v>215.9</v>
      </c>
      <c r="I71" s="366">
        <v>352.41</v>
      </c>
      <c r="J71" s="366">
        <v>239.68</v>
      </c>
      <c r="K71" s="366">
        <v>239.68</v>
      </c>
      <c r="L71" s="366">
        <v>154.37</v>
      </c>
      <c r="M71" s="366">
        <v>49.23</v>
      </c>
      <c r="N71" s="366">
        <v>146.13</v>
      </c>
      <c r="O71" s="366">
        <v>317.24</v>
      </c>
      <c r="P71" s="366">
        <v>317.24</v>
      </c>
      <c r="Q71" s="366">
        <v>317.24</v>
      </c>
      <c r="R71" s="366">
        <v>317.24</v>
      </c>
      <c r="S71" s="366">
        <v>317.24</v>
      </c>
      <c r="T71" s="366">
        <v>426.91</v>
      </c>
      <c r="U71" s="366">
        <v>751.13</v>
      </c>
      <c r="V71" s="366">
        <v>372.17</v>
      </c>
      <c r="W71" s="366">
        <v>453.27</v>
      </c>
      <c r="X71" s="366">
        <v>453.27</v>
      </c>
      <c r="Y71" s="366">
        <v>453.27</v>
      </c>
      <c r="Z71" s="366">
        <v>207.07</v>
      </c>
      <c r="AA71" s="366">
        <v>637.26</v>
      </c>
      <c r="AB71" s="366">
        <v>486.65</v>
      </c>
      <c r="AC71" s="366">
        <v>489.11</v>
      </c>
      <c r="AD71" s="366">
        <v>489.11</v>
      </c>
      <c r="AE71" s="366">
        <v>223.18</v>
      </c>
      <c r="AF71" s="366">
        <v>656.83</v>
      </c>
      <c r="AG71" s="366">
        <v>454.79</v>
      </c>
      <c r="AH71" s="366">
        <v>306.36</v>
      </c>
      <c r="AI71" s="366">
        <v>306.36</v>
      </c>
      <c r="AJ71" s="366">
        <v>306.36</v>
      </c>
      <c r="AK71" s="366">
        <v>189.83</v>
      </c>
      <c r="AL71" s="366">
        <v>189.83</v>
      </c>
      <c r="AM71" s="366">
        <v>489.37</v>
      </c>
      <c r="AN71" s="366">
        <v>276.41000000000003</v>
      </c>
      <c r="AO71" s="366">
        <v>659.7</v>
      </c>
      <c r="AP71" s="366">
        <v>415.63</v>
      </c>
      <c r="AQ71" s="366">
        <v>863.12</v>
      </c>
      <c r="AR71" s="366">
        <v>302.45</v>
      </c>
      <c r="AS71" s="366">
        <v>160.26</v>
      </c>
      <c r="AT71" s="366">
        <v>160.26</v>
      </c>
      <c r="AU71" s="366">
        <v>287.02999999999997</v>
      </c>
      <c r="AV71" s="366">
        <v>782.18</v>
      </c>
      <c r="AW71" s="366">
        <v>284</v>
      </c>
      <c r="AX71" s="366">
        <v>373.01</v>
      </c>
      <c r="AY71" s="366">
        <v>181.84</v>
      </c>
      <c r="AZ71" s="366">
        <v>25.37</v>
      </c>
      <c r="BA71" s="366">
        <v>702.71</v>
      </c>
      <c r="BB71" s="366">
        <v>184.73</v>
      </c>
      <c r="BC71" s="366">
        <v>644.77</v>
      </c>
      <c r="BD71" s="366">
        <v>554.54</v>
      </c>
      <c r="BE71" s="366">
        <v>376.23</v>
      </c>
      <c r="BF71" s="366">
        <v>483.62</v>
      </c>
      <c r="BG71" s="366">
        <v>203.59</v>
      </c>
      <c r="BH71" s="366">
        <v>317.24</v>
      </c>
      <c r="BI71" s="366">
        <v>302.48</v>
      </c>
      <c r="BJ71" s="366">
        <v>296.36</v>
      </c>
      <c r="BK71" s="366">
        <v>169.83</v>
      </c>
      <c r="BL71" s="366">
        <v>179.28</v>
      </c>
      <c r="BM71" s="366">
        <v>188.49</v>
      </c>
      <c r="BN71" s="366">
        <v>677.45</v>
      </c>
      <c r="BO71" s="366">
        <v>212.03</v>
      </c>
      <c r="BP71" s="366">
        <v>177.89</v>
      </c>
      <c r="BQ71" s="366">
        <v>331.71</v>
      </c>
      <c r="BR71" s="366">
        <v>331.71</v>
      </c>
      <c r="BS71" s="366">
        <v>0</v>
      </c>
      <c r="BT71" s="366">
        <v>286.91000000000003</v>
      </c>
      <c r="BU71" s="366">
        <v>467.15</v>
      </c>
      <c r="BV71" s="366">
        <v>486.77</v>
      </c>
      <c r="BW71" s="366">
        <v>346.32</v>
      </c>
      <c r="BX71" s="366">
        <v>58.91</v>
      </c>
      <c r="BY71" s="366">
        <v>399.65</v>
      </c>
      <c r="BZ71" s="366">
        <v>399.65</v>
      </c>
      <c r="CA71" s="366">
        <v>315.94</v>
      </c>
      <c r="CB71" s="366">
        <v>69.14</v>
      </c>
      <c r="CC71" s="366">
        <v>344.18</v>
      </c>
      <c r="CD71" s="366">
        <v>346.58</v>
      </c>
      <c r="CE71" s="366">
        <v>153.06</v>
      </c>
      <c r="CF71" s="366">
        <v>655.56</v>
      </c>
      <c r="CG71" s="366">
        <v>655.56</v>
      </c>
      <c r="CH71" s="366">
        <v>346.71</v>
      </c>
      <c r="CI71" s="366">
        <v>260.2</v>
      </c>
      <c r="CJ71" s="366">
        <v>666.51</v>
      </c>
      <c r="CK71" s="366">
        <v>404.74</v>
      </c>
      <c r="CL71" s="366">
        <v>300.82</v>
      </c>
      <c r="CM71" s="366">
        <v>591.04999999999995</v>
      </c>
      <c r="CN71" s="366">
        <v>304.95</v>
      </c>
      <c r="CO71" s="366">
        <v>301.06</v>
      </c>
      <c r="CP71" s="366">
        <v>325.02</v>
      </c>
      <c r="CQ71" s="366">
        <v>325.02</v>
      </c>
      <c r="CR71" s="366">
        <v>253.46</v>
      </c>
      <c r="CS71" s="366">
        <v>253.46</v>
      </c>
      <c r="CT71" s="366">
        <v>262.89999999999998</v>
      </c>
      <c r="CU71" s="366">
        <v>255.03</v>
      </c>
      <c r="CV71" s="366">
        <v>257.63</v>
      </c>
      <c r="CW71" s="366">
        <v>372.17</v>
      </c>
      <c r="CX71" s="366">
        <v>363.25</v>
      </c>
      <c r="CY71" s="366">
        <v>637.47</v>
      </c>
      <c r="CZ71" s="366">
        <v>658.71</v>
      </c>
      <c r="DA71" s="366">
        <v>84.18</v>
      </c>
      <c r="DB71" s="366">
        <v>267.95</v>
      </c>
      <c r="DC71" s="366">
        <v>267.95</v>
      </c>
      <c r="DD71" s="366">
        <v>440.43</v>
      </c>
      <c r="DE71" s="366">
        <v>161.81</v>
      </c>
      <c r="DF71" s="366">
        <v>891.04</v>
      </c>
      <c r="DG71" s="366">
        <v>289.85000000000002</v>
      </c>
      <c r="DH71" s="366">
        <v>224.37</v>
      </c>
      <c r="DI71" s="366">
        <v>521.38</v>
      </c>
      <c r="DJ71" s="366">
        <v>674.91</v>
      </c>
      <c r="DK71" s="366">
        <v>96.49</v>
      </c>
      <c r="DL71" s="366">
        <v>473.15</v>
      </c>
      <c r="DM71" s="366">
        <v>11.39</v>
      </c>
      <c r="DN71" s="366">
        <v>536.14</v>
      </c>
      <c r="DO71" s="366">
        <v>74.489999999999995</v>
      </c>
      <c r="DP71" s="366">
        <v>402.12</v>
      </c>
      <c r="DQ71" s="366">
        <v>357.66</v>
      </c>
      <c r="DR71" s="366">
        <v>224.37</v>
      </c>
      <c r="DS71" s="366">
        <v>278.93</v>
      </c>
      <c r="DT71" s="366">
        <v>267.22000000000003</v>
      </c>
      <c r="DU71" s="366">
        <v>114.52</v>
      </c>
      <c r="DV71" s="366">
        <v>181.23</v>
      </c>
      <c r="DW71" s="366">
        <v>143.84</v>
      </c>
      <c r="DX71" s="366">
        <v>332.64</v>
      </c>
      <c r="DY71" s="366">
        <v>406.03</v>
      </c>
      <c r="DZ71" s="366">
        <v>450.1</v>
      </c>
      <c r="EA71" s="366">
        <v>284.73</v>
      </c>
      <c r="EB71" s="366">
        <v>400.03</v>
      </c>
      <c r="EC71" s="366">
        <v>197.72</v>
      </c>
      <c r="ED71" s="366">
        <v>551.15</v>
      </c>
      <c r="EE71" s="366">
        <v>561.94000000000005</v>
      </c>
      <c r="EF71" s="366">
        <v>409.35</v>
      </c>
      <c r="EG71" s="366">
        <v>284</v>
      </c>
      <c r="EH71" s="366">
        <v>284</v>
      </c>
      <c r="EI71" s="366">
        <v>330.23</v>
      </c>
      <c r="EJ71" s="366">
        <v>322.05</v>
      </c>
      <c r="EK71" s="366">
        <v>208.66</v>
      </c>
      <c r="EL71" s="366">
        <v>208.66</v>
      </c>
      <c r="EM71" s="366">
        <v>302.77</v>
      </c>
      <c r="EN71" s="366">
        <v>302.77</v>
      </c>
      <c r="EO71" s="366">
        <v>489.37</v>
      </c>
      <c r="EP71" s="366">
        <v>412.23</v>
      </c>
      <c r="EQ71" s="366">
        <v>272.39</v>
      </c>
      <c r="ER71" s="366">
        <v>721.17</v>
      </c>
      <c r="ES71" s="366">
        <v>23.71</v>
      </c>
      <c r="ET71" s="366">
        <v>349.68</v>
      </c>
      <c r="EU71" s="366">
        <v>842.68</v>
      </c>
      <c r="EV71" s="366">
        <v>453.27</v>
      </c>
      <c r="EW71" s="366">
        <v>331.15</v>
      </c>
      <c r="EX71" s="366">
        <v>110.07</v>
      </c>
      <c r="EY71" s="366">
        <v>110.07</v>
      </c>
      <c r="EZ71" s="366">
        <v>354.58</v>
      </c>
      <c r="FA71" s="366">
        <v>299.94</v>
      </c>
      <c r="FB71" s="366">
        <v>112.19</v>
      </c>
      <c r="FC71" s="366">
        <v>352.78</v>
      </c>
      <c r="FD71" s="366">
        <v>242.43</v>
      </c>
      <c r="FE71" s="366">
        <v>334.06</v>
      </c>
      <c r="FF71" s="366">
        <v>309.24</v>
      </c>
      <c r="FG71" s="366">
        <v>693.75</v>
      </c>
      <c r="FH71" s="366">
        <v>693.75</v>
      </c>
      <c r="FI71" s="366">
        <v>434.14</v>
      </c>
      <c r="FJ71" s="366">
        <v>439.93</v>
      </c>
      <c r="FK71" s="366">
        <v>51.45</v>
      </c>
      <c r="FL71" s="366">
        <v>49.64</v>
      </c>
      <c r="FM71" s="366">
        <v>489.37</v>
      </c>
      <c r="FN71" s="366">
        <v>484.02</v>
      </c>
      <c r="FO71" s="366">
        <v>293.10000000000002</v>
      </c>
      <c r="FP71" s="366">
        <v>385.13</v>
      </c>
      <c r="FQ71" s="366">
        <v>296.97000000000003</v>
      </c>
      <c r="FR71" s="366">
        <v>171.71</v>
      </c>
      <c r="FS71" s="366">
        <v>239.31</v>
      </c>
      <c r="FT71" s="366">
        <v>690.07</v>
      </c>
      <c r="FU71" s="366">
        <v>247.81</v>
      </c>
      <c r="FV71" s="366">
        <v>906.58</v>
      </c>
      <c r="FW71" s="366">
        <v>906.58</v>
      </c>
      <c r="FX71" s="366">
        <v>906.58</v>
      </c>
      <c r="FY71" s="366">
        <v>249.08</v>
      </c>
      <c r="FZ71" s="366">
        <v>323.97000000000003</v>
      </c>
      <c r="GA71" s="366">
        <v>376.23</v>
      </c>
      <c r="GB71" s="366">
        <v>277.77999999999997</v>
      </c>
      <c r="GC71" s="366">
        <v>551.15</v>
      </c>
      <c r="GD71" s="366">
        <v>76.81</v>
      </c>
      <c r="GE71" s="366">
        <v>263</v>
      </c>
      <c r="GF71" s="366">
        <v>234.28</v>
      </c>
      <c r="GG71" s="366">
        <v>234.28</v>
      </c>
      <c r="GH71" s="366">
        <v>424.68</v>
      </c>
      <c r="GI71" s="366">
        <v>489.53</v>
      </c>
      <c r="GJ71" s="366">
        <v>489.37</v>
      </c>
      <c r="GK71" s="366">
        <v>48</v>
      </c>
      <c r="GL71" s="366">
        <v>316.56</v>
      </c>
      <c r="GM71" s="366">
        <v>316.56</v>
      </c>
      <c r="GN71" s="366">
        <v>316.56</v>
      </c>
      <c r="GO71" s="366">
        <v>454.81</v>
      </c>
      <c r="GP71" s="366">
        <v>381.64</v>
      </c>
      <c r="GQ71" s="366">
        <v>203.33</v>
      </c>
      <c r="GR71" s="366">
        <v>517.6</v>
      </c>
      <c r="GS71" s="366">
        <v>384.14</v>
      </c>
      <c r="GT71" s="366">
        <v>284</v>
      </c>
      <c r="GU71" s="366">
        <v>241.35</v>
      </c>
      <c r="GV71" s="366">
        <v>329.24</v>
      </c>
      <c r="GW71" s="366">
        <v>292.54000000000002</v>
      </c>
      <c r="GX71" s="366">
        <v>280.57</v>
      </c>
      <c r="GY71" s="366">
        <v>307.33</v>
      </c>
      <c r="GZ71" s="366">
        <v>242.15</v>
      </c>
      <c r="HA71" s="366">
        <v>298.51</v>
      </c>
      <c r="HB71" s="366">
        <v>298.51</v>
      </c>
      <c r="HC71" s="366">
        <v>298.51</v>
      </c>
      <c r="HD71" s="366">
        <v>486.39</v>
      </c>
      <c r="HE71" s="366">
        <v>296.62</v>
      </c>
      <c r="HF71" s="366">
        <v>252.91</v>
      </c>
      <c r="HG71" s="366">
        <v>304.93</v>
      </c>
      <c r="HH71" s="366">
        <v>304.93</v>
      </c>
      <c r="HI71" s="366">
        <v>304.93</v>
      </c>
      <c r="HJ71" s="366">
        <v>255.15</v>
      </c>
      <c r="HK71" s="366">
        <v>356.49</v>
      </c>
      <c r="HL71" s="366">
        <v>350.62</v>
      </c>
      <c r="HM71" s="366">
        <v>486.65</v>
      </c>
      <c r="HN71" s="366">
        <v>489.37</v>
      </c>
      <c r="HO71" s="366">
        <v>810.84</v>
      </c>
      <c r="HP71" s="366">
        <v>242.87</v>
      </c>
      <c r="HQ71" s="366">
        <v>906.58</v>
      </c>
      <c r="HR71" s="366">
        <v>656.83</v>
      </c>
      <c r="HS71" s="366">
        <v>485.62</v>
      </c>
      <c r="HT71" s="366">
        <v>367.94</v>
      </c>
      <c r="HU71" s="366">
        <v>335.19</v>
      </c>
      <c r="HV71" s="366">
        <v>353.51</v>
      </c>
    </row>
    <row r="72" spans="1:230">
      <c r="A72" s="366" t="s">
        <v>94</v>
      </c>
      <c r="B72" s="366">
        <v>634.69000000000005</v>
      </c>
      <c r="C72" s="366">
        <v>310.72000000000003</v>
      </c>
      <c r="D72" s="366">
        <v>114.63</v>
      </c>
      <c r="E72" s="366">
        <v>114.63</v>
      </c>
      <c r="F72" s="366">
        <v>698.59</v>
      </c>
      <c r="G72" s="366">
        <v>435.1</v>
      </c>
      <c r="H72" s="366">
        <v>71.010000000000005</v>
      </c>
      <c r="I72" s="366">
        <v>330.84</v>
      </c>
      <c r="J72" s="366">
        <v>47.23</v>
      </c>
      <c r="K72" s="366">
        <v>47.23</v>
      </c>
      <c r="L72" s="366">
        <v>132.54</v>
      </c>
      <c r="M72" s="366">
        <v>336.14</v>
      </c>
      <c r="N72" s="366">
        <v>433.04</v>
      </c>
      <c r="O72" s="366">
        <v>356.45</v>
      </c>
      <c r="P72" s="366">
        <v>356.45</v>
      </c>
      <c r="Q72" s="366">
        <v>356.45</v>
      </c>
      <c r="R72" s="366">
        <v>356.45</v>
      </c>
      <c r="S72" s="366">
        <v>356.45</v>
      </c>
      <c r="T72" s="366">
        <v>341.88</v>
      </c>
      <c r="U72" s="366">
        <v>543.14</v>
      </c>
      <c r="V72" s="366">
        <v>411.38</v>
      </c>
      <c r="W72" s="366">
        <v>245.28</v>
      </c>
      <c r="X72" s="366">
        <v>245.28</v>
      </c>
      <c r="Y72" s="366">
        <v>245.28</v>
      </c>
      <c r="Z72" s="366">
        <v>449.12</v>
      </c>
      <c r="AA72" s="366">
        <v>429.27</v>
      </c>
      <c r="AB72" s="366">
        <v>369.37</v>
      </c>
      <c r="AC72" s="366">
        <v>361.5</v>
      </c>
      <c r="AD72" s="366">
        <v>361.5</v>
      </c>
      <c r="AE72" s="366">
        <v>165.53</v>
      </c>
      <c r="AF72" s="366">
        <v>448.84</v>
      </c>
      <c r="AG72" s="366">
        <v>246.8</v>
      </c>
      <c r="AH72" s="366">
        <v>345.57</v>
      </c>
      <c r="AI72" s="366">
        <v>345.57</v>
      </c>
      <c r="AJ72" s="366">
        <v>345.57</v>
      </c>
      <c r="AK72" s="366">
        <v>471.32</v>
      </c>
      <c r="AL72" s="366">
        <v>471.32</v>
      </c>
      <c r="AM72" s="366">
        <v>372.09</v>
      </c>
      <c r="AN72" s="366">
        <v>315.62</v>
      </c>
      <c r="AO72" s="366">
        <v>451.71</v>
      </c>
      <c r="AP72" s="366">
        <v>280.18</v>
      </c>
      <c r="AQ72" s="366">
        <v>655.13</v>
      </c>
      <c r="AR72" s="366">
        <v>27.39</v>
      </c>
      <c r="AS72" s="366">
        <v>207.99</v>
      </c>
      <c r="AT72" s="366">
        <v>207.99</v>
      </c>
      <c r="AU72" s="366">
        <v>326.24</v>
      </c>
      <c r="AV72" s="366">
        <v>574.19000000000005</v>
      </c>
      <c r="AW72" s="366">
        <v>76.010000000000005</v>
      </c>
      <c r="AX72" s="366">
        <v>412.02</v>
      </c>
      <c r="AY72" s="366">
        <v>468.75</v>
      </c>
      <c r="AZ72" s="366">
        <v>279.33999999999997</v>
      </c>
      <c r="BA72" s="366">
        <v>575.1</v>
      </c>
      <c r="BB72" s="366">
        <v>471.64</v>
      </c>
      <c r="BC72" s="366">
        <v>517.16</v>
      </c>
      <c r="BD72" s="366">
        <v>426.93</v>
      </c>
      <c r="BE72" s="366">
        <v>415.44</v>
      </c>
      <c r="BF72" s="366">
        <v>366.34</v>
      </c>
      <c r="BG72" s="366">
        <v>456.67</v>
      </c>
      <c r="BH72" s="366">
        <v>356.45</v>
      </c>
      <c r="BI72" s="366">
        <v>27.42</v>
      </c>
      <c r="BJ72" s="366">
        <v>394.79</v>
      </c>
      <c r="BK72" s="366">
        <v>347.12</v>
      </c>
      <c r="BL72" s="366">
        <v>121.63</v>
      </c>
      <c r="BM72" s="366">
        <v>98.42</v>
      </c>
      <c r="BN72" s="366">
        <v>469.46</v>
      </c>
      <c r="BO72" s="366">
        <v>389.32</v>
      </c>
      <c r="BP72" s="366">
        <v>355.18</v>
      </c>
      <c r="BQ72" s="366">
        <v>351.54</v>
      </c>
      <c r="BR72" s="366">
        <v>351.54</v>
      </c>
      <c r="BS72" s="366">
        <v>286.91000000000003</v>
      </c>
      <c r="BT72" s="366">
        <v>0</v>
      </c>
      <c r="BU72" s="366">
        <v>349.87</v>
      </c>
      <c r="BV72" s="366">
        <v>369.49</v>
      </c>
      <c r="BW72" s="366">
        <v>385.53</v>
      </c>
      <c r="BX72" s="366">
        <v>228</v>
      </c>
      <c r="BY72" s="366">
        <v>438.86</v>
      </c>
      <c r="BZ72" s="366">
        <v>438.86</v>
      </c>
      <c r="CA72" s="366">
        <v>107.95</v>
      </c>
      <c r="CB72" s="366">
        <v>246.43</v>
      </c>
      <c r="CC72" s="366">
        <v>383.19</v>
      </c>
      <c r="CD72" s="366">
        <v>385.79</v>
      </c>
      <c r="CE72" s="366">
        <v>330.35</v>
      </c>
      <c r="CF72" s="366">
        <v>447.57</v>
      </c>
      <c r="CG72" s="366">
        <v>447.57</v>
      </c>
      <c r="CH72" s="366">
        <v>336.54</v>
      </c>
      <c r="CI72" s="366">
        <v>299.41000000000003</v>
      </c>
      <c r="CJ72" s="366">
        <v>458.52</v>
      </c>
      <c r="CK72" s="366">
        <v>443.95</v>
      </c>
      <c r="CL72" s="366">
        <v>340.03</v>
      </c>
      <c r="CM72" s="366">
        <v>463.44</v>
      </c>
      <c r="CN72" s="366">
        <v>344.16</v>
      </c>
      <c r="CO72" s="366">
        <v>26</v>
      </c>
      <c r="CP72" s="366">
        <v>358.23</v>
      </c>
      <c r="CQ72" s="366">
        <v>358.23</v>
      </c>
      <c r="CR72" s="366">
        <v>44.01</v>
      </c>
      <c r="CS72" s="366">
        <v>44.01</v>
      </c>
      <c r="CT72" s="366">
        <v>51.46</v>
      </c>
      <c r="CU72" s="366">
        <v>43.59</v>
      </c>
      <c r="CV72" s="366">
        <v>65.180000000000007</v>
      </c>
      <c r="CW72" s="366">
        <v>411.38</v>
      </c>
      <c r="CX72" s="366">
        <v>402.26</v>
      </c>
      <c r="CY72" s="366">
        <v>509.86</v>
      </c>
      <c r="CZ72" s="366">
        <v>531.1</v>
      </c>
      <c r="DA72" s="366">
        <v>371.09</v>
      </c>
      <c r="DB72" s="366">
        <v>390.77</v>
      </c>
      <c r="DC72" s="366">
        <v>390.77</v>
      </c>
      <c r="DD72" s="366">
        <v>232.44</v>
      </c>
      <c r="DE72" s="366">
        <v>448.72</v>
      </c>
      <c r="DF72" s="366">
        <v>683.05</v>
      </c>
      <c r="DG72" s="366">
        <v>329.06</v>
      </c>
      <c r="DH72" s="366">
        <v>511.28</v>
      </c>
      <c r="DI72" s="366">
        <v>313.39</v>
      </c>
      <c r="DJ72" s="366">
        <v>517.28</v>
      </c>
      <c r="DK72" s="366">
        <v>190.42</v>
      </c>
      <c r="DL72" s="366">
        <v>343.87</v>
      </c>
      <c r="DM72" s="366">
        <v>298.3</v>
      </c>
      <c r="DN72" s="366">
        <v>328.15</v>
      </c>
      <c r="DO72" s="366">
        <v>216.99</v>
      </c>
      <c r="DP72" s="366">
        <v>194.13</v>
      </c>
      <c r="DQ72" s="366">
        <v>396.87</v>
      </c>
      <c r="DR72" s="366">
        <v>511.28</v>
      </c>
      <c r="DS72" s="366">
        <v>20.8</v>
      </c>
      <c r="DT72" s="366">
        <v>19.690000000000001</v>
      </c>
      <c r="DU72" s="366">
        <v>401.43</v>
      </c>
      <c r="DV72" s="366">
        <v>468.14</v>
      </c>
      <c r="DW72" s="366">
        <v>191.57</v>
      </c>
      <c r="DX72" s="366">
        <v>371.85</v>
      </c>
      <c r="DY72" s="366">
        <v>445.24</v>
      </c>
      <c r="DZ72" s="366">
        <v>242.11</v>
      </c>
      <c r="EA72" s="366">
        <v>9.67</v>
      </c>
      <c r="EB72" s="366">
        <v>439.24</v>
      </c>
      <c r="EC72" s="366">
        <v>89.19</v>
      </c>
      <c r="ED72" s="366">
        <v>343.16</v>
      </c>
      <c r="EE72" s="366">
        <v>353.95</v>
      </c>
      <c r="EF72" s="366">
        <v>273.89999999999998</v>
      </c>
      <c r="EG72" s="366">
        <v>76.010000000000005</v>
      </c>
      <c r="EH72" s="366">
        <v>76.010000000000005</v>
      </c>
      <c r="EI72" s="366">
        <v>369.44</v>
      </c>
      <c r="EJ72" s="366">
        <v>499.34</v>
      </c>
      <c r="EK72" s="366">
        <v>247.87</v>
      </c>
      <c r="EL72" s="366">
        <v>247.87</v>
      </c>
      <c r="EM72" s="366">
        <v>341.98</v>
      </c>
      <c r="EN72" s="366">
        <v>341.98</v>
      </c>
      <c r="EO72" s="366">
        <v>372.09</v>
      </c>
      <c r="EP72" s="366">
        <v>413.05</v>
      </c>
      <c r="EQ72" s="366">
        <v>60.95</v>
      </c>
      <c r="ER72" s="366">
        <v>513.17999999999995</v>
      </c>
      <c r="ES72" s="366">
        <v>310.62</v>
      </c>
      <c r="ET72" s="366">
        <v>333.57</v>
      </c>
      <c r="EU72" s="366">
        <v>634.69000000000005</v>
      </c>
      <c r="EV72" s="366">
        <v>245.28</v>
      </c>
      <c r="EW72" s="366">
        <v>370.36</v>
      </c>
      <c r="EX72" s="366">
        <v>287.36</v>
      </c>
      <c r="EY72" s="366">
        <v>287.36</v>
      </c>
      <c r="EZ72" s="366">
        <v>393.79</v>
      </c>
      <c r="FA72" s="366">
        <v>339.15</v>
      </c>
      <c r="FB72" s="366">
        <v>174.72</v>
      </c>
      <c r="FC72" s="366">
        <v>391.99</v>
      </c>
      <c r="FD72" s="366">
        <v>281.64</v>
      </c>
      <c r="FE72" s="366">
        <v>373.27</v>
      </c>
      <c r="FF72" s="366">
        <v>348.45</v>
      </c>
      <c r="FG72" s="366">
        <v>566.14</v>
      </c>
      <c r="FH72" s="366">
        <v>566.14</v>
      </c>
      <c r="FI72" s="366">
        <v>226.15</v>
      </c>
      <c r="FJ72" s="366">
        <v>231.94</v>
      </c>
      <c r="FK72" s="366">
        <v>338.36</v>
      </c>
      <c r="FL72" s="366">
        <v>336.55</v>
      </c>
      <c r="FM72" s="366">
        <v>372.09</v>
      </c>
      <c r="FN72" s="366">
        <v>276.02999999999997</v>
      </c>
      <c r="FO72" s="366">
        <v>18.04</v>
      </c>
      <c r="FP72" s="366">
        <v>424.34</v>
      </c>
      <c r="FQ72" s="366">
        <v>21.91</v>
      </c>
      <c r="FR72" s="366">
        <v>149.88</v>
      </c>
      <c r="FS72" s="366">
        <v>278.52</v>
      </c>
      <c r="FT72" s="366">
        <v>502.12</v>
      </c>
      <c r="FU72" s="366">
        <v>287.02</v>
      </c>
      <c r="FV72" s="366">
        <v>698.59</v>
      </c>
      <c r="FW72" s="366">
        <v>698.59</v>
      </c>
      <c r="FX72" s="366">
        <v>698.59</v>
      </c>
      <c r="FY72" s="366">
        <v>288.29000000000002</v>
      </c>
      <c r="FZ72" s="366">
        <v>363.18</v>
      </c>
      <c r="GA72" s="366">
        <v>415.44</v>
      </c>
      <c r="GB72" s="366">
        <v>316.99</v>
      </c>
      <c r="GC72" s="366">
        <v>343.16</v>
      </c>
      <c r="GD72" s="366">
        <v>210.1</v>
      </c>
      <c r="GE72" s="366">
        <v>51.56</v>
      </c>
      <c r="GF72" s="366">
        <v>273.49</v>
      </c>
      <c r="GG72" s="366">
        <v>273.49</v>
      </c>
      <c r="GH72" s="366">
        <v>463.89</v>
      </c>
      <c r="GI72" s="366">
        <v>372.25</v>
      </c>
      <c r="GJ72" s="366">
        <v>372.09</v>
      </c>
      <c r="GK72" s="366">
        <v>334.91</v>
      </c>
      <c r="GL72" s="366">
        <v>355.77</v>
      </c>
      <c r="GM72" s="366">
        <v>355.77</v>
      </c>
      <c r="GN72" s="366">
        <v>355.77</v>
      </c>
      <c r="GO72" s="366">
        <v>319.36</v>
      </c>
      <c r="GP72" s="366">
        <v>420.85</v>
      </c>
      <c r="GQ72" s="366">
        <v>380.62</v>
      </c>
      <c r="GR72" s="366">
        <v>374.5</v>
      </c>
      <c r="GS72" s="366">
        <v>299.11</v>
      </c>
      <c r="GT72" s="366">
        <v>76.010000000000005</v>
      </c>
      <c r="GU72" s="366">
        <v>183.7</v>
      </c>
      <c r="GV72" s="366">
        <v>506.53</v>
      </c>
      <c r="GW72" s="366">
        <v>331.75</v>
      </c>
      <c r="GX72" s="366">
        <v>72.58</v>
      </c>
      <c r="GY72" s="366">
        <v>346.54</v>
      </c>
      <c r="GZ72" s="366">
        <v>281.36</v>
      </c>
      <c r="HA72" s="366">
        <v>23.45</v>
      </c>
      <c r="HB72" s="366">
        <v>23.45</v>
      </c>
      <c r="HC72" s="366">
        <v>23.45</v>
      </c>
      <c r="HD72" s="366">
        <v>278.39999999999998</v>
      </c>
      <c r="HE72" s="366">
        <v>335.83</v>
      </c>
      <c r="HF72" s="366">
        <v>292.12</v>
      </c>
      <c r="HG72" s="366">
        <v>419.77</v>
      </c>
      <c r="HH72" s="366">
        <v>419.77</v>
      </c>
      <c r="HI72" s="366">
        <v>419.77</v>
      </c>
      <c r="HJ72" s="366">
        <v>294.36</v>
      </c>
      <c r="HK72" s="366">
        <v>148.5</v>
      </c>
      <c r="HL72" s="366">
        <v>389.83</v>
      </c>
      <c r="HM72" s="366">
        <v>369.37</v>
      </c>
      <c r="HN72" s="366">
        <v>372.09</v>
      </c>
      <c r="HO72" s="366">
        <v>602.85</v>
      </c>
      <c r="HP72" s="366">
        <v>282.08</v>
      </c>
      <c r="HQ72" s="366">
        <v>698.59</v>
      </c>
      <c r="HR72" s="366">
        <v>448.84</v>
      </c>
      <c r="HS72" s="366">
        <v>368.34</v>
      </c>
      <c r="HT72" s="366">
        <v>320.5</v>
      </c>
      <c r="HU72" s="366">
        <v>355.02</v>
      </c>
      <c r="HV72" s="366">
        <v>392.72</v>
      </c>
    </row>
    <row r="73" spans="1:230">
      <c r="A73" s="366" t="s">
        <v>95</v>
      </c>
      <c r="B73" s="366">
        <v>394.74</v>
      </c>
      <c r="C73" s="366">
        <v>490.96</v>
      </c>
      <c r="D73" s="366">
        <v>385.58</v>
      </c>
      <c r="E73" s="366">
        <v>385.58</v>
      </c>
      <c r="F73" s="366">
        <v>458.64</v>
      </c>
      <c r="G73" s="366">
        <v>266.20999999999998</v>
      </c>
      <c r="H73" s="366">
        <v>341.96</v>
      </c>
      <c r="I73" s="366">
        <v>114.74</v>
      </c>
      <c r="J73" s="366">
        <v>318.18</v>
      </c>
      <c r="K73" s="366">
        <v>318.18</v>
      </c>
      <c r="L73" s="366">
        <v>382.34</v>
      </c>
      <c r="M73" s="366">
        <v>516.38</v>
      </c>
      <c r="N73" s="366">
        <v>613.28</v>
      </c>
      <c r="O73" s="366">
        <v>366.39</v>
      </c>
      <c r="P73" s="366">
        <v>366.39</v>
      </c>
      <c r="Q73" s="366">
        <v>366.39</v>
      </c>
      <c r="R73" s="366">
        <v>366.39</v>
      </c>
      <c r="S73" s="366">
        <v>366.39</v>
      </c>
      <c r="T73" s="366">
        <v>40.24</v>
      </c>
      <c r="U73" s="366">
        <v>374.25</v>
      </c>
      <c r="V73" s="366">
        <v>455.78</v>
      </c>
      <c r="W73" s="366">
        <v>236.89</v>
      </c>
      <c r="X73" s="366">
        <v>236.89</v>
      </c>
      <c r="Y73" s="366">
        <v>236.89</v>
      </c>
      <c r="Z73" s="366">
        <v>493.52</v>
      </c>
      <c r="AA73" s="366">
        <v>260.38</v>
      </c>
      <c r="AB73" s="366">
        <v>19.5</v>
      </c>
      <c r="AC73" s="366">
        <v>21.96</v>
      </c>
      <c r="AD73" s="366">
        <v>21.96</v>
      </c>
      <c r="AE73" s="366">
        <v>340.83</v>
      </c>
      <c r="AF73" s="366">
        <v>279.95</v>
      </c>
      <c r="AG73" s="366">
        <v>238.41</v>
      </c>
      <c r="AH73" s="366">
        <v>160.79</v>
      </c>
      <c r="AI73" s="366">
        <v>160.79</v>
      </c>
      <c r="AJ73" s="366">
        <v>160.79</v>
      </c>
      <c r="AK73" s="366">
        <v>515.72</v>
      </c>
      <c r="AL73" s="366">
        <v>515.72</v>
      </c>
      <c r="AM73" s="366">
        <v>22.22</v>
      </c>
      <c r="AN73" s="366">
        <v>325.56</v>
      </c>
      <c r="AO73" s="366">
        <v>273.33</v>
      </c>
      <c r="AP73" s="366">
        <v>69.69</v>
      </c>
      <c r="AQ73" s="366">
        <v>415.18</v>
      </c>
      <c r="AR73" s="366">
        <v>357.92</v>
      </c>
      <c r="AS73" s="366">
        <v>306.89</v>
      </c>
      <c r="AT73" s="366">
        <v>306.89</v>
      </c>
      <c r="AU73" s="366">
        <v>370.64</v>
      </c>
      <c r="AV73" s="366">
        <v>405.3</v>
      </c>
      <c r="AW73" s="366">
        <v>280.72000000000003</v>
      </c>
      <c r="AX73" s="366">
        <v>102.4</v>
      </c>
      <c r="AY73" s="366">
        <v>648.99</v>
      </c>
      <c r="AZ73" s="366">
        <v>459.58</v>
      </c>
      <c r="BA73" s="366">
        <v>235.56</v>
      </c>
      <c r="BB73" s="366">
        <v>651.88</v>
      </c>
      <c r="BC73" s="366">
        <v>177.62</v>
      </c>
      <c r="BD73" s="366">
        <v>87.39</v>
      </c>
      <c r="BE73" s="366">
        <v>459.84</v>
      </c>
      <c r="BF73" s="366">
        <v>16.47</v>
      </c>
      <c r="BG73" s="366">
        <v>501.07</v>
      </c>
      <c r="BH73" s="366">
        <v>366.39</v>
      </c>
      <c r="BI73" s="366">
        <v>357.95</v>
      </c>
      <c r="BJ73" s="366">
        <v>439.19</v>
      </c>
      <c r="BK73" s="366">
        <v>527.36</v>
      </c>
      <c r="BL73" s="366">
        <v>384.73</v>
      </c>
      <c r="BM73" s="366">
        <v>369.37</v>
      </c>
      <c r="BN73" s="366">
        <v>300.57</v>
      </c>
      <c r="BO73" s="366">
        <v>569.55999999999995</v>
      </c>
      <c r="BP73" s="366">
        <v>535.41999999999996</v>
      </c>
      <c r="BQ73" s="366">
        <v>135.44</v>
      </c>
      <c r="BR73" s="366">
        <v>135.44</v>
      </c>
      <c r="BS73" s="366">
        <v>467.15</v>
      </c>
      <c r="BT73" s="366">
        <v>349.87</v>
      </c>
      <c r="BU73" s="366">
        <v>0</v>
      </c>
      <c r="BV73" s="366">
        <v>19.62</v>
      </c>
      <c r="BW73" s="366">
        <v>429.93</v>
      </c>
      <c r="BX73" s="366">
        <v>408.24</v>
      </c>
      <c r="BY73" s="366">
        <v>483.26</v>
      </c>
      <c r="BZ73" s="366">
        <v>483.26</v>
      </c>
      <c r="CA73" s="366">
        <v>241.92</v>
      </c>
      <c r="CB73" s="366">
        <v>426.67</v>
      </c>
      <c r="CC73" s="366">
        <v>131.22999999999999</v>
      </c>
      <c r="CD73" s="366">
        <v>144.71</v>
      </c>
      <c r="CE73" s="366">
        <v>510.59</v>
      </c>
      <c r="CF73" s="366">
        <v>278.68</v>
      </c>
      <c r="CG73" s="366">
        <v>278.68</v>
      </c>
      <c r="CH73" s="366">
        <v>120.44</v>
      </c>
      <c r="CI73" s="366">
        <v>239.59</v>
      </c>
      <c r="CJ73" s="366">
        <v>289.63</v>
      </c>
      <c r="CK73" s="366">
        <v>488.35</v>
      </c>
      <c r="CL73" s="366">
        <v>384.43</v>
      </c>
      <c r="CM73" s="366">
        <v>123.9</v>
      </c>
      <c r="CN73" s="366">
        <v>388.56</v>
      </c>
      <c r="CO73" s="366">
        <v>356.53</v>
      </c>
      <c r="CP73" s="366">
        <v>142.13</v>
      </c>
      <c r="CQ73" s="366">
        <v>142.13</v>
      </c>
      <c r="CR73" s="366">
        <v>307.85000000000002</v>
      </c>
      <c r="CS73" s="366">
        <v>307.85000000000002</v>
      </c>
      <c r="CT73" s="366">
        <v>298.41000000000003</v>
      </c>
      <c r="CU73" s="366">
        <v>306.27999999999997</v>
      </c>
      <c r="CV73" s="366">
        <v>300.23</v>
      </c>
      <c r="CW73" s="366">
        <v>455.78</v>
      </c>
      <c r="CX73" s="366">
        <v>118.94</v>
      </c>
      <c r="CY73" s="366">
        <v>170.32</v>
      </c>
      <c r="CZ73" s="366">
        <v>191.56</v>
      </c>
      <c r="DA73" s="366">
        <v>551.33000000000004</v>
      </c>
      <c r="DB73" s="366">
        <v>435.17</v>
      </c>
      <c r="DC73" s="366">
        <v>435.17</v>
      </c>
      <c r="DD73" s="366">
        <v>193.82</v>
      </c>
      <c r="DE73" s="366">
        <v>628.96</v>
      </c>
      <c r="DF73" s="366">
        <v>443.1</v>
      </c>
      <c r="DG73" s="366">
        <v>209.94</v>
      </c>
      <c r="DH73" s="366">
        <v>691.52</v>
      </c>
      <c r="DI73" s="366">
        <v>144.5</v>
      </c>
      <c r="DJ73" s="366">
        <v>207.76</v>
      </c>
      <c r="DK73" s="366">
        <v>370.66</v>
      </c>
      <c r="DL73" s="366">
        <v>6</v>
      </c>
      <c r="DM73" s="366">
        <v>478.54</v>
      </c>
      <c r="DN73" s="366">
        <v>159.26</v>
      </c>
      <c r="DO73" s="366">
        <v>397.23</v>
      </c>
      <c r="DP73" s="366">
        <v>185.74</v>
      </c>
      <c r="DQ73" s="366">
        <v>441.27</v>
      </c>
      <c r="DR73" s="366">
        <v>691.52</v>
      </c>
      <c r="DS73" s="366">
        <v>357.43</v>
      </c>
      <c r="DT73" s="366">
        <v>345.72</v>
      </c>
      <c r="DU73" s="366">
        <v>581.66999999999996</v>
      </c>
      <c r="DV73" s="366">
        <v>519.36</v>
      </c>
      <c r="DW73" s="366">
        <v>323.31</v>
      </c>
      <c r="DX73" s="366">
        <v>416.25</v>
      </c>
      <c r="DY73" s="366">
        <v>489.64</v>
      </c>
      <c r="DZ73" s="366">
        <v>182.84</v>
      </c>
      <c r="EA73" s="366">
        <v>340.2</v>
      </c>
      <c r="EB73" s="366">
        <v>483.64</v>
      </c>
      <c r="EC73" s="366">
        <v>360.14</v>
      </c>
      <c r="ED73" s="366">
        <v>174.27</v>
      </c>
      <c r="EE73" s="366">
        <v>185.06</v>
      </c>
      <c r="EF73" s="366">
        <v>75.97</v>
      </c>
      <c r="EG73" s="366">
        <v>280.72000000000003</v>
      </c>
      <c r="EH73" s="366">
        <v>280.72000000000003</v>
      </c>
      <c r="EI73" s="366">
        <v>145.18</v>
      </c>
      <c r="EJ73" s="366">
        <v>679.58</v>
      </c>
      <c r="EK73" s="366">
        <v>292.27</v>
      </c>
      <c r="EL73" s="366">
        <v>292.27</v>
      </c>
      <c r="EM73" s="366">
        <v>386.38</v>
      </c>
      <c r="EN73" s="366">
        <v>386.38</v>
      </c>
      <c r="EO73" s="366">
        <v>22.22</v>
      </c>
      <c r="EP73" s="366">
        <v>63.18</v>
      </c>
      <c r="EQ73" s="366">
        <v>288.92</v>
      </c>
      <c r="ER73" s="366">
        <v>344.29</v>
      </c>
      <c r="ES73" s="366">
        <v>490.86</v>
      </c>
      <c r="ET73" s="366">
        <v>117.47</v>
      </c>
      <c r="EU73" s="366">
        <v>394.74</v>
      </c>
      <c r="EV73" s="366">
        <v>236.89</v>
      </c>
      <c r="EW73" s="366">
        <v>144.56</v>
      </c>
      <c r="EX73" s="366">
        <v>467.6</v>
      </c>
      <c r="EY73" s="366">
        <v>467.6</v>
      </c>
      <c r="EZ73" s="366">
        <v>430.92</v>
      </c>
      <c r="FA73" s="366">
        <v>383.55</v>
      </c>
      <c r="FB73" s="366">
        <v>354.96</v>
      </c>
      <c r="FC73" s="366">
        <v>436.39</v>
      </c>
      <c r="FD73" s="366">
        <v>291.58</v>
      </c>
      <c r="FE73" s="366">
        <v>149.01</v>
      </c>
      <c r="FF73" s="366">
        <v>227.13</v>
      </c>
      <c r="FG73" s="366">
        <v>226.6</v>
      </c>
      <c r="FH73" s="366">
        <v>226.6</v>
      </c>
      <c r="FI73" s="366">
        <v>217.76</v>
      </c>
      <c r="FJ73" s="366">
        <v>223.55</v>
      </c>
      <c r="FK73" s="366">
        <v>518.6</v>
      </c>
      <c r="FL73" s="366">
        <v>516.79</v>
      </c>
      <c r="FM73" s="366">
        <v>22.22</v>
      </c>
      <c r="FN73" s="366">
        <v>267.64</v>
      </c>
      <c r="FO73" s="366">
        <v>348.57</v>
      </c>
      <c r="FP73" s="366">
        <v>468.74</v>
      </c>
      <c r="FQ73" s="366">
        <v>352.44</v>
      </c>
      <c r="FR73" s="366">
        <v>399.68</v>
      </c>
      <c r="FS73" s="366">
        <v>227.84</v>
      </c>
      <c r="FT73" s="366">
        <v>222.92</v>
      </c>
      <c r="FU73" s="366">
        <v>251.98</v>
      </c>
      <c r="FV73" s="366">
        <v>458.64</v>
      </c>
      <c r="FW73" s="366">
        <v>458.64</v>
      </c>
      <c r="FX73" s="366">
        <v>458.64</v>
      </c>
      <c r="FY73" s="366">
        <v>332.69</v>
      </c>
      <c r="FZ73" s="366">
        <v>171.88</v>
      </c>
      <c r="GA73" s="366">
        <v>459.84</v>
      </c>
      <c r="GB73" s="366">
        <v>266.31</v>
      </c>
      <c r="GC73" s="366">
        <v>174.27</v>
      </c>
      <c r="GD73" s="366">
        <v>390.34</v>
      </c>
      <c r="GE73" s="366">
        <v>298.31</v>
      </c>
      <c r="GF73" s="366">
        <v>265.51</v>
      </c>
      <c r="GG73" s="366">
        <v>265.51</v>
      </c>
      <c r="GH73" s="366">
        <v>508.29</v>
      </c>
      <c r="GI73" s="366">
        <v>22.38</v>
      </c>
      <c r="GJ73" s="366">
        <v>22.22</v>
      </c>
      <c r="GK73" s="366">
        <v>515.15</v>
      </c>
      <c r="GL73" s="366">
        <v>158.85</v>
      </c>
      <c r="GM73" s="366">
        <v>158.85</v>
      </c>
      <c r="GN73" s="366">
        <v>158.85</v>
      </c>
      <c r="GO73" s="366">
        <v>30.51</v>
      </c>
      <c r="GP73" s="366">
        <v>465.25</v>
      </c>
      <c r="GQ73" s="366">
        <v>560.86</v>
      </c>
      <c r="GR73" s="366">
        <v>50.45</v>
      </c>
      <c r="GS73" s="366">
        <v>83.01</v>
      </c>
      <c r="GT73" s="366">
        <v>280.72000000000003</v>
      </c>
      <c r="GU73" s="366">
        <v>325.54000000000002</v>
      </c>
      <c r="GV73" s="366">
        <v>686.77</v>
      </c>
      <c r="GW73" s="366">
        <v>183.31</v>
      </c>
      <c r="GX73" s="366">
        <v>277.29000000000002</v>
      </c>
      <c r="GY73" s="366">
        <v>159.82</v>
      </c>
      <c r="GZ73" s="366">
        <v>291.3</v>
      </c>
      <c r="HA73" s="366">
        <v>353.98</v>
      </c>
      <c r="HB73" s="366">
        <v>353.98</v>
      </c>
      <c r="HC73" s="366">
        <v>353.98</v>
      </c>
      <c r="HD73" s="366">
        <v>146.55000000000001</v>
      </c>
      <c r="HE73" s="366">
        <v>380.23</v>
      </c>
      <c r="HF73" s="366">
        <v>336.52</v>
      </c>
      <c r="HG73" s="366">
        <v>464.17</v>
      </c>
      <c r="HH73" s="366">
        <v>464.17</v>
      </c>
      <c r="HI73" s="366">
        <v>464.17</v>
      </c>
      <c r="HJ73" s="366">
        <v>244.64</v>
      </c>
      <c r="HK73" s="366">
        <v>207.34</v>
      </c>
      <c r="HL73" s="366">
        <v>399.77</v>
      </c>
      <c r="HM73" s="366">
        <v>19.5</v>
      </c>
      <c r="HN73" s="366">
        <v>22.22</v>
      </c>
      <c r="HO73" s="366">
        <v>427.94</v>
      </c>
      <c r="HP73" s="366">
        <v>292.02</v>
      </c>
      <c r="HQ73" s="366">
        <v>458.64</v>
      </c>
      <c r="HR73" s="366">
        <v>279.95</v>
      </c>
      <c r="HS73" s="366">
        <v>18.47</v>
      </c>
      <c r="HT73" s="366">
        <v>122.57</v>
      </c>
      <c r="HU73" s="366">
        <v>138.91999999999999</v>
      </c>
      <c r="HV73" s="366">
        <v>163.38999999999999</v>
      </c>
    </row>
    <row r="74" spans="1:230">
      <c r="A74" s="366" t="s">
        <v>96</v>
      </c>
      <c r="B74" s="366">
        <v>404.43</v>
      </c>
      <c r="C74" s="366">
        <v>510.58</v>
      </c>
      <c r="D74" s="366">
        <v>405.2</v>
      </c>
      <c r="E74" s="366">
        <v>405.2</v>
      </c>
      <c r="F74" s="366">
        <v>468.33</v>
      </c>
      <c r="G74" s="366">
        <v>275.89999999999998</v>
      </c>
      <c r="H74" s="366">
        <v>361.58</v>
      </c>
      <c r="I74" s="366">
        <v>134.36000000000001</v>
      </c>
      <c r="J74" s="366">
        <v>337.8</v>
      </c>
      <c r="K74" s="366">
        <v>337.8</v>
      </c>
      <c r="L74" s="366">
        <v>401.96</v>
      </c>
      <c r="M74" s="366">
        <v>536</v>
      </c>
      <c r="N74" s="366">
        <v>632.9</v>
      </c>
      <c r="O74" s="366">
        <v>386.01</v>
      </c>
      <c r="P74" s="366">
        <v>386.01</v>
      </c>
      <c r="Q74" s="366">
        <v>386.01</v>
      </c>
      <c r="R74" s="366">
        <v>386.01</v>
      </c>
      <c r="S74" s="366">
        <v>386.01</v>
      </c>
      <c r="T74" s="366">
        <v>59.86</v>
      </c>
      <c r="U74" s="366">
        <v>383.94</v>
      </c>
      <c r="V74" s="366">
        <v>475.4</v>
      </c>
      <c r="W74" s="366">
        <v>256.51</v>
      </c>
      <c r="X74" s="366">
        <v>256.51</v>
      </c>
      <c r="Y74" s="366">
        <v>256.51</v>
      </c>
      <c r="Z74" s="366">
        <v>513.14</v>
      </c>
      <c r="AA74" s="366">
        <v>270.07</v>
      </c>
      <c r="AB74" s="366">
        <v>0.12</v>
      </c>
      <c r="AC74" s="366">
        <v>31.65</v>
      </c>
      <c r="AD74" s="366">
        <v>31.65</v>
      </c>
      <c r="AE74" s="366">
        <v>360.45</v>
      </c>
      <c r="AF74" s="366">
        <v>289.64</v>
      </c>
      <c r="AG74" s="366">
        <v>258.02999999999997</v>
      </c>
      <c r="AH74" s="366">
        <v>180.41</v>
      </c>
      <c r="AI74" s="366">
        <v>180.41</v>
      </c>
      <c r="AJ74" s="366">
        <v>180.41</v>
      </c>
      <c r="AK74" s="366">
        <v>535.34</v>
      </c>
      <c r="AL74" s="366">
        <v>535.34</v>
      </c>
      <c r="AM74" s="366">
        <v>8.9</v>
      </c>
      <c r="AN74" s="366">
        <v>345.18</v>
      </c>
      <c r="AO74" s="366">
        <v>283.02</v>
      </c>
      <c r="AP74" s="366">
        <v>89.31</v>
      </c>
      <c r="AQ74" s="366">
        <v>424.87</v>
      </c>
      <c r="AR74" s="366">
        <v>377.54</v>
      </c>
      <c r="AS74" s="366">
        <v>326.51</v>
      </c>
      <c r="AT74" s="366">
        <v>326.51</v>
      </c>
      <c r="AU74" s="366">
        <v>390.26</v>
      </c>
      <c r="AV74" s="366">
        <v>414.99</v>
      </c>
      <c r="AW74" s="366">
        <v>300.33999999999997</v>
      </c>
      <c r="AX74" s="366">
        <v>122.02</v>
      </c>
      <c r="AY74" s="366">
        <v>668.61</v>
      </c>
      <c r="AZ74" s="366">
        <v>479.2</v>
      </c>
      <c r="BA74" s="366">
        <v>245.25</v>
      </c>
      <c r="BB74" s="366">
        <v>671.5</v>
      </c>
      <c r="BC74" s="366">
        <v>187.31</v>
      </c>
      <c r="BD74" s="366">
        <v>97.08</v>
      </c>
      <c r="BE74" s="366">
        <v>479.46</v>
      </c>
      <c r="BF74" s="366">
        <v>3.15</v>
      </c>
      <c r="BG74" s="366">
        <v>520.69000000000005</v>
      </c>
      <c r="BH74" s="366">
        <v>386.01</v>
      </c>
      <c r="BI74" s="366">
        <v>377.57</v>
      </c>
      <c r="BJ74" s="366">
        <v>458.81</v>
      </c>
      <c r="BK74" s="366">
        <v>546.98</v>
      </c>
      <c r="BL74" s="366">
        <v>404.35</v>
      </c>
      <c r="BM74" s="366">
        <v>388.99</v>
      </c>
      <c r="BN74" s="366">
        <v>310.26</v>
      </c>
      <c r="BO74" s="366">
        <v>589.17999999999995</v>
      </c>
      <c r="BP74" s="366">
        <v>555.04</v>
      </c>
      <c r="BQ74" s="366">
        <v>155.06</v>
      </c>
      <c r="BR74" s="366">
        <v>155.06</v>
      </c>
      <c r="BS74" s="366">
        <v>486.77</v>
      </c>
      <c r="BT74" s="366">
        <v>369.49</v>
      </c>
      <c r="BU74" s="366">
        <v>19.62</v>
      </c>
      <c r="BV74" s="366">
        <v>0</v>
      </c>
      <c r="BW74" s="366">
        <v>449.55</v>
      </c>
      <c r="BX74" s="366">
        <v>427.86</v>
      </c>
      <c r="BY74" s="366">
        <v>502.88</v>
      </c>
      <c r="BZ74" s="366">
        <v>502.88</v>
      </c>
      <c r="CA74" s="366">
        <v>261.54000000000002</v>
      </c>
      <c r="CB74" s="366">
        <v>446.29</v>
      </c>
      <c r="CC74" s="366">
        <v>150.85</v>
      </c>
      <c r="CD74" s="366">
        <v>164.33</v>
      </c>
      <c r="CE74" s="366">
        <v>530.21</v>
      </c>
      <c r="CF74" s="366">
        <v>288.37</v>
      </c>
      <c r="CG74" s="366">
        <v>288.37</v>
      </c>
      <c r="CH74" s="366">
        <v>140.06</v>
      </c>
      <c r="CI74" s="366">
        <v>259.20999999999998</v>
      </c>
      <c r="CJ74" s="366">
        <v>299.32</v>
      </c>
      <c r="CK74" s="366">
        <v>507.97</v>
      </c>
      <c r="CL74" s="366">
        <v>404.05</v>
      </c>
      <c r="CM74" s="366">
        <v>133.59</v>
      </c>
      <c r="CN74" s="366">
        <v>408.18</v>
      </c>
      <c r="CO74" s="366">
        <v>376.15</v>
      </c>
      <c r="CP74" s="366">
        <v>161.75</v>
      </c>
      <c r="CQ74" s="366">
        <v>161.75</v>
      </c>
      <c r="CR74" s="366">
        <v>327.47000000000003</v>
      </c>
      <c r="CS74" s="366">
        <v>327.47000000000003</v>
      </c>
      <c r="CT74" s="366">
        <v>318.02999999999997</v>
      </c>
      <c r="CU74" s="366">
        <v>325.89999999999998</v>
      </c>
      <c r="CV74" s="366">
        <v>319.85000000000002</v>
      </c>
      <c r="CW74" s="366">
        <v>475.4</v>
      </c>
      <c r="CX74" s="366">
        <v>138.56</v>
      </c>
      <c r="CY74" s="366">
        <v>180.01</v>
      </c>
      <c r="CZ74" s="366">
        <v>201.25</v>
      </c>
      <c r="DA74" s="366">
        <v>570.95000000000005</v>
      </c>
      <c r="DB74" s="366">
        <v>454.79</v>
      </c>
      <c r="DC74" s="366">
        <v>454.79</v>
      </c>
      <c r="DD74" s="366">
        <v>203.51</v>
      </c>
      <c r="DE74" s="366">
        <v>648.58000000000004</v>
      </c>
      <c r="DF74" s="366">
        <v>452.79</v>
      </c>
      <c r="DG74" s="366">
        <v>229.56</v>
      </c>
      <c r="DH74" s="366">
        <v>711.14</v>
      </c>
      <c r="DI74" s="366">
        <v>154.19</v>
      </c>
      <c r="DJ74" s="366">
        <v>217.45</v>
      </c>
      <c r="DK74" s="366">
        <v>390.28</v>
      </c>
      <c r="DL74" s="366">
        <v>25.62</v>
      </c>
      <c r="DM74" s="366">
        <v>498.16</v>
      </c>
      <c r="DN74" s="366">
        <v>168.95</v>
      </c>
      <c r="DO74" s="366">
        <v>416.85</v>
      </c>
      <c r="DP74" s="366">
        <v>205.36</v>
      </c>
      <c r="DQ74" s="366">
        <v>460.89</v>
      </c>
      <c r="DR74" s="366">
        <v>711.14</v>
      </c>
      <c r="DS74" s="366">
        <v>377.05</v>
      </c>
      <c r="DT74" s="366">
        <v>365.34</v>
      </c>
      <c r="DU74" s="366">
        <v>601.29</v>
      </c>
      <c r="DV74" s="366">
        <v>538.98</v>
      </c>
      <c r="DW74" s="366">
        <v>342.93</v>
      </c>
      <c r="DX74" s="366">
        <v>435.87</v>
      </c>
      <c r="DY74" s="366">
        <v>509.26</v>
      </c>
      <c r="DZ74" s="366">
        <v>192.53</v>
      </c>
      <c r="EA74" s="366">
        <v>359.82</v>
      </c>
      <c r="EB74" s="366">
        <v>503.26</v>
      </c>
      <c r="EC74" s="366">
        <v>379.76</v>
      </c>
      <c r="ED74" s="366">
        <v>183.96</v>
      </c>
      <c r="EE74" s="366">
        <v>194.75</v>
      </c>
      <c r="EF74" s="366">
        <v>95.59</v>
      </c>
      <c r="EG74" s="366">
        <v>300.33999999999997</v>
      </c>
      <c r="EH74" s="366">
        <v>300.33999999999997</v>
      </c>
      <c r="EI74" s="366">
        <v>164.8</v>
      </c>
      <c r="EJ74" s="366">
        <v>699.2</v>
      </c>
      <c r="EK74" s="366">
        <v>311.89</v>
      </c>
      <c r="EL74" s="366">
        <v>311.89</v>
      </c>
      <c r="EM74" s="366">
        <v>406</v>
      </c>
      <c r="EN74" s="366">
        <v>406</v>
      </c>
      <c r="EO74" s="366">
        <v>8.9</v>
      </c>
      <c r="EP74" s="366">
        <v>82.8</v>
      </c>
      <c r="EQ74" s="366">
        <v>308.54000000000002</v>
      </c>
      <c r="ER74" s="366">
        <v>353.98</v>
      </c>
      <c r="ES74" s="366">
        <v>510.48</v>
      </c>
      <c r="ET74" s="366">
        <v>137.09</v>
      </c>
      <c r="EU74" s="366">
        <v>404.43</v>
      </c>
      <c r="EV74" s="366">
        <v>256.51</v>
      </c>
      <c r="EW74" s="366">
        <v>164.18</v>
      </c>
      <c r="EX74" s="366">
        <v>487.22</v>
      </c>
      <c r="EY74" s="366">
        <v>487.22</v>
      </c>
      <c r="EZ74" s="366">
        <v>450.54</v>
      </c>
      <c r="FA74" s="366">
        <v>403.17</v>
      </c>
      <c r="FB74" s="366">
        <v>374.58</v>
      </c>
      <c r="FC74" s="366">
        <v>456.01</v>
      </c>
      <c r="FD74" s="366">
        <v>311.2</v>
      </c>
      <c r="FE74" s="366">
        <v>168.63</v>
      </c>
      <c r="FF74" s="366">
        <v>246.75</v>
      </c>
      <c r="FG74" s="366">
        <v>236.29</v>
      </c>
      <c r="FH74" s="366">
        <v>236.29</v>
      </c>
      <c r="FI74" s="366">
        <v>237.38</v>
      </c>
      <c r="FJ74" s="366">
        <v>243.17</v>
      </c>
      <c r="FK74" s="366">
        <v>538.22</v>
      </c>
      <c r="FL74" s="366">
        <v>536.41</v>
      </c>
      <c r="FM74" s="366">
        <v>8.9</v>
      </c>
      <c r="FN74" s="366">
        <v>287.26</v>
      </c>
      <c r="FO74" s="366">
        <v>368.19</v>
      </c>
      <c r="FP74" s="366">
        <v>488.36</v>
      </c>
      <c r="FQ74" s="366">
        <v>372.06</v>
      </c>
      <c r="FR74" s="366">
        <v>419.3</v>
      </c>
      <c r="FS74" s="366">
        <v>247.46</v>
      </c>
      <c r="FT74" s="366">
        <v>232.61</v>
      </c>
      <c r="FU74" s="366">
        <v>271.60000000000002</v>
      </c>
      <c r="FV74" s="366">
        <v>468.33</v>
      </c>
      <c r="FW74" s="366">
        <v>468.33</v>
      </c>
      <c r="FX74" s="366">
        <v>468.33</v>
      </c>
      <c r="FY74" s="366">
        <v>352.31</v>
      </c>
      <c r="FZ74" s="366">
        <v>191.5</v>
      </c>
      <c r="GA74" s="366">
        <v>479.46</v>
      </c>
      <c r="GB74" s="366">
        <v>285.93</v>
      </c>
      <c r="GC74" s="366">
        <v>183.96</v>
      </c>
      <c r="GD74" s="366">
        <v>409.96</v>
      </c>
      <c r="GE74" s="366">
        <v>317.93</v>
      </c>
      <c r="GF74" s="366">
        <v>285.13</v>
      </c>
      <c r="GG74" s="366">
        <v>285.13</v>
      </c>
      <c r="GH74" s="366">
        <v>527.91</v>
      </c>
      <c r="GI74" s="366">
        <v>9.06</v>
      </c>
      <c r="GJ74" s="366">
        <v>8.9</v>
      </c>
      <c r="GK74" s="366">
        <v>534.77</v>
      </c>
      <c r="GL74" s="366">
        <v>178.47</v>
      </c>
      <c r="GM74" s="366">
        <v>178.47</v>
      </c>
      <c r="GN74" s="366">
        <v>178.47</v>
      </c>
      <c r="GO74" s="366">
        <v>50.13</v>
      </c>
      <c r="GP74" s="366">
        <v>484.87</v>
      </c>
      <c r="GQ74" s="366">
        <v>580.48</v>
      </c>
      <c r="GR74" s="366">
        <v>60.14</v>
      </c>
      <c r="GS74" s="366">
        <v>102.63</v>
      </c>
      <c r="GT74" s="366">
        <v>300.33999999999997</v>
      </c>
      <c r="GU74" s="366">
        <v>345.16</v>
      </c>
      <c r="GV74" s="366">
        <v>706.39</v>
      </c>
      <c r="GW74" s="366">
        <v>202.93</v>
      </c>
      <c r="GX74" s="366">
        <v>296.91000000000003</v>
      </c>
      <c r="GY74" s="366">
        <v>179.44</v>
      </c>
      <c r="GZ74" s="366">
        <v>310.92</v>
      </c>
      <c r="HA74" s="366">
        <v>373.6</v>
      </c>
      <c r="HB74" s="366">
        <v>373.6</v>
      </c>
      <c r="HC74" s="366">
        <v>373.6</v>
      </c>
      <c r="HD74" s="366">
        <v>156.24</v>
      </c>
      <c r="HE74" s="366">
        <v>399.85</v>
      </c>
      <c r="HF74" s="366">
        <v>356.14</v>
      </c>
      <c r="HG74" s="366">
        <v>483.79</v>
      </c>
      <c r="HH74" s="366">
        <v>483.79</v>
      </c>
      <c r="HI74" s="366">
        <v>483.79</v>
      </c>
      <c r="HJ74" s="366">
        <v>264.26</v>
      </c>
      <c r="HK74" s="366">
        <v>226.96</v>
      </c>
      <c r="HL74" s="366">
        <v>419.39</v>
      </c>
      <c r="HM74" s="366">
        <v>0.12</v>
      </c>
      <c r="HN74" s="366">
        <v>8.9</v>
      </c>
      <c r="HO74" s="366">
        <v>437.63</v>
      </c>
      <c r="HP74" s="366">
        <v>311.64</v>
      </c>
      <c r="HQ74" s="366">
        <v>468.33</v>
      </c>
      <c r="HR74" s="366">
        <v>289.64</v>
      </c>
      <c r="HS74" s="366">
        <v>5.15</v>
      </c>
      <c r="HT74" s="366">
        <v>142.19</v>
      </c>
      <c r="HU74" s="366">
        <v>158.54</v>
      </c>
      <c r="HV74" s="366">
        <v>183.01</v>
      </c>
    </row>
    <row r="75" spans="1:230">
      <c r="A75" s="366" t="s">
        <v>97</v>
      </c>
      <c r="B75" s="366">
        <v>824.67</v>
      </c>
      <c r="C75" s="366">
        <v>370.13</v>
      </c>
      <c r="D75" s="366">
        <v>270.89999999999998</v>
      </c>
      <c r="E75" s="366">
        <v>270.89999999999998</v>
      </c>
      <c r="F75" s="366">
        <v>888.57</v>
      </c>
      <c r="G75" s="366">
        <v>696.14</v>
      </c>
      <c r="H75" s="366">
        <v>314.52</v>
      </c>
      <c r="I75" s="366">
        <v>315.19</v>
      </c>
      <c r="J75" s="366">
        <v>338.3</v>
      </c>
      <c r="K75" s="366">
        <v>338.3</v>
      </c>
      <c r="L75" s="366">
        <v>261.51</v>
      </c>
      <c r="M75" s="366">
        <v>395.55</v>
      </c>
      <c r="N75" s="366">
        <v>445.86</v>
      </c>
      <c r="O75" s="366">
        <v>191.37</v>
      </c>
      <c r="P75" s="366">
        <v>191.37</v>
      </c>
      <c r="Q75" s="366">
        <v>191.37</v>
      </c>
      <c r="R75" s="366">
        <v>191.37</v>
      </c>
      <c r="S75" s="366">
        <v>191.37</v>
      </c>
      <c r="T75" s="366">
        <v>389.69</v>
      </c>
      <c r="U75" s="366">
        <v>804.18</v>
      </c>
      <c r="V75" s="366">
        <v>53.21</v>
      </c>
      <c r="W75" s="366">
        <v>533.04999999999995</v>
      </c>
      <c r="X75" s="366">
        <v>533.04999999999995</v>
      </c>
      <c r="Y75" s="366">
        <v>533.04999999999995</v>
      </c>
      <c r="Z75" s="366">
        <v>261.02</v>
      </c>
      <c r="AA75" s="366">
        <v>690.31</v>
      </c>
      <c r="AB75" s="366">
        <v>449.43</v>
      </c>
      <c r="AC75" s="366">
        <v>451.89</v>
      </c>
      <c r="AD75" s="366">
        <v>451.89</v>
      </c>
      <c r="AE75" s="366">
        <v>220</v>
      </c>
      <c r="AF75" s="366">
        <v>709.88</v>
      </c>
      <c r="AG75" s="366">
        <v>534.57000000000005</v>
      </c>
      <c r="AH75" s="366">
        <v>269.14</v>
      </c>
      <c r="AI75" s="366">
        <v>269.14</v>
      </c>
      <c r="AJ75" s="366">
        <v>269.14</v>
      </c>
      <c r="AK75" s="366">
        <v>283.22000000000003</v>
      </c>
      <c r="AL75" s="366">
        <v>283.22000000000003</v>
      </c>
      <c r="AM75" s="366">
        <v>452.15</v>
      </c>
      <c r="AN75" s="366">
        <v>232.2</v>
      </c>
      <c r="AO75" s="366">
        <v>703.26</v>
      </c>
      <c r="AP75" s="366">
        <v>378.41</v>
      </c>
      <c r="AQ75" s="366">
        <v>845.11</v>
      </c>
      <c r="AR75" s="366">
        <v>401.07</v>
      </c>
      <c r="AS75" s="366">
        <v>186.06</v>
      </c>
      <c r="AT75" s="366">
        <v>186.06</v>
      </c>
      <c r="AU75" s="366">
        <v>59.29</v>
      </c>
      <c r="AV75" s="366">
        <v>835.23</v>
      </c>
      <c r="AW75" s="366">
        <v>382.62</v>
      </c>
      <c r="AX75" s="366">
        <v>335.79</v>
      </c>
      <c r="AY75" s="366">
        <v>481.57</v>
      </c>
      <c r="AZ75" s="366">
        <v>338.75</v>
      </c>
      <c r="BA75" s="366">
        <v>665.49</v>
      </c>
      <c r="BB75" s="366">
        <v>484.46</v>
      </c>
      <c r="BC75" s="366">
        <v>607.54999999999995</v>
      </c>
      <c r="BD75" s="366">
        <v>517.32000000000005</v>
      </c>
      <c r="BE75" s="366">
        <v>57.27</v>
      </c>
      <c r="BF75" s="366">
        <v>446.4</v>
      </c>
      <c r="BG75" s="366">
        <v>268.57</v>
      </c>
      <c r="BH75" s="366">
        <v>191.37</v>
      </c>
      <c r="BI75" s="366">
        <v>401.1</v>
      </c>
      <c r="BJ75" s="366">
        <v>206.69</v>
      </c>
      <c r="BK75" s="366">
        <v>406.53</v>
      </c>
      <c r="BL75" s="366">
        <v>263.89999999999998</v>
      </c>
      <c r="BM75" s="366">
        <v>287.11</v>
      </c>
      <c r="BN75" s="366">
        <v>730.5</v>
      </c>
      <c r="BO75" s="366">
        <v>448.73</v>
      </c>
      <c r="BP75" s="366">
        <v>414.59</v>
      </c>
      <c r="BQ75" s="366">
        <v>294.49</v>
      </c>
      <c r="BR75" s="366">
        <v>294.49</v>
      </c>
      <c r="BS75" s="366">
        <v>346.32</v>
      </c>
      <c r="BT75" s="366">
        <v>385.53</v>
      </c>
      <c r="BU75" s="366">
        <v>429.93</v>
      </c>
      <c r="BV75" s="366">
        <v>449.55</v>
      </c>
      <c r="BW75" s="366">
        <v>0</v>
      </c>
      <c r="BX75" s="366">
        <v>287.41000000000003</v>
      </c>
      <c r="BY75" s="366">
        <v>80.69</v>
      </c>
      <c r="BZ75" s="366">
        <v>80.69</v>
      </c>
      <c r="CA75" s="366">
        <v>414.56</v>
      </c>
      <c r="CB75" s="366">
        <v>305.83999999999997</v>
      </c>
      <c r="CC75" s="366">
        <v>306.95999999999998</v>
      </c>
      <c r="CD75" s="366">
        <v>309.36</v>
      </c>
      <c r="CE75" s="366">
        <v>389.76</v>
      </c>
      <c r="CF75" s="366">
        <v>708.61</v>
      </c>
      <c r="CG75" s="366">
        <v>708.61</v>
      </c>
      <c r="CH75" s="366">
        <v>309.49</v>
      </c>
      <c r="CI75" s="366">
        <v>212.4</v>
      </c>
      <c r="CJ75" s="366">
        <v>719.56</v>
      </c>
      <c r="CK75" s="366">
        <v>85.78</v>
      </c>
      <c r="CL75" s="366">
        <v>73.08</v>
      </c>
      <c r="CM75" s="366">
        <v>553.83000000000004</v>
      </c>
      <c r="CN75" s="366">
        <v>156.06</v>
      </c>
      <c r="CO75" s="366">
        <v>399.68</v>
      </c>
      <c r="CP75" s="366">
        <v>287.8</v>
      </c>
      <c r="CQ75" s="366">
        <v>287.8</v>
      </c>
      <c r="CR75" s="366">
        <v>352.08</v>
      </c>
      <c r="CS75" s="366">
        <v>352.08</v>
      </c>
      <c r="CT75" s="366">
        <v>361.52</v>
      </c>
      <c r="CU75" s="366">
        <v>353.65</v>
      </c>
      <c r="CV75" s="366">
        <v>356.25</v>
      </c>
      <c r="CW75" s="366">
        <v>53.21</v>
      </c>
      <c r="CX75" s="366">
        <v>326.02999999999997</v>
      </c>
      <c r="CY75" s="366">
        <v>600.25</v>
      </c>
      <c r="CZ75" s="366">
        <v>621.49</v>
      </c>
      <c r="DA75" s="366">
        <v>383.91</v>
      </c>
      <c r="DB75" s="366">
        <v>202.67</v>
      </c>
      <c r="DC75" s="366">
        <v>202.67</v>
      </c>
      <c r="DD75" s="366">
        <v>520.21</v>
      </c>
      <c r="DE75" s="366">
        <v>461.54</v>
      </c>
      <c r="DF75" s="366">
        <v>873.03</v>
      </c>
      <c r="DG75" s="366">
        <v>242.05</v>
      </c>
      <c r="DH75" s="366">
        <v>524.1</v>
      </c>
      <c r="DI75" s="366">
        <v>574.42999999999995</v>
      </c>
      <c r="DJ75" s="366">
        <v>637.69000000000005</v>
      </c>
      <c r="DK75" s="366">
        <v>249.83</v>
      </c>
      <c r="DL75" s="366">
        <v>435.93</v>
      </c>
      <c r="DM75" s="366">
        <v>357.71</v>
      </c>
      <c r="DN75" s="366">
        <v>589.19000000000005</v>
      </c>
      <c r="DO75" s="366">
        <v>276.39999999999998</v>
      </c>
      <c r="DP75" s="366">
        <v>481.9</v>
      </c>
      <c r="DQ75" s="366">
        <v>38.700000000000003</v>
      </c>
      <c r="DR75" s="366">
        <v>524.1</v>
      </c>
      <c r="DS75" s="366">
        <v>377.55</v>
      </c>
      <c r="DT75" s="366">
        <v>365.84</v>
      </c>
      <c r="DU75" s="366">
        <v>353.57</v>
      </c>
      <c r="DV75" s="366">
        <v>286.86</v>
      </c>
      <c r="DW75" s="366">
        <v>202.48</v>
      </c>
      <c r="DX75" s="366">
        <v>13.68</v>
      </c>
      <c r="DY75" s="366">
        <v>87.07</v>
      </c>
      <c r="DZ75" s="366">
        <v>529.88</v>
      </c>
      <c r="EA75" s="366">
        <v>383.35</v>
      </c>
      <c r="EB75" s="366">
        <v>81.069999999999993</v>
      </c>
      <c r="EC75" s="366">
        <v>296.33999999999997</v>
      </c>
      <c r="ED75" s="366">
        <v>604.20000000000005</v>
      </c>
      <c r="EE75" s="366">
        <v>614.99</v>
      </c>
      <c r="EF75" s="366">
        <v>372.13</v>
      </c>
      <c r="EG75" s="366">
        <v>382.62</v>
      </c>
      <c r="EH75" s="366">
        <v>382.62</v>
      </c>
      <c r="EI75" s="366">
        <v>293.01</v>
      </c>
      <c r="EJ75" s="366">
        <v>558.75</v>
      </c>
      <c r="EK75" s="366">
        <v>171.44</v>
      </c>
      <c r="EL75" s="366">
        <v>171.44</v>
      </c>
      <c r="EM75" s="366">
        <v>106.32</v>
      </c>
      <c r="EN75" s="366">
        <v>106.32</v>
      </c>
      <c r="EO75" s="366">
        <v>452.15</v>
      </c>
      <c r="EP75" s="366">
        <v>375.01</v>
      </c>
      <c r="EQ75" s="366">
        <v>371.01</v>
      </c>
      <c r="ER75" s="366">
        <v>774.22</v>
      </c>
      <c r="ES75" s="366">
        <v>370.03</v>
      </c>
      <c r="ET75" s="366">
        <v>312.45999999999998</v>
      </c>
      <c r="EU75" s="366">
        <v>824.67</v>
      </c>
      <c r="EV75" s="366">
        <v>533.04999999999995</v>
      </c>
      <c r="EW75" s="366">
        <v>293.93</v>
      </c>
      <c r="EX75" s="366">
        <v>346.77</v>
      </c>
      <c r="EY75" s="366">
        <v>346.77</v>
      </c>
      <c r="EZ75" s="366">
        <v>126.84</v>
      </c>
      <c r="FA75" s="366">
        <v>72.2</v>
      </c>
      <c r="FB75" s="366">
        <v>234.13</v>
      </c>
      <c r="FC75" s="366">
        <v>6.46</v>
      </c>
      <c r="FD75" s="366">
        <v>199.57</v>
      </c>
      <c r="FE75" s="366">
        <v>296.83999999999997</v>
      </c>
      <c r="FF75" s="366">
        <v>272.02</v>
      </c>
      <c r="FG75" s="366">
        <v>656.53</v>
      </c>
      <c r="FH75" s="366">
        <v>656.53</v>
      </c>
      <c r="FI75" s="366">
        <v>513.91999999999996</v>
      </c>
      <c r="FJ75" s="366">
        <v>519.71</v>
      </c>
      <c r="FK75" s="366">
        <v>397.77</v>
      </c>
      <c r="FL75" s="366">
        <v>395.96</v>
      </c>
      <c r="FM75" s="366">
        <v>452.15</v>
      </c>
      <c r="FN75" s="366">
        <v>563.79999999999995</v>
      </c>
      <c r="FO75" s="366">
        <v>391.72</v>
      </c>
      <c r="FP75" s="366">
        <v>66.17</v>
      </c>
      <c r="FQ75" s="366">
        <v>395.59</v>
      </c>
      <c r="FR75" s="366">
        <v>278.85000000000002</v>
      </c>
      <c r="FS75" s="366">
        <v>202.09</v>
      </c>
      <c r="FT75" s="366">
        <v>652.85</v>
      </c>
      <c r="FU75" s="366">
        <v>200.01</v>
      </c>
      <c r="FV75" s="366">
        <v>888.57</v>
      </c>
      <c r="FW75" s="366">
        <v>888.57</v>
      </c>
      <c r="FX75" s="366">
        <v>888.57</v>
      </c>
      <c r="FY75" s="366">
        <v>97.24</v>
      </c>
      <c r="FZ75" s="366">
        <v>286.75</v>
      </c>
      <c r="GA75" s="366">
        <v>57.27</v>
      </c>
      <c r="GB75" s="366">
        <v>240.56</v>
      </c>
      <c r="GC75" s="366">
        <v>604.20000000000005</v>
      </c>
      <c r="GD75" s="366">
        <v>269.51</v>
      </c>
      <c r="GE75" s="366">
        <v>361.62</v>
      </c>
      <c r="GF75" s="366">
        <v>186.48</v>
      </c>
      <c r="GG75" s="366">
        <v>186.48</v>
      </c>
      <c r="GH75" s="366">
        <v>105.72</v>
      </c>
      <c r="GI75" s="366">
        <v>452.31</v>
      </c>
      <c r="GJ75" s="366">
        <v>452.15</v>
      </c>
      <c r="GK75" s="366">
        <v>394.32</v>
      </c>
      <c r="GL75" s="366">
        <v>279.33999999999997</v>
      </c>
      <c r="GM75" s="366">
        <v>279.33999999999997</v>
      </c>
      <c r="GN75" s="366">
        <v>279.33999999999997</v>
      </c>
      <c r="GO75" s="366">
        <v>417.59</v>
      </c>
      <c r="GP75" s="366">
        <v>62.68</v>
      </c>
      <c r="GQ75" s="366">
        <v>440.03</v>
      </c>
      <c r="GR75" s="366">
        <v>480.38</v>
      </c>
      <c r="GS75" s="366">
        <v>346.92</v>
      </c>
      <c r="GT75" s="366">
        <v>382.62</v>
      </c>
      <c r="GU75" s="366">
        <v>204.71</v>
      </c>
      <c r="GV75" s="366">
        <v>565.94000000000005</v>
      </c>
      <c r="GW75" s="366">
        <v>255.32</v>
      </c>
      <c r="GX75" s="366">
        <v>379.19</v>
      </c>
      <c r="GY75" s="366">
        <v>270.11</v>
      </c>
      <c r="GZ75" s="366">
        <v>199.29</v>
      </c>
      <c r="HA75" s="366">
        <v>397.13</v>
      </c>
      <c r="HB75" s="366">
        <v>397.13</v>
      </c>
      <c r="HC75" s="366">
        <v>397.13</v>
      </c>
      <c r="HD75" s="366">
        <v>566.16999999999996</v>
      </c>
      <c r="HE75" s="366">
        <v>100.17</v>
      </c>
      <c r="HF75" s="366">
        <v>137.31</v>
      </c>
      <c r="HG75" s="366">
        <v>231.67</v>
      </c>
      <c r="HH75" s="366">
        <v>231.67</v>
      </c>
      <c r="HI75" s="366">
        <v>231.67</v>
      </c>
      <c r="HJ75" s="366">
        <v>207.35</v>
      </c>
      <c r="HK75" s="366">
        <v>455.11</v>
      </c>
      <c r="HL75" s="366">
        <v>171.79</v>
      </c>
      <c r="HM75" s="366">
        <v>449.43</v>
      </c>
      <c r="HN75" s="366">
        <v>452.15</v>
      </c>
      <c r="HO75" s="366">
        <v>857.87</v>
      </c>
      <c r="HP75" s="366">
        <v>200.01</v>
      </c>
      <c r="HQ75" s="366">
        <v>888.57</v>
      </c>
      <c r="HR75" s="366">
        <v>709.88</v>
      </c>
      <c r="HS75" s="366">
        <v>448.4</v>
      </c>
      <c r="HT75" s="366">
        <v>330.72</v>
      </c>
      <c r="HU75" s="366">
        <v>297.97000000000003</v>
      </c>
      <c r="HV75" s="366">
        <v>316.29000000000002</v>
      </c>
    </row>
    <row r="76" spans="1:230">
      <c r="A76" s="366" t="s">
        <v>98</v>
      </c>
      <c r="B76" s="366">
        <v>783.77</v>
      </c>
      <c r="C76" s="366">
        <v>82.72</v>
      </c>
      <c r="D76" s="366">
        <v>113.37</v>
      </c>
      <c r="E76" s="366">
        <v>113.37</v>
      </c>
      <c r="F76" s="366">
        <v>847.67</v>
      </c>
      <c r="G76" s="366">
        <v>584.17999999999995</v>
      </c>
      <c r="H76" s="366">
        <v>156.99</v>
      </c>
      <c r="I76" s="366">
        <v>293.5</v>
      </c>
      <c r="J76" s="366">
        <v>180.77</v>
      </c>
      <c r="K76" s="366">
        <v>180.77</v>
      </c>
      <c r="L76" s="366">
        <v>95.46</v>
      </c>
      <c r="M76" s="366">
        <v>108.14</v>
      </c>
      <c r="N76" s="366">
        <v>205.04</v>
      </c>
      <c r="O76" s="366">
        <v>258.33</v>
      </c>
      <c r="P76" s="366">
        <v>258.33</v>
      </c>
      <c r="Q76" s="366">
        <v>258.33</v>
      </c>
      <c r="R76" s="366">
        <v>258.33</v>
      </c>
      <c r="S76" s="366">
        <v>258.33</v>
      </c>
      <c r="T76" s="366">
        <v>368</v>
      </c>
      <c r="U76" s="366">
        <v>692.22</v>
      </c>
      <c r="V76" s="366">
        <v>313.26</v>
      </c>
      <c r="W76" s="366">
        <v>394.36</v>
      </c>
      <c r="X76" s="366">
        <v>394.36</v>
      </c>
      <c r="Y76" s="366">
        <v>394.36</v>
      </c>
      <c r="Z76" s="366">
        <v>265.98</v>
      </c>
      <c r="AA76" s="366">
        <v>578.35</v>
      </c>
      <c r="AB76" s="366">
        <v>427.74</v>
      </c>
      <c r="AC76" s="366">
        <v>430.2</v>
      </c>
      <c r="AD76" s="366">
        <v>430.2</v>
      </c>
      <c r="AE76" s="366">
        <v>164.27</v>
      </c>
      <c r="AF76" s="366">
        <v>597.91999999999996</v>
      </c>
      <c r="AG76" s="366">
        <v>395.88</v>
      </c>
      <c r="AH76" s="366">
        <v>247.45</v>
      </c>
      <c r="AI76" s="366">
        <v>247.45</v>
      </c>
      <c r="AJ76" s="366">
        <v>247.45</v>
      </c>
      <c r="AK76" s="366">
        <v>248.74</v>
      </c>
      <c r="AL76" s="366">
        <v>248.74</v>
      </c>
      <c r="AM76" s="366">
        <v>430.46</v>
      </c>
      <c r="AN76" s="366">
        <v>217.5</v>
      </c>
      <c r="AO76" s="366">
        <v>600.79</v>
      </c>
      <c r="AP76" s="366">
        <v>356.72</v>
      </c>
      <c r="AQ76" s="366">
        <v>804.21</v>
      </c>
      <c r="AR76" s="366">
        <v>243.54</v>
      </c>
      <c r="AS76" s="366">
        <v>101.35</v>
      </c>
      <c r="AT76" s="366">
        <v>101.35</v>
      </c>
      <c r="AU76" s="366">
        <v>228.12</v>
      </c>
      <c r="AV76" s="366">
        <v>723.27</v>
      </c>
      <c r="AW76" s="366">
        <v>225.09</v>
      </c>
      <c r="AX76" s="366">
        <v>314.10000000000002</v>
      </c>
      <c r="AY76" s="366">
        <v>240.75</v>
      </c>
      <c r="AZ76" s="366">
        <v>51.34</v>
      </c>
      <c r="BA76" s="366">
        <v>643.79999999999995</v>
      </c>
      <c r="BB76" s="366">
        <v>243.64</v>
      </c>
      <c r="BC76" s="366">
        <v>585.86</v>
      </c>
      <c r="BD76" s="366">
        <v>495.63</v>
      </c>
      <c r="BE76" s="366">
        <v>317.32</v>
      </c>
      <c r="BF76" s="366">
        <v>424.71</v>
      </c>
      <c r="BG76" s="366">
        <v>262.5</v>
      </c>
      <c r="BH76" s="366">
        <v>258.33</v>
      </c>
      <c r="BI76" s="366">
        <v>243.57</v>
      </c>
      <c r="BJ76" s="366">
        <v>296.67</v>
      </c>
      <c r="BK76" s="366">
        <v>119.12</v>
      </c>
      <c r="BL76" s="366">
        <v>120.37</v>
      </c>
      <c r="BM76" s="366">
        <v>129.58000000000001</v>
      </c>
      <c r="BN76" s="366">
        <v>618.54</v>
      </c>
      <c r="BO76" s="366">
        <v>161.32</v>
      </c>
      <c r="BP76" s="366">
        <v>127.18</v>
      </c>
      <c r="BQ76" s="366">
        <v>272.8</v>
      </c>
      <c r="BR76" s="366">
        <v>272.8</v>
      </c>
      <c r="BS76" s="366">
        <v>58.91</v>
      </c>
      <c r="BT76" s="366">
        <v>228</v>
      </c>
      <c r="BU76" s="366">
        <v>408.24</v>
      </c>
      <c r="BV76" s="366">
        <v>427.86</v>
      </c>
      <c r="BW76" s="366">
        <v>287.41000000000003</v>
      </c>
      <c r="BX76" s="366">
        <v>0</v>
      </c>
      <c r="BY76" s="366">
        <v>340.74</v>
      </c>
      <c r="BZ76" s="366">
        <v>340.74</v>
      </c>
      <c r="CA76" s="366">
        <v>257.02999999999997</v>
      </c>
      <c r="CB76" s="366">
        <v>18.43</v>
      </c>
      <c r="CC76" s="366">
        <v>285.27</v>
      </c>
      <c r="CD76" s="366">
        <v>287.67</v>
      </c>
      <c r="CE76" s="366">
        <v>102.35</v>
      </c>
      <c r="CF76" s="366">
        <v>596.65</v>
      </c>
      <c r="CG76" s="366">
        <v>596.65</v>
      </c>
      <c r="CH76" s="366">
        <v>287.8</v>
      </c>
      <c r="CI76" s="366">
        <v>201.29</v>
      </c>
      <c r="CJ76" s="366">
        <v>607.6</v>
      </c>
      <c r="CK76" s="366">
        <v>345.83</v>
      </c>
      <c r="CL76" s="366">
        <v>241.91</v>
      </c>
      <c r="CM76" s="366">
        <v>532.14</v>
      </c>
      <c r="CN76" s="366">
        <v>246.04</v>
      </c>
      <c r="CO76" s="366">
        <v>242.15</v>
      </c>
      <c r="CP76" s="366">
        <v>266.11</v>
      </c>
      <c r="CQ76" s="366">
        <v>266.11</v>
      </c>
      <c r="CR76" s="366">
        <v>194.55</v>
      </c>
      <c r="CS76" s="366">
        <v>194.55</v>
      </c>
      <c r="CT76" s="366">
        <v>203.99</v>
      </c>
      <c r="CU76" s="366">
        <v>196.12</v>
      </c>
      <c r="CV76" s="366">
        <v>198.72</v>
      </c>
      <c r="CW76" s="366">
        <v>313.26</v>
      </c>
      <c r="CX76" s="366">
        <v>304.33999999999997</v>
      </c>
      <c r="CY76" s="366">
        <v>578.55999999999995</v>
      </c>
      <c r="CZ76" s="366">
        <v>599.79999999999995</v>
      </c>
      <c r="DA76" s="366">
        <v>143.09</v>
      </c>
      <c r="DB76" s="366">
        <v>292.64999999999998</v>
      </c>
      <c r="DC76" s="366">
        <v>292.64999999999998</v>
      </c>
      <c r="DD76" s="366">
        <v>381.52</v>
      </c>
      <c r="DE76" s="366">
        <v>220.72</v>
      </c>
      <c r="DF76" s="366">
        <v>832.13</v>
      </c>
      <c r="DG76" s="366">
        <v>230.94</v>
      </c>
      <c r="DH76" s="366">
        <v>283.27999999999997</v>
      </c>
      <c r="DI76" s="366">
        <v>462.47</v>
      </c>
      <c r="DJ76" s="366">
        <v>616</v>
      </c>
      <c r="DK76" s="366">
        <v>37.58</v>
      </c>
      <c r="DL76" s="366">
        <v>414.24</v>
      </c>
      <c r="DM76" s="366">
        <v>70.3</v>
      </c>
      <c r="DN76" s="366">
        <v>477.23</v>
      </c>
      <c r="DO76" s="366">
        <v>23.78</v>
      </c>
      <c r="DP76" s="366">
        <v>343.21</v>
      </c>
      <c r="DQ76" s="366">
        <v>298.75</v>
      </c>
      <c r="DR76" s="366">
        <v>283.27999999999997</v>
      </c>
      <c r="DS76" s="366">
        <v>220.02</v>
      </c>
      <c r="DT76" s="366">
        <v>208.31</v>
      </c>
      <c r="DU76" s="366">
        <v>173.43</v>
      </c>
      <c r="DV76" s="366">
        <v>240.14</v>
      </c>
      <c r="DW76" s="366">
        <v>84.93</v>
      </c>
      <c r="DX76" s="366">
        <v>273.73</v>
      </c>
      <c r="DY76" s="366">
        <v>347.12</v>
      </c>
      <c r="DZ76" s="366">
        <v>391.19</v>
      </c>
      <c r="EA76" s="366">
        <v>225.82</v>
      </c>
      <c r="EB76" s="366">
        <v>341.12</v>
      </c>
      <c r="EC76" s="366">
        <v>138.81</v>
      </c>
      <c r="ED76" s="366">
        <v>492.24</v>
      </c>
      <c r="EE76" s="366">
        <v>503.03</v>
      </c>
      <c r="EF76" s="366">
        <v>350.44</v>
      </c>
      <c r="EG76" s="366">
        <v>225.09</v>
      </c>
      <c r="EH76" s="366">
        <v>225.09</v>
      </c>
      <c r="EI76" s="366">
        <v>271.32</v>
      </c>
      <c r="EJ76" s="366">
        <v>271.33999999999997</v>
      </c>
      <c r="EK76" s="366">
        <v>149.75</v>
      </c>
      <c r="EL76" s="366">
        <v>149.75</v>
      </c>
      <c r="EM76" s="366">
        <v>243.86</v>
      </c>
      <c r="EN76" s="366">
        <v>243.86</v>
      </c>
      <c r="EO76" s="366">
        <v>430.46</v>
      </c>
      <c r="EP76" s="366">
        <v>353.32</v>
      </c>
      <c r="EQ76" s="366">
        <v>213.48</v>
      </c>
      <c r="ER76" s="366">
        <v>662.26</v>
      </c>
      <c r="ES76" s="366">
        <v>82.62</v>
      </c>
      <c r="ET76" s="366">
        <v>290.77</v>
      </c>
      <c r="EU76" s="366">
        <v>783.77</v>
      </c>
      <c r="EV76" s="366">
        <v>394.36</v>
      </c>
      <c r="EW76" s="366">
        <v>272.24</v>
      </c>
      <c r="EX76" s="366">
        <v>59.36</v>
      </c>
      <c r="EY76" s="366">
        <v>59.36</v>
      </c>
      <c r="EZ76" s="366">
        <v>295.67</v>
      </c>
      <c r="FA76" s="366">
        <v>241.03</v>
      </c>
      <c r="FB76" s="366">
        <v>53.28</v>
      </c>
      <c r="FC76" s="366">
        <v>293.87</v>
      </c>
      <c r="FD76" s="366">
        <v>183.52</v>
      </c>
      <c r="FE76" s="366">
        <v>275.14999999999998</v>
      </c>
      <c r="FF76" s="366">
        <v>250.33</v>
      </c>
      <c r="FG76" s="366">
        <v>634.84</v>
      </c>
      <c r="FH76" s="366">
        <v>634.84</v>
      </c>
      <c r="FI76" s="366">
        <v>375.23</v>
      </c>
      <c r="FJ76" s="366">
        <v>381.02</v>
      </c>
      <c r="FK76" s="366">
        <v>110.36</v>
      </c>
      <c r="FL76" s="366">
        <v>108.55</v>
      </c>
      <c r="FM76" s="366">
        <v>430.46</v>
      </c>
      <c r="FN76" s="366">
        <v>425.11</v>
      </c>
      <c r="FO76" s="366">
        <v>234.19</v>
      </c>
      <c r="FP76" s="366">
        <v>326.22000000000003</v>
      </c>
      <c r="FQ76" s="366">
        <v>238.06</v>
      </c>
      <c r="FR76" s="366">
        <v>112.8</v>
      </c>
      <c r="FS76" s="366">
        <v>180.4</v>
      </c>
      <c r="FT76" s="366">
        <v>631.16</v>
      </c>
      <c r="FU76" s="366">
        <v>188.9</v>
      </c>
      <c r="FV76" s="366">
        <v>847.67</v>
      </c>
      <c r="FW76" s="366">
        <v>847.67</v>
      </c>
      <c r="FX76" s="366">
        <v>847.67</v>
      </c>
      <c r="FY76" s="366">
        <v>190.17</v>
      </c>
      <c r="FZ76" s="366">
        <v>265.06</v>
      </c>
      <c r="GA76" s="366">
        <v>317.32</v>
      </c>
      <c r="GB76" s="366">
        <v>218.87</v>
      </c>
      <c r="GC76" s="366">
        <v>492.24</v>
      </c>
      <c r="GD76" s="366">
        <v>17.899999999999999</v>
      </c>
      <c r="GE76" s="366">
        <v>204.09</v>
      </c>
      <c r="GF76" s="366">
        <v>175.37</v>
      </c>
      <c r="GG76" s="366">
        <v>175.37</v>
      </c>
      <c r="GH76" s="366">
        <v>365.77</v>
      </c>
      <c r="GI76" s="366">
        <v>430.62</v>
      </c>
      <c r="GJ76" s="366">
        <v>430.46</v>
      </c>
      <c r="GK76" s="366">
        <v>106.91</v>
      </c>
      <c r="GL76" s="366">
        <v>257.64999999999998</v>
      </c>
      <c r="GM76" s="366">
        <v>257.64999999999998</v>
      </c>
      <c r="GN76" s="366">
        <v>257.64999999999998</v>
      </c>
      <c r="GO76" s="366">
        <v>395.9</v>
      </c>
      <c r="GP76" s="366">
        <v>322.73</v>
      </c>
      <c r="GQ76" s="366">
        <v>152.62</v>
      </c>
      <c r="GR76" s="366">
        <v>458.69</v>
      </c>
      <c r="GS76" s="366">
        <v>325.23</v>
      </c>
      <c r="GT76" s="366">
        <v>225.09</v>
      </c>
      <c r="GU76" s="366">
        <v>182.44</v>
      </c>
      <c r="GV76" s="366">
        <v>278.52999999999997</v>
      </c>
      <c r="GW76" s="366">
        <v>233.63</v>
      </c>
      <c r="GX76" s="366">
        <v>221.66</v>
      </c>
      <c r="GY76" s="366">
        <v>248.42</v>
      </c>
      <c r="GZ76" s="366">
        <v>183.24</v>
      </c>
      <c r="HA76" s="366">
        <v>239.6</v>
      </c>
      <c r="HB76" s="366">
        <v>239.6</v>
      </c>
      <c r="HC76" s="366">
        <v>239.6</v>
      </c>
      <c r="HD76" s="366">
        <v>427.48</v>
      </c>
      <c r="HE76" s="366">
        <v>237.71</v>
      </c>
      <c r="HF76" s="366">
        <v>194</v>
      </c>
      <c r="HG76" s="366">
        <v>321.64999999999998</v>
      </c>
      <c r="HH76" s="366">
        <v>321.64999999999998</v>
      </c>
      <c r="HI76" s="366">
        <v>321.64999999999998</v>
      </c>
      <c r="HJ76" s="366">
        <v>196.24</v>
      </c>
      <c r="HK76" s="366">
        <v>297.58</v>
      </c>
      <c r="HL76" s="366">
        <v>291.70999999999998</v>
      </c>
      <c r="HM76" s="366">
        <v>427.74</v>
      </c>
      <c r="HN76" s="366">
        <v>430.46</v>
      </c>
      <c r="HO76" s="366">
        <v>751.93</v>
      </c>
      <c r="HP76" s="366">
        <v>183.96</v>
      </c>
      <c r="HQ76" s="366">
        <v>847.67</v>
      </c>
      <c r="HR76" s="366">
        <v>597.91999999999996</v>
      </c>
      <c r="HS76" s="366">
        <v>426.71</v>
      </c>
      <c r="HT76" s="366">
        <v>309.02999999999997</v>
      </c>
      <c r="HU76" s="366">
        <v>276.27999999999997</v>
      </c>
      <c r="HV76" s="366">
        <v>294.60000000000002</v>
      </c>
    </row>
    <row r="77" spans="1:230">
      <c r="A77" s="366" t="s">
        <v>99</v>
      </c>
      <c r="B77" s="366">
        <v>878</v>
      </c>
      <c r="C77" s="366">
        <v>423.46</v>
      </c>
      <c r="D77" s="366">
        <v>324.23</v>
      </c>
      <c r="E77" s="366">
        <v>324.23</v>
      </c>
      <c r="F77" s="366">
        <v>941.9</v>
      </c>
      <c r="G77" s="366">
        <v>749.47</v>
      </c>
      <c r="H77" s="366">
        <v>367.85</v>
      </c>
      <c r="I77" s="366">
        <v>368.52</v>
      </c>
      <c r="J77" s="366">
        <v>391.63</v>
      </c>
      <c r="K77" s="366">
        <v>391.63</v>
      </c>
      <c r="L77" s="366">
        <v>314.83999999999997</v>
      </c>
      <c r="M77" s="366">
        <v>448.88</v>
      </c>
      <c r="N77" s="366">
        <v>499.19</v>
      </c>
      <c r="O77" s="366">
        <v>211.81</v>
      </c>
      <c r="P77" s="366">
        <v>211.81</v>
      </c>
      <c r="Q77" s="366">
        <v>211.81</v>
      </c>
      <c r="R77" s="366">
        <v>211.81</v>
      </c>
      <c r="S77" s="366">
        <v>211.81</v>
      </c>
      <c r="T77" s="366">
        <v>443.02</v>
      </c>
      <c r="U77" s="366">
        <v>857.51</v>
      </c>
      <c r="V77" s="366">
        <v>27.48</v>
      </c>
      <c r="W77" s="366">
        <v>586.38</v>
      </c>
      <c r="X77" s="366">
        <v>586.38</v>
      </c>
      <c r="Y77" s="366">
        <v>586.38</v>
      </c>
      <c r="Z77" s="366">
        <v>314.35000000000002</v>
      </c>
      <c r="AA77" s="366">
        <v>743.64</v>
      </c>
      <c r="AB77" s="366">
        <v>502.76</v>
      </c>
      <c r="AC77" s="366">
        <v>505.22</v>
      </c>
      <c r="AD77" s="366">
        <v>505.22</v>
      </c>
      <c r="AE77" s="366">
        <v>273.33</v>
      </c>
      <c r="AF77" s="366">
        <v>763.21</v>
      </c>
      <c r="AG77" s="366">
        <v>587.9</v>
      </c>
      <c r="AH77" s="366">
        <v>322.47000000000003</v>
      </c>
      <c r="AI77" s="366">
        <v>322.47000000000003</v>
      </c>
      <c r="AJ77" s="366">
        <v>322.47000000000003</v>
      </c>
      <c r="AK77" s="366">
        <v>336.55</v>
      </c>
      <c r="AL77" s="366">
        <v>336.55</v>
      </c>
      <c r="AM77" s="366">
        <v>505.48</v>
      </c>
      <c r="AN77" s="366">
        <v>252.64</v>
      </c>
      <c r="AO77" s="366">
        <v>756.59</v>
      </c>
      <c r="AP77" s="366">
        <v>431.74</v>
      </c>
      <c r="AQ77" s="366">
        <v>898.44</v>
      </c>
      <c r="AR77" s="366">
        <v>454.4</v>
      </c>
      <c r="AS77" s="366">
        <v>239.39</v>
      </c>
      <c r="AT77" s="366">
        <v>239.39</v>
      </c>
      <c r="AU77" s="366">
        <v>112.62</v>
      </c>
      <c r="AV77" s="366">
        <v>888.56</v>
      </c>
      <c r="AW77" s="366">
        <v>435.95</v>
      </c>
      <c r="AX77" s="366">
        <v>389.12</v>
      </c>
      <c r="AY77" s="366">
        <v>534.9</v>
      </c>
      <c r="AZ77" s="366">
        <v>392.08</v>
      </c>
      <c r="BA77" s="366">
        <v>718.82</v>
      </c>
      <c r="BB77" s="366">
        <v>537.79</v>
      </c>
      <c r="BC77" s="366">
        <v>660.88</v>
      </c>
      <c r="BD77" s="366">
        <v>570.65</v>
      </c>
      <c r="BE77" s="366">
        <v>23.42</v>
      </c>
      <c r="BF77" s="366">
        <v>499.73</v>
      </c>
      <c r="BG77" s="366">
        <v>321.89999999999998</v>
      </c>
      <c r="BH77" s="366">
        <v>211.81</v>
      </c>
      <c r="BI77" s="366">
        <v>454.43</v>
      </c>
      <c r="BJ77" s="366">
        <v>260.02</v>
      </c>
      <c r="BK77" s="366">
        <v>459.86</v>
      </c>
      <c r="BL77" s="366">
        <v>317.23</v>
      </c>
      <c r="BM77" s="366">
        <v>340.44</v>
      </c>
      <c r="BN77" s="366">
        <v>783.83</v>
      </c>
      <c r="BO77" s="366">
        <v>502.06</v>
      </c>
      <c r="BP77" s="366">
        <v>467.92</v>
      </c>
      <c r="BQ77" s="366">
        <v>347.82</v>
      </c>
      <c r="BR77" s="366">
        <v>347.82</v>
      </c>
      <c r="BS77" s="366">
        <v>399.65</v>
      </c>
      <c r="BT77" s="366">
        <v>438.86</v>
      </c>
      <c r="BU77" s="366">
        <v>483.26</v>
      </c>
      <c r="BV77" s="366">
        <v>502.88</v>
      </c>
      <c r="BW77" s="366">
        <v>80.69</v>
      </c>
      <c r="BX77" s="366">
        <v>340.74</v>
      </c>
      <c r="BY77" s="366">
        <v>0</v>
      </c>
      <c r="BZ77" s="366">
        <v>0</v>
      </c>
      <c r="CA77" s="366">
        <v>467.89</v>
      </c>
      <c r="CB77" s="366">
        <v>359.17</v>
      </c>
      <c r="CC77" s="366">
        <v>360.29</v>
      </c>
      <c r="CD77" s="366">
        <v>362.69</v>
      </c>
      <c r="CE77" s="366">
        <v>443.09</v>
      </c>
      <c r="CF77" s="366">
        <v>761.94</v>
      </c>
      <c r="CG77" s="366">
        <v>761.94</v>
      </c>
      <c r="CH77" s="366">
        <v>362.82</v>
      </c>
      <c r="CI77" s="366">
        <v>265.73</v>
      </c>
      <c r="CJ77" s="366">
        <v>772.89</v>
      </c>
      <c r="CK77" s="366">
        <v>34.130000000000003</v>
      </c>
      <c r="CL77" s="366">
        <v>126.41</v>
      </c>
      <c r="CM77" s="366">
        <v>607.16</v>
      </c>
      <c r="CN77" s="366">
        <v>209.39</v>
      </c>
      <c r="CO77" s="366">
        <v>453.01</v>
      </c>
      <c r="CP77" s="366">
        <v>341.13</v>
      </c>
      <c r="CQ77" s="366">
        <v>341.13</v>
      </c>
      <c r="CR77" s="366">
        <v>405.41</v>
      </c>
      <c r="CS77" s="366">
        <v>405.41</v>
      </c>
      <c r="CT77" s="366">
        <v>414.85</v>
      </c>
      <c r="CU77" s="366">
        <v>406.98</v>
      </c>
      <c r="CV77" s="366">
        <v>409.58</v>
      </c>
      <c r="CW77" s="366">
        <v>27.48</v>
      </c>
      <c r="CX77" s="366">
        <v>379.36</v>
      </c>
      <c r="CY77" s="366">
        <v>653.58000000000004</v>
      </c>
      <c r="CZ77" s="366">
        <v>674.82</v>
      </c>
      <c r="DA77" s="366">
        <v>437.24</v>
      </c>
      <c r="DB77" s="366">
        <v>256</v>
      </c>
      <c r="DC77" s="366">
        <v>256</v>
      </c>
      <c r="DD77" s="366">
        <v>573.54</v>
      </c>
      <c r="DE77" s="366">
        <v>514.87</v>
      </c>
      <c r="DF77" s="366">
        <v>926.36</v>
      </c>
      <c r="DG77" s="366">
        <v>295.38</v>
      </c>
      <c r="DH77" s="366">
        <v>577.42999999999995</v>
      </c>
      <c r="DI77" s="366">
        <v>627.76</v>
      </c>
      <c r="DJ77" s="366">
        <v>691.02</v>
      </c>
      <c r="DK77" s="366">
        <v>303.16000000000003</v>
      </c>
      <c r="DL77" s="366">
        <v>489.26</v>
      </c>
      <c r="DM77" s="366">
        <v>411.04</v>
      </c>
      <c r="DN77" s="366">
        <v>642.52</v>
      </c>
      <c r="DO77" s="366">
        <v>329.73</v>
      </c>
      <c r="DP77" s="366">
        <v>535.23</v>
      </c>
      <c r="DQ77" s="366">
        <v>62.91</v>
      </c>
      <c r="DR77" s="366">
        <v>577.42999999999995</v>
      </c>
      <c r="DS77" s="366">
        <v>430.88</v>
      </c>
      <c r="DT77" s="366">
        <v>419.17</v>
      </c>
      <c r="DU77" s="366">
        <v>406.9</v>
      </c>
      <c r="DV77" s="366">
        <v>340.19</v>
      </c>
      <c r="DW77" s="366">
        <v>255.81</v>
      </c>
      <c r="DX77" s="366">
        <v>67.010000000000005</v>
      </c>
      <c r="DY77" s="366">
        <v>35.42</v>
      </c>
      <c r="DZ77" s="366">
        <v>583.21</v>
      </c>
      <c r="EA77" s="366">
        <v>436.68</v>
      </c>
      <c r="EB77" s="366">
        <v>29.42</v>
      </c>
      <c r="EC77" s="366">
        <v>349.67</v>
      </c>
      <c r="ED77" s="366">
        <v>657.53</v>
      </c>
      <c r="EE77" s="366">
        <v>668.32</v>
      </c>
      <c r="EF77" s="366">
        <v>425.46</v>
      </c>
      <c r="EG77" s="366">
        <v>435.95</v>
      </c>
      <c r="EH77" s="366">
        <v>435.95</v>
      </c>
      <c r="EI77" s="366">
        <v>346.34</v>
      </c>
      <c r="EJ77" s="366">
        <v>612.08000000000004</v>
      </c>
      <c r="EK77" s="366">
        <v>224.77</v>
      </c>
      <c r="EL77" s="366">
        <v>224.77</v>
      </c>
      <c r="EM77" s="366">
        <v>159.65</v>
      </c>
      <c r="EN77" s="366">
        <v>159.65</v>
      </c>
      <c r="EO77" s="366">
        <v>505.48</v>
      </c>
      <c r="EP77" s="366">
        <v>428.34</v>
      </c>
      <c r="EQ77" s="366">
        <v>424.34</v>
      </c>
      <c r="ER77" s="366">
        <v>827.55</v>
      </c>
      <c r="ES77" s="366">
        <v>423.36</v>
      </c>
      <c r="ET77" s="366">
        <v>365.79</v>
      </c>
      <c r="EU77" s="366">
        <v>878</v>
      </c>
      <c r="EV77" s="366">
        <v>586.38</v>
      </c>
      <c r="EW77" s="366">
        <v>347.26</v>
      </c>
      <c r="EX77" s="366">
        <v>400.1</v>
      </c>
      <c r="EY77" s="366">
        <v>400.1</v>
      </c>
      <c r="EZ77" s="366">
        <v>180.17</v>
      </c>
      <c r="FA77" s="366">
        <v>125.53</v>
      </c>
      <c r="FB77" s="366">
        <v>287.45999999999998</v>
      </c>
      <c r="FC77" s="366">
        <v>87.15</v>
      </c>
      <c r="FD77" s="366">
        <v>252.9</v>
      </c>
      <c r="FE77" s="366">
        <v>350.17</v>
      </c>
      <c r="FF77" s="366">
        <v>325.35000000000002</v>
      </c>
      <c r="FG77" s="366">
        <v>709.86</v>
      </c>
      <c r="FH77" s="366">
        <v>709.86</v>
      </c>
      <c r="FI77" s="366">
        <v>567.25</v>
      </c>
      <c r="FJ77" s="366">
        <v>573.04</v>
      </c>
      <c r="FK77" s="366">
        <v>451.1</v>
      </c>
      <c r="FL77" s="366">
        <v>449.29</v>
      </c>
      <c r="FM77" s="366">
        <v>505.48</v>
      </c>
      <c r="FN77" s="366">
        <v>617.13</v>
      </c>
      <c r="FO77" s="366">
        <v>445.05</v>
      </c>
      <c r="FP77" s="366">
        <v>14.52</v>
      </c>
      <c r="FQ77" s="366">
        <v>448.92</v>
      </c>
      <c r="FR77" s="366">
        <v>332.18</v>
      </c>
      <c r="FS77" s="366">
        <v>255.42</v>
      </c>
      <c r="FT77" s="366">
        <v>706.18</v>
      </c>
      <c r="FU77" s="366">
        <v>253.34</v>
      </c>
      <c r="FV77" s="366">
        <v>941.9</v>
      </c>
      <c r="FW77" s="366">
        <v>941.9</v>
      </c>
      <c r="FX77" s="366">
        <v>941.9</v>
      </c>
      <c r="FY77" s="366">
        <v>150.57</v>
      </c>
      <c r="FZ77" s="366">
        <v>340.08</v>
      </c>
      <c r="GA77" s="366">
        <v>23.42</v>
      </c>
      <c r="GB77" s="366">
        <v>293.89</v>
      </c>
      <c r="GC77" s="366">
        <v>657.53</v>
      </c>
      <c r="GD77" s="366">
        <v>322.83999999999997</v>
      </c>
      <c r="GE77" s="366">
        <v>414.95</v>
      </c>
      <c r="GF77" s="366">
        <v>239.81</v>
      </c>
      <c r="GG77" s="366">
        <v>239.81</v>
      </c>
      <c r="GH77" s="366">
        <v>25.03</v>
      </c>
      <c r="GI77" s="366">
        <v>505.64</v>
      </c>
      <c r="GJ77" s="366">
        <v>505.48</v>
      </c>
      <c r="GK77" s="366">
        <v>447.65</v>
      </c>
      <c r="GL77" s="366">
        <v>332.67</v>
      </c>
      <c r="GM77" s="366">
        <v>332.67</v>
      </c>
      <c r="GN77" s="366">
        <v>332.67</v>
      </c>
      <c r="GO77" s="366">
        <v>470.92</v>
      </c>
      <c r="GP77" s="366">
        <v>18.010000000000002</v>
      </c>
      <c r="GQ77" s="366">
        <v>493.36</v>
      </c>
      <c r="GR77" s="366">
        <v>533.71</v>
      </c>
      <c r="GS77" s="366">
        <v>400.25</v>
      </c>
      <c r="GT77" s="366">
        <v>435.95</v>
      </c>
      <c r="GU77" s="366">
        <v>258.04000000000002</v>
      </c>
      <c r="GV77" s="366">
        <v>619.27</v>
      </c>
      <c r="GW77" s="366">
        <v>308.64999999999998</v>
      </c>
      <c r="GX77" s="366">
        <v>432.52</v>
      </c>
      <c r="GY77" s="366">
        <v>323.44</v>
      </c>
      <c r="GZ77" s="366">
        <v>252.62</v>
      </c>
      <c r="HA77" s="366">
        <v>450.46</v>
      </c>
      <c r="HB77" s="366">
        <v>450.46</v>
      </c>
      <c r="HC77" s="366">
        <v>450.46</v>
      </c>
      <c r="HD77" s="366">
        <v>619.5</v>
      </c>
      <c r="HE77" s="366">
        <v>153.5</v>
      </c>
      <c r="HF77" s="366">
        <v>190.64</v>
      </c>
      <c r="HG77" s="366">
        <v>285</v>
      </c>
      <c r="HH77" s="366">
        <v>285</v>
      </c>
      <c r="HI77" s="366">
        <v>285</v>
      </c>
      <c r="HJ77" s="366">
        <v>260.68</v>
      </c>
      <c r="HK77" s="366">
        <v>508.44</v>
      </c>
      <c r="HL77" s="366">
        <v>178.43</v>
      </c>
      <c r="HM77" s="366">
        <v>502.76</v>
      </c>
      <c r="HN77" s="366">
        <v>505.48</v>
      </c>
      <c r="HO77" s="366">
        <v>911.2</v>
      </c>
      <c r="HP77" s="366">
        <v>253.34</v>
      </c>
      <c r="HQ77" s="366">
        <v>941.9</v>
      </c>
      <c r="HR77" s="366">
        <v>763.21</v>
      </c>
      <c r="HS77" s="366">
        <v>501.73</v>
      </c>
      <c r="HT77" s="366">
        <v>384.05</v>
      </c>
      <c r="HU77" s="366">
        <v>351.3</v>
      </c>
      <c r="HV77" s="366">
        <v>369.62</v>
      </c>
    </row>
    <row r="78" spans="1:230">
      <c r="A78" s="366" t="s">
        <v>100</v>
      </c>
      <c r="B78" s="366">
        <v>878</v>
      </c>
      <c r="C78" s="366">
        <v>423.46</v>
      </c>
      <c r="D78" s="366">
        <v>324.23</v>
      </c>
      <c r="E78" s="366">
        <v>324.23</v>
      </c>
      <c r="F78" s="366">
        <v>941.9</v>
      </c>
      <c r="G78" s="366">
        <v>749.47</v>
      </c>
      <c r="H78" s="366">
        <v>367.85</v>
      </c>
      <c r="I78" s="366">
        <v>368.52</v>
      </c>
      <c r="J78" s="366">
        <v>391.63</v>
      </c>
      <c r="K78" s="366">
        <v>391.63</v>
      </c>
      <c r="L78" s="366">
        <v>314.83999999999997</v>
      </c>
      <c r="M78" s="366">
        <v>448.88</v>
      </c>
      <c r="N78" s="366">
        <v>499.19</v>
      </c>
      <c r="O78" s="366">
        <v>211.81</v>
      </c>
      <c r="P78" s="366">
        <v>211.81</v>
      </c>
      <c r="Q78" s="366">
        <v>211.81</v>
      </c>
      <c r="R78" s="366">
        <v>211.81</v>
      </c>
      <c r="S78" s="366">
        <v>211.81</v>
      </c>
      <c r="T78" s="366">
        <v>443.02</v>
      </c>
      <c r="U78" s="366">
        <v>857.51</v>
      </c>
      <c r="V78" s="366">
        <v>27.48</v>
      </c>
      <c r="W78" s="366">
        <v>586.38</v>
      </c>
      <c r="X78" s="366">
        <v>586.38</v>
      </c>
      <c r="Y78" s="366">
        <v>586.38</v>
      </c>
      <c r="Z78" s="366">
        <v>314.35000000000002</v>
      </c>
      <c r="AA78" s="366">
        <v>743.64</v>
      </c>
      <c r="AB78" s="366">
        <v>502.76</v>
      </c>
      <c r="AC78" s="366">
        <v>505.22</v>
      </c>
      <c r="AD78" s="366">
        <v>505.22</v>
      </c>
      <c r="AE78" s="366">
        <v>273.33</v>
      </c>
      <c r="AF78" s="366">
        <v>763.21</v>
      </c>
      <c r="AG78" s="366">
        <v>587.9</v>
      </c>
      <c r="AH78" s="366">
        <v>322.47000000000003</v>
      </c>
      <c r="AI78" s="366">
        <v>322.47000000000003</v>
      </c>
      <c r="AJ78" s="366">
        <v>322.47000000000003</v>
      </c>
      <c r="AK78" s="366">
        <v>336.55</v>
      </c>
      <c r="AL78" s="366">
        <v>336.55</v>
      </c>
      <c r="AM78" s="366">
        <v>505.48</v>
      </c>
      <c r="AN78" s="366">
        <v>252.64</v>
      </c>
      <c r="AO78" s="366">
        <v>756.59</v>
      </c>
      <c r="AP78" s="366">
        <v>431.74</v>
      </c>
      <c r="AQ78" s="366">
        <v>898.44</v>
      </c>
      <c r="AR78" s="366">
        <v>454.4</v>
      </c>
      <c r="AS78" s="366">
        <v>239.39</v>
      </c>
      <c r="AT78" s="366">
        <v>239.39</v>
      </c>
      <c r="AU78" s="366">
        <v>112.62</v>
      </c>
      <c r="AV78" s="366">
        <v>888.56</v>
      </c>
      <c r="AW78" s="366">
        <v>435.95</v>
      </c>
      <c r="AX78" s="366">
        <v>389.12</v>
      </c>
      <c r="AY78" s="366">
        <v>534.9</v>
      </c>
      <c r="AZ78" s="366">
        <v>392.08</v>
      </c>
      <c r="BA78" s="366">
        <v>718.82</v>
      </c>
      <c r="BB78" s="366">
        <v>537.79</v>
      </c>
      <c r="BC78" s="366">
        <v>660.88</v>
      </c>
      <c r="BD78" s="366">
        <v>570.65</v>
      </c>
      <c r="BE78" s="366">
        <v>23.42</v>
      </c>
      <c r="BF78" s="366">
        <v>499.73</v>
      </c>
      <c r="BG78" s="366">
        <v>321.89999999999998</v>
      </c>
      <c r="BH78" s="366">
        <v>211.81</v>
      </c>
      <c r="BI78" s="366">
        <v>454.43</v>
      </c>
      <c r="BJ78" s="366">
        <v>260.02</v>
      </c>
      <c r="BK78" s="366">
        <v>459.86</v>
      </c>
      <c r="BL78" s="366">
        <v>317.23</v>
      </c>
      <c r="BM78" s="366">
        <v>340.44</v>
      </c>
      <c r="BN78" s="366">
        <v>783.83</v>
      </c>
      <c r="BO78" s="366">
        <v>502.06</v>
      </c>
      <c r="BP78" s="366">
        <v>467.92</v>
      </c>
      <c r="BQ78" s="366">
        <v>347.82</v>
      </c>
      <c r="BR78" s="366">
        <v>347.82</v>
      </c>
      <c r="BS78" s="366">
        <v>399.65</v>
      </c>
      <c r="BT78" s="366">
        <v>438.86</v>
      </c>
      <c r="BU78" s="366">
        <v>483.26</v>
      </c>
      <c r="BV78" s="366">
        <v>502.88</v>
      </c>
      <c r="BW78" s="366">
        <v>80.69</v>
      </c>
      <c r="BX78" s="366">
        <v>340.74</v>
      </c>
      <c r="BY78" s="366">
        <v>0</v>
      </c>
      <c r="BZ78" s="366">
        <v>0</v>
      </c>
      <c r="CA78" s="366">
        <v>467.89</v>
      </c>
      <c r="CB78" s="366">
        <v>359.17</v>
      </c>
      <c r="CC78" s="366">
        <v>360.29</v>
      </c>
      <c r="CD78" s="366">
        <v>362.69</v>
      </c>
      <c r="CE78" s="366">
        <v>443.09</v>
      </c>
      <c r="CF78" s="366">
        <v>761.94</v>
      </c>
      <c r="CG78" s="366">
        <v>761.94</v>
      </c>
      <c r="CH78" s="366">
        <v>362.82</v>
      </c>
      <c r="CI78" s="366">
        <v>265.73</v>
      </c>
      <c r="CJ78" s="366">
        <v>772.89</v>
      </c>
      <c r="CK78" s="366">
        <v>34.130000000000003</v>
      </c>
      <c r="CL78" s="366">
        <v>126.41</v>
      </c>
      <c r="CM78" s="366">
        <v>607.16</v>
      </c>
      <c r="CN78" s="366">
        <v>209.39</v>
      </c>
      <c r="CO78" s="366">
        <v>453.01</v>
      </c>
      <c r="CP78" s="366">
        <v>341.13</v>
      </c>
      <c r="CQ78" s="366">
        <v>341.13</v>
      </c>
      <c r="CR78" s="366">
        <v>405.41</v>
      </c>
      <c r="CS78" s="366">
        <v>405.41</v>
      </c>
      <c r="CT78" s="366">
        <v>414.85</v>
      </c>
      <c r="CU78" s="366">
        <v>406.98</v>
      </c>
      <c r="CV78" s="366">
        <v>409.58</v>
      </c>
      <c r="CW78" s="366">
        <v>27.48</v>
      </c>
      <c r="CX78" s="366">
        <v>379.36</v>
      </c>
      <c r="CY78" s="366">
        <v>653.58000000000004</v>
      </c>
      <c r="CZ78" s="366">
        <v>674.82</v>
      </c>
      <c r="DA78" s="366">
        <v>437.24</v>
      </c>
      <c r="DB78" s="366">
        <v>256</v>
      </c>
      <c r="DC78" s="366">
        <v>256</v>
      </c>
      <c r="DD78" s="366">
        <v>573.54</v>
      </c>
      <c r="DE78" s="366">
        <v>514.87</v>
      </c>
      <c r="DF78" s="366">
        <v>926.36</v>
      </c>
      <c r="DG78" s="366">
        <v>295.38</v>
      </c>
      <c r="DH78" s="366">
        <v>577.42999999999995</v>
      </c>
      <c r="DI78" s="366">
        <v>627.76</v>
      </c>
      <c r="DJ78" s="366">
        <v>691.02</v>
      </c>
      <c r="DK78" s="366">
        <v>303.16000000000003</v>
      </c>
      <c r="DL78" s="366">
        <v>489.26</v>
      </c>
      <c r="DM78" s="366">
        <v>411.04</v>
      </c>
      <c r="DN78" s="366">
        <v>642.52</v>
      </c>
      <c r="DO78" s="366">
        <v>329.73</v>
      </c>
      <c r="DP78" s="366">
        <v>535.23</v>
      </c>
      <c r="DQ78" s="366">
        <v>62.91</v>
      </c>
      <c r="DR78" s="366">
        <v>577.42999999999995</v>
      </c>
      <c r="DS78" s="366">
        <v>430.88</v>
      </c>
      <c r="DT78" s="366">
        <v>419.17</v>
      </c>
      <c r="DU78" s="366">
        <v>406.9</v>
      </c>
      <c r="DV78" s="366">
        <v>340.19</v>
      </c>
      <c r="DW78" s="366">
        <v>255.81</v>
      </c>
      <c r="DX78" s="366">
        <v>67.010000000000005</v>
      </c>
      <c r="DY78" s="366">
        <v>35.42</v>
      </c>
      <c r="DZ78" s="366">
        <v>583.21</v>
      </c>
      <c r="EA78" s="366">
        <v>436.68</v>
      </c>
      <c r="EB78" s="366">
        <v>29.42</v>
      </c>
      <c r="EC78" s="366">
        <v>349.67</v>
      </c>
      <c r="ED78" s="366">
        <v>657.53</v>
      </c>
      <c r="EE78" s="366">
        <v>668.32</v>
      </c>
      <c r="EF78" s="366">
        <v>425.46</v>
      </c>
      <c r="EG78" s="366">
        <v>435.95</v>
      </c>
      <c r="EH78" s="366">
        <v>435.95</v>
      </c>
      <c r="EI78" s="366">
        <v>346.34</v>
      </c>
      <c r="EJ78" s="366">
        <v>612.08000000000004</v>
      </c>
      <c r="EK78" s="366">
        <v>224.77</v>
      </c>
      <c r="EL78" s="366">
        <v>224.77</v>
      </c>
      <c r="EM78" s="366">
        <v>159.65</v>
      </c>
      <c r="EN78" s="366">
        <v>159.65</v>
      </c>
      <c r="EO78" s="366">
        <v>505.48</v>
      </c>
      <c r="EP78" s="366">
        <v>428.34</v>
      </c>
      <c r="EQ78" s="366">
        <v>424.34</v>
      </c>
      <c r="ER78" s="366">
        <v>827.55</v>
      </c>
      <c r="ES78" s="366">
        <v>423.36</v>
      </c>
      <c r="ET78" s="366">
        <v>365.79</v>
      </c>
      <c r="EU78" s="366">
        <v>878</v>
      </c>
      <c r="EV78" s="366">
        <v>586.38</v>
      </c>
      <c r="EW78" s="366">
        <v>347.26</v>
      </c>
      <c r="EX78" s="366">
        <v>400.1</v>
      </c>
      <c r="EY78" s="366">
        <v>400.1</v>
      </c>
      <c r="EZ78" s="366">
        <v>180.17</v>
      </c>
      <c r="FA78" s="366">
        <v>125.53</v>
      </c>
      <c r="FB78" s="366">
        <v>287.45999999999998</v>
      </c>
      <c r="FC78" s="366">
        <v>87.15</v>
      </c>
      <c r="FD78" s="366">
        <v>252.9</v>
      </c>
      <c r="FE78" s="366">
        <v>350.17</v>
      </c>
      <c r="FF78" s="366">
        <v>325.35000000000002</v>
      </c>
      <c r="FG78" s="366">
        <v>709.86</v>
      </c>
      <c r="FH78" s="366">
        <v>709.86</v>
      </c>
      <c r="FI78" s="366">
        <v>567.25</v>
      </c>
      <c r="FJ78" s="366">
        <v>573.04</v>
      </c>
      <c r="FK78" s="366">
        <v>451.1</v>
      </c>
      <c r="FL78" s="366">
        <v>449.29</v>
      </c>
      <c r="FM78" s="366">
        <v>505.48</v>
      </c>
      <c r="FN78" s="366">
        <v>617.13</v>
      </c>
      <c r="FO78" s="366">
        <v>445.05</v>
      </c>
      <c r="FP78" s="366">
        <v>14.52</v>
      </c>
      <c r="FQ78" s="366">
        <v>448.92</v>
      </c>
      <c r="FR78" s="366">
        <v>332.18</v>
      </c>
      <c r="FS78" s="366">
        <v>255.42</v>
      </c>
      <c r="FT78" s="366">
        <v>706.18</v>
      </c>
      <c r="FU78" s="366">
        <v>253.34</v>
      </c>
      <c r="FV78" s="366">
        <v>941.9</v>
      </c>
      <c r="FW78" s="366">
        <v>941.9</v>
      </c>
      <c r="FX78" s="366">
        <v>941.9</v>
      </c>
      <c r="FY78" s="366">
        <v>150.57</v>
      </c>
      <c r="FZ78" s="366">
        <v>340.08</v>
      </c>
      <c r="GA78" s="366">
        <v>23.42</v>
      </c>
      <c r="GB78" s="366">
        <v>293.89</v>
      </c>
      <c r="GC78" s="366">
        <v>657.53</v>
      </c>
      <c r="GD78" s="366">
        <v>322.83999999999997</v>
      </c>
      <c r="GE78" s="366">
        <v>414.95</v>
      </c>
      <c r="GF78" s="366">
        <v>239.81</v>
      </c>
      <c r="GG78" s="366">
        <v>239.81</v>
      </c>
      <c r="GH78" s="366">
        <v>25.03</v>
      </c>
      <c r="GI78" s="366">
        <v>505.64</v>
      </c>
      <c r="GJ78" s="366">
        <v>505.48</v>
      </c>
      <c r="GK78" s="366">
        <v>447.65</v>
      </c>
      <c r="GL78" s="366">
        <v>332.67</v>
      </c>
      <c r="GM78" s="366">
        <v>332.67</v>
      </c>
      <c r="GN78" s="366">
        <v>332.67</v>
      </c>
      <c r="GO78" s="366">
        <v>470.92</v>
      </c>
      <c r="GP78" s="366">
        <v>18.010000000000002</v>
      </c>
      <c r="GQ78" s="366">
        <v>493.36</v>
      </c>
      <c r="GR78" s="366">
        <v>533.71</v>
      </c>
      <c r="GS78" s="366">
        <v>400.25</v>
      </c>
      <c r="GT78" s="366">
        <v>435.95</v>
      </c>
      <c r="GU78" s="366">
        <v>258.04000000000002</v>
      </c>
      <c r="GV78" s="366">
        <v>619.27</v>
      </c>
      <c r="GW78" s="366">
        <v>308.64999999999998</v>
      </c>
      <c r="GX78" s="366">
        <v>432.52</v>
      </c>
      <c r="GY78" s="366">
        <v>323.44</v>
      </c>
      <c r="GZ78" s="366">
        <v>252.62</v>
      </c>
      <c r="HA78" s="366">
        <v>450.46</v>
      </c>
      <c r="HB78" s="366">
        <v>450.46</v>
      </c>
      <c r="HC78" s="366">
        <v>450.46</v>
      </c>
      <c r="HD78" s="366">
        <v>619.5</v>
      </c>
      <c r="HE78" s="366">
        <v>153.5</v>
      </c>
      <c r="HF78" s="366">
        <v>190.64</v>
      </c>
      <c r="HG78" s="366">
        <v>285</v>
      </c>
      <c r="HH78" s="366">
        <v>285</v>
      </c>
      <c r="HI78" s="366">
        <v>285</v>
      </c>
      <c r="HJ78" s="366">
        <v>260.68</v>
      </c>
      <c r="HK78" s="366">
        <v>508.44</v>
      </c>
      <c r="HL78" s="366">
        <v>178.43</v>
      </c>
      <c r="HM78" s="366">
        <v>502.76</v>
      </c>
      <c r="HN78" s="366">
        <v>505.48</v>
      </c>
      <c r="HO78" s="366">
        <v>911.2</v>
      </c>
      <c r="HP78" s="366">
        <v>253.34</v>
      </c>
      <c r="HQ78" s="366">
        <v>941.9</v>
      </c>
      <c r="HR78" s="366">
        <v>763.21</v>
      </c>
      <c r="HS78" s="366">
        <v>501.73</v>
      </c>
      <c r="HT78" s="366">
        <v>384.05</v>
      </c>
      <c r="HU78" s="366">
        <v>351.3</v>
      </c>
      <c r="HV78" s="366">
        <v>369.62</v>
      </c>
    </row>
    <row r="79" spans="1:230">
      <c r="A79" s="366" t="s">
        <v>101</v>
      </c>
      <c r="B79" s="366">
        <v>526.74</v>
      </c>
      <c r="C79" s="366">
        <v>339.75</v>
      </c>
      <c r="D79" s="366">
        <v>143.66</v>
      </c>
      <c r="E79" s="366">
        <v>143.66</v>
      </c>
      <c r="F79" s="366">
        <v>590.64</v>
      </c>
      <c r="G79" s="366">
        <v>327.14999999999998</v>
      </c>
      <c r="H79" s="366">
        <v>100.04</v>
      </c>
      <c r="I79" s="366">
        <v>222.89</v>
      </c>
      <c r="J79" s="366">
        <v>76.260000000000005</v>
      </c>
      <c r="K79" s="366">
        <v>76.260000000000005</v>
      </c>
      <c r="L79" s="366">
        <v>161.57</v>
      </c>
      <c r="M79" s="366">
        <v>365.17</v>
      </c>
      <c r="N79" s="366">
        <v>462.07</v>
      </c>
      <c r="O79" s="366">
        <v>385.48</v>
      </c>
      <c r="P79" s="366">
        <v>385.48</v>
      </c>
      <c r="Q79" s="366">
        <v>385.48</v>
      </c>
      <c r="R79" s="366">
        <v>385.48</v>
      </c>
      <c r="S79" s="366">
        <v>385.48</v>
      </c>
      <c r="T79" s="366">
        <v>233.93</v>
      </c>
      <c r="U79" s="366">
        <v>435.19</v>
      </c>
      <c r="V79" s="366">
        <v>440.41</v>
      </c>
      <c r="W79" s="366">
        <v>137.33000000000001</v>
      </c>
      <c r="X79" s="366">
        <v>137.33000000000001</v>
      </c>
      <c r="Y79" s="366">
        <v>137.33000000000001</v>
      </c>
      <c r="Z79" s="366">
        <v>478.15</v>
      </c>
      <c r="AA79" s="366">
        <v>321.32</v>
      </c>
      <c r="AB79" s="366">
        <v>261.42</v>
      </c>
      <c r="AC79" s="366">
        <v>253.55</v>
      </c>
      <c r="AD79" s="366">
        <v>253.55</v>
      </c>
      <c r="AE79" s="366">
        <v>194.56</v>
      </c>
      <c r="AF79" s="366">
        <v>340.89</v>
      </c>
      <c r="AG79" s="366">
        <v>138.85</v>
      </c>
      <c r="AH79" s="366">
        <v>268.94</v>
      </c>
      <c r="AI79" s="366">
        <v>268.94</v>
      </c>
      <c r="AJ79" s="366">
        <v>268.94</v>
      </c>
      <c r="AK79" s="366">
        <v>500.35</v>
      </c>
      <c r="AL79" s="366">
        <v>500.35</v>
      </c>
      <c r="AM79" s="366">
        <v>264.14</v>
      </c>
      <c r="AN79" s="366">
        <v>344.65</v>
      </c>
      <c r="AO79" s="366">
        <v>343.76</v>
      </c>
      <c r="AP79" s="366">
        <v>172.23</v>
      </c>
      <c r="AQ79" s="366">
        <v>547.17999999999995</v>
      </c>
      <c r="AR79" s="366">
        <v>116</v>
      </c>
      <c r="AS79" s="366">
        <v>237.02</v>
      </c>
      <c r="AT79" s="366">
        <v>237.02</v>
      </c>
      <c r="AU79" s="366">
        <v>355.27</v>
      </c>
      <c r="AV79" s="366">
        <v>466.24</v>
      </c>
      <c r="AW79" s="366">
        <v>38.799999999999997</v>
      </c>
      <c r="AX79" s="366">
        <v>304.07</v>
      </c>
      <c r="AY79" s="366">
        <v>497.78</v>
      </c>
      <c r="AZ79" s="366">
        <v>308.37</v>
      </c>
      <c r="BA79" s="366">
        <v>467.15</v>
      </c>
      <c r="BB79" s="366">
        <v>500.67</v>
      </c>
      <c r="BC79" s="366">
        <v>409.21</v>
      </c>
      <c r="BD79" s="366">
        <v>318.98</v>
      </c>
      <c r="BE79" s="366">
        <v>444.47</v>
      </c>
      <c r="BF79" s="366">
        <v>258.39</v>
      </c>
      <c r="BG79" s="366">
        <v>485.7</v>
      </c>
      <c r="BH79" s="366">
        <v>385.48</v>
      </c>
      <c r="BI79" s="366">
        <v>116.03</v>
      </c>
      <c r="BJ79" s="366">
        <v>423.82</v>
      </c>
      <c r="BK79" s="366">
        <v>376.15</v>
      </c>
      <c r="BL79" s="366">
        <v>150.66</v>
      </c>
      <c r="BM79" s="366">
        <v>127.45</v>
      </c>
      <c r="BN79" s="366">
        <v>361.51</v>
      </c>
      <c r="BO79" s="366">
        <v>418.35</v>
      </c>
      <c r="BP79" s="366">
        <v>384.21</v>
      </c>
      <c r="BQ79" s="366">
        <v>243.59</v>
      </c>
      <c r="BR79" s="366">
        <v>243.59</v>
      </c>
      <c r="BS79" s="366">
        <v>315.94</v>
      </c>
      <c r="BT79" s="366">
        <v>107.95</v>
      </c>
      <c r="BU79" s="366">
        <v>241.92</v>
      </c>
      <c r="BV79" s="366">
        <v>261.54000000000002</v>
      </c>
      <c r="BW79" s="366">
        <v>414.56</v>
      </c>
      <c r="BX79" s="366">
        <v>257.02999999999997</v>
      </c>
      <c r="BY79" s="366">
        <v>467.89</v>
      </c>
      <c r="BZ79" s="366">
        <v>467.89</v>
      </c>
      <c r="CA79" s="366">
        <v>0</v>
      </c>
      <c r="CB79" s="366">
        <v>275.45999999999998</v>
      </c>
      <c r="CC79" s="366">
        <v>275.24</v>
      </c>
      <c r="CD79" s="366">
        <v>288.72000000000003</v>
      </c>
      <c r="CE79" s="366">
        <v>359.38</v>
      </c>
      <c r="CF79" s="366">
        <v>339.62</v>
      </c>
      <c r="CG79" s="366">
        <v>339.62</v>
      </c>
      <c r="CH79" s="366">
        <v>228.59</v>
      </c>
      <c r="CI79" s="366">
        <v>328.44</v>
      </c>
      <c r="CJ79" s="366">
        <v>350.57</v>
      </c>
      <c r="CK79" s="366">
        <v>472.98</v>
      </c>
      <c r="CL79" s="366">
        <v>369.06</v>
      </c>
      <c r="CM79" s="366">
        <v>355.49</v>
      </c>
      <c r="CN79" s="366">
        <v>373.19</v>
      </c>
      <c r="CO79" s="366">
        <v>114.61</v>
      </c>
      <c r="CP79" s="366">
        <v>250.28</v>
      </c>
      <c r="CQ79" s="366">
        <v>250.28</v>
      </c>
      <c r="CR79" s="366">
        <v>65.930000000000007</v>
      </c>
      <c r="CS79" s="366">
        <v>65.930000000000007</v>
      </c>
      <c r="CT79" s="366">
        <v>56.49</v>
      </c>
      <c r="CU79" s="366">
        <v>64.36</v>
      </c>
      <c r="CV79" s="366">
        <v>58.31</v>
      </c>
      <c r="CW79" s="366">
        <v>440.41</v>
      </c>
      <c r="CX79" s="366">
        <v>294.31</v>
      </c>
      <c r="CY79" s="366">
        <v>401.91</v>
      </c>
      <c r="CZ79" s="366">
        <v>423.15</v>
      </c>
      <c r="DA79" s="366">
        <v>400.12</v>
      </c>
      <c r="DB79" s="366">
        <v>419.8</v>
      </c>
      <c r="DC79" s="366">
        <v>419.8</v>
      </c>
      <c r="DD79" s="366">
        <v>124.49</v>
      </c>
      <c r="DE79" s="366">
        <v>477.75</v>
      </c>
      <c r="DF79" s="366">
        <v>575.1</v>
      </c>
      <c r="DG79" s="366">
        <v>318.08999999999997</v>
      </c>
      <c r="DH79" s="366">
        <v>540.30999999999995</v>
      </c>
      <c r="DI79" s="366">
        <v>205.44</v>
      </c>
      <c r="DJ79" s="366">
        <v>409.33</v>
      </c>
      <c r="DK79" s="366">
        <v>219.45</v>
      </c>
      <c r="DL79" s="366">
        <v>235.92</v>
      </c>
      <c r="DM79" s="366">
        <v>327.33</v>
      </c>
      <c r="DN79" s="366">
        <v>220.2</v>
      </c>
      <c r="DO79" s="366">
        <v>246.02</v>
      </c>
      <c r="DP79" s="366">
        <v>86.18</v>
      </c>
      <c r="DQ79" s="366">
        <v>425.9</v>
      </c>
      <c r="DR79" s="366">
        <v>540.30999999999995</v>
      </c>
      <c r="DS79" s="366">
        <v>115.51</v>
      </c>
      <c r="DT79" s="366">
        <v>103.8</v>
      </c>
      <c r="DU79" s="366">
        <v>430.46</v>
      </c>
      <c r="DV79" s="366">
        <v>497.17</v>
      </c>
      <c r="DW79" s="366">
        <v>220.6</v>
      </c>
      <c r="DX79" s="366">
        <v>400.88</v>
      </c>
      <c r="DY79" s="366">
        <v>474.27</v>
      </c>
      <c r="DZ79" s="366">
        <v>134.16</v>
      </c>
      <c r="EA79" s="366">
        <v>98.28</v>
      </c>
      <c r="EB79" s="366">
        <v>468.27</v>
      </c>
      <c r="EC79" s="366">
        <v>118.22</v>
      </c>
      <c r="ED79" s="366">
        <v>235.21</v>
      </c>
      <c r="EE79" s="366">
        <v>246</v>
      </c>
      <c r="EF79" s="366">
        <v>165.95</v>
      </c>
      <c r="EG79" s="366">
        <v>38.799999999999997</v>
      </c>
      <c r="EH79" s="366">
        <v>38.799999999999997</v>
      </c>
      <c r="EI79" s="366">
        <v>289.19</v>
      </c>
      <c r="EJ79" s="366">
        <v>528.37</v>
      </c>
      <c r="EK79" s="366">
        <v>276.89999999999998</v>
      </c>
      <c r="EL79" s="366">
        <v>276.89999999999998</v>
      </c>
      <c r="EM79" s="366">
        <v>371.01</v>
      </c>
      <c r="EN79" s="366">
        <v>371.01</v>
      </c>
      <c r="EO79" s="366">
        <v>264.14</v>
      </c>
      <c r="EP79" s="366">
        <v>305.10000000000002</v>
      </c>
      <c r="EQ79" s="366">
        <v>47</v>
      </c>
      <c r="ER79" s="366">
        <v>405.23</v>
      </c>
      <c r="ES79" s="366">
        <v>339.65</v>
      </c>
      <c r="ET79" s="366">
        <v>225.62</v>
      </c>
      <c r="EU79" s="366">
        <v>526.74</v>
      </c>
      <c r="EV79" s="366">
        <v>137.33000000000001</v>
      </c>
      <c r="EW79" s="366">
        <v>288.57</v>
      </c>
      <c r="EX79" s="366">
        <v>316.39</v>
      </c>
      <c r="EY79" s="366">
        <v>316.39</v>
      </c>
      <c r="EZ79" s="366">
        <v>422.82</v>
      </c>
      <c r="FA79" s="366">
        <v>368.18</v>
      </c>
      <c r="FB79" s="366">
        <v>203.75</v>
      </c>
      <c r="FC79" s="366">
        <v>421.02</v>
      </c>
      <c r="FD79" s="366">
        <v>310.67</v>
      </c>
      <c r="FE79" s="366">
        <v>293.02</v>
      </c>
      <c r="FF79" s="366">
        <v>335.28</v>
      </c>
      <c r="FG79" s="366">
        <v>458.19</v>
      </c>
      <c r="FH79" s="366">
        <v>458.19</v>
      </c>
      <c r="FI79" s="366">
        <v>118.2</v>
      </c>
      <c r="FJ79" s="366">
        <v>123.99</v>
      </c>
      <c r="FK79" s="366">
        <v>367.39</v>
      </c>
      <c r="FL79" s="366">
        <v>365.58</v>
      </c>
      <c r="FM79" s="366">
        <v>264.14</v>
      </c>
      <c r="FN79" s="366">
        <v>168.08</v>
      </c>
      <c r="FO79" s="366">
        <v>106.65</v>
      </c>
      <c r="FP79" s="366">
        <v>453.37</v>
      </c>
      <c r="FQ79" s="366">
        <v>110.52</v>
      </c>
      <c r="FR79" s="366">
        <v>178.91</v>
      </c>
      <c r="FS79" s="366">
        <v>307.55</v>
      </c>
      <c r="FT79" s="366">
        <v>394.17</v>
      </c>
      <c r="FU79" s="366">
        <v>316.05</v>
      </c>
      <c r="FV79" s="366">
        <v>590.64</v>
      </c>
      <c r="FW79" s="366">
        <v>590.64</v>
      </c>
      <c r="FX79" s="366">
        <v>590.64</v>
      </c>
      <c r="FY79" s="366">
        <v>317.32</v>
      </c>
      <c r="FZ79" s="366">
        <v>315.89</v>
      </c>
      <c r="GA79" s="366">
        <v>444.47</v>
      </c>
      <c r="GB79" s="366">
        <v>346.02</v>
      </c>
      <c r="GC79" s="366">
        <v>235.21</v>
      </c>
      <c r="GD79" s="366">
        <v>239.13</v>
      </c>
      <c r="GE79" s="366">
        <v>56.39</v>
      </c>
      <c r="GF79" s="366">
        <v>302.52</v>
      </c>
      <c r="GG79" s="366">
        <v>302.52</v>
      </c>
      <c r="GH79" s="366">
        <v>492.92</v>
      </c>
      <c r="GI79" s="366">
        <v>264.3</v>
      </c>
      <c r="GJ79" s="366">
        <v>264.14</v>
      </c>
      <c r="GK79" s="366">
        <v>363.94</v>
      </c>
      <c r="GL79" s="366">
        <v>302.86</v>
      </c>
      <c r="GM79" s="366">
        <v>302.86</v>
      </c>
      <c r="GN79" s="366">
        <v>302.86</v>
      </c>
      <c r="GO79" s="366">
        <v>211.41</v>
      </c>
      <c r="GP79" s="366">
        <v>449.88</v>
      </c>
      <c r="GQ79" s="366">
        <v>409.65</v>
      </c>
      <c r="GR79" s="366">
        <v>266.55</v>
      </c>
      <c r="GS79" s="366">
        <v>191.16</v>
      </c>
      <c r="GT79" s="366">
        <v>38.799999999999997</v>
      </c>
      <c r="GU79" s="366">
        <v>212.73</v>
      </c>
      <c r="GV79" s="366">
        <v>535.55999999999995</v>
      </c>
      <c r="GW79" s="366">
        <v>318.58</v>
      </c>
      <c r="GX79" s="366">
        <v>35.369999999999997</v>
      </c>
      <c r="GY79" s="366">
        <v>267.97000000000003</v>
      </c>
      <c r="GZ79" s="366">
        <v>310.39</v>
      </c>
      <c r="HA79" s="366">
        <v>112.06</v>
      </c>
      <c r="HB79" s="366">
        <v>112.06</v>
      </c>
      <c r="HC79" s="366">
        <v>112.06</v>
      </c>
      <c r="HD79" s="366">
        <v>170.45</v>
      </c>
      <c r="HE79" s="366">
        <v>364.86</v>
      </c>
      <c r="HF79" s="366">
        <v>321.14999999999998</v>
      </c>
      <c r="HG79" s="366">
        <v>448.8</v>
      </c>
      <c r="HH79" s="366">
        <v>448.8</v>
      </c>
      <c r="HI79" s="366">
        <v>448.8</v>
      </c>
      <c r="HJ79" s="366">
        <v>323.39</v>
      </c>
      <c r="HK79" s="366">
        <v>40.549999999999997</v>
      </c>
      <c r="HL79" s="366">
        <v>418.86</v>
      </c>
      <c r="HM79" s="366">
        <v>261.42</v>
      </c>
      <c r="HN79" s="366">
        <v>264.14</v>
      </c>
      <c r="HO79" s="366">
        <v>494.9</v>
      </c>
      <c r="HP79" s="366">
        <v>311.11</v>
      </c>
      <c r="HQ79" s="366">
        <v>590.64</v>
      </c>
      <c r="HR79" s="366">
        <v>340.89</v>
      </c>
      <c r="HS79" s="366">
        <v>260.39</v>
      </c>
      <c r="HT79" s="366">
        <v>212.55</v>
      </c>
      <c r="HU79" s="366">
        <v>247.07</v>
      </c>
      <c r="HV79" s="366">
        <v>307.39999999999998</v>
      </c>
    </row>
    <row r="80" spans="1:230">
      <c r="A80" s="366" t="s">
        <v>102</v>
      </c>
      <c r="B80" s="366">
        <v>802.2</v>
      </c>
      <c r="C80" s="366">
        <v>92.95</v>
      </c>
      <c r="D80" s="366">
        <v>131.80000000000001</v>
      </c>
      <c r="E80" s="366">
        <v>131.80000000000001</v>
      </c>
      <c r="F80" s="366">
        <v>866.1</v>
      </c>
      <c r="G80" s="366">
        <v>602.61</v>
      </c>
      <c r="H80" s="366">
        <v>175.42</v>
      </c>
      <c r="I80" s="366">
        <v>311.93</v>
      </c>
      <c r="J80" s="366">
        <v>199.2</v>
      </c>
      <c r="K80" s="366">
        <v>199.2</v>
      </c>
      <c r="L80" s="366">
        <v>113.89</v>
      </c>
      <c r="M80" s="366">
        <v>118.37</v>
      </c>
      <c r="N80" s="366">
        <v>215.27</v>
      </c>
      <c r="O80" s="366">
        <v>276.76</v>
      </c>
      <c r="P80" s="366">
        <v>276.76</v>
      </c>
      <c r="Q80" s="366">
        <v>276.76</v>
      </c>
      <c r="R80" s="366">
        <v>276.76</v>
      </c>
      <c r="S80" s="366">
        <v>276.76</v>
      </c>
      <c r="T80" s="366">
        <v>386.43</v>
      </c>
      <c r="U80" s="366">
        <v>710.65</v>
      </c>
      <c r="V80" s="366">
        <v>331.69</v>
      </c>
      <c r="W80" s="366">
        <v>412.79</v>
      </c>
      <c r="X80" s="366">
        <v>412.79</v>
      </c>
      <c r="Y80" s="366">
        <v>412.79</v>
      </c>
      <c r="Z80" s="366">
        <v>276.20999999999998</v>
      </c>
      <c r="AA80" s="366">
        <v>596.78</v>
      </c>
      <c r="AB80" s="366">
        <v>446.17</v>
      </c>
      <c r="AC80" s="366">
        <v>448.63</v>
      </c>
      <c r="AD80" s="366">
        <v>448.63</v>
      </c>
      <c r="AE80" s="366">
        <v>182.7</v>
      </c>
      <c r="AF80" s="366">
        <v>616.35</v>
      </c>
      <c r="AG80" s="366">
        <v>414.31</v>
      </c>
      <c r="AH80" s="366">
        <v>265.88</v>
      </c>
      <c r="AI80" s="366">
        <v>265.88</v>
      </c>
      <c r="AJ80" s="366">
        <v>265.88</v>
      </c>
      <c r="AK80" s="366">
        <v>258.97000000000003</v>
      </c>
      <c r="AL80" s="366">
        <v>258.97000000000003</v>
      </c>
      <c r="AM80" s="366">
        <v>448.89</v>
      </c>
      <c r="AN80" s="366">
        <v>235.93</v>
      </c>
      <c r="AO80" s="366">
        <v>619.22</v>
      </c>
      <c r="AP80" s="366">
        <v>375.15</v>
      </c>
      <c r="AQ80" s="366">
        <v>822.64</v>
      </c>
      <c r="AR80" s="366">
        <v>261.97000000000003</v>
      </c>
      <c r="AS80" s="366">
        <v>119.78</v>
      </c>
      <c r="AT80" s="366">
        <v>119.78</v>
      </c>
      <c r="AU80" s="366">
        <v>246.55</v>
      </c>
      <c r="AV80" s="366">
        <v>741.7</v>
      </c>
      <c r="AW80" s="366">
        <v>243.52</v>
      </c>
      <c r="AX80" s="366">
        <v>332.53</v>
      </c>
      <c r="AY80" s="366">
        <v>250.98</v>
      </c>
      <c r="AZ80" s="366">
        <v>61.57</v>
      </c>
      <c r="BA80" s="366">
        <v>662.23</v>
      </c>
      <c r="BB80" s="366">
        <v>253.87</v>
      </c>
      <c r="BC80" s="366">
        <v>604.29</v>
      </c>
      <c r="BD80" s="366">
        <v>514.05999999999995</v>
      </c>
      <c r="BE80" s="366">
        <v>335.75</v>
      </c>
      <c r="BF80" s="366">
        <v>443.14</v>
      </c>
      <c r="BG80" s="366">
        <v>272.73</v>
      </c>
      <c r="BH80" s="366">
        <v>276.76</v>
      </c>
      <c r="BI80" s="366">
        <v>262</v>
      </c>
      <c r="BJ80" s="366">
        <v>315.10000000000002</v>
      </c>
      <c r="BK80" s="366">
        <v>101.01</v>
      </c>
      <c r="BL80" s="366">
        <v>138.80000000000001</v>
      </c>
      <c r="BM80" s="366">
        <v>148.01</v>
      </c>
      <c r="BN80" s="366">
        <v>636.97</v>
      </c>
      <c r="BO80" s="366">
        <v>143.21</v>
      </c>
      <c r="BP80" s="366">
        <v>109.07</v>
      </c>
      <c r="BQ80" s="366">
        <v>291.23</v>
      </c>
      <c r="BR80" s="366">
        <v>291.23</v>
      </c>
      <c r="BS80" s="366">
        <v>69.14</v>
      </c>
      <c r="BT80" s="366">
        <v>246.43</v>
      </c>
      <c r="BU80" s="366">
        <v>426.67</v>
      </c>
      <c r="BV80" s="366">
        <v>446.29</v>
      </c>
      <c r="BW80" s="366">
        <v>305.83999999999997</v>
      </c>
      <c r="BX80" s="366">
        <v>18.43</v>
      </c>
      <c r="BY80" s="366">
        <v>359.17</v>
      </c>
      <c r="BZ80" s="366">
        <v>359.17</v>
      </c>
      <c r="CA80" s="366">
        <v>275.45999999999998</v>
      </c>
      <c r="CB80" s="366">
        <v>0</v>
      </c>
      <c r="CC80" s="366">
        <v>303.7</v>
      </c>
      <c r="CD80" s="366">
        <v>306.10000000000002</v>
      </c>
      <c r="CE80" s="366">
        <v>84.24</v>
      </c>
      <c r="CF80" s="366">
        <v>615.08000000000004</v>
      </c>
      <c r="CG80" s="366">
        <v>615.08000000000004</v>
      </c>
      <c r="CH80" s="366">
        <v>306.23</v>
      </c>
      <c r="CI80" s="366">
        <v>219.72</v>
      </c>
      <c r="CJ80" s="366">
        <v>626.03</v>
      </c>
      <c r="CK80" s="366">
        <v>364.26</v>
      </c>
      <c r="CL80" s="366">
        <v>260.33999999999997</v>
      </c>
      <c r="CM80" s="366">
        <v>550.57000000000005</v>
      </c>
      <c r="CN80" s="366">
        <v>264.47000000000003</v>
      </c>
      <c r="CO80" s="366">
        <v>260.58</v>
      </c>
      <c r="CP80" s="366">
        <v>284.54000000000002</v>
      </c>
      <c r="CQ80" s="366">
        <v>284.54000000000002</v>
      </c>
      <c r="CR80" s="366">
        <v>212.98</v>
      </c>
      <c r="CS80" s="366">
        <v>212.98</v>
      </c>
      <c r="CT80" s="366">
        <v>222.42</v>
      </c>
      <c r="CU80" s="366">
        <v>214.55</v>
      </c>
      <c r="CV80" s="366">
        <v>217.15</v>
      </c>
      <c r="CW80" s="366">
        <v>331.69</v>
      </c>
      <c r="CX80" s="366">
        <v>322.77</v>
      </c>
      <c r="CY80" s="366">
        <v>596.99</v>
      </c>
      <c r="CZ80" s="366">
        <v>618.23</v>
      </c>
      <c r="DA80" s="366">
        <v>153.32</v>
      </c>
      <c r="DB80" s="366">
        <v>311.08</v>
      </c>
      <c r="DC80" s="366">
        <v>311.08</v>
      </c>
      <c r="DD80" s="366">
        <v>399.95</v>
      </c>
      <c r="DE80" s="366">
        <v>230.95</v>
      </c>
      <c r="DF80" s="366">
        <v>850.56</v>
      </c>
      <c r="DG80" s="366">
        <v>249.37</v>
      </c>
      <c r="DH80" s="366">
        <v>293.51</v>
      </c>
      <c r="DI80" s="366">
        <v>480.9</v>
      </c>
      <c r="DJ80" s="366">
        <v>634.42999999999995</v>
      </c>
      <c r="DK80" s="366">
        <v>56.01</v>
      </c>
      <c r="DL80" s="366">
        <v>432.67</v>
      </c>
      <c r="DM80" s="366">
        <v>80.53</v>
      </c>
      <c r="DN80" s="366">
        <v>495.66</v>
      </c>
      <c r="DO80" s="366">
        <v>34.01</v>
      </c>
      <c r="DP80" s="366">
        <v>361.64</v>
      </c>
      <c r="DQ80" s="366">
        <v>317.18</v>
      </c>
      <c r="DR80" s="366">
        <v>293.51</v>
      </c>
      <c r="DS80" s="366">
        <v>238.45</v>
      </c>
      <c r="DT80" s="366">
        <v>226.74</v>
      </c>
      <c r="DU80" s="366">
        <v>183.66</v>
      </c>
      <c r="DV80" s="366">
        <v>250.37</v>
      </c>
      <c r="DW80" s="366">
        <v>103.36</v>
      </c>
      <c r="DX80" s="366">
        <v>292.16000000000003</v>
      </c>
      <c r="DY80" s="366">
        <v>365.55</v>
      </c>
      <c r="DZ80" s="366">
        <v>409.62</v>
      </c>
      <c r="EA80" s="366">
        <v>244.25</v>
      </c>
      <c r="EB80" s="366">
        <v>359.55</v>
      </c>
      <c r="EC80" s="366">
        <v>157.24</v>
      </c>
      <c r="ED80" s="366">
        <v>510.67</v>
      </c>
      <c r="EE80" s="366">
        <v>521.46</v>
      </c>
      <c r="EF80" s="366">
        <v>368.87</v>
      </c>
      <c r="EG80" s="366">
        <v>243.52</v>
      </c>
      <c r="EH80" s="366">
        <v>243.52</v>
      </c>
      <c r="EI80" s="366">
        <v>289.75</v>
      </c>
      <c r="EJ80" s="366">
        <v>253.23</v>
      </c>
      <c r="EK80" s="366">
        <v>168.18</v>
      </c>
      <c r="EL80" s="366">
        <v>168.18</v>
      </c>
      <c r="EM80" s="366">
        <v>262.29000000000002</v>
      </c>
      <c r="EN80" s="366">
        <v>262.29000000000002</v>
      </c>
      <c r="EO80" s="366">
        <v>448.89</v>
      </c>
      <c r="EP80" s="366">
        <v>371.75</v>
      </c>
      <c r="EQ80" s="366">
        <v>231.91</v>
      </c>
      <c r="ER80" s="366">
        <v>680.69</v>
      </c>
      <c r="ES80" s="366">
        <v>92.85</v>
      </c>
      <c r="ET80" s="366">
        <v>309.2</v>
      </c>
      <c r="EU80" s="366">
        <v>802.2</v>
      </c>
      <c r="EV80" s="366">
        <v>412.79</v>
      </c>
      <c r="EW80" s="366">
        <v>290.67</v>
      </c>
      <c r="EX80" s="366">
        <v>41.25</v>
      </c>
      <c r="EY80" s="366">
        <v>41.25</v>
      </c>
      <c r="EZ80" s="366">
        <v>314.10000000000002</v>
      </c>
      <c r="FA80" s="366">
        <v>259.45999999999998</v>
      </c>
      <c r="FB80" s="366">
        <v>71.709999999999994</v>
      </c>
      <c r="FC80" s="366">
        <v>312.3</v>
      </c>
      <c r="FD80" s="366">
        <v>201.95</v>
      </c>
      <c r="FE80" s="366">
        <v>293.58</v>
      </c>
      <c r="FF80" s="366">
        <v>268.76</v>
      </c>
      <c r="FG80" s="366">
        <v>653.27</v>
      </c>
      <c r="FH80" s="366">
        <v>653.27</v>
      </c>
      <c r="FI80" s="366">
        <v>393.66</v>
      </c>
      <c r="FJ80" s="366">
        <v>399.45</v>
      </c>
      <c r="FK80" s="366">
        <v>120.59</v>
      </c>
      <c r="FL80" s="366">
        <v>118.78</v>
      </c>
      <c r="FM80" s="366">
        <v>448.89</v>
      </c>
      <c r="FN80" s="366">
        <v>443.54</v>
      </c>
      <c r="FO80" s="366">
        <v>252.62</v>
      </c>
      <c r="FP80" s="366">
        <v>344.65</v>
      </c>
      <c r="FQ80" s="366">
        <v>256.49</v>
      </c>
      <c r="FR80" s="366">
        <v>131.22999999999999</v>
      </c>
      <c r="FS80" s="366">
        <v>198.83</v>
      </c>
      <c r="FT80" s="366">
        <v>649.59</v>
      </c>
      <c r="FU80" s="366">
        <v>207.33</v>
      </c>
      <c r="FV80" s="366">
        <v>866.1</v>
      </c>
      <c r="FW80" s="366">
        <v>866.1</v>
      </c>
      <c r="FX80" s="366">
        <v>866.1</v>
      </c>
      <c r="FY80" s="366">
        <v>208.6</v>
      </c>
      <c r="FZ80" s="366">
        <v>283.49</v>
      </c>
      <c r="GA80" s="366">
        <v>335.75</v>
      </c>
      <c r="GB80" s="366">
        <v>237.3</v>
      </c>
      <c r="GC80" s="366">
        <v>510.67</v>
      </c>
      <c r="GD80" s="366">
        <v>36.33</v>
      </c>
      <c r="GE80" s="366">
        <v>222.52</v>
      </c>
      <c r="GF80" s="366">
        <v>193.8</v>
      </c>
      <c r="GG80" s="366">
        <v>193.8</v>
      </c>
      <c r="GH80" s="366">
        <v>384.2</v>
      </c>
      <c r="GI80" s="366">
        <v>449.05</v>
      </c>
      <c r="GJ80" s="366">
        <v>448.89</v>
      </c>
      <c r="GK80" s="366">
        <v>117.14</v>
      </c>
      <c r="GL80" s="366">
        <v>276.08</v>
      </c>
      <c r="GM80" s="366">
        <v>276.08</v>
      </c>
      <c r="GN80" s="366">
        <v>276.08</v>
      </c>
      <c r="GO80" s="366">
        <v>414.33</v>
      </c>
      <c r="GP80" s="366">
        <v>341.16</v>
      </c>
      <c r="GQ80" s="366">
        <v>134.51</v>
      </c>
      <c r="GR80" s="366">
        <v>477.12</v>
      </c>
      <c r="GS80" s="366">
        <v>343.66</v>
      </c>
      <c r="GT80" s="366">
        <v>243.52</v>
      </c>
      <c r="GU80" s="366">
        <v>200.87</v>
      </c>
      <c r="GV80" s="366">
        <v>260.42</v>
      </c>
      <c r="GW80" s="366">
        <v>252.06</v>
      </c>
      <c r="GX80" s="366">
        <v>240.09</v>
      </c>
      <c r="GY80" s="366">
        <v>266.85000000000002</v>
      </c>
      <c r="GZ80" s="366">
        <v>201.67</v>
      </c>
      <c r="HA80" s="366">
        <v>258.02999999999997</v>
      </c>
      <c r="HB80" s="366">
        <v>258.02999999999997</v>
      </c>
      <c r="HC80" s="366">
        <v>258.02999999999997</v>
      </c>
      <c r="HD80" s="366">
        <v>445.91</v>
      </c>
      <c r="HE80" s="366">
        <v>256.14</v>
      </c>
      <c r="HF80" s="366">
        <v>212.43</v>
      </c>
      <c r="HG80" s="366">
        <v>340.08</v>
      </c>
      <c r="HH80" s="366">
        <v>340.08</v>
      </c>
      <c r="HI80" s="366">
        <v>340.08</v>
      </c>
      <c r="HJ80" s="366">
        <v>214.67</v>
      </c>
      <c r="HK80" s="366">
        <v>316.01</v>
      </c>
      <c r="HL80" s="366">
        <v>310.14</v>
      </c>
      <c r="HM80" s="366">
        <v>446.17</v>
      </c>
      <c r="HN80" s="366">
        <v>448.89</v>
      </c>
      <c r="HO80" s="366">
        <v>770.36</v>
      </c>
      <c r="HP80" s="366">
        <v>202.39</v>
      </c>
      <c r="HQ80" s="366">
        <v>866.1</v>
      </c>
      <c r="HR80" s="366">
        <v>616.35</v>
      </c>
      <c r="HS80" s="366">
        <v>445.14</v>
      </c>
      <c r="HT80" s="366">
        <v>327.45999999999998</v>
      </c>
      <c r="HU80" s="366">
        <v>294.70999999999998</v>
      </c>
      <c r="HV80" s="366">
        <v>313.02999999999997</v>
      </c>
    </row>
    <row r="81" spans="1:230">
      <c r="A81" s="366" t="s">
        <v>103</v>
      </c>
      <c r="B81" s="366">
        <v>525.97</v>
      </c>
      <c r="C81" s="366">
        <v>367.99</v>
      </c>
      <c r="D81" s="366">
        <v>268.76</v>
      </c>
      <c r="E81" s="366">
        <v>268.76</v>
      </c>
      <c r="F81" s="366">
        <v>589.87</v>
      </c>
      <c r="G81" s="366">
        <v>397.44</v>
      </c>
      <c r="H81" s="366">
        <v>312.38</v>
      </c>
      <c r="I81" s="366">
        <v>52.35</v>
      </c>
      <c r="J81" s="366">
        <v>336.16</v>
      </c>
      <c r="K81" s="366">
        <v>336.16</v>
      </c>
      <c r="L81" s="366">
        <v>259.37</v>
      </c>
      <c r="M81" s="366">
        <v>393.41</v>
      </c>
      <c r="N81" s="366">
        <v>490.31</v>
      </c>
      <c r="O81" s="366">
        <v>243.42</v>
      </c>
      <c r="P81" s="366">
        <v>243.42</v>
      </c>
      <c r="Q81" s="366">
        <v>243.42</v>
      </c>
      <c r="R81" s="366">
        <v>243.42</v>
      </c>
      <c r="S81" s="366">
        <v>243.42</v>
      </c>
      <c r="T81" s="366">
        <v>126.85</v>
      </c>
      <c r="U81" s="366">
        <v>505.48</v>
      </c>
      <c r="V81" s="366">
        <v>332.81</v>
      </c>
      <c r="W81" s="366">
        <v>270.20999999999998</v>
      </c>
      <c r="X81" s="366">
        <v>270.20999999999998</v>
      </c>
      <c r="Y81" s="366">
        <v>270.20999999999998</v>
      </c>
      <c r="Z81" s="366">
        <v>370.55</v>
      </c>
      <c r="AA81" s="366">
        <v>391.61</v>
      </c>
      <c r="AB81" s="366">
        <v>150.72999999999999</v>
      </c>
      <c r="AC81" s="366">
        <v>153.19</v>
      </c>
      <c r="AD81" s="366">
        <v>153.19</v>
      </c>
      <c r="AE81" s="366">
        <v>217.86</v>
      </c>
      <c r="AF81" s="366">
        <v>411.18</v>
      </c>
      <c r="AG81" s="366">
        <v>271.73</v>
      </c>
      <c r="AH81" s="366">
        <v>98.4</v>
      </c>
      <c r="AI81" s="366">
        <v>98.4</v>
      </c>
      <c r="AJ81" s="366">
        <v>98.4</v>
      </c>
      <c r="AK81" s="366">
        <v>392.75</v>
      </c>
      <c r="AL81" s="366">
        <v>392.75</v>
      </c>
      <c r="AM81" s="366">
        <v>153.44999999999999</v>
      </c>
      <c r="AN81" s="366">
        <v>202.59</v>
      </c>
      <c r="AO81" s="366">
        <v>404.56</v>
      </c>
      <c r="AP81" s="366">
        <v>115.57</v>
      </c>
      <c r="AQ81" s="366">
        <v>546.41</v>
      </c>
      <c r="AR81" s="366">
        <v>391.24</v>
      </c>
      <c r="AS81" s="366">
        <v>183.92</v>
      </c>
      <c r="AT81" s="366">
        <v>183.92</v>
      </c>
      <c r="AU81" s="366">
        <v>247.67</v>
      </c>
      <c r="AV81" s="366">
        <v>536.53</v>
      </c>
      <c r="AW81" s="366">
        <v>314.04000000000002</v>
      </c>
      <c r="AX81" s="366">
        <v>28.83</v>
      </c>
      <c r="AY81" s="366">
        <v>526.02</v>
      </c>
      <c r="AZ81" s="366">
        <v>336.61</v>
      </c>
      <c r="BA81" s="366">
        <v>366.79</v>
      </c>
      <c r="BB81" s="366">
        <v>528.91</v>
      </c>
      <c r="BC81" s="366">
        <v>308.85000000000002</v>
      </c>
      <c r="BD81" s="366">
        <v>218.62</v>
      </c>
      <c r="BE81" s="366">
        <v>336.87</v>
      </c>
      <c r="BF81" s="366">
        <v>147.69999999999999</v>
      </c>
      <c r="BG81" s="366">
        <v>378.1</v>
      </c>
      <c r="BH81" s="366">
        <v>243.42</v>
      </c>
      <c r="BI81" s="366">
        <v>391.27</v>
      </c>
      <c r="BJ81" s="366">
        <v>316.22000000000003</v>
      </c>
      <c r="BK81" s="366">
        <v>404.39</v>
      </c>
      <c r="BL81" s="366">
        <v>261.76</v>
      </c>
      <c r="BM81" s="366">
        <v>284.97000000000003</v>
      </c>
      <c r="BN81" s="366">
        <v>431.8</v>
      </c>
      <c r="BO81" s="366">
        <v>446.59</v>
      </c>
      <c r="BP81" s="366">
        <v>412.45</v>
      </c>
      <c r="BQ81" s="366">
        <v>73.05</v>
      </c>
      <c r="BR81" s="366">
        <v>73.05</v>
      </c>
      <c r="BS81" s="366">
        <v>344.18</v>
      </c>
      <c r="BT81" s="366">
        <v>383.19</v>
      </c>
      <c r="BU81" s="366">
        <v>131.22999999999999</v>
      </c>
      <c r="BV81" s="366">
        <v>150.85</v>
      </c>
      <c r="BW81" s="366">
        <v>306.95999999999998</v>
      </c>
      <c r="BX81" s="366">
        <v>285.27</v>
      </c>
      <c r="BY81" s="366">
        <v>360.29</v>
      </c>
      <c r="BZ81" s="366">
        <v>360.29</v>
      </c>
      <c r="CA81" s="366">
        <v>275.24</v>
      </c>
      <c r="CB81" s="366">
        <v>303.7</v>
      </c>
      <c r="CC81" s="366">
        <v>0</v>
      </c>
      <c r="CD81" s="366">
        <v>13.48</v>
      </c>
      <c r="CE81" s="366">
        <v>387.62</v>
      </c>
      <c r="CF81" s="366">
        <v>409.91</v>
      </c>
      <c r="CG81" s="366">
        <v>409.91</v>
      </c>
      <c r="CH81" s="366">
        <v>58.05</v>
      </c>
      <c r="CI81" s="366">
        <v>116.62</v>
      </c>
      <c r="CJ81" s="366">
        <v>420.86</v>
      </c>
      <c r="CK81" s="366">
        <v>365.38</v>
      </c>
      <c r="CL81" s="366">
        <v>261.45999999999998</v>
      </c>
      <c r="CM81" s="366">
        <v>255.13</v>
      </c>
      <c r="CN81" s="366">
        <v>265.58999999999997</v>
      </c>
      <c r="CO81" s="366">
        <v>389.85</v>
      </c>
      <c r="CP81" s="366">
        <v>79.739999999999995</v>
      </c>
      <c r="CQ81" s="366">
        <v>79.739999999999995</v>
      </c>
      <c r="CR81" s="366">
        <v>341.17</v>
      </c>
      <c r="CS81" s="366">
        <v>341.17</v>
      </c>
      <c r="CT81" s="366">
        <v>331.73</v>
      </c>
      <c r="CU81" s="366">
        <v>339.6</v>
      </c>
      <c r="CV81" s="366">
        <v>333.55</v>
      </c>
      <c r="CW81" s="366">
        <v>332.81</v>
      </c>
      <c r="CX81" s="366">
        <v>19.07</v>
      </c>
      <c r="CY81" s="366">
        <v>301.55</v>
      </c>
      <c r="CZ81" s="366">
        <v>322.79000000000002</v>
      </c>
      <c r="DA81" s="366">
        <v>428.36</v>
      </c>
      <c r="DB81" s="366">
        <v>312.2</v>
      </c>
      <c r="DC81" s="366">
        <v>312.2</v>
      </c>
      <c r="DD81" s="366">
        <v>257.37</v>
      </c>
      <c r="DE81" s="366">
        <v>505.99</v>
      </c>
      <c r="DF81" s="366">
        <v>574.33000000000004</v>
      </c>
      <c r="DG81" s="366">
        <v>86.97</v>
      </c>
      <c r="DH81" s="366">
        <v>568.54999999999995</v>
      </c>
      <c r="DI81" s="366">
        <v>275.73</v>
      </c>
      <c r="DJ81" s="366">
        <v>338.99</v>
      </c>
      <c r="DK81" s="366">
        <v>247.69</v>
      </c>
      <c r="DL81" s="366">
        <v>137.22999999999999</v>
      </c>
      <c r="DM81" s="366">
        <v>355.57</v>
      </c>
      <c r="DN81" s="366">
        <v>290.49</v>
      </c>
      <c r="DO81" s="366">
        <v>274.26</v>
      </c>
      <c r="DP81" s="366">
        <v>219.06</v>
      </c>
      <c r="DQ81" s="366">
        <v>318.3</v>
      </c>
      <c r="DR81" s="366">
        <v>568.54999999999995</v>
      </c>
      <c r="DS81" s="366">
        <v>375.41</v>
      </c>
      <c r="DT81" s="366">
        <v>363.7</v>
      </c>
      <c r="DU81" s="366">
        <v>458.7</v>
      </c>
      <c r="DV81" s="366">
        <v>396.39</v>
      </c>
      <c r="DW81" s="366">
        <v>200.34</v>
      </c>
      <c r="DX81" s="366">
        <v>293.27999999999997</v>
      </c>
      <c r="DY81" s="366">
        <v>366.67</v>
      </c>
      <c r="DZ81" s="366">
        <v>267.04000000000002</v>
      </c>
      <c r="EA81" s="366">
        <v>373.52</v>
      </c>
      <c r="EB81" s="366">
        <v>360.67</v>
      </c>
      <c r="EC81" s="366">
        <v>294.2</v>
      </c>
      <c r="ED81" s="366">
        <v>305.5</v>
      </c>
      <c r="EE81" s="366">
        <v>316.29000000000002</v>
      </c>
      <c r="EF81" s="366">
        <v>109.29</v>
      </c>
      <c r="EG81" s="366">
        <v>314.04000000000002</v>
      </c>
      <c r="EH81" s="366">
        <v>314.04000000000002</v>
      </c>
      <c r="EI81" s="366">
        <v>13.95</v>
      </c>
      <c r="EJ81" s="366">
        <v>556.61</v>
      </c>
      <c r="EK81" s="366">
        <v>169.3</v>
      </c>
      <c r="EL81" s="366">
        <v>169.3</v>
      </c>
      <c r="EM81" s="366">
        <v>263.41000000000003</v>
      </c>
      <c r="EN81" s="366">
        <v>263.41000000000003</v>
      </c>
      <c r="EO81" s="366">
        <v>153.44999999999999</v>
      </c>
      <c r="EP81" s="366">
        <v>68.05</v>
      </c>
      <c r="EQ81" s="366">
        <v>322.24</v>
      </c>
      <c r="ER81" s="366">
        <v>475.52</v>
      </c>
      <c r="ES81" s="366">
        <v>367.89</v>
      </c>
      <c r="ET81" s="366">
        <v>55.08</v>
      </c>
      <c r="EU81" s="366">
        <v>525.97</v>
      </c>
      <c r="EV81" s="366">
        <v>270.20999999999998</v>
      </c>
      <c r="EW81" s="366">
        <v>13.33</v>
      </c>
      <c r="EX81" s="366">
        <v>344.63</v>
      </c>
      <c r="EY81" s="366">
        <v>344.63</v>
      </c>
      <c r="EZ81" s="366">
        <v>307.95</v>
      </c>
      <c r="FA81" s="366">
        <v>260.58</v>
      </c>
      <c r="FB81" s="366">
        <v>231.99</v>
      </c>
      <c r="FC81" s="366">
        <v>313.42</v>
      </c>
      <c r="FD81" s="366">
        <v>168.61</v>
      </c>
      <c r="FE81" s="366">
        <v>17.78</v>
      </c>
      <c r="FF81" s="366">
        <v>104.16</v>
      </c>
      <c r="FG81" s="366">
        <v>357.83</v>
      </c>
      <c r="FH81" s="366">
        <v>357.83</v>
      </c>
      <c r="FI81" s="366">
        <v>251.08</v>
      </c>
      <c r="FJ81" s="366">
        <v>256.87</v>
      </c>
      <c r="FK81" s="366">
        <v>395.63</v>
      </c>
      <c r="FL81" s="366">
        <v>393.82</v>
      </c>
      <c r="FM81" s="366">
        <v>153.44999999999999</v>
      </c>
      <c r="FN81" s="366">
        <v>300.95999999999998</v>
      </c>
      <c r="FO81" s="366">
        <v>381.89</v>
      </c>
      <c r="FP81" s="366">
        <v>345.77</v>
      </c>
      <c r="FQ81" s="366">
        <v>385.76</v>
      </c>
      <c r="FR81" s="366">
        <v>276.70999999999998</v>
      </c>
      <c r="FS81" s="366">
        <v>104.87</v>
      </c>
      <c r="FT81" s="366">
        <v>354.15</v>
      </c>
      <c r="FU81" s="366">
        <v>129.01</v>
      </c>
      <c r="FV81" s="366">
        <v>589.87</v>
      </c>
      <c r="FW81" s="366">
        <v>589.87</v>
      </c>
      <c r="FX81" s="366">
        <v>589.87</v>
      </c>
      <c r="FY81" s="366">
        <v>209.72</v>
      </c>
      <c r="FZ81" s="366">
        <v>40.65</v>
      </c>
      <c r="GA81" s="366">
        <v>336.87</v>
      </c>
      <c r="GB81" s="366">
        <v>143.34</v>
      </c>
      <c r="GC81" s="366">
        <v>305.5</v>
      </c>
      <c r="GD81" s="366">
        <v>267.37</v>
      </c>
      <c r="GE81" s="366">
        <v>331.63</v>
      </c>
      <c r="GF81" s="366">
        <v>142.54</v>
      </c>
      <c r="GG81" s="366">
        <v>142.54</v>
      </c>
      <c r="GH81" s="366">
        <v>385.32</v>
      </c>
      <c r="GI81" s="366">
        <v>153.61000000000001</v>
      </c>
      <c r="GJ81" s="366">
        <v>153.44999999999999</v>
      </c>
      <c r="GK81" s="366">
        <v>392.18</v>
      </c>
      <c r="GL81" s="366">
        <v>27.62</v>
      </c>
      <c r="GM81" s="366">
        <v>27.62</v>
      </c>
      <c r="GN81" s="366">
        <v>27.62</v>
      </c>
      <c r="GO81" s="366">
        <v>154.75</v>
      </c>
      <c r="GP81" s="366">
        <v>342.28</v>
      </c>
      <c r="GQ81" s="366">
        <v>437.89</v>
      </c>
      <c r="GR81" s="366">
        <v>181.68</v>
      </c>
      <c r="GS81" s="366">
        <v>84.08</v>
      </c>
      <c r="GT81" s="366">
        <v>314.04000000000002</v>
      </c>
      <c r="GU81" s="366">
        <v>202.57</v>
      </c>
      <c r="GV81" s="366">
        <v>563.79999999999995</v>
      </c>
      <c r="GW81" s="366">
        <v>52.08</v>
      </c>
      <c r="GX81" s="366">
        <v>310.61</v>
      </c>
      <c r="GY81" s="366">
        <v>97.43</v>
      </c>
      <c r="GZ81" s="366">
        <v>168.33</v>
      </c>
      <c r="HA81" s="366">
        <v>387.3</v>
      </c>
      <c r="HB81" s="366">
        <v>387.3</v>
      </c>
      <c r="HC81" s="366">
        <v>387.3</v>
      </c>
      <c r="HD81" s="366">
        <v>277.77999999999997</v>
      </c>
      <c r="HE81" s="366">
        <v>257.26</v>
      </c>
      <c r="HF81" s="366">
        <v>213.55</v>
      </c>
      <c r="HG81" s="366">
        <v>341.2</v>
      </c>
      <c r="HH81" s="366">
        <v>341.2</v>
      </c>
      <c r="HI81" s="366">
        <v>341.2</v>
      </c>
      <c r="HJ81" s="366">
        <v>121.67</v>
      </c>
      <c r="HK81" s="366">
        <v>240.66</v>
      </c>
      <c r="HL81" s="366">
        <v>276.8</v>
      </c>
      <c r="HM81" s="366">
        <v>150.72999999999999</v>
      </c>
      <c r="HN81" s="366">
        <v>153.44999999999999</v>
      </c>
      <c r="HO81" s="366">
        <v>559.16999999999996</v>
      </c>
      <c r="HP81" s="366">
        <v>169.05</v>
      </c>
      <c r="HQ81" s="366">
        <v>589.87</v>
      </c>
      <c r="HR81" s="366">
        <v>411.18</v>
      </c>
      <c r="HS81" s="366">
        <v>149.69999999999999</v>
      </c>
      <c r="HT81" s="366">
        <v>67.88</v>
      </c>
      <c r="HU81" s="366">
        <v>76.53</v>
      </c>
      <c r="HV81" s="366">
        <v>32.159999999999997</v>
      </c>
    </row>
    <row r="82" spans="1:230">
      <c r="A82" s="366" t="s">
        <v>104</v>
      </c>
      <c r="B82" s="366">
        <v>539.45000000000005</v>
      </c>
      <c r="C82" s="366">
        <v>370.39</v>
      </c>
      <c r="D82" s="366">
        <v>271.16000000000003</v>
      </c>
      <c r="E82" s="366">
        <v>271.16000000000003</v>
      </c>
      <c r="F82" s="366">
        <v>603.35</v>
      </c>
      <c r="G82" s="366">
        <v>410.92</v>
      </c>
      <c r="H82" s="366">
        <v>314.77999999999997</v>
      </c>
      <c r="I82" s="366">
        <v>65.83</v>
      </c>
      <c r="J82" s="366">
        <v>338.56</v>
      </c>
      <c r="K82" s="366">
        <v>338.56</v>
      </c>
      <c r="L82" s="366">
        <v>261.77</v>
      </c>
      <c r="M82" s="366">
        <v>395.81</v>
      </c>
      <c r="N82" s="366">
        <v>492.71</v>
      </c>
      <c r="O82" s="366">
        <v>245.82</v>
      </c>
      <c r="P82" s="366">
        <v>245.82</v>
      </c>
      <c r="Q82" s="366">
        <v>245.82</v>
      </c>
      <c r="R82" s="366">
        <v>245.82</v>
      </c>
      <c r="S82" s="366">
        <v>245.82</v>
      </c>
      <c r="T82" s="366">
        <v>140.33000000000001</v>
      </c>
      <c r="U82" s="366">
        <v>518.96</v>
      </c>
      <c r="V82" s="366">
        <v>335.21</v>
      </c>
      <c r="W82" s="366">
        <v>283.69</v>
      </c>
      <c r="X82" s="366">
        <v>283.69</v>
      </c>
      <c r="Y82" s="366">
        <v>283.69</v>
      </c>
      <c r="Z82" s="366">
        <v>372.95</v>
      </c>
      <c r="AA82" s="366">
        <v>405.09</v>
      </c>
      <c r="AB82" s="366">
        <v>164.21</v>
      </c>
      <c r="AC82" s="366">
        <v>166.67</v>
      </c>
      <c r="AD82" s="366">
        <v>166.67</v>
      </c>
      <c r="AE82" s="366">
        <v>220.26</v>
      </c>
      <c r="AF82" s="366">
        <v>424.66</v>
      </c>
      <c r="AG82" s="366">
        <v>285.20999999999998</v>
      </c>
      <c r="AH82" s="366">
        <v>103.68</v>
      </c>
      <c r="AI82" s="366">
        <v>103.68</v>
      </c>
      <c r="AJ82" s="366">
        <v>103.68</v>
      </c>
      <c r="AK82" s="366">
        <v>395.15</v>
      </c>
      <c r="AL82" s="366">
        <v>395.15</v>
      </c>
      <c r="AM82" s="366">
        <v>166.93</v>
      </c>
      <c r="AN82" s="366">
        <v>204.99</v>
      </c>
      <c r="AO82" s="366">
        <v>418.04</v>
      </c>
      <c r="AP82" s="366">
        <v>129.05000000000001</v>
      </c>
      <c r="AQ82" s="366">
        <v>559.89</v>
      </c>
      <c r="AR82" s="366">
        <v>401.33</v>
      </c>
      <c r="AS82" s="366">
        <v>186.32</v>
      </c>
      <c r="AT82" s="366">
        <v>186.32</v>
      </c>
      <c r="AU82" s="366">
        <v>250.07</v>
      </c>
      <c r="AV82" s="366">
        <v>550.01</v>
      </c>
      <c r="AW82" s="366">
        <v>327.52</v>
      </c>
      <c r="AX82" s="366">
        <v>42.31</v>
      </c>
      <c r="AY82" s="366">
        <v>528.41999999999996</v>
      </c>
      <c r="AZ82" s="366">
        <v>339.01</v>
      </c>
      <c r="BA82" s="366">
        <v>380.27</v>
      </c>
      <c r="BB82" s="366">
        <v>531.30999999999995</v>
      </c>
      <c r="BC82" s="366">
        <v>322.33</v>
      </c>
      <c r="BD82" s="366">
        <v>232.1</v>
      </c>
      <c r="BE82" s="366">
        <v>339.27</v>
      </c>
      <c r="BF82" s="366">
        <v>161.18</v>
      </c>
      <c r="BG82" s="366">
        <v>380.5</v>
      </c>
      <c r="BH82" s="366">
        <v>245.82</v>
      </c>
      <c r="BI82" s="366">
        <v>401.36</v>
      </c>
      <c r="BJ82" s="366">
        <v>318.62</v>
      </c>
      <c r="BK82" s="366">
        <v>406.79</v>
      </c>
      <c r="BL82" s="366">
        <v>264.16000000000003</v>
      </c>
      <c r="BM82" s="366">
        <v>287.37</v>
      </c>
      <c r="BN82" s="366">
        <v>445.28</v>
      </c>
      <c r="BO82" s="366">
        <v>448.99</v>
      </c>
      <c r="BP82" s="366">
        <v>414.85</v>
      </c>
      <c r="BQ82" s="366">
        <v>86.53</v>
      </c>
      <c r="BR82" s="366">
        <v>86.53</v>
      </c>
      <c r="BS82" s="366">
        <v>346.58</v>
      </c>
      <c r="BT82" s="366">
        <v>385.79</v>
      </c>
      <c r="BU82" s="366">
        <v>144.71</v>
      </c>
      <c r="BV82" s="366">
        <v>164.33</v>
      </c>
      <c r="BW82" s="366">
        <v>309.36</v>
      </c>
      <c r="BX82" s="366">
        <v>287.67</v>
      </c>
      <c r="BY82" s="366">
        <v>362.69</v>
      </c>
      <c r="BZ82" s="366">
        <v>362.69</v>
      </c>
      <c r="CA82" s="366">
        <v>288.72000000000003</v>
      </c>
      <c r="CB82" s="366">
        <v>306.10000000000002</v>
      </c>
      <c r="CC82" s="366">
        <v>13.48</v>
      </c>
      <c r="CD82" s="366">
        <v>0</v>
      </c>
      <c r="CE82" s="366">
        <v>390.02</v>
      </c>
      <c r="CF82" s="366">
        <v>423.39</v>
      </c>
      <c r="CG82" s="366">
        <v>423.39</v>
      </c>
      <c r="CH82" s="366">
        <v>71.53</v>
      </c>
      <c r="CI82" s="366">
        <v>119.02</v>
      </c>
      <c r="CJ82" s="366">
        <v>434.34</v>
      </c>
      <c r="CK82" s="366">
        <v>367.78</v>
      </c>
      <c r="CL82" s="366">
        <v>263.86</v>
      </c>
      <c r="CM82" s="366">
        <v>268.61</v>
      </c>
      <c r="CN82" s="366">
        <v>267.99</v>
      </c>
      <c r="CO82" s="366">
        <v>399.94</v>
      </c>
      <c r="CP82" s="366">
        <v>93.22</v>
      </c>
      <c r="CQ82" s="366">
        <v>93.22</v>
      </c>
      <c r="CR82" s="366">
        <v>352.34</v>
      </c>
      <c r="CS82" s="366">
        <v>352.34</v>
      </c>
      <c r="CT82" s="366">
        <v>345.21</v>
      </c>
      <c r="CU82" s="366">
        <v>353.08</v>
      </c>
      <c r="CV82" s="366">
        <v>347.03</v>
      </c>
      <c r="CW82" s="366">
        <v>335.21</v>
      </c>
      <c r="CX82" s="366">
        <v>32.549999999999997</v>
      </c>
      <c r="CY82" s="366">
        <v>315.02999999999997</v>
      </c>
      <c r="CZ82" s="366">
        <v>336.27</v>
      </c>
      <c r="DA82" s="366">
        <v>430.76</v>
      </c>
      <c r="DB82" s="366">
        <v>314.60000000000002</v>
      </c>
      <c r="DC82" s="366">
        <v>314.60000000000002</v>
      </c>
      <c r="DD82" s="366">
        <v>270.85000000000002</v>
      </c>
      <c r="DE82" s="366">
        <v>508.39</v>
      </c>
      <c r="DF82" s="366">
        <v>587.80999999999995</v>
      </c>
      <c r="DG82" s="366">
        <v>89.37</v>
      </c>
      <c r="DH82" s="366">
        <v>570.95000000000005</v>
      </c>
      <c r="DI82" s="366">
        <v>289.20999999999998</v>
      </c>
      <c r="DJ82" s="366">
        <v>352.47</v>
      </c>
      <c r="DK82" s="366">
        <v>250.09</v>
      </c>
      <c r="DL82" s="366">
        <v>150.71</v>
      </c>
      <c r="DM82" s="366">
        <v>357.97</v>
      </c>
      <c r="DN82" s="366">
        <v>303.97000000000003</v>
      </c>
      <c r="DO82" s="366">
        <v>276.66000000000003</v>
      </c>
      <c r="DP82" s="366">
        <v>232.54</v>
      </c>
      <c r="DQ82" s="366">
        <v>320.7</v>
      </c>
      <c r="DR82" s="366">
        <v>570.95000000000005</v>
      </c>
      <c r="DS82" s="366">
        <v>377.81</v>
      </c>
      <c r="DT82" s="366">
        <v>366.1</v>
      </c>
      <c r="DU82" s="366">
        <v>461.1</v>
      </c>
      <c r="DV82" s="366">
        <v>398.79</v>
      </c>
      <c r="DW82" s="366">
        <v>202.74</v>
      </c>
      <c r="DX82" s="366">
        <v>295.68</v>
      </c>
      <c r="DY82" s="366">
        <v>369.07</v>
      </c>
      <c r="DZ82" s="366">
        <v>280.52</v>
      </c>
      <c r="EA82" s="366">
        <v>383.61</v>
      </c>
      <c r="EB82" s="366">
        <v>363.07</v>
      </c>
      <c r="EC82" s="366">
        <v>296.60000000000002</v>
      </c>
      <c r="ED82" s="366">
        <v>318.98</v>
      </c>
      <c r="EE82" s="366">
        <v>329.77</v>
      </c>
      <c r="EF82" s="366">
        <v>122.77</v>
      </c>
      <c r="EG82" s="366">
        <v>327.52</v>
      </c>
      <c r="EH82" s="366">
        <v>327.52</v>
      </c>
      <c r="EI82" s="366">
        <v>16.350000000000001</v>
      </c>
      <c r="EJ82" s="366">
        <v>559.01</v>
      </c>
      <c r="EK82" s="366">
        <v>171.7</v>
      </c>
      <c r="EL82" s="366">
        <v>171.7</v>
      </c>
      <c r="EM82" s="366">
        <v>265.81</v>
      </c>
      <c r="EN82" s="366">
        <v>265.81</v>
      </c>
      <c r="EO82" s="366">
        <v>166.93</v>
      </c>
      <c r="EP82" s="366">
        <v>81.53</v>
      </c>
      <c r="EQ82" s="366">
        <v>335.72</v>
      </c>
      <c r="ER82" s="366">
        <v>489</v>
      </c>
      <c r="ES82" s="366">
        <v>370.29</v>
      </c>
      <c r="ET82" s="366">
        <v>68.56</v>
      </c>
      <c r="EU82" s="366">
        <v>539.45000000000005</v>
      </c>
      <c r="EV82" s="366">
        <v>283.69</v>
      </c>
      <c r="EW82" s="366">
        <v>15.73</v>
      </c>
      <c r="EX82" s="366">
        <v>347.03</v>
      </c>
      <c r="EY82" s="366">
        <v>347.03</v>
      </c>
      <c r="EZ82" s="366">
        <v>310.35000000000002</v>
      </c>
      <c r="FA82" s="366">
        <v>262.98</v>
      </c>
      <c r="FB82" s="366">
        <v>234.39</v>
      </c>
      <c r="FC82" s="366">
        <v>315.82</v>
      </c>
      <c r="FD82" s="366">
        <v>171.01</v>
      </c>
      <c r="FE82" s="366">
        <v>20.18</v>
      </c>
      <c r="FF82" s="366">
        <v>106.56</v>
      </c>
      <c r="FG82" s="366">
        <v>371.31</v>
      </c>
      <c r="FH82" s="366">
        <v>371.31</v>
      </c>
      <c r="FI82" s="366">
        <v>264.56</v>
      </c>
      <c r="FJ82" s="366">
        <v>270.35000000000002</v>
      </c>
      <c r="FK82" s="366">
        <v>398.03</v>
      </c>
      <c r="FL82" s="366">
        <v>396.22</v>
      </c>
      <c r="FM82" s="366">
        <v>166.93</v>
      </c>
      <c r="FN82" s="366">
        <v>314.44</v>
      </c>
      <c r="FO82" s="366">
        <v>391.98</v>
      </c>
      <c r="FP82" s="366">
        <v>348.17</v>
      </c>
      <c r="FQ82" s="366">
        <v>395.85</v>
      </c>
      <c r="FR82" s="366">
        <v>279.11</v>
      </c>
      <c r="FS82" s="366">
        <v>107.27</v>
      </c>
      <c r="FT82" s="366">
        <v>367.63</v>
      </c>
      <c r="FU82" s="366">
        <v>131.41</v>
      </c>
      <c r="FV82" s="366">
        <v>603.35</v>
      </c>
      <c r="FW82" s="366">
        <v>603.35</v>
      </c>
      <c r="FX82" s="366">
        <v>603.35</v>
      </c>
      <c r="FY82" s="366">
        <v>212.12</v>
      </c>
      <c r="FZ82" s="366">
        <v>43.05</v>
      </c>
      <c r="GA82" s="366">
        <v>339.27</v>
      </c>
      <c r="GB82" s="366">
        <v>145.74</v>
      </c>
      <c r="GC82" s="366">
        <v>318.98</v>
      </c>
      <c r="GD82" s="366">
        <v>269.77</v>
      </c>
      <c r="GE82" s="366">
        <v>345.11</v>
      </c>
      <c r="GF82" s="366">
        <v>144.94</v>
      </c>
      <c r="GG82" s="366">
        <v>144.94</v>
      </c>
      <c r="GH82" s="366">
        <v>387.72</v>
      </c>
      <c r="GI82" s="366">
        <v>167.09</v>
      </c>
      <c r="GJ82" s="366">
        <v>166.93</v>
      </c>
      <c r="GK82" s="366">
        <v>394.58</v>
      </c>
      <c r="GL82" s="366">
        <v>30.02</v>
      </c>
      <c r="GM82" s="366">
        <v>30.02</v>
      </c>
      <c r="GN82" s="366">
        <v>30.02</v>
      </c>
      <c r="GO82" s="366">
        <v>168.23</v>
      </c>
      <c r="GP82" s="366">
        <v>344.68</v>
      </c>
      <c r="GQ82" s="366">
        <v>440.29</v>
      </c>
      <c r="GR82" s="366">
        <v>195.16</v>
      </c>
      <c r="GS82" s="366">
        <v>97.56</v>
      </c>
      <c r="GT82" s="366">
        <v>327.52</v>
      </c>
      <c r="GU82" s="366">
        <v>204.97</v>
      </c>
      <c r="GV82" s="366">
        <v>566.20000000000005</v>
      </c>
      <c r="GW82" s="366">
        <v>54.48</v>
      </c>
      <c r="GX82" s="366">
        <v>324.08999999999997</v>
      </c>
      <c r="GY82" s="366">
        <v>104.65</v>
      </c>
      <c r="GZ82" s="366">
        <v>170.73</v>
      </c>
      <c r="HA82" s="366">
        <v>397.39</v>
      </c>
      <c r="HB82" s="366">
        <v>397.39</v>
      </c>
      <c r="HC82" s="366">
        <v>397.39</v>
      </c>
      <c r="HD82" s="366">
        <v>291.26</v>
      </c>
      <c r="HE82" s="366">
        <v>259.66000000000003</v>
      </c>
      <c r="HF82" s="366">
        <v>215.95</v>
      </c>
      <c r="HG82" s="366">
        <v>343.6</v>
      </c>
      <c r="HH82" s="366">
        <v>343.6</v>
      </c>
      <c r="HI82" s="366">
        <v>343.6</v>
      </c>
      <c r="HJ82" s="366">
        <v>124.07</v>
      </c>
      <c r="HK82" s="366">
        <v>254.14</v>
      </c>
      <c r="HL82" s="366">
        <v>279.2</v>
      </c>
      <c r="HM82" s="366">
        <v>164.21</v>
      </c>
      <c r="HN82" s="366">
        <v>166.93</v>
      </c>
      <c r="HO82" s="366">
        <v>572.65</v>
      </c>
      <c r="HP82" s="366">
        <v>171.45</v>
      </c>
      <c r="HQ82" s="366">
        <v>603.35</v>
      </c>
      <c r="HR82" s="366">
        <v>424.66</v>
      </c>
      <c r="HS82" s="366">
        <v>163.18</v>
      </c>
      <c r="HT82" s="366">
        <v>81.36</v>
      </c>
      <c r="HU82" s="366">
        <v>90.01</v>
      </c>
      <c r="HV82" s="366">
        <v>39.630000000000003</v>
      </c>
    </row>
    <row r="83" spans="1:230">
      <c r="A83" s="366" t="s">
        <v>105</v>
      </c>
      <c r="B83" s="366">
        <v>886.12</v>
      </c>
      <c r="C83" s="366">
        <v>176.87</v>
      </c>
      <c r="D83" s="366">
        <v>215.72</v>
      </c>
      <c r="E83" s="366">
        <v>215.72</v>
      </c>
      <c r="F83" s="366">
        <v>950.02</v>
      </c>
      <c r="G83" s="366">
        <v>686.53</v>
      </c>
      <c r="H83" s="366">
        <v>259.33999999999997</v>
      </c>
      <c r="I83" s="366">
        <v>395.85</v>
      </c>
      <c r="J83" s="366">
        <v>283.12</v>
      </c>
      <c r="K83" s="366">
        <v>283.12</v>
      </c>
      <c r="L83" s="366">
        <v>197.81</v>
      </c>
      <c r="M83" s="366">
        <v>202.29</v>
      </c>
      <c r="N83" s="366">
        <v>299.19</v>
      </c>
      <c r="O83" s="366">
        <v>360.68</v>
      </c>
      <c r="P83" s="366">
        <v>360.68</v>
      </c>
      <c r="Q83" s="366">
        <v>360.68</v>
      </c>
      <c r="R83" s="366">
        <v>360.68</v>
      </c>
      <c r="S83" s="366">
        <v>360.68</v>
      </c>
      <c r="T83" s="366">
        <v>470.35</v>
      </c>
      <c r="U83" s="366">
        <v>794.57</v>
      </c>
      <c r="V83" s="366">
        <v>415.61</v>
      </c>
      <c r="W83" s="366">
        <v>496.71</v>
      </c>
      <c r="X83" s="366">
        <v>496.71</v>
      </c>
      <c r="Y83" s="366">
        <v>496.71</v>
      </c>
      <c r="Z83" s="366">
        <v>360.13</v>
      </c>
      <c r="AA83" s="366">
        <v>680.7</v>
      </c>
      <c r="AB83" s="366">
        <v>530.09</v>
      </c>
      <c r="AC83" s="366">
        <v>532.54999999999995</v>
      </c>
      <c r="AD83" s="366">
        <v>532.54999999999995</v>
      </c>
      <c r="AE83" s="366">
        <v>266.62</v>
      </c>
      <c r="AF83" s="366">
        <v>700.27</v>
      </c>
      <c r="AG83" s="366">
        <v>498.23</v>
      </c>
      <c r="AH83" s="366">
        <v>349.8</v>
      </c>
      <c r="AI83" s="366">
        <v>349.8</v>
      </c>
      <c r="AJ83" s="366">
        <v>349.8</v>
      </c>
      <c r="AK83" s="366">
        <v>342.89</v>
      </c>
      <c r="AL83" s="366">
        <v>342.89</v>
      </c>
      <c r="AM83" s="366">
        <v>532.80999999999995</v>
      </c>
      <c r="AN83" s="366">
        <v>319.85000000000002</v>
      </c>
      <c r="AO83" s="366">
        <v>703.14</v>
      </c>
      <c r="AP83" s="366">
        <v>459.07</v>
      </c>
      <c r="AQ83" s="366">
        <v>906.56</v>
      </c>
      <c r="AR83" s="366">
        <v>345.89</v>
      </c>
      <c r="AS83" s="366">
        <v>203.7</v>
      </c>
      <c r="AT83" s="366">
        <v>203.7</v>
      </c>
      <c r="AU83" s="366">
        <v>330.47</v>
      </c>
      <c r="AV83" s="366">
        <v>825.62</v>
      </c>
      <c r="AW83" s="366">
        <v>327.44</v>
      </c>
      <c r="AX83" s="366">
        <v>416.45</v>
      </c>
      <c r="AY83" s="366">
        <v>334.9</v>
      </c>
      <c r="AZ83" s="366">
        <v>145.49</v>
      </c>
      <c r="BA83" s="366">
        <v>746.15</v>
      </c>
      <c r="BB83" s="366">
        <v>337.79</v>
      </c>
      <c r="BC83" s="366">
        <v>688.21</v>
      </c>
      <c r="BD83" s="366">
        <v>597.98</v>
      </c>
      <c r="BE83" s="366">
        <v>419.67</v>
      </c>
      <c r="BF83" s="366">
        <v>527.05999999999995</v>
      </c>
      <c r="BG83" s="366">
        <v>356.65</v>
      </c>
      <c r="BH83" s="366">
        <v>360.68</v>
      </c>
      <c r="BI83" s="366">
        <v>345.92</v>
      </c>
      <c r="BJ83" s="366">
        <v>399.02</v>
      </c>
      <c r="BK83" s="366">
        <v>16.77</v>
      </c>
      <c r="BL83" s="366">
        <v>222.72</v>
      </c>
      <c r="BM83" s="366">
        <v>231.93</v>
      </c>
      <c r="BN83" s="366">
        <v>720.89</v>
      </c>
      <c r="BO83" s="366">
        <v>58.97</v>
      </c>
      <c r="BP83" s="366">
        <v>24.83</v>
      </c>
      <c r="BQ83" s="366">
        <v>375.15</v>
      </c>
      <c r="BR83" s="366">
        <v>375.15</v>
      </c>
      <c r="BS83" s="366">
        <v>153.06</v>
      </c>
      <c r="BT83" s="366">
        <v>330.35</v>
      </c>
      <c r="BU83" s="366">
        <v>510.59</v>
      </c>
      <c r="BV83" s="366">
        <v>530.21</v>
      </c>
      <c r="BW83" s="366">
        <v>389.76</v>
      </c>
      <c r="BX83" s="366">
        <v>102.35</v>
      </c>
      <c r="BY83" s="366">
        <v>443.09</v>
      </c>
      <c r="BZ83" s="366">
        <v>443.09</v>
      </c>
      <c r="CA83" s="366">
        <v>359.38</v>
      </c>
      <c r="CB83" s="366">
        <v>84.24</v>
      </c>
      <c r="CC83" s="366">
        <v>387.62</v>
      </c>
      <c r="CD83" s="366">
        <v>390.02</v>
      </c>
      <c r="CE83" s="366">
        <v>0</v>
      </c>
      <c r="CF83" s="366">
        <v>699</v>
      </c>
      <c r="CG83" s="366">
        <v>699</v>
      </c>
      <c r="CH83" s="366">
        <v>390.15</v>
      </c>
      <c r="CI83" s="366">
        <v>303.64</v>
      </c>
      <c r="CJ83" s="366">
        <v>709.95</v>
      </c>
      <c r="CK83" s="366">
        <v>448.18</v>
      </c>
      <c r="CL83" s="366">
        <v>344.26</v>
      </c>
      <c r="CM83" s="366">
        <v>634.49</v>
      </c>
      <c r="CN83" s="366">
        <v>348.39</v>
      </c>
      <c r="CO83" s="366">
        <v>344.5</v>
      </c>
      <c r="CP83" s="366">
        <v>368.46</v>
      </c>
      <c r="CQ83" s="366">
        <v>368.46</v>
      </c>
      <c r="CR83" s="366">
        <v>296.89999999999998</v>
      </c>
      <c r="CS83" s="366">
        <v>296.89999999999998</v>
      </c>
      <c r="CT83" s="366">
        <v>306.33999999999997</v>
      </c>
      <c r="CU83" s="366">
        <v>298.47000000000003</v>
      </c>
      <c r="CV83" s="366">
        <v>301.07</v>
      </c>
      <c r="CW83" s="366">
        <v>415.61</v>
      </c>
      <c r="CX83" s="366">
        <v>406.69</v>
      </c>
      <c r="CY83" s="366">
        <v>680.91</v>
      </c>
      <c r="CZ83" s="366">
        <v>702.15</v>
      </c>
      <c r="DA83" s="366">
        <v>237.24</v>
      </c>
      <c r="DB83" s="366">
        <v>395</v>
      </c>
      <c r="DC83" s="366">
        <v>395</v>
      </c>
      <c r="DD83" s="366">
        <v>483.87</v>
      </c>
      <c r="DE83" s="366">
        <v>314.87</v>
      </c>
      <c r="DF83" s="366">
        <v>934.48</v>
      </c>
      <c r="DG83" s="366">
        <v>333.29</v>
      </c>
      <c r="DH83" s="366">
        <v>377.43</v>
      </c>
      <c r="DI83" s="366">
        <v>564.82000000000005</v>
      </c>
      <c r="DJ83" s="366">
        <v>718.35</v>
      </c>
      <c r="DK83" s="366">
        <v>139.93</v>
      </c>
      <c r="DL83" s="366">
        <v>516.59</v>
      </c>
      <c r="DM83" s="366">
        <v>164.45</v>
      </c>
      <c r="DN83" s="366">
        <v>579.58000000000004</v>
      </c>
      <c r="DO83" s="366">
        <v>117.93</v>
      </c>
      <c r="DP83" s="366">
        <v>445.56</v>
      </c>
      <c r="DQ83" s="366">
        <v>401.1</v>
      </c>
      <c r="DR83" s="366">
        <v>377.43</v>
      </c>
      <c r="DS83" s="366">
        <v>322.37</v>
      </c>
      <c r="DT83" s="366">
        <v>310.66000000000003</v>
      </c>
      <c r="DU83" s="366">
        <v>267.58</v>
      </c>
      <c r="DV83" s="366">
        <v>334.29</v>
      </c>
      <c r="DW83" s="366">
        <v>187.28</v>
      </c>
      <c r="DX83" s="366">
        <v>376.08</v>
      </c>
      <c r="DY83" s="366">
        <v>449.47</v>
      </c>
      <c r="DZ83" s="366">
        <v>493.54</v>
      </c>
      <c r="EA83" s="366">
        <v>328.17</v>
      </c>
      <c r="EB83" s="366">
        <v>443.47</v>
      </c>
      <c r="EC83" s="366">
        <v>241.16</v>
      </c>
      <c r="ED83" s="366">
        <v>594.59</v>
      </c>
      <c r="EE83" s="366">
        <v>605.38</v>
      </c>
      <c r="EF83" s="366">
        <v>452.79</v>
      </c>
      <c r="EG83" s="366">
        <v>327.44</v>
      </c>
      <c r="EH83" s="366">
        <v>327.44</v>
      </c>
      <c r="EI83" s="366">
        <v>373.67</v>
      </c>
      <c r="EJ83" s="366">
        <v>168.99</v>
      </c>
      <c r="EK83" s="366">
        <v>252.1</v>
      </c>
      <c r="EL83" s="366">
        <v>252.1</v>
      </c>
      <c r="EM83" s="366">
        <v>346.21</v>
      </c>
      <c r="EN83" s="366">
        <v>346.21</v>
      </c>
      <c r="EO83" s="366">
        <v>532.80999999999995</v>
      </c>
      <c r="EP83" s="366">
        <v>455.67</v>
      </c>
      <c r="EQ83" s="366">
        <v>315.83</v>
      </c>
      <c r="ER83" s="366">
        <v>764.61</v>
      </c>
      <c r="ES83" s="366">
        <v>176.77</v>
      </c>
      <c r="ET83" s="366">
        <v>393.12</v>
      </c>
      <c r="EU83" s="366">
        <v>886.12</v>
      </c>
      <c r="EV83" s="366">
        <v>496.71</v>
      </c>
      <c r="EW83" s="366">
        <v>374.59</v>
      </c>
      <c r="EX83" s="366">
        <v>43.01</v>
      </c>
      <c r="EY83" s="366">
        <v>43.01</v>
      </c>
      <c r="EZ83" s="366">
        <v>398.02</v>
      </c>
      <c r="FA83" s="366">
        <v>343.38</v>
      </c>
      <c r="FB83" s="366">
        <v>155.63</v>
      </c>
      <c r="FC83" s="366">
        <v>396.22</v>
      </c>
      <c r="FD83" s="366">
        <v>285.87</v>
      </c>
      <c r="FE83" s="366">
        <v>377.5</v>
      </c>
      <c r="FF83" s="366">
        <v>352.68</v>
      </c>
      <c r="FG83" s="366">
        <v>737.19</v>
      </c>
      <c r="FH83" s="366">
        <v>737.19</v>
      </c>
      <c r="FI83" s="366">
        <v>477.58</v>
      </c>
      <c r="FJ83" s="366">
        <v>483.37</v>
      </c>
      <c r="FK83" s="366">
        <v>204.51</v>
      </c>
      <c r="FL83" s="366">
        <v>202.7</v>
      </c>
      <c r="FM83" s="366">
        <v>532.80999999999995</v>
      </c>
      <c r="FN83" s="366">
        <v>527.46</v>
      </c>
      <c r="FO83" s="366">
        <v>336.54</v>
      </c>
      <c r="FP83" s="366">
        <v>428.57</v>
      </c>
      <c r="FQ83" s="366">
        <v>340.41</v>
      </c>
      <c r="FR83" s="366">
        <v>215.15</v>
      </c>
      <c r="FS83" s="366">
        <v>282.75</v>
      </c>
      <c r="FT83" s="366">
        <v>733.51</v>
      </c>
      <c r="FU83" s="366">
        <v>291.25</v>
      </c>
      <c r="FV83" s="366">
        <v>950.02</v>
      </c>
      <c r="FW83" s="366">
        <v>950.02</v>
      </c>
      <c r="FX83" s="366">
        <v>950.02</v>
      </c>
      <c r="FY83" s="366">
        <v>292.52</v>
      </c>
      <c r="FZ83" s="366">
        <v>367.41</v>
      </c>
      <c r="GA83" s="366">
        <v>419.67</v>
      </c>
      <c r="GB83" s="366">
        <v>321.22000000000003</v>
      </c>
      <c r="GC83" s="366">
        <v>594.59</v>
      </c>
      <c r="GD83" s="366">
        <v>120.25</v>
      </c>
      <c r="GE83" s="366">
        <v>306.44</v>
      </c>
      <c r="GF83" s="366">
        <v>277.72000000000003</v>
      </c>
      <c r="GG83" s="366">
        <v>277.72000000000003</v>
      </c>
      <c r="GH83" s="366">
        <v>468.12</v>
      </c>
      <c r="GI83" s="366">
        <v>532.97</v>
      </c>
      <c r="GJ83" s="366">
        <v>532.80999999999995</v>
      </c>
      <c r="GK83" s="366">
        <v>201.06</v>
      </c>
      <c r="GL83" s="366">
        <v>360</v>
      </c>
      <c r="GM83" s="366">
        <v>360</v>
      </c>
      <c r="GN83" s="366">
        <v>360</v>
      </c>
      <c r="GO83" s="366">
        <v>498.25</v>
      </c>
      <c r="GP83" s="366">
        <v>425.08</v>
      </c>
      <c r="GQ83" s="366">
        <v>50.27</v>
      </c>
      <c r="GR83" s="366">
        <v>561.04</v>
      </c>
      <c r="GS83" s="366">
        <v>427.58</v>
      </c>
      <c r="GT83" s="366">
        <v>327.44</v>
      </c>
      <c r="GU83" s="366">
        <v>284.79000000000002</v>
      </c>
      <c r="GV83" s="366">
        <v>176.18</v>
      </c>
      <c r="GW83" s="366">
        <v>335.98</v>
      </c>
      <c r="GX83" s="366">
        <v>324.01</v>
      </c>
      <c r="GY83" s="366">
        <v>350.77</v>
      </c>
      <c r="GZ83" s="366">
        <v>285.58999999999997</v>
      </c>
      <c r="HA83" s="366">
        <v>341.95</v>
      </c>
      <c r="HB83" s="366">
        <v>341.95</v>
      </c>
      <c r="HC83" s="366">
        <v>341.95</v>
      </c>
      <c r="HD83" s="366">
        <v>529.83000000000004</v>
      </c>
      <c r="HE83" s="366">
        <v>340.06</v>
      </c>
      <c r="HF83" s="366">
        <v>296.35000000000002</v>
      </c>
      <c r="HG83" s="366">
        <v>424</v>
      </c>
      <c r="HH83" s="366">
        <v>424</v>
      </c>
      <c r="HI83" s="366">
        <v>424</v>
      </c>
      <c r="HJ83" s="366">
        <v>298.58999999999997</v>
      </c>
      <c r="HK83" s="366">
        <v>399.93</v>
      </c>
      <c r="HL83" s="366">
        <v>394.06</v>
      </c>
      <c r="HM83" s="366">
        <v>530.09</v>
      </c>
      <c r="HN83" s="366">
        <v>532.80999999999995</v>
      </c>
      <c r="HO83" s="366">
        <v>854.28</v>
      </c>
      <c r="HP83" s="366">
        <v>286.31</v>
      </c>
      <c r="HQ83" s="366">
        <v>950.02</v>
      </c>
      <c r="HR83" s="366">
        <v>700.27</v>
      </c>
      <c r="HS83" s="366">
        <v>529.05999999999995</v>
      </c>
      <c r="HT83" s="366">
        <v>411.38</v>
      </c>
      <c r="HU83" s="366">
        <v>378.63</v>
      </c>
      <c r="HV83" s="366">
        <v>396.95</v>
      </c>
    </row>
    <row r="84" spans="1:230">
      <c r="A84" s="366" t="s">
        <v>12</v>
      </c>
      <c r="B84" s="366">
        <v>223.72</v>
      </c>
      <c r="C84" s="366">
        <v>679.37</v>
      </c>
      <c r="D84" s="366">
        <v>483.28</v>
      </c>
      <c r="E84" s="366">
        <v>483.28</v>
      </c>
      <c r="F84" s="366">
        <v>287.62</v>
      </c>
      <c r="G84" s="366">
        <v>24.13</v>
      </c>
      <c r="H84" s="366">
        <v>439.66</v>
      </c>
      <c r="I84" s="366">
        <v>393.42</v>
      </c>
      <c r="J84" s="366">
        <v>415.88</v>
      </c>
      <c r="K84" s="366">
        <v>415.88</v>
      </c>
      <c r="L84" s="366">
        <v>501.19</v>
      </c>
      <c r="M84" s="366">
        <v>704.79</v>
      </c>
      <c r="N84" s="366">
        <v>801.69</v>
      </c>
      <c r="O84" s="366">
        <v>645.07000000000005</v>
      </c>
      <c r="P84" s="366">
        <v>645.07000000000005</v>
      </c>
      <c r="Q84" s="366">
        <v>645.07000000000005</v>
      </c>
      <c r="R84" s="366">
        <v>645.07000000000005</v>
      </c>
      <c r="S84" s="366">
        <v>645.07000000000005</v>
      </c>
      <c r="T84" s="366">
        <v>318.92</v>
      </c>
      <c r="U84" s="366">
        <v>132.16999999999999</v>
      </c>
      <c r="V84" s="366">
        <v>734.46</v>
      </c>
      <c r="W84" s="366">
        <v>304.58999999999997</v>
      </c>
      <c r="X84" s="366">
        <v>304.58999999999997</v>
      </c>
      <c r="Y84" s="366">
        <v>304.58999999999997</v>
      </c>
      <c r="Z84" s="366">
        <v>772.2</v>
      </c>
      <c r="AA84" s="366">
        <v>18.3</v>
      </c>
      <c r="AB84" s="366">
        <v>288.25</v>
      </c>
      <c r="AC84" s="366">
        <v>256.72000000000003</v>
      </c>
      <c r="AD84" s="366">
        <v>256.72000000000003</v>
      </c>
      <c r="AE84" s="366">
        <v>534.17999999999995</v>
      </c>
      <c r="AF84" s="366">
        <v>37.869999999999997</v>
      </c>
      <c r="AG84" s="366">
        <v>336.11</v>
      </c>
      <c r="AH84" s="366">
        <v>439.47</v>
      </c>
      <c r="AI84" s="366">
        <v>439.47</v>
      </c>
      <c r="AJ84" s="366">
        <v>439.47</v>
      </c>
      <c r="AK84" s="366">
        <v>794.4</v>
      </c>
      <c r="AL84" s="366">
        <v>794.4</v>
      </c>
      <c r="AM84" s="366">
        <v>290.97000000000003</v>
      </c>
      <c r="AN84" s="366">
        <v>604.24</v>
      </c>
      <c r="AO84" s="366">
        <v>40.74</v>
      </c>
      <c r="AP84" s="366">
        <v>338.04</v>
      </c>
      <c r="AQ84" s="366">
        <v>244.16</v>
      </c>
      <c r="AR84" s="366">
        <v>455.62</v>
      </c>
      <c r="AS84" s="366">
        <v>576.64</v>
      </c>
      <c r="AT84" s="366">
        <v>576.64</v>
      </c>
      <c r="AU84" s="366">
        <v>649.32000000000005</v>
      </c>
      <c r="AV84" s="366">
        <v>163.22</v>
      </c>
      <c r="AW84" s="366">
        <v>378.42</v>
      </c>
      <c r="AX84" s="366">
        <v>381.08</v>
      </c>
      <c r="AY84" s="366">
        <v>837.4</v>
      </c>
      <c r="AZ84" s="366">
        <v>647.99</v>
      </c>
      <c r="BA84" s="366">
        <v>217.35</v>
      </c>
      <c r="BB84" s="366">
        <v>840.29</v>
      </c>
      <c r="BC84" s="366">
        <v>136.44999999999999</v>
      </c>
      <c r="BD84" s="366">
        <v>226.68</v>
      </c>
      <c r="BE84" s="366">
        <v>738.52</v>
      </c>
      <c r="BF84" s="366">
        <v>285.22000000000003</v>
      </c>
      <c r="BG84" s="366">
        <v>779.75</v>
      </c>
      <c r="BH84" s="366">
        <v>645.07000000000005</v>
      </c>
      <c r="BI84" s="366">
        <v>455.65</v>
      </c>
      <c r="BJ84" s="366">
        <v>717.87</v>
      </c>
      <c r="BK84" s="366">
        <v>715.77</v>
      </c>
      <c r="BL84" s="366">
        <v>490.28</v>
      </c>
      <c r="BM84" s="366">
        <v>467.07</v>
      </c>
      <c r="BN84" s="366">
        <v>58.49</v>
      </c>
      <c r="BO84" s="366">
        <v>757.97</v>
      </c>
      <c r="BP84" s="366">
        <v>723.83</v>
      </c>
      <c r="BQ84" s="366">
        <v>414.12</v>
      </c>
      <c r="BR84" s="366">
        <v>414.12</v>
      </c>
      <c r="BS84" s="366">
        <v>655.56</v>
      </c>
      <c r="BT84" s="366">
        <v>447.57</v>
      </c>
      <c r="BU84" s="366">
        <v>278.68</v>
      </c>
      <c r="BV84" s="366">
        <v>288.37</v>
      </c>
      <c r="BW84" s="366">
        <v>708.61</v>
      </c>
      <c r="BX84" s="366">
        <v>596.65</v>
      </c>
      <c r="BY84" s="366">
        <v>761.94</v>
      </c>
      <c r="BZ84" s="366">
        <v>761.94</v>
      </c>
      <c r="CA84" s="366">
        <v>339.62</v>
      </c>
      <c r="CB84" s="366">
        <v>615.08000000000004</v>
      </c>
      <c r="CC84" s="366">
        <v>409.91</v>
      </c>
      <c r="CD84" s="366">
        <v>423.39</v>
      </c>
      <c r="CE84" s="366">
        <v>699</v>
      </c>
      <c r="CF84" s="366">
        <v>0</v>
      </c>
      <c r="CG84" s="366">
        <v>0</v>
      </c>
      <c r="CH84" s="366">
        <v>399.12</v>
      </c>
      <c r="CI84" s="366">
        <v>518.27</v>
      </c>
      <c r="CJ84" s="366">
        <v>47.55</v>
      </c>
      <c r="CK84" s="366">
        <v>767.03</v>
      </c>
      <c r="CL84" s="366">
        <v>663.11</v>
      </c>
      <c r="CM84" s="366">
        <v>190.17</v>
      </c>
      <c r="CN84" s="366">
        <v>667.24</v>
      </c>
      <c r="CO84" s="366">
        <v>454.23</v>
      </c>
      <c r="CP84" s="366">
        <v>420.81</v>
      </c>
      <c r="CQ84" s="366">
        <v>420.81</v>
      </c>
      <c r="CR84" s="366">
        <v>405.55</v>
      </c>
      <c r="CS84" s="366">
        <v>405.55</v>
      </c>
      <c r="CT84" s="366">
        <v>396.11</v>
      </c>
      <c r="CU84" s="366">
        <v>403.98</v>
      </c>
      <c r="CV84" s="366">
        <v>397.93</v>
      </c>
      <c r="CW84" s="366">
        <v>734.46</v>
      </c>
      <c r="CX84" s="366">
        <v>397.62</v>
      </c>
      <c r="CY84" s="366">
        <v>152.11000000000001</v>
      </c>
      <c r="CZ84" s="366">
        <v>122.51</v>
      </c>
      <c r="DA84" s="366">
        <v>739.74</v>
      </c>
      <c r="DB84" s="366">
        <v>713.85</v>
      </c>
      <c r="DC84" s="366">
        <v>713.85</v>
      </c>
      <c r="DD84" s="366">
        <v>216.44</v>
      </c>
      <c r="DE84" s="366">
        <v>817.37</v>
      </c>
      <c r="DF84" s="366">
        <v>272.08</v>
      </c>
      <c r="DG84" s="366">
        <v>488.62</v>
      </c>
      <c r="DH84" s="366">
        <v>879.93</v>
      </c>
      <c r="DI84" s="366">
        <v>134.18</v>
      </c>
      <c r="DJ84" s="366">
        <v>106.31</v>
      </c>
      <c r="DK84" s="366">
        <v>559.07000000000005</v>
      </c>
      <c r="DL84" s="366">
        <v>274.35000000000002</v>
      </c>
      <c r="DM84" s="366">
        <v>666.95</v>
      </c>
      <c r="DN84" s="366">
        <v>121.21</v>
      </c>
      <c r="DO84" s="366">
        <v>585.64</v>
      </c>
      <c r="DP84" s="366">
        <v>253.44</v>
      </c>
      <c r="DQ84" s="366">
        <v>719.95</v>
      </c>
      <c r="DR84" s="366">
        <v>879.93</v>
      </c>
      <c r="DS84" s="366">
        <v>455.13</v>
      </c>
      <c r="DT84" s="366">
        <v>443.42</v>
      </c>
      <c r="DU84" s="366">
        <v>770.08</v>
      </c>
      <c r="DV84" s="366">
        <v>798.04</v>
      </c>
      <c r="DW84" s="366">
        <v>560.22</v>
      </c>
      <c r="DX84" s="366">
        <v>694.93</v>
      </c>
      <c r="DY84" s="366">
        <v>768.32</v>
      </c>
      <c r="DZ84" s="366">
        <v>205.46</v>
      </c>
      <c r="EA84" s="366">
        <v>437.9</v>
      </c>
      <c r="EB84" s="366">
        <v>762.32</v>
      </c>
      <c r="EC84" s="366">
        <v>457.84</v>
      </c>
      <c r="ED84" s="366">
        <v>104.41</v>
      </c>
      <c r="EE84" s="366">
        <v>94.53</v>
      </c>
      <c r="EF84" s="366">
        <v>344.32</v>
      </c>
      <c r="EG84" s="366">
        <v>378.42</v>
      </c>
      <c r="EH84" s="366">
        <v>378.42</v>
      </c>
      <c r="EI84" s="366">
        <v>423.86</v>
      </c>
      <c r="EJ84" s="366">
        <v>867.99</v>
      </c>
      <c r="EK84" s="366">
        <v>570.95000000000005</v>
      </c>
      <c r="EL84" s="366">
        <v>570.95000000000005</v>
      </c>
      <c r="EM84" s="366">
        <v>665.06</v>
      </c>
      <c r="EN84" s="366">
        <v>665.06</v>
      </c>
      <c r="EO84" s="366">
        <v>290.97000000000003</v>
      </c>
      <c r="EP84" s="366">
        <v>341.86</v>
      </c>
      <c r="EQ84" s="366">
        <v>386.62</v>
      </c>
      <c r="ER84" s="366">
        <v>102.21</v>
      </c>
      <c r="ES84" s="366">
        <v>679.27</v>
      </c>
      <c r="ET84" s="366">
        <v>396.15</v>
      </c>
      <c r="EU84" s="366">
        <v>223.72</v>
      </c>
      <c r="EV84" s="366">
        <v>304.58999999999997</v>
      </c>
      <c r="EW84" s="366">
        <v>423.24</v>
      </c>
      <c r="EX84" s="366">
        <v>656.01</v>
      </c>
      <c r="EY84" s="366">
        <v>656.01</v>
      </c>
      <c r="EZ84" s="366">
        <v>709.6</v>
      </c>
      <c r="FA84" s="366">
        <v>662.23</v>
      </c>
      <c r="FB84" s="366">
        <v>543.37</v>
      </c>
      <c r="FC84" s="366">
        <v>715.07</v>
      </c>
      <c r="FD84" s="366">
        <v>570.26</v>
      </c>
      <c r="FE84" s="366">
        <v>427.69</v>
      </c>
      <c r="FF84" s="366">
        <v>505.81</v>
      </c>
      <c r="FG84" s="366">
        <v>208.39</v>
      </c>
      <c r="FH84" s="366">
        <v>208.39</v>
      </c>
      <c r="FI84" s="366">
        <v>315.45999999999998</v>
      </c>
      <c r="FJ84" s="366">
        <v>321.25</v>
      </c>
      <c r="FK84" s="366">
        <v>707.01</v>
      </c>
      <c r="FL84" s="366">
        <v>705.2</v>
      </c>
      <c r="FM84" s="366">
        <v>290.97000000000003</v>
      </c>
      <c r="FN84" s="366">
        <v>335.34</v>
      </c>
      <c r="FO84" s="366">
        <v>446.27</v>
      </c>
      <c r="FP84" s="366">
        <v>747.42</v>
      </c>
      <c r="FQ84" s="366">
        <v>450.14</v>
      </c>
      <c r="FR84" s="366">
        <v>518.53</v>
      </c>
      <c r="FS84" s="366">
        <v>506.52</v>
      </c>
      <c r="FT84" s="366">
        <v>91.15</v>
      </c>
      <c r="FU84" s="366">
        <v>530.66</v>
      </c>
      <c r="FV84" s="366">
        <v>287.62</v>
      </c>
      <c r="FW84" s="366">
        <v>287.62</v>
      </c>
      <c r="FX84" s="366">
        <v>287.62</v>
      </c>
      <c r="FY84" s="366">
        <v>611.37</v>
      </c>
      <c r="FZ84" s="366">
        <v>450.56</v>
      </c>
      <c r="GA84" s="366">
        <v>738.52</v>
      </c>
      <c r="GB84" s="366">
        <v>544.99</v>
      </c>
      <c r="GC84" s="366">
        <v>104.41</v>
      </c>
      <c r="GD84" s="366">
        <v>578.75</v>
      </c>
      <c r="GE84" s="366">
        <v>396.01</v>
      </c>
      <c r="GF84" s="366">
        <v>544.19000000000005</v>
      </c>
      <c r="GG84" s="366">
        <v>544.19000000000005</v>
      </c>
      <c r="GH84" s="366">
        <v>786.97</v>
      </c>
      <c r="GI84" s="366">
        <v>291.13</v>
      </c>
      <c r="GJ84" s="366">
        <v>290.97000000000003</v>
      </c>
      <c r="GK84" s="366">
        <v>703.56</v>
      </c>
      <c r="GL84" s="366">
        <v>437.53</v>
      </c>
      <c r="GM84" s="366">
        <v>437.53</v>
      </c>
      <c r="GN84" s="366">
        <v>437.53</v>
      </c>
      <c r="GO84" s="366">
        <v>298.86</v>
      </c>
      <c r="GP84" s="366">
        <v>743.93</v>
      </c>
      <c r="GQ84" s="366">
        <v>749.27</v>
      </c>
      <c r="GR84" s="366">
        <v>228.23</v>
      </c>
      <c r="GS84" s="366">
        <v>361.69</v>
      </c>
      <c r="GT84" s="366">
        <v>378.42</v>
      </c>
      <c r="GU84" s="366">
        <v>552.35</v>
      </c>
      <c r="GV84" s="366">
        <v>875.18</v>
      </c>
      <c r="GW84" s="366">
        <v>461.99</v>
      </c>
      <c r="GX84" s="366">
        <v>374.99</v>
      </c>
      <c r="GY84" s="366">
        <v>438.5</v>
      </c>
      <c r="GZ84" s="366">
        <v>569.98</v>
      </c>
      <c r="HA84" s="366">
        <v>451.68</v>
      </c>
      <c r="HB84" s="366">
        <v>451.68</v>
      </c>
      <c r="HC84" s="366">
        <v>451.68</v>
      </c>
      <c r="HD84" s="366">
        <v>169.17</v>
      </c>
      <c r="HE84" s="366">
        <v>658.91</v>
      </c>
      <c r="HF84" s="366">
        <v>615.20000000000005</v>
      </c>
      <c r="HG84" s="366">
        <v>742.85</v>
      </c>
      <c r="HH84" s="366">
        <v>742.85</v>
      </c>
      <c r="HI84" s="366">
        <v>742.85</v>
      </c>
      <c r="HJ84" s="366">
        <v>523.32000000000005</v>
      </c>
      <c r="HK84" s="366">
        <v>305.04000000000002</v>
      </c>
      <c r="HL84" s="366">
        <v>678.45</v>
      </c>
      <c r="HM84" s="366">
        <v>288.25</v>
      </c>
      <c r="HN84" s="366">
        <v>290.97000000000003</v>
      </c>
      <c r="HO84" s="366">
        <v>191.88</v>
      </c>
      <c r="HP84" s="366">
        <v>570.70000000000005</v>
      </c>
      <c r="HQ84" s="366">
        <v>287.62</v>
      </c>
      <c r="HR84" s="366">
        <v>37.869999999999997</v>
      </c>
      <c r="HS84" s="366">
        <v>287.22000000000003</v>
      </c>
      <c r="HT84" s="366">
        <v>390.92</v>
      </c>
      <c r="HU84" s="366">
        <v>417.6</v>
      </c>
      <c r="HV84" s="366">
        <v>442.07</v>
      </c>
    </row>
    <row r="85" spans="1:230">
      <c r="A85" s="366" t="s">
        <v>106</v>
      </c>
      <c r="B85" s="366">
        <v>223.72</v>
      </c>
      <c r="C85" s="366">
        <v>679.37</v>
      </c>
      <c r="D85" s="366">
        <v>483.28</v>
      </c>
      <c r="E85" s="366">
        <v>483.28</v>
      </c>
      <c r="F85" s="366">
        <v>287.62</v>
      </c>
      <c r="G85" s="366">
        <v>24.13</v>
      </c>
      <c r="H85" s="366">
        <v>439.66</v>
      </c>
      <c r="I85" s="366">
        <v>393.42</v>
      </c>
      <c r="J85" s="366">
        <v>415.88</v>
      </c>
      <c r="K85" s="366">
        <v>415.88</v>
      </c>
      <c r="L85" s="366">
        <v>501.19</v>
      </c>
      <c r="M85" s="366">
        <v>704.79</v>
      </c>
      <c r="N85" s="366">
        <v>801.69</v>
      </c>
      <c r="O85" s="366">
        <v>645.07000000000005</v>
      </c>
      <c r="P85" s="366">
        <v>645.07000000000005</v>
      </c>
      <c r="Q85" s="366">
        <v>645.07000000000005</v>
      </c>
      <c r="R85" s="366">
        <v>645.07000000000005</v>
      </c>
      <c r="S85" s="366">
        <v>645.07000000000005</v>
      </c>
      <c r="T85" s="366">
        <v>318.92</v>
      </c>
      <c r="U85" s="366">
        <v>132.16999999999999</v>
      </c>
      <c r="V85" s="366">
        <v>734.46</v>
      </c>
      <c r="W85" s="366">
        <v>304.58999999999997</v>
      </c>
      <c r="X85" s="366">
        <v>304.58999999999997</v>
      </c>
      <c r="Y85" s="366">
        <v>304.58999999999997</v>
      </c>
      <c r="Z85" s="366">
        <v>772.2</v>
      </c>
      <c r="AA85" s="366">
        <v>18.3</v>
      </c>
      <c r="AB85" s="366">
        <v>288.25</v>
      </c>
      <c r="AC85" s="366">
        <v>256.72000000000003</v>
      </c>
      <c r="AD85" s="366">
        <v>256.72000000000003</v>
      </c>
      <c r="AE85" s="366">
        <v>534.17999999999995</v>
      </c>
      <c r="AF85" s="366">
        <v>37.869999999999997</v>
      </c>
      <c r="AG85" s="366">
        <v>336.11</v>
      </c>
      <c r="AH85" s="366">
        <v>439.47</v>
      </c>
      <c r="AI85" s="366">
        <v>439.47</v>
      </c>
      <c r="AJ85" s="366">
        <v>439.47</v>
      </c>
      <c r="AK85" s="366">
        <v>794.4</v>
      </c>
      <c r="AL85" s="366">
        <v>794.4</v>
      </c>
      <c r="AM85" s="366">
        <v>290.97000000000003</v>
      </c>
      <c r="AN85" s="366">
        <v>604.24</v>
      </c>
      <c r="AO85" s="366">
        <v>40.74</v>
      </c>
      <c r="AP85" s="366">
        <v>338.04</v>
      </c>
      <c r="AQ85" s="366">
        <v>244.16</v>
      </c>
      <c r="AR85" s="366">
        <v>455.62</v>
      </c>
      <c r="AS85" s="366">
        <v>576.64</v>
      </c>
      <c r="AT85" s="366">
        <v>576.64</v>
      </c>
      <c r="AU85" s="366">
        <v>649.32000000000005</v>
      </c>
      <c r="AV85" s="366">
        <v>163.22</v>
      </c>
      <c r="AW85" s="366">
        <v>378.42</v>
      </c>
      <c r="AX85" s="366">
        <v>381.08</v>
      </c>
      <c r="AY85" s="366">
        <v>837.4</v>
      </c>
      <c r="AZ85" s="366">
        <v>647.99</v>
      </c>
      <c r="BA85" s="366">
        <v>217.35</v>
      </c>
      <c r="BB85" s="366">
        <v>840.29</v>
      </c>
      <c r="BC85" s="366">
        <v>136.44999999999999</v>
      </c>
      <c r="BD85" s="366">
        <v>226.68</v>
      </c>
      <c r="BE85" s="366">
        <v>738.52</v>
      </c>
      <c r="BF85" s="366">
        <v>285.22000000000003</v>
      </c>
      <c r="BG85" s="366">
        <v>779.75</v>
      </c>
      <c r="BH85" s="366">
        <v>645.07000000000005</v>
      </c>
      <c r="BI85" s="366">
        <v>455.65</v>
      </c>
      <c r="BJ85" s="366">
        <v>717.87</v>
      </c>
      <c r="BK85" s="366">
        <v>715.77</v>
      </c>
      <c r="BL85" s="366">
        <v>490.28</v>
      </c>
      <c r="BM85" s="366">
        <v>467.07</v>
      </c>
      <c r="BN85" s="366">
        <v>58.49</v>
      </c>
      <c r="BO85" s="366">
        <v>757.97</v>
      </c>
      <c r="BP85" s="366">
        <v>723.83</v>
      </c>
      <c r="BQ85" s="366">
        <v>414.12</v>
      </c>
      <c r="BR85" s="366">
        <v>414.12</v>
      </c>
      <c r="BS85" s="366">
        <v>655.56</v>
      </c>
      <c r="BT85" s="366">
        <v>447.57</v>
      </c>
      <c r="BU85" s="366">
        <v>278.68</v>
      </c>
      <c r="BV85" s="366">
        <v>288.37</v>
      </c>
      <c r="BW85" s="366">
        <v>708.61</v>
      </c>
      <c r="BX85" s="366">
        <v>596.65</v>
      </c>
      <c r="BY85" s="366">
        <v>761.94</v>
      </c>
      <c r="BZ85" s="366">
        <v>761.94</v>
      </c>
      <c r="CA85" s="366">
        <v>339.62</v>
      </c>
      <c r="CB85" s="366">
        <v>615.08000000000004</v>
      </c>
      <c r="CC85" s="366">
        <v>409.91</v>
      </c>
      <c r="CD85" s="366">
        <v>423.39</v>
      </c>
      <c r="CE85" s="366">
        <v>699</v>
      </c>
      <c r="CF85" s="366">
        <v>0</v>
      </c>
      <c r="CG85" s="366">
        <v>0</v>
      </c>
      <c r="CH85" s="366">
        <v>399.12</v>
      </c>
      <c r="CI85" s="366">
        <v>518.27</v>
      </c>
      <c r="CJ85" s="366">
        <v>47.55</v>
      </c>
      <c r="CK85" s="366">
        <v>767.03</v>
      </c>
      <c r="CL85" s="366">
        <v>663.11</v>
      </c>
      <c r="CM85" s="366">
        <v>190.17</v>
      </c>
      <c r="CN85" s="366">
        <v>667.24</v>
      </c>
      <c r="CO85" s="366">
        <v>454.23</v>
      </c>
      <c r="CP85" s="366">
        <v>420.81</v>
      </c>
      <c r="CQ85" s="366">
        <v>420.81</v>
      </c>
      <c r="CR85" s="366">
        <v>405.55</v>
      </c>
      <c r="CS85" s="366">
        <v>405.55</v>
      </c>
      <c r="CT85" s="366">
        <v>396.11</v>
      </c>
      <c r="CU85" s="366">
        <v>403.98</v>
      </c>
      <c r="CV85" s="366">
        <v>397.93</v>
      </c>
      <c r="CW85" s="366">
        <v>734.46</v>
      </c>
      <c r="CX85" s="366">
        <v>397.62</v>
      </c>
      <c r="CY85" s="366">
        <v>152.11000000000001</v>
      </c>
      <c r="CZ85" s="366">
        <v>122.51</v>
      </c>
      <c r="DA85" s="366">
        <v>739.74</v>
      </c>
      <c r="DB85" s="366">
        <v>713.85</v>
      </c>
      <c r="DC85" s="366">
        <v>713.85</v>
      </c>
      <c r="DD85" s="366">
        <v>216.44</v>
      </c>
      <c r="DE85" s="366">
        <v>817.37</v>
      </c>
      <c r="DF85" s="366">
        <v>272.08</v>
      </c>
      <c r="DG85" s="366">
        <v>488.62</v>
      </c>
      <c r="DH85" s="366">
        <v>879.93</v>
      </c>
      <c r="DI85" s="366">
        <v>134.18</v>
      </c>
      <c r="DJ85" s="366">
        <v>106.31</v>
      </c>
      <c r="DK85" s="366">
        <v>559.07000000000005</v>
      </c>
      <c r="DL85" s="366">
        <v>274.35000000000002</v>
      </c>
      <c r="DM85" s="366">
        <v>666.95</v>
      </c>
      <c r="DN85" s="366">
        <v>121.21</v>
      </c>
      <c r="DO85" s="366">
        <v>585.64</v>
      </c>
      <c r="DP85" s="366">
        <v>253.44</v>
      </c>
      <c r="DQ85" s="366">
        <v>719.95</v>
      </c>
      <c r="DR85" s="366">
        <v>879.93</v>
      </c>
      <c r="DS85" s="366">
        <v>455.13</v>
      </c>
      <c r="DT85" s="366">
        <v>443.42</v>
      </c>
      <c r="DU85" s="366">
        <v>770.08</v>
      </c>
      <c r="DV85" s="366">
        <v>798.04</v>
      </c>
      <c r="DW85" s="366">
        <v>560.22</v>
      </c>
      <c r="DX85" s="366">
        <v>694.93</v>
      </c>
      <c r="DY85" s="366">
        <v>768.32</v>
      </c>
      <c r="DZ85" s="366">
        <v>205.46</v>
      </c>
      <c r="EA85" s="366">
        <v>437.9</v>
      </c>
      <c r="EB85" s="366">
        <v>762.32</v>
      </c>
      <c r="EC85" s="366">
        <v>457.84</v>
      </c>
      <c r="ED85" s="366">
        <v>104.41</v>
      </c>
      <c r="EE85" s="366">
        <v>94.53</v>
      </c>
      <c r="EF85" s="366">
        <v>344.32</v>
      </c>
      <c r="EG85" s="366">
        <v>378.42</v>
      </c>
      <c r="EH85" s="366">
        <v>378.42</v>
      </c>
      <c r="EI85" s="366">
        <v>423.86</v>
      </c>
      <c r="EJ85" s="366">
        <v>867.99</v>
      </c>
      <c r="EK85" s="366">
        <v>570.95000000000005</v>
      </c>
      <c r="EL85" s="366">
        <v>570.95000000000005</v>
      </c>
      <c r="EM85" s="366">
        <v>665.06</v>
      </c>
      <c r="EN85" s="366">
        <v>665.06</v>
      </c>
      <c r="EO85" s="366">
        <v>290.97000000000003</v>
      </c>
      <c r="EP85" s="366">
        <v>341.86</v>
      </c>
      <c r="EQ85" s="366">
        <v>386.62</v>
      </c>
      <c r="ER85" s="366">
        <v>102.21</v>
      </c>
      <c r="ES85" s="366">
        <v>679.27</v>
      </c>
      <c r="ET85" s="366">
        <v>396.15</v>
      </c>
      <c r="EU85" s="366">
        <v>223.72</v>
      </c>
      <c r="EV85" s="366">
        <v>304.58999999999997</v>
      </c>
      <c r="EW85" s="366">
        <v>423.24</v>
      </c>
      <c r="EX85" s="366">
        <v>656.01</v>
      </c>
      <c r="EY85" s="366">
        <v>656.01</v>
      </c>
      <c r="EZ85" s="366">
        <v>709.6</v>
      </c>
      <c r="FA85" s="366">
        <v>662.23</v>
      </c>
      <c r="FB85" s="366">
        <v>543.37</v>
      </c>
      <c r="FC85" s="366">
        <v>715.07</v>
      </c>
      <c r="FD85" s="366">
        <v>570.26</v>
      </c>
      <c r="FE85" s="366">
        <v>427.69</v>
      </c>
      <c r="FF85" s="366">
        <v>505.81</v>
      </c>
      <c r="FG85" s="366">
        <v>208.39</v>
      </c>
      <c r="FH85" s="366">
        <v>208.39</v>
      </c>
      <c r="FI85" s="366">
        <v>315.45999999999998</v>
      </c>
      <c r="FJ85" s="366">
        <v>321.25</v>
      </c>
      <c r="FK85" s="366">
        <v>707.01</v>
      </c>
      <c r="FL85" s="366">
        <v>705.2</v>
      </c>
      <c r="FM85" s="366">
        <v>290.97000000000003</v>
      </c>
      <c r="FN85" s="366">
        <v>335.34</v>
      </c>
      <c r="FO85" s="366">
        <v>446.27</v>
      </c>
      <c r="FP85" s="366">
        <v>747.42</v>
      </c>
      <c r="FQ85" s="366">
        <v>450.14</v>
      </c>
      <c r="FR85" s="366">
        <v>518.53</v>
      </c>
      <c r="FS85" s="366">
        <v>506.52</v>
      </c>
      <c r="FT85" s="366">
        <v>91.15</v>
      </c>
      <c r="FU85" s="366">
        <v>530.66</v>
      </c>
      <c r="FV85" s="366">
        <v>287.62</v>
      </c>
      <c r="FW85" s="366">
        <v>287.62</v>
      </c>
      <c r="FX85" s="366">
        <v>287.62</v>
      </c>
      <c r="FY85" s="366">
        <v>611.37</v>
      </c>
      <c r="FZ85" s="366">
        <v>450.56</v>
      </c>
      <c r="GA85" s="366">
        <v>738.52</v>
      </c>
      <c r="GB85" s="366">
        <v>544.99</v>
      </c>
      <c r="GC85" s="366">
        <v>104.41</v>
      </c>
      <c r="GD85" s="366">
        <v>578.75</v>
      </c>
      <c r="GE85" s="366">
        <v>396.01</v>
      </c>
      <c r="GF85" s="366">
        <v>544.19000000000005</v>
      </c>
      <c r="GG85" s="366">
        <v>544.19000000000005</v>
      </c>
      <c r="GH85" s="366">
        <v>786.97</v>
      </c>
      <c r="GI85" s="366">
        <v>291.13</v>
      </c>
      <c r="GJ85" s="366">
        <v>290.97000000000003</v>
      </c>
      <c r="GK85" s="366">
        <v>703.56</v>
      </c>
      <c r="GL85" s="366">
        <v>437.53</v>
      </c>
      <c r="GM85" s="366">
        <v>437.53</v>
      </c>
      <c r="GN85" s="366">
        <v>437.53</v>
      </c>
      <c r="GO85" s="366">
        <v>298.86</v>
      </c>
      <c r="GP85" s="366">
        <v>743.93</v>
      </c>
      <c r="GQ85" s="366">
        <v>749.27</v>
      </c>
      <c r="GR85" s="366">
        <v>228.23</v>
      </c>
      <c r="GS85" s="366">
        <v>361.69</v>
      </c>
      <c r="GT85" s="366">
        <v>378.42</v>
      </c>
      <c r="GU85" s="366">
        <v>552.35</v>
      </c>
      <c r="GV85" s="366">
        <v>875.18</v>
      </c>
      <c r="GW85" s="366">
        <v>461.99</v>
      </c>
      <c r="GX85" s="366">
        <v>374.99</v>
      </c>
      <c r="GY85" s="366">
        <v>438.5</v>
      </c>
      <c r="GZ85" s="366">
        <v>569.98</v>
      </c>
      <c r="HA85" s="366">
        <v>451.68</v>
      </c>
      <c r="HB85" s="366">
        <v>451.68</v>
      </c>
      <c r="HC85" s="366">
        <v>451.68</v>
      </c>
      <c r="HD85" s="366">
        <v>169.17</v>
      </c>
      <c r="HE85" s="366">
        <v>658.91</v>
      </c>
      <c r="HF85" s="366">
        <v>615.20000000000005</v>
      </c>
      <c r="HG85" s="366">
        <v>742.85</v>
      </c>
      <c r="HH85" s="366">
        <v>742.85</v>
      </c>
      <c r="HI85" s="366">
        <v>742.85</v>
      </c>
      <c r="HJ85" s="366">
        <v>523.32000000000005</v>
      </c>
      <c r="HK85" s="366">
        <v>305.04000000000002</v>
      </c>
      <c r="HL85" s="366">
        <v>678.45</v>
      </c>
      <c r="HM85" s="366">
        <v>288.25</v>
      </c>
      <c r="HN85" s="366">
        <v>290.97000000000003</v>
      </c>
      <c r="HO85" s="366">
        <v>191.88</v>
      </c>
      <c r="HP85" s="366">
        <v>570.70000000000005</v>
      </c>
      <c r="HQ85" s="366">
        <v>287.62</v>
      </c>
      <c r="HR85" s="366">
        <v>37.869999999999997</v>
      </c>
      <c r="HS85" s="366">
        <v>287.22000000000003</v>
      </c>
      <c r="HT85" s="366">
        <v>390.92</v>
      </c>
      <c r="HU85" s="366">
        <v>417.6</v>
      </c>
      <c r="HV85" s="366">
        <v>442.07</v>
      </c>
    </row>
    <row r="86" spans="1:230">
      <c r="A86" s="366" t="s">
        <v>107</v>
      </c>
      <c r="B86" s="366">
        <v>515.17999999999995</v>
      </c>
      <c r="C86" s="366">
        <v>370.52</v>
      </c>
      <c r="D86" s="366">
        <v>271.29000000000002</v>
      </c>
      <c r="E86" s="366">
        <v>271.29000000000002</v>
      </c>
      <c r="F86" s="366">
        <v>579.08000000000004</v>
      </c>
      <c r="G86" s="366">
        <v>386.65</v>
      </c>
      <c r="H86" s="366">
        <v>314.91000000000003</v>
      </c>
      <c r="I86" s="366">
        <v>5.7</v>
      </c>
      <c r="J86" s="366">
        <v>304.85000000000002</v>
      </c>
      <c r="K86" s="366">
        <v>304.85000000000002</v>
      </c>
      <c r="L86" s="366">
        <v>261.89999999999998</v>
      </c>
      <c r="M86" s="366">
        <v>395.94</v>
      </c>
      <c r="N86" s="366">
        <v>492.84</v>
      </c>
      <c r="O86" s="366">
        <v>245.95</v>
      </c>
      <c r="P86" s="366">
        <v>245.95</v>
      </c>
      <c r="Q86" s="366">
        <v>245.95</v>
      </c>
      <c r="R86" s="366">
        <v>245.95</v>
      </c>
      <c r="S86" s="366">
        <v>245.95</v>
      </c>
      <c r="T86" s="366">
        <v>80.2</v>
      </c>
      <c r="U86" s="366">
        <v>494.69</v>
      </c>
      <c r="V86" s="366">
        <v>335.34</v>
      </c>
      <c r="W86" s="366">
        <v>223.56</v>
      </c>
      <c r="X86" s="366">
        <v>223.56</v>
      </c>
      <c r="Y86" s="366">
        <v>223.56</v>
      </c>
      <c r="Z86" s="366">
        <v>373.08</v>
      </c>
      <c r="AA86" s="366">
        <v>380.82</v>
      </c>
      <c r="AB86" s="366">
        <v>139.94</v>
      </c>
      <c r="AC86" s="366">
        <v>142.4</v>
      </c>
      <c r="AD86" s="366">
        <v>142.4</v>
      </c>
      <c r="AE86" s="366">
        <v>220.39</v>
      </c>
      <c r="AF86" s="366">
        <v>400.39</v>
      </c>
      <c r="AG86" s="366">
        <v>225.08</v>
      </c>
      <c r="AH86" s="366">
        <v>40.35</v>
      </c>
      <c r="AI86" s="366">
        <v>40.35</v>
      </c>
      <c r="AJ86" s="366">
        <v>40.35</v>
      </c>
      <c r="AK86" s="366">
        <v>395.28</v>
      </c>
      <c r="AL86" s="366">
        <v>395.28</v>
      </c>
      <c r="AM86" s="366">
        <v>142.66</v>
      </c>
      <c r="AN86" s="366">
        <v>205.12</v>
      </c>
      <c r="AO86" s="366">
        <v>393.77</v>
      </c>
      <c r="AP86" s="366">
        <v>68.92</v>
      </c>
      <c r="AQ86" s="366">
        <v>535.62</v>
      </c>
      <c r="AR86" s="366">
        <v>344.59</v>
      </c>
      <c r="AS86" s="366">
        <v>186.45</v>
      </c>
      <c r="AT86" s="366">
        <v>186.45</v>
      </c>
      <c r="AU86" s="366">
        <v>250.2</v>
      </c>
      <c r="AV86" s="366">
        <v>525.74</v>
      </c>
      <c r="AW86" s="366">
        <v>267.39</v>
      </c>
      <c r="AX86" s="366">
        <v>86.88</v>
      </c>
      <c r="AY86" s="366">
        <v>528.54999999999995</v>
      </c>
      <c r="AZ86" s="366">
        <v>339.14</v>
      </c>
      <c r="BA86" s="366">
        <v>356</v>
      </c>
      <c r="BB86" s="366">
        <v>531.44000000000005</v>
      </c>
      <c r="BC86" s="366">
        <v>298.06</v>
      </c>
      <c r="BD86" s="366">
        <v>207.83</v>
      </c>
      <c r="BE86" s="366">
        <v>339.4</v>
      </c>
      <c r="BF86" s="366">
        <v>136.91</v>
      </c>
      <c r="BG86" s="366">
        <v>380.63</v>
      </c>
      <c r="BH86" s="366">
        <v>245.95</v>
      </c>
      <c r="BI86" s="366">
        <v>344.62</v>
      </c>
      <c r="BJ86" s="366">
        <v>318.75</v>
      </c>
      <c r="BK86" s="366">
        <v>406.92</v>
      </c>
      <c r="BL86" s="366">
        <v>264.29000000000002</v>
      </c>
      <c r="BM86" s="366">
        <v>287.5</v>
      </c>
      <c r="BN86" s="366">
        <v>421.01</v>
      </c>
      <c r="BO86" s="366">
        <v>449.12</v>
      </c>
      <c r="BP86" s="366">
        <v>414.98</v>
      </c>
      <c r="BQ86" s="366">
        <v>15</v>
      </c>
      <c r="BR86" s="366">
        <v>15</v>
      </c>
      <c r="BS86" s="366">
        <v>346.71</v>
      </c>
      <c r="BT86" s="366">
        <v>336.54</v>
      </c>
      <c r="BU86" s="366">
        <v>120.44</v>
      </c>
      <c r="BV86" s="366">
        <v>140.06</v>
      </c>
      <c r="BW86" s="366">
        <v>309.49</v>
      </c>
      <c r="BX86" s="366">
        <v>287.8</v>
      </c>
      <c r="BY86" s="366">
        <v>362.82</v>
      </c>
      <c r="BZ86" s="366">
        <v>362.82</v>
      </c>
      <c r="CA86" s="366">
        <v>228.59</v>
      </c>
      <c r="CB86" s="366">
        <v>306.23</v>
      </c>
      <c r="CC86" s="366">
        <v>58.05</v>
      </c>
      <c r="CD86" s="366">
        <v>71.53</v>
      </c>
      <c r="CE86" s="366">
        <v>390.15</v>
      </c>
      <c r="CF86" s="366">
        <v>399.12</v>
      </c>
      <c r="CG86" s="366">
        <v>399.12</v>
      </c>
      <c r="CH86" s="366">
        <v>0</v>
      </c>
      <c r="CI86" s="366">
        <v>119.15</v>
      </c>
      <c r="CJ86" s="366">
        <v>410.07</v>
      </c>
      <c r="CK86" s="366">
        <v>367.91</v>
      </c>
      <c r="CL86" s="366">
        <v>263.99</v>
      </c>
      <c r="CM86" s="366">
        <v>244.34</v>
      </c>
      <c r="CN86" s="366">
        <v>268.12</v>
      </c>
      <c r="CO86" s="366">
        <v>343.2</v>
      </c>
      <c r="CP86" s="366">
        <v>21.69</v>
      </c>
      <c r="CQ86" s="366">
        <v>21.69</v>
      </c>
      <c r="CR86" s="366">
        <v>294.52</v>
      </c>
      <c r="CS86" s="366">
        <v>294.52</v>
      </c>
      <c r="CT86" s="366">
        <v>285.08</v>
      </c>
      <c r="CU86" s="366">
        <v>292.95</v>
      </c>
      <c r="CV86" s="366">
        <v>286.89999999999998</v>
      </c>
      <c r="CW86" s="366">
        <v>335.34</v>
      </c>
      <c r="CX86" s="366">
        <v>77.12</v>
      </c>
      <c r="CY86" s="366">
        <v>290.76</v>
      </c>
      <c r="CZ86" s="366">
        <v>312</v>
      </c>
      <c r="DA86" s="366">
        <v>430.89</v>
      </c>
      <c r="DB86" s="366">
        <v>314.73</v>
      </c>
      <c r="DC86" s="366">
        <v>314.73</v>
      </c>
      <c r="DD86" s="366">
        <v>210.72</v>
      </c>
      <c r="DE86" s="366">
        <v>508.52</v>
      </c>
      <c r="DF86" s="366">
        <v>563.54</v>
      </c>
      <c r="DG86" s="366">
        <v>89.5</v>
      </c>
      <c r="DH86" s="366">
        <v>571.08000000000004</v>
      </c>
      <c r="DI86" s="366">
        <v>264.94</v>
      </c>
      <c r="DJ86" s="366">
        <v>328.2</v>
      </c>
      <c r="DK86" s="366">
        <v>250.22</v>
      </c>
      <c r="DL86" s="366">
        <v>126.44</v>
      </c>
      <c r="DM86" s="366">
        <v>358.1</v>
      </c>
      <c r="DN86" s="366">
        <v>279.7</v>
      </c>
      <c r="DO86" s="366">
        <v>276.79000000000002</v>
      </c>
      <c r="DP86" s="366">
        <v>172.41</v>
      </c>
      <c r="DQ86" s="366">
        <v>320.83</v>
      </c>
      <c r="DR86" s="366">
        <v>571.08000000000004</v>
      </c>
      <c r="DS86" s="366">
        <v>344.1</v>
      </c>
      <c r="DT86" s="366">
        <v>332.39</v>
      </c>
      <c r="DU86" s="366">
        <v>461.23</v>
      </c>
      <c r="DV86" s="366">
        <v>398.92</v>
      </c>
      <c r="DW86" s="366">
        <v>202.87</v>
      </c>
      <c r="DX86" s="366">
        <v>295.81</v>
      </c>
      <c r="DY86" s="366">
        <v>369.2</v>
      </c>
      <c r="DZ86" s="366">
        <v>220.39</v>
      </c>
      <c r="EA86" s="366">
        <v>326.87</v>
      </c>
      <c r="EB86" s="366">
        <v>363.2</v>
      </c>
      <c r="EC86" s="366">
        <v>296.73</v>
      </c>
      <c r="ED86" s="366">
        <v>294.70999999999998</v>
      </c>
      <c r="EE86" s="366">
        <v>305.5</v>
      </c>
      <c r="EF86" s="366">
        <v>62.64</v>
      </c>
      <c r="EG86" s="366">
        <v>267.39</v>
      </c>
      <c r="EH86" s="366">
        <v>267.39</v>
      </c>
      <c r="EI86" s="366">
        <v>72</v>
      </c>
      <c r="EJ86" s="366">
        <v>559.14</v>
      </c>
      <c r="EK86" s="366">
        <v>171.83</v>
      </c>
      <c r="EL86" s="366">
        <v>171.83</v>
      </c>
      <c r="EM86" s="366">
        <v>265.94</v>
      </c>
      <c r="EN86" s="366">
        <v>265.94</v>
      </c>
      <c r="EO86" s="366">
        <v>142.66</v>
      </c>
      <c r="EP86" s="366">
        <v>126.1</v>
      </c>
      <c r="EQ86" s="366">
        <v>275.58999999999997</v>
      </c>
      <c r="ER86" s="366">
        <v>464.73</v>
      </c>
      <c r="ES86" s="366">
        <v>370.42</v>
      </c>
      <c r="ET86" s="366">
        <v>2.97</v>
      </c>
      <c r="EU86" s="366">
        <v>515.17999999999995</v>
      </c>
      <c r="EV86" s="366">
        <v>223.56</v>
      </c>
      <c r="EW86" s="366">
        <v>71.38</v>
      </c>
      <c r="EX86" s="366">
        <v>347.16</v>
      </c>
      <c r="EY86" s="366">
        <v>347.16</v>
      </c>
      <c r="EZ86" s="366">
        <v>310.48</v>
      </c>
      <c r="FA86" s="366">
        <v>263.11</v>
      </c>
      <c r="FB86" s="366">
        <v>234.52</v>
      </c>
      <c r="FC86" s="366">
        <v>315.95</v>
      </c>
      <c r="FD86" s="366">
        <v>171.14</v>
      </c>
      <c r="FE86" s="366">
        <v>75.83</v>
      </c>
      <c r="FF86" s="366">
        <v>106.69</v>
      </c>
      <c r="FG86" s="366">
        <v>347.04</v>
      </c>
      <c r="FH86" s="366">
        <v>347.04</v>
      </c>
      <c r="FI86" s="366">
        <v>204.43</v>
      </c>
      <c r="FJ86" s="366">
        <v>210.22</v>
      </c>
      <c r="FK86" s="366">
        <v>398.16</v>
      </c>
      <c r="FL86" s="366">
        <v>396.35</v>
      </c>
      <c r="FM86" s="366">
        <v>142.66</v>
      </c>
      <c r="FN86" s="366">
        <v>254.31</v>
      </c>
      <c r="FO86" s="366">
        <v>335.24</v>
      </c>
      <c r="FP86" s="366">
        <v>348.3</v>
      </c>
      <c r="FQ86" s="366">
        <v>339.11</v>
      </c>
      <c r="FR86" s="366">
        <v>279.24</v>
      </c>
      <c r="FS86" s="366">
        <v>107.4</v>
      </c>
      <c r="FT86" s="366">
        <v>343.36</v>
      </c>
      <c r="FU86" s="366">
        <v>131.54</v>
      </c>
      <c r="FV86" s="366">
        <v>579.08000000000004</v>
      </c>
      <c r="FW86" s="366">
        <v>579.08000000000004</v>
      </c>
      <c r="FX86" s="366">
        <v>579.08000000000004</v>
      </c>
      <c r="FY86" s="366">
        <v>212.25</v>
      </c>
      <c r="FZ86" s="366">
        <v>98.7</v>
      </c>
      <c r="GA86" s="366">
        <v>339.4</v>
      </c>
      <c r="GB86" s="366">
        <v>145.87</v>
      </c>
      <c r="GC86" s="366">
        <v>294.70999999999998</v>
      </c>
      <c r="GD86" s="366">
        <v>269.89999999999998</v>
      </c>
      <c r="GE86" s="366">
        <v>284.98</v>
      </c>
      <c r="GF86" s="366">
        <v>145.07</v>
      </c>
      <c r="GG86" s="366">
        <v>145.07</v>
      </c>
      <c r="GH86" s="366">
        <v>387.85</v>
      </c>
      <c r="GI86" s="366">
        <v>142.82</v>
      </c>
      <c r="GJ86" s="366">
        <v>142.66</v>
      </c>
      <c r="GK86" s="366">
        <v>394.71</v>
      </c>
      <c r="GL86" s="366">
        <v>85.67</v>
      </c>
      <c r="GM86" s="366">
        <v>85.67</v>
      </c>
      <c r="GN86" s="366">
        <v>85.67</v>
      </c>
      <c r="GO86" s="366">
        <v>108.1</v>
      </c>
      <c r="GP86" s="366">
        <v>344.81</v>
      </c>
      <c r="GQ86" s="366">
        <v>440.42</v>
      </c>
      <c r="GR86" s="366">
        <v>170.89</v>
      </c>
      <c r="GS86" s="366">
        <v>37.43</v>
      </c>
      <c r="GT86" s="366">
        <v>267.39</v>
      </c>
      <c r="GU86" s="366">
        <v>205.1</v>
      </c>
      <c r="GV86" s="366">
        <v>566.33000000000004</v>
      </c>
      <c r="GW86" s="366">
        <v>89.99</v>
      </c>
      <c r="GX86" s="366">
        <v>263.95999999999998</v>
      </c>
      <c r="GY86" s="366">
        <v>39.380000000000003</v>
      </c>
      <c r="GZ86" s="366">
        <v>170.86</v>
      </c>
      <c r="HA86" s="366">
        <v>340.65</v>
      </c>
      <c r="HB86" s="366">
        <v>340.65</v>
      </c>
      <c r="HC86" s="366">
        <v>340.65</v>
      </c>
      <c r="HD86" s="366">
        <v>256.68</v>
      </c>
      <c r="HE86" s="366">
        <v>259.79000000000002</v>
      </c>
      <c r="HF86" s="366">
        <v>216.08</v>
      </c>
      <c r="HG86" s="366">
        <v>343.73</v>
      </c>
      <c r="HH86" s="366">
        <v>343.73</v>
      </c>
      <c r="HI86" s="366">
        <v>343.73</v>
      </c>
      <c r="HJ86" s="366">
        <v>124.2</v>
      </c>
      <c r="HK86" s="366">
        <v>194.01</v>
      </c>
      <c r="HL86" s="366">
        <v>279.33</v>
      </c>
      <c r="HM86" s="366">
        <v>139.94</v>
      </c>
      <c r="HN86" s="366">
        <v>142.66</v>
      </c>
      <c r="HO86" s="366">
        <v>548.38</v>
      </c>
      <c r="HP86" s="366">
        <v>171.58</v>
      </c>
      <c r="HQ86" s="366">
        <v>579.08000000000004</v>
      </c>
      <c r="HR86" s="366">
        <v>400.39</v>
      </c>
      <c r="HS86" s="366">
        <v>138.91</v>
      </c>
      <c r="HT86" s="366">
        <v>21.23</v>
      </c>
      <c r="HU86" s="366">
        <v>18.48</v>
      </c>
      <c r="HV86" s="366">
        <v>90.21</v>
      </c>
    </row>
    <row r="87" spans="1:230">
      <c r="A87" s="366" t="s">
        <v>108</v>
      </c>
      <c r="B87" s="366">
        <v>634.33000000000004</v>
      </c>
      <c r="C87" s="366">
        <v>284.01</v>
      </c>
      <c r="D87" s="366">
        <v>184.78</v>
      </c>
      <c r="E87" s="366">
        <v>184.78</v>
      </c>
      <c r="F87" s="366">
        <v>698.23</v>
      </c>
      <c r="G87" s="366">
        <v>505.8</v>
      </c>
      <c r="H87" s="366">
        <v>228.4</v>
      </c>
      <c r="I87" s="366">
        <v>124.85</v>
      </c>
      <c r="J87" s="366">
        <v>252.18</v>
      </c>
      <c r="K87" s="366">
        <v>252.18</v>
      </c>
      <c r="L87" s="366">
        <v>175.39</v>
      </c>
      <c r="M87" s="366">
        <v>309.43</v>
      </c>
      <c r="N87" s="366">
        <v>406.33</v>
      </c>
      <c r="O87" s="366">
        <v>126.8</v>
      </c>
      <c r="P87" s="366">
        <v>126.8</v>
      </c>
      <c r="Q87" s="366">
        <v>126.8</v>
      </c>
      <c r="R87" s="366">
        <v>126.8</v>
      </c>
      <c r="S87" s="366">
        <v>126.8</v>
      </c>
      <c r="T87" s="366">
        <v>199.35</v>
      </c>
      <c r="U87" s="366">
        <v>613.84</v>
      </c>
      <c r="V87" s="366">
        <v>238.25</v>
      </c>
      <c r="W87" s="366">
        <v>342.71</v>
      </c>
      <c r="X87" s="366">
        <v>342.71</v>
      </c>
      <c r="Y87" s="366">
        <v>342.71</v>
      </c>
      <c r="Z87" s="366">
        <v>275.99</v>
      </c>
      <c r="AA87" s="366">
        <v>499.97</v>
      </c>
      <c r="AB87" s="366">
        <v>259.08999999999997</v>
      </c>
      <c r="AC87" s="366">
        <v>261.55</v>
      </c>
      <c r="AD87" s="366">
        <v>261.55</v>
      </c>
      <c r="AE87" s="366">
        <v>133.88</v>
      </c>
      <c r="AF87" s="366">
        <v>519.54</v>
      </c>
      <c r="AG87" s="366">
        <v>344.23</v>
      </c>
      <c r="AH87" s="366">
        <v>78.8</v>
      </c>
      <c r="AI87" s="366">
        <v>78.8</v>
      </c>
      <c r="AJ87" s="366">
        <v>78.8</v>
      </c>
      <c r="AK87" s="366">
        <v>298.19</v>
      </c>
      <c r="AL87" s="366">
        <v>298.19</v>
      </c>
      <c r="AM87" s="366">
        <v>261.81</v>
      </c>
      <c r="AN87" s="366">
        <v>85.97</v>
      </c>
      <c r="AO87" s="366">
        <v>512.91999999999996</v>
      </c>
      <c r="AP87" s="366">
        <v>188.07</v>
      </c>
      <c r="AQ87" s="366">
        <v>654.77</v>
      </c>
      <c r="AR87" s="366">
        <v>314.95</v>
      </c>
      <c r="AS87" s="366">
        <v>99.94</v>
      </c>
      <c r="AT87" s="366">
        <v>99.94</v>
      </c>
      <c r="AU87" s="366">
        <v>153.11000000000001</v>
      </c>
      <c r="AV87" s="366">
        <v>644.89</v>
      </c>
      <c r="AW87" s="366">
        <v>296.5</v>
      </c>
      <c r="AX87" s="366">
        <v>145.44999999999999</v>
      </c>
      <c r="AY87" s="366">
        <v>442.04</v>
      </c>
      <c r="AZ87" s="366">
        <v>252.63</v>
      </c>
      <c r="BA87" s="366">
        <v>475.15</v>
      </c>
      <c r="BB87" s="366">
        <v>444.93</v>
      </c>
      <c r="BC87" s="366">
        <v>417.21</v>
      </c>
      <c r="BD87" s="366">
        <v>326.98</v>
      </c>
      <c r="BE87" s="366">
        <v>242.31</v>
      </c>
      <c r="BF87" s="366">
        <v>256.06</v>
      </c>
      <c r="BG87" s="366">
        <v>283.54000000000002</v>
      </c>
      <c r="BH87" s="366">
        <v>126.8</v>
      </c>
      <c r="BI87" s="366">
        <v>314.98</v>
      </c>
      <c r="BJ87" s="366">
        <v>221.66</v>
      </c>
      <c r="BK87" s="366">
        <v>320.41000000000003</v>
      </c>
      <c r="BL87" s="366">
        <v>177.78</v>
      </c>
      <c r="BM87" s="366">
        <v>200.99</v>
      </c>
      <c r="BN87" s="366">
        <v>540.16</v>
      </c>
      <c r="BO87" s="366">
        <v>362.61</v>
      </c>
      <c r="BP87" s="366">
        <v>328.47</v>
      </c>
      <c r="BQ87" s="366">
        <v>104.15</v>
      </c>
      <c r="BR87" s="366">
        <v>104.15</v>
      </c>
      <c r="BS87" s="366">
        <v>260.2</v>
      </c>
      <c r="BT87" s="366">
        <v>299.41000000000003</v>
      </c>
      <c r="BU87" s="366">
        <v>239.59</v>
      </c>
      <c r="BV87" s="366">
        <v>259.20999999999998</v>
      </c>
      <c r="BW87" s="366">
        <v>212.4</v>
      </c>
      <c r="BX87" s="366">
        <v>201.29</v>
      </c>
      <c r="BY87" s="366">
        <v>265.73</v>
      </c>
      <c r="BZ87" s="366">
        <v>265.73</v>
      </c>
      <c r="CA87" s="366">
        <v>328.44</v>
      </c>
      <c r="CB87" s="366">
        <v>219.72</v>
      </c>
      <c r="CC87" s="366">
        <v>116.62</v>
      </c>
      <c r="CD87" s="366">
        <v>119.02</v>
      </c>
      <c r="CE87" s="366">
        <v>303.64</v>
      </c>
      <c r="CF87" s="366">
        <v>518.27</v>
      </c>
      <c r="CG87" s="366">
        <v>518.27</v>
      </c>
      <c r="CH87" s="366">
        <v>119.15</v>
      </c>
      <c r="CI87" s="366">
        <v>0</v>
      </c>
      <c r="CJ87" s="366">
        <v>529.22</v>
      </c>
      <c r="CK87" s="366">
        <v>270.82</v>
      </c>
      <c r="CL87" s="366">
        <v>166.9</v>
      </c>
      <c r="CM87" s="366">
        <v>363.49</v>
      </c>
      <c r="CN87" s="366">
        <v>171.03</v>
      </c>
      <c r="CO87" s="366">
        <v>313.56</v>
      </c>
      <c r="CP87" s="366">
        <v>97.46</v>
      </c>
      <c r="CQ87" s="366">
        <v>97.46</v>
      </c>
      <c r="CR87" s="366">
        <v>265.95999999999998</v>
      </c>
      <c r="CS87" s="366">
        <v>265.95999999999998</v>
      </c>
      <c r="CT87" s="366">
        <v>275.39999999999998</v>
      </c>
      <c r="CU87" s="366">
        <v>267.52999999999997</v>
      </c>
      <c r="CV87" s="366">
        <v>270.13</v>
      </c>
      <c r="CW87" s="366">
        <v>238.25</v>
      </c>
      <c r="CX87" s="366">
        <v>135.69</v>
      </c>
      <c r="CY87" s="366">
        <v>409.91</v>
      </c>
      <c r="CZ87" s="366">
        <v>431.15</v>
      </c>
      <c r="DA87" s="366">
        <v>344.38</v>
      </c>
      <c r="DB87" s="366">
        <v>217.64</v>
      </c>
      <c r="DC87" s="366">
        <v>217.64</v>
      </c>
      <c r="DD87" s="366">
        <v>329.87</v>
      </c>
      <c r="DE87" s="366">
        <v>422.01</v>
      </c>
      <c r="DF87" s="366">
        <v>682.69</v>
      </c>
      <c r="DG87" s="366">
        <v>29.65</v>
      </c>
      <c r="DH87" s="366">
        <v>484.57</v>
      </c>
      <c r="DI87" s="366">
        <v>384.09</v>
      </c>
      <c r="DJ87" s="366">
        <v>447.35</v>
      </c>
      <c r="DK87" s="366">
        <v>163.71</v>
      </c>
      <c r="DL87" s="366">
        <v>245.59</v>
      </c>
      <c r="DM87" s="366">
        <v>271.58999999999997</v>
      </c>
      <c r="DN87" s="366">
        <v>398.85</v>
      </c>
      <c r="DO87" s="366">
        <v>190.28</v>
      </c>
      <c r="DP87" s="366">
        <v>291.56</v>
      </c>
      <c r="DQ87" s="366">
        <v>223.74</v>
      </c>
      <c r="DR87" s="366">
        <v>484.57</v>
      </c>
      <c r="DS87" s="366">
        <v>291.43</v>
      </c>
      <c r="DT87" s="366">
        <v>279.72000000000003</v>
      </c>
      <c r="DU87" s="366">
        <v>368.54</v>
      </c>
      <c r="DV87" s="366">
        <v>301.83</v>
      </c>
      <c r="DW87" s="366">
        <v>116.36</v>
      </c>
      <c r="DX87" s="366">
        <v>198.72</v>
      </c>
      <c r="DY87" s="366">
        <v>272.11</v>
      </c>
      <c r="DZ87" s="366">
        <v>339.54</v>
      </c>
      <c r="EA87" s="366">
        <v>297.23</v>
      </c>
      <c r="EB87" s="366">
        <v>266.11</v>
      </c>
      <c r="EC87" s="366">
        <v>210.22</v>
      </c>
      <c r="ED87" s="366">
        <v>413.86</v>
      </c>
      <c r="EE87" s="366">
        <v>424.65</v>
      </c>
      <c r="EF87" s="366">
        <v>181.79</v>
      </c>
      <c r="EG87" s="366">
        <v>296.5</v>
      </c>
      <c r="EH87" s="366">
        <v>296.5</v>
      </c>
      <c r="EI87" s="366">
        <v>102.67</v>
      </c>
      <c r="EJ87" s="366">
        <v>472.63</v>
      </c>
      <c r="EK87" s="366">
        <v>66.22</v>
      </c>
      <c r="EL87" s="366">
        <v>66.22</v>
      </c>
      <c r="EM87" s="366">
        <v>168.85</v>
      </c>
      <c r="EN87" s="366">
        <v>168.85</v>
      </c>
      <c r="EO87" s="366">
        <v>261.81</v>
      </c>
      <c r="EP87" s="366">
        <v>184.67</v>
      </c>
      <c r="EQ87" s="366">
        <v>284.89</v>
      </c>
      <c r="ER87" s="366">
        <v>583.88</v>
      </c>
      <c r="ES87" s="366">
        <v>283.91000000000003</v>
      </c>
      <c r="ET87" s="366">
        <v>122.12</v>
      </c>
      <c r="EU87" s="366">
        <v>634.33000000000004</v>
      </c>
      <c r="EV87" s="366">
        <v>342.71</v>
      </c>
      <c r="EW87" s="366">
        <v>103.59</v>
      </c>
      <c r="EX87" s="366">
        <v>260.64999999999998</v>
      </c>
      <c r="EY87" s="366">
        <v>260.64999999999998</v>
      </c>
      <c r="EZ87" s="366">
        <v>191.33</v>
      </c>
      <c r="FA87" s="366">
        <v>166.02</v>
      </c>
      <c r="FB87" s="366">
        <v>148.01</v>
      </c>
      <c r="FC87" s="366">
        <v>218.86</v>
      </c>
      <c r="FD87" s="366">
        <v>51.99</v>
      </c>
      <c r="FE87" s="366">
        <v>106.5</v>
      </c>
      <c r="FF87" s="366">
        <v>81.680000000000007</v>
      </c>
      <c r="FG87" s="366">
        <v>466.19</v>
      </c>
      <c r="FH87" s="366">
        <v>466.19</v>
      </c>
      <c r="FI87" s="366">
        <v>323.58</v>
      </c>
      <c r="FJ87" s="366">
        <v>329.37</v>
      </c>
      <c r="FK87" s="366">
        <v>311.64999999999998</v>
      </c>
      <c r="FL87" s="366">
        <v>309.83999999999997</v>
      </c>
      <c r="FM87" s="366">
        <v>261.81</v>
      </c>
      <c r="FN87" s="366">
        <v>373.46</v>
      </c>
      <c r="FO87" s="366">
        <v>305.60000000000002</v>
      </c>
      <c r="FP87" s="366">
        <v>251.21</v>
      </c>
      <c r="FQ87" s="366">
        <v>309.47000000000003</v>
      </c>
      <c r="FR87" s="366">
        <v>192.73</v>
      </c>
      <c r="FS87" s="366">
        <v>82.39</v>
      </c>
      <c r="FT87" s="366">
        <v>462.51</v>
      </c>
      <c r="FU87" s="366">
        <v>12.39</v>
      </c>
      <c r="FV87" s="366">
        <v>698.23</v>
      </c>
      <c r="FW87" s="366">
        <v>698.23</v>
      </c>
      <c r="FX87" s="366">
        <v>698.23</v>
      </c>
      <c r="FY87" s="366">
        <v>115.16</v>
      </c>
      <c r="FZ87" s="366">
        <v>96.41</v>
      </c>
      <c r="GA87" s="366">
        <v>242.31</v>
      </c>
      <c r="GB87" s="366">
        <v>120.86</v>
      </c>
      <c r="GC87" s="366">
        <v>413.86</v>
      </c>
      <c r="GD87" s="366">
        <v>183.39</v>
      </c>
      <c r="GE87" s="366">
        <v>275.5</v>
      </c>
      <c r="GF87" s="366">
        <v>25.92</v>
      </c>
      <c r="GG87" s="366">
        <v>25.92</v>
      </c>
      <c r="GH87" s="366">
        <v>290.76</v>
      </c>
      <c r="GI87" s="366">
        <v>261.97000000000003</v>
      </c>
      <c r="GJ87" s="366">
        <v>261.81</v>
      </c>
      <c r="GK87" s="366">
        <v>308.2</v>
      </c>
      <c r="GL87" s="366">
        <v>89</v>
      </c>
      <c r="GM87" s="366">
        <v>89</v>
      </c>
      <c r="GN87" s="366">
        <v>89</v>
      </c>
      <c r="GO87" s="366">
        <v>227.25</v>
      </c>
      <c r="GP87" s="366">
        <v>247.72</v>
      </c>
      <c r="GQ87" s="366">
        <v>353.91</v>
      </c>
      <c r="GR87" s="366">
        <v>290.04000000000002</v>
      </c>
      <c r="GS87" s="366">
        <v>156.58000000000001</v>
      </c>
      <c r="GT87" s="366">
        <v>296.5</v>
      </c>
      <c r="GU87" s="366">
        <v>118.59</v>
      </c>
      <c r="GV87" s="366">
        <v>479.82</v>
      </c>
      <c r="GW87" s="366">
        <v>64.98</v>
      </c>
      <c r="GX87" s="366">
        <v>293.07</v>
      </c>
      <c r="GY87" s="366">
        <v>79.77</v>
      </c>
      <c r="GZ87" s="366">
        <v>51.71</v>
      </c>
      <c r="HA87" s="366">
        <v>311.01</v>
      </c>
      <c r="HB87" s="366">
        <v>311.01</v>
      </c>
      <c r="HC87" s="366">
        <v>311.01</v>
      </c>
      <c r="HD87" s="366">
        <v>375.83</v>
      </c>
      <c r="HE87" s="366">
        <v>162.69999999999999</v>
      </c>
      <c r="HF87" s="366">
        <v>118.99</v>
      </c>
      <c r="HG87" s="366">
        <v>246.64</v>
      </c>
      <c r="HH87" s="366">
        <v>246.64</v>
      </c>
      <c r="HI87" s="366">
        <v>246.64</v>
      </c>
      <c r="HJ87" s="366">
        <v>5.05</v>
      </c>
      <c r="HK87" s="366">
        <v>313.16000000000003</v>
      </c>
      <c r="HL87" s="366">
        <v>160.18</v>
      </c>
      <c r="HM87" s="366">
        <v>259.08999999999997</v>
      </c>
      <c r="HN87" s="366">
        <v>261.81</v>
      </c>
      <c r="HO87" s="366">
        <v>667.53</v>
      </c>
      <c r="HP87" s="366">
        <v>52.43</v>
      </c>
      <c r="HQ87" s="366">
        <v>698.23</v>
      </c>
      <c r="HR87" s="366">
        <v>519.54</v>
      </c>
      <c r="HS87" s="366">
        <v>258.06</v>
      </c>
      <c r="HT87" s="366">
        <v>140.38</v>
      </c>
      <c r="HU87" s="366">
        <v>107.63</v>
      </c>
      <c r="HV87" s="366">
        <v>125.95</v>
      </c>
    </row>
    <row r="88" spans="1:230">
      <c r="A88" s="366" t="s">
        <v>109</v>
      </c>
      <c r="B88" s="366">
        <v>176.31</v>
      </c>
      <c r="C88" s="366">
        <v>690.32</v>
      </c>
      <c r="D88" s="366">
        <v>494.23</v>
      </c>
      <c r="E88" s="366">
        <v>494.23</v>
      </c>
      <c r="F88" s="366">
        <v>240.21</v>
      </c>
      <c r="G88" s="366">
        <v>35.08</v>
      </c>
      <c r="H88" s="366">
        <v>450.61</v>
      </c>
      <c r="I88" s="366">
        <v>404.37</v>
      </c>
      <c r="J88" s="366">
        <v>426.83</v>
      </c>
      <c r="K88" s="366">
        <v>426.83</v>
      </c>
      <c r="L88" s="366">
        <v>512.14</v>
      </c>
      <c r="M88" s="366">
        <v>715.74</v>
      </c>
      <c r="N88" s="366">
        <v>812.64</v>
      </c>
      <c r="O88" s="366">
        <v>656.02</v>
      </c>
      <c r="P88" s="366">
        <v>656.02</v>
      </c>
      <c r="Q88" s="366">
        <v>656.02</v>
      </c>
      <c r="R88" s="366">
        <v>656.02</v>
      </c>
      <c r="S88" s="366">
        <v>656.02</v>
      </c>
      <c r="T88" s="366">
        <v>329.87</v>
      </c>
      <c r="U88" s="366">
        <v>84.76</v>
      </c>
      <c r="V88" s="366">
        <v>745.41</v>
      </c>
      <c r="W88" s="366">
        <v>315.54000000000002</v>
      </c>
      <c r="X88" s="366">
        <v>315.54000000000002</v>
      </c>
      <c r="Y88" s="366">
        <v>315.54000000000002</v>
      </c>
      <c r="Z88" s="366">
        <v>783.15</v>
      </c>
      <c r="AA88" s="366">
        <v>29.25</v>
      </c>
      <c r="AB88" s="366">
        <v>299.2</v>
      </c>
      <c r="AC88" s="366">
        <v>267.67</v>
      </c>
      <c r="AD88" s="366">
        <v>267.67</v>
      </c>
      <c r="AE88" s="366">
        <v>545.13</v>
      </c>
      <c r="AF88" s="366">
        <v>9.68</v>
      </c>
      <c r="AG88" s="366">
        <v>347.06</v>
      </c>
      <c r="AH88" s="366">
        <v>450.42</v>
      </c>
      <c r="AI88" s="366">
        <v>450.42</v>
      </c>
      <c r="AJ88" s="366">
        <v>450.42</v>
      </c>
      <c r="AK88" s="366">
        <v>805.35</v>
      </c>
      <c r="AL88" s="366">
        <v>805.35</v>
      </c>
      <c r="AM88" s="366">
        <v>301.92</v>
      </c>
      <c r="AN88" s="366">
        <v>615.19000000000005</v>
      </c>
      <c r="AO88" s="366">
        <v>51.69</v>
      </c>
      <c r="AP88" s="366">
        <v>348.99</v>
      </c>
      <c r="AQ88" s="366">
        <v>196.75</v>
      </c>
      <c r="AR88" s="366">
        <v>466.57</v>
      </c>
      <c r="AS88" s="366">
        <v>587.59</v>
      </c>
      <c r="AT88" s="366">
        <v>587.59</v>
      </c>
      <c r="AU88" s="366">
        <v>660.27</v>
      </c>
      <c r="AV88" s="366">
        <v>115.81</v>
      </c>
      <c r="AW88" s="366">
        <v>389.37</v>
      </c>
      <c r="AX88" s="366">
        <v>392.03</v>
      </c>
      <c r="AY88" s="366">
        <v>848.35</v>
      </c>
      <c r="AZ88" s="366">
        <v>658.94</v>
      </c>
      <c r="BA88" s="366">
        <v>228.3</v>
      </c>
      <c r="BB88" s="366">
        <v>851.24</v>
      </c>
      <c r="BC88" s="366">
        <v>147.4</v>
      </c>
      <c r="BD88" s="366">
        <v>237.63</v>
      </c>
      <c r="BE88" s="366">
        <v>749.47</v>
      </c>
      <c r="BF88" s="366">
        <v>296.17</v>
      </c>
      <c r="BG88" s="366">
        <v>790.7</v>
      </c>
      <c r="BH88" s="366">
        <v>656.02</v>
      </c>
      <c r="BI88" s="366">
        <v>466.6</v>
      </c>
      <c r="BJ88" s="366">
        <v>728.82</v>
      </c>
      <c r="BK88" s="366">
        <v>726.72</v>
      </c>
      <c r="BL88" s="366">
        <v>501.23</v>
      </c>
      <c r="BM88" s="366">
        <v>478.02</v>
      </c>
      <c r="BN88" s="366">
        <v>11.08</v>
      </c>
      <c r="BO88" s="366">
        <v>768.92</v>
      </c>
      <c r="BP88" s="366">
        <v>734.78</v>
      </c>
      <c r="BQ88" s="366">
        <v>425.07</v>
      </c>
      <c r="BR88" s="366">
        <v>425.07</v>
      </c>
      <c r="BS88" s="366">
        <v>666.51</v>
      </c>
      <c r="BT88" s="366">
        <v>458.52</v>
      </c>
      <c r="BU88" s="366">
        <v>289.63</v>
      </c>
      <c r="BV88" s="366">
        <v>299.32</v>
      </c>
      <c r="BW88" s="366">
        <v>719.56</v>
      </c>
      <c r="BX88" s="366">
        <v>607.6</v>
      </c>
      <c r="BY88" s="366">
        <v>772.89</v>
      </c>
      <c r="BZ88" s="366">
        <v>772.89</v>
      </c>
      <c r="CA88" s="366">
        <v>350.57</v>
      </c>
      <c r="CB88" s="366">
        <v>626.03</v>
      </c>
      <c r="CC88" s="366">
        <v>420.86</v>
      </c>
      <c r="CD88" s="366">
        <v>434.34</v>
      </c>
      <c r="CE88" s="366">
        <v>709.95</v>
      </c>
      <c r="CF88" s="366">
        <v>47.55</v>
      </c>
      <c r="CG88" s="366">
        <v>47.55</v>
      </c>
      <c r="CH88" s="366">
        <v>410.07</v>
      </c>
      <c r="CI88" s="366">
        <v>529.22</v>
      </c>
      <c r="CJ88" s="366">
        <v>0</v>
      </c>
      <c r="CK88" s="366">
        <v>777.98</v>
      </c>
      <c r="CL88" s="366">
        <v>674.06</v>
      </c>
      <c r="CM88" s="366">
        <v>201.12</v>
      </c>
      <c r="CN88" s="366">
        <v>678.19</v>
      </c>
      <c r="CO88" s="366">
        <v>465.18</v>
      </c>
      <c r="CP88" s="366">
        <v>431.76</v>
      </c>
      <c r="CQ88" s="366">
        <v>431.76</v>
      </c>
      <c r="CR88" s="366">
        <v>416.5</v>
      </c>
      <c r="CS88" s="366">
        <v>416.5</v>
      </c>
      <c r="CT88" s="366">
        <v>407.06</v>
      </c>
      <c r="CU88" s="366">
        <v>414.93</v>
      </c>
      <c r="CV88" s="366">
        <v>408.88</v>
      </c>
      <c r="CW88" s="366">
        <v>745.41</v>
      </c>
      <c r="CX88" s="366">
        <v>408.57</v>
      </c>
      <c r="CY88" s="366">
        <v>163.06</v>
      </c>
      <c r="CZ88" s="366">
        <v>133.46</v>
      </c>
      <c r="DA88" s="366">
        <v>750.69</v>
      </c>
      <c r="DB88" s="366">
        <v>724.8</v>
      </c>
      <c r="DC88" s="366">
        <v>724.8</v>
      </c>
      <c r="DD88" s="366">
        <v>227.39</v>
      </c>
      <c r="DE88" s="366">
        <v>828.32</v>
      </c>
      <c r="DF88" s="366">
        <v>224.67</v>
      </c>
      <c r="DG88" s="366">
        <v>499.57</v>
      </c>
      <c r="DH88" s="366">
        <v>890.88</v>
      </c>
      <c r="DI88" s="366">
        <v>145.13</v>
      </c>
      <c r="DJ88" s="366">
        <v>117.26</v>
      </c>
      <c r="DK88" s="366">
        <v>570.02</v>
      </c>
      <c r="DL88" s="366">
        <v>285.3</v>
      </c>
      <c r="DM88" s="366">
        <v>677.9</v>
      </c>
      <c r="DN88" s="366">
        <v>132.16</v>
      </c>
      <c r="DO88" s="366">
        <v>596.59</v>
      </c>
      <c r="DP88" s="366">
        <v>264.39</v>
      </c>
      <c r="DQ88" s="366">
        <v>730.9</v>
      </c>
      <c r="DR88" s="366">
        <v>890.88</v>
      </c>
      <c r="DS88" s="366">
        <v>466.08</v>
      </c>
      <c r="DT88" s="366">
        <v>454.37</v>
      </c>
      <c r="DU88" s="366">
        <v>781.03</v>
      </c>
      <c r="DV88" s="366">
        <v>808.99</v>
      </c>
      <c r="DW88" s="366">
        <v>571.16999999999996</v>
      </c>
      <c r="DX88" s="366">
        <v>705.88</v>
      </c>
      <c r="DY88" s="366">
        <v>779.27</v>
      </c>
      <c r="DZ88" s="366">
        <v>216.41</v>
      </c>
      <c r="EA88" s="366">
        <v>448.85</v>
      </c>
      <c r="EB88" s="366">
        <v>773.27</v>
      </c>
      <c r="EC88" s="366">
        <v>468.79</v>
      </c>
      <c r="ED88" s="366">
        <v>115.36</v>
      </c>
      <c r="EE88" s="366">
        <v>105.48</v>
      </c>
      <c r="EF88" s="366">
        <v>355.27</v>
      </c>
      <c r="EG88" s="366">
        <v>389.37</v>
      </c>
      <c r="EH88" s="366">
        <v>389.37</v>
      </c>
      <c r="EI88" s="366">
        <v>434.81</v>
      </c>
      <c r="EJ88" s="366">
        <v>878.94</v>
      </c>
      <c r="EK88" s="366">
        <v>581.9</v>
      </c>
      <c r="EL88" s="366">
        <v>581.9</v>
      </c>
      <c r="EM88" s="366">
        <v>676.01</v>
      </c>
      <c r="EN88" s="366">
        <v>676.01</v>
      </c>
      <c r="EO88" s="366">
        <v>301.92</v>
      </c>
      <c r="EP88" s="366">
        <v>352.81</v>
      </c>
      <c r="EQ88" s="366">
        <v>397.57</v>
      </c>
      <c r="ER88" s="366">
        <v>113.16</v>
      </c>
      <c r="ES88" s="366">
        <v>690.22</v>
      </c>
      <c r="ET88" s="366">
        <v>407.1</v>
      </c>
      <c r="EU88" s="366">
        <v>176.31</v>
      </c>
      <c r="EV88" s="366">
        <v>315.54000000000002</v>
      </c>
      <c r="EW88" s="366">
        <v>434.19</v>
      </c>
      <c r="EX88" s="366">
        <v>666.96</v>
      </c>
      <c r="EY88" s="366">
        <v>666.96</v>
      </c>
      <c r="EZ88" s="366">
        <v>720.55</v>
      </c>
      <c r="FA88" s="366">
        <v>673.18</v>
      </c>
      <c r="FB88" s="366">
        <v>554.32000000000005</v>
      </c>
      <c r="FC88" s="366">
        <v>726.02</v>
      </c>
      <c r="FD88" s="366">
        <v>581.21</v>
      </c>
      <c r="FE88" s="366">
        <v>438.64</v>
      </c>
      <c r="FF88" s="366">
        <v>516.76</v>
      </c>
      <c r="FG88" s="366">
        <v>219.34</v>
      </c>
      <c r="FH88" s="366">
        <v>219.34</v>
      </c>
      <c r="FI88" s="366">
        <v>326.41000000000003</v>
      </c>
      <c r="FJ88" s="366">
        <v>332.2</v>
      </c>
      <c r="FK88" s="366">
        <v>717.96</v>
      </c>
      <c r="FL88" s="366">
        <v>716.15</v>
      </c>
      <c r="FM88" s="366">
        <v>301.92</v>
      </c>
      <c r="FN88" s="366">
        <v>346.29</v>
      </c>
      <c r="FO88" s="366">
        <v>457.22</v>
      </c>
      <c r="FP88" s="366">
        <v>758.37</v>
      </c>
      <c r="FQ88" s="366">
        <v>461.09</v>
      </c>
      <c r="FR88" s="366">
        <v>529.48</v>
      </c>
      <c r="FS88" s="366">
        <v>517.47</v>
      </c>
      <c r="FT88" s="366">
        <v>102.1</v>
      </c>
      <c r="FU88" s="366">
        <v>541.61</v>
      </c>
      <c r="FV88" s="366">
        <v>240.21</v>
      </c>
      <c r="FW88" s="366">
        <v>240.21</v>
      </c>
      <c r="FX88" s="366">
        <v>240.21</v>
      </c>
      <c r="FY88" s="366">
        <v>622.32000000000005</v>
      </c>
      <c r="FZ88" s="366">
        <v>461.51</v>
      </c>
      <c r="GA88" s="366">
        <v>749.47</v>
      </c>
      <c r="GB88" s="366">
        <v>555.94000000000005</v>
      </c>
      <c r="GC88" s="366">
        <v>115.36</v>
      </c>
      <c r="GD88" s="366">
        <v>589.70000000000005</v>
      </c>
      <c r="GE88" s="366">
        <v>406.96</v>
      </c>
      <c r="GF88" s="366">
        <v>555.14</v>
      </c>
      <c r="GG88" s="366">
        <v>555.14</v>
      </c>
      <c r="GH88" s="366">
        <v>797.92</v>
      </c>
      <c r="GI88" s="366">
        <v>302.08</v>
      </c>
      <c r="GJ88" s="366">
        <v>301.92</v>
      </c>
      <c r="GK88" s="366">
        <v>714.51</v>
      </c>
      <c r="GL88" s="366">
        <v>448.48</v>
      </c>
      <c r="GM88" s="366">
        <v>448.48</v>
      </c>
      <c r="GN88" s="366">
        <v>448.48</v>
      </c>
      <c r="GO88" s="366">
        <v>309.81</v>
      </c>
      <c r="GP88" s="366">
        <v>754.88</v>
      </c>
      <c r="GQ88" s="366">
        <v>760.22</v>
      </c>
      <c r="GR88" s="366">
        <v>239.18</v>
      </c>
      <c r="GS88" s="366">
        <v>372.64</v>
      </c>
      <c r="GT88" s="366">
        <v>389.37</v>
      </c>
      <c r="GU88" s="366">
        <v>563.29999999999995</v>
      </c>
      <c r="GV88" s="366">
        <v>886.13</v>
      </c>
      <c r="GW88" s="366">
        <v>472.94</v>
      </c>
      <c r="GX88" s="366">
        <v>385.94</v>
      </c>
      <c r="GY88" s="366">
        <v>449.45</v>
      </c>
      <c r="GZ88" s="366">
        <v>580.92999999999995</v>
      </c>
      <c r="HA88" s="366">
        <v>462.63</v>
      </c>
      <c r="HB88" s="366">
        <v>462.63</v>
      </c>
      <c r="HC88" s="366">
        <v>462.63</v>
      </c>
      <c r="HD88" s="366">
        <v>180.12</v>
      </c>
      <c r="HE88" s="366">
        <v>669.86</v>
      </c>
      <c r="HF88" s="366">
        <v>626.15</v>
      </c>
      <c r="HG88" s="366">
        <v>753.8</v>
      </c>
      <c r="HH88" s="366">
        <v>753.8</v>
      </c>
      <c r="HI88" s="366">
        <v>753.8</v>
      </c>
      <c r="HJ88" s="366">
        <v>534.27</v>
      </c>
      <c r="HK88" s="366">
        <v>315.99</v>
      </c>
      <c r="HL88" s="366">
        <v>689.4</v>
      </c>
      <c r="HM88" s="366">
        <v>299.2</v>
      </c>
      <c r="HN88" s="366">
        <v>301.92</v>
      </c>
      <c r="HO88" s="366">
        <v>144.47</v>
      </c>
      <c r="HP88" s="366">
        <v>581.65</v>
      </c>
      <c r="HQ88" s="366">
        <v>240.21</v>
      </c>
      <c r="HR88" s="366">
        <v>9.68</v>
      </c>
      <c r="HS88" s="366">
        <v>298.17</v>
      </c>
      <c r="HT88" s="366">
        <v>401.87</v>
      </c>
      <c r="HU88" s="366">
        <v>428.55</v>
      </c>
      <c r="HV88" s="366">
        <v>453.02</v>
      </c>
    </row>
    <row r="89" spans="1:230">
      <c r="A89" s="366" t="s">
        <v>110</v>
      </c>
      <c r="B89" s="366">
        <v>883.09</v>
      </c>
      <c r="C89" s="366">
        <v>428.55</v>
      </c>
      <c r="D89" s="366">
        <v>329.32</v>
      </c>
      <c r="E89" s="366">
        <v>329.32</v>
      </c>
      <c r="F89" s="366">
        <v>946.99</v>
      </c>
      <c r="G89" s="366">
        <v>754.56</v>
      </c>
      <c r="H89" s="366">
        <v>372.94</v>
      </c>
      <c r="I89" s="366">
        <v>373.61</v>
      </c>
      <c r="J89" s="366">
        <v>396.72</v>
      </c>
      <c r="K89" s="366">
        <v>396.72</v>
      </c>
      <c r="L89" s="366">
        <v>319.93</v>
      </c>
      <c r="M89" s="366">
        <v>453.97</v>
      </c>
      <c r="N89" s="366">
        <v>504.28</v>
      </c>
      <c r="O89" s="366">
        <v>216.9</v>
      </c>
      <c r="P89" s="366">
        <v>216.9</v>
      </c>
      <c r="Q89" s="366">
        <v>216.9</v>
      </c>
      <c r="R89" s="366">
        <v>216.9</v>
      </c>
      <c r="S89" s="366">
        <v>216.9</v>
      </c>
      <c r="T89" s="366">
        <v>448.11</v>
      </c>
      <c r="U89" s="366">
        <v>862.6</v>
      </c>
      <c r="V89" s="366">
        <v>32.57</v>
      </c>
      <c r="W89" s="366">
        <v>591.47</v>
      </c>
      <c r="X89" s="366">
        <v>591.47</v>
      </c>
      <c r="Y89" s="366">
        <v>591.47</v>
      </c>
      <c r="Z89" s="366">
        <v>319.44</v>
      </c>
      <c r="AA89" s="366">
        <v>748.73</v>
      </c>
      <c r="AB89" s="366">
        <v>507.85</v>
      </c>
      <c r="AC89" s="366">
        <v>510.31</v>
      </c>
      <c r="AD89" s="366">
        <v>510.31</v>
      </c>
      <c r="AE89" s="366">
        <v>278.42</v>
      </c>
      <c r="AF89" s="366">
        <v>768.3</v>
      </c>
      <c r="AG89" s="366">
        <v>592.99</v>
      </c>
      <c r="AH89" s="366">
        <v>327.56</v>
      </c>
      <c r="AI89" s="366">
        <v>327.56</v>
      </c>
      <c r="AJ89" s="366">
        <v>327.56</v>
      </c>
      <c r="AK89" s="366">
        <v>341.64</v>
      </c>
      <c r="AL89" s="366">
        <v>341.64</v>
      </c>
      <c r="AM89" s="366">
        <v>510.57</v>
      </c>
      <c r="AN89" s="366">
        <v>257.73</v>
      </c>
      <c r="AO89" s="366">
        <v>761.68</v>
      </c>
      <c r="AP89" s="366">
        <v>436.83</v>
      </c>
      <c r="AQ89" s="366">
        <v>903.53</v>
      </c>
      <c r="AR89" s="366">
        <v>459.49</v>
      </c>
      <c r="AS89" s="366">
        <v>244.48</v>
      </c>
      <c r="AT89" s="366">
        <v>244.48</v>
      </c>
      <c r="AU89" s="366">
        <v>117.71</v>
      </c>
      <c r="AV89" s="366">
        <v>893.65</v>
      </c>
      <c r="AW89" s="366">
        <v>441.04</v>
      </c>
      <c r="AX89" s="366">
        <v>394.21</v>
      </c>
      <c r="AY89" s="366">
        <v>539.99</v>
      </c>
      <c r="AZ89" s="366">
        <v>397.17</v>
      </c>
      <c r="BA89" s="366">
        <v>723.91</v>
      </c>
      <c r="BB89" s="366">
        <v>542.88</v>
      </c>
      <c r="BC89" s="366">
        <v>665.97</v>
      </c>
      <c r="BD89" s="366">
        <v>575.74</v>
      </c>
      <c r="BE89" s="366">
        <v>28.51</v>
      </c>
      <c r="BF89" s="366">
        <v>504.82</v>
      </c>
      <c r="BG89" s="366">
        <v>326.99</v>
      </c>
      <c r="BH89" s="366">
        <v>216.9</v>
      </c>
      <c r="BI89" s="366">
        <v>459.52</v>
      </c>
      <c r="BJ89" s="366">
        <v>265.11</v>
      </c>
      <c r="BK89" s="366">
        <v>464.95</v>
      </c>
      <c r="BL89" s="366">
        <v>322.32</v>
      </c>
      <c r="BM89" s="366">
        <v>345.53</v>
      </c>
      <c r="BN89" s="366">
        <v>788.92</v>
      </c>
      <c r="BO89" s="366">
        <v>507.15</v>
      </c>
      <c r="BP89" s="366">
        <v>473.01</v>
      </c>
      <c r="BQ89" s="366">
        <v>352.91</v>
      </c>
      <c r="BR89" s="366">
        <v>352.91</v>
      </c>
      <c r="BS89" s="366">
        <v>404.74</v>
      </c>
      <c r="BT89" s="366">
        <v>443.95</v>
      </c>
      <c r="BU89" s="366">
        <v>488.35</v>
      </c>
      <c r="BV89" s="366">
        <v>507.97</v>
      </c>
      <c r="BW89" s="366">
        <v>85.78</v>
      </c>
      <c r="BX89" s="366">
        <v>345.83</v>
      </c>
      <c r="BY89" s="366">
        <v>34.130000000000003</v>
      </c>
      <c r="BZ89" s="366">
        <v>34.130000000000003</v>
      </c>
      <c r="CA89" s="366">
        <v>472.98</v>
      </c>
      <c r="CB89" s="366">
        <v>364.26</v>
      </c>
      <c r="CC89" s="366">
        <v>365.38</v>
      </c>
      <c r="CD89" s="366">
        <v>367.78</v>
      </c>
      <c r="CE89" s="366">
        <v>448.18</v>
      </c>
      <c r="CF89" s="366">
        <v>767.03</v>
      </c>
      <c r="CG89" s="366">
        <v>767.03</v>
      </c>
      <c r="CH89" s="366">
        <v>367.91</v>
      </c>
      <c r="CI89" s="366">
        <v>270.82</v>
      </c>
      <c r="CJ89" s="366">
        <v>777.98</v>
      </c>
      <c r="CK89" s="366">
        <v>0</v>
      </c>
      <c r="CL89" s="366">
        <v>131.5</v>
      </c>
      <c r="CM89" s="366">
        <v>612.25</v>
      </c>
      <c r="CN89" s="366">
        <v>214.48</v>
      </c>
      <c r="CO89" s="366">
        <v>458.1</v>
      </c>
      <c r="CP89" s="366">
        <v>346.22</v>
      </c>
      <c r="CQ89" s="366">
        <v>346.22</v>
      </c>
      <c r="CR89" s="366">
        <v>410.5</v>
      </c>
      <c r="CS89" s="366">
        <v>410.5</v>
      </c>
      <c r="CT89" s="366">
        <v>419.94</v>
      </c>
      <c r="CU89" s="366">
        <v>412.07</v>
      </c>
      <c r="CV89" s="366">
        <v>414.67</v>
      </c>
      <c r="CW89" s="366">
        <v>32.57</v>
      </c>
      <c r="CX89" s="366">
        <v>384.45</v>
      </c>
      <c r="CY89" s="366">
        <v>658.67</v>
      </c>
      <c r="CZ89" s="366">
        <v>679.91</v>
      </c>
      <c r="DA89" s="366">
        <v>442.33</v>
      </c>
      <c r="DB89" s="366">
        <v>261.08999999999997</v>
      </c>
      <c r="DC89" s="366">
        <v>261.08999999999997</v>
      </c>
      <c r="DD89" s="366">
        <v>578.63</v>
      </c>
      <c r="DE89" s="366">
        <v>519.96</v>
      </c>
      <c r="DF89" s="366">
        <v>931.45</v>
      </c>
      <c r="DG89" s="366">
        <v>300.47000000000003</v>
      </c>
      <c r="DH89" s="366">
        <v>582.52</v>
      </c>
      <c r="DI89" s="366">
        <v>632.85</v>
      </c>
      <c r="DJ89" s="366">
        <v>696.11</v>
      </c>
      <c r="DK89" s="366">
        <v>308.25</v>
      </c>
      <c r="DL89" s="366">
        <v>494.35</v>
      </c>
      <c r="DM89" s="366">
        <v>416.13</v>
      </c>
      <c r="DN89" s="366">
        <v>647.61</v>
      </c>
      <c r="DO89" s="366">
        <v>334.82</v>
      </c>
      <c r="DP89" s="366">
        <v>540.32000000000005</v>
      </c>
      <c r="DQ89" s="366">
        <v>68</v>
      </c>
      <c r="DR89" s="366">
        <v>582.52</v>
      </c>
      <c r="DS89" s="366">
        <v>435.97</v>
      </c>
      <c r="DT89" s="366">
        <v>424.26</v>
      </c>
      <c r="DU89" s="366">
        <v>411.99</v>
      </c>
      <c r="DV89" s="366">
        <v>345.28</v>
      </c>
      <c r="DW89" s="366">
        <v>260.89999999999998</v>
      </c>
      <c r="DX89" s="366">
        <v>72.099999999999994</v>
      </c>
      <c r="DY89" s="366">
        <v>1.29</v>
      </c>
      <c r="DZ89" s="366">
        <v>588.29999999999995</v>
      </c>
      <c r="EA89" s="366">
        <v>441.77</v>
      </c>
      <c r="EB89" s="366">
        <v>4.71</v>
      </c>
      <c r="EC89" s="366">
        <v>354.76</v>
      </c>
      <c r="ED89" s="366">
        <v>662.62</v>
      </c>
      <c r="EE89" s="366">
        <v>673.41</v>
      </c>
      <c r="EF89" s="366">
        <v>430.55</v>
      </c>
      <c r="EG89" s="366">
        <v>441.04</v>
      </c>
      <c r="EH89" s="366">
        <v>441.04</v>
      </c>
      <c r="EI89" s="366">
        <v>351.43</v>
      </c>
      <c r="EJ89" s="366">
        <v>617.16999999999996</v>
      </c>
      <c r="EK89" s="366">
        <v>229.86</v>
      </c>
      <c r="EL89" s="366">
        <v>229.86</v>
      </c>
      <c r="EM89" s="366">
        <v>164.74</v>
      </c>
      <c r="EN89" s="366">
        <v>164.74</v>
      </c>
      <c r="EO89" s="366">
        <v>510.57</v>
      </c>
      <c r="EP89" s="366">
        <v>433.43</v>
      </c>
      <c r="EQ89" s="366">
        <v>429.43</v>
      </c>
      <c r="ER89" s="366">
        <v>832.64</v>
      </c>
      <c r="ES89" s="366">
        <v>428.45</v>
      </c>
      <c r="ET89" s="366">
        <v>370.88</v>
      </c>
      <c r="EU89" s="366">
        <v>883.09</v>
      </c>
      <c r="EV89" s="366">
        <v>591.47</v>
      </c>
      <c r="EW89" s="366">
        <v>352.35</v>
      </c>
      <c r="EX89" s="366">
        <v>405.19</v>
      </c>
      <c r="EY89" s="366">
        <v>405.19</v>
      </c>
      <c r="EZ89" s="366">
        <v>185.26</v>
      </c>
      <c r="FA89" s="366">
        <v>130.62</v>
      </c>
      <c r="FB89" s="366">
        <v>292.55</v>
      </c>
      <c r="FC89" s="366">
        <v>92.24</v>
      </c>
      <c r="FD89" s="366">
        <v>257.99</v>
      </c>
      <c r="FE89" s="366">
        <v>355.26</v>
      </c>
      <c r="FF89" s="366">
        <v>330.44</v>
      </c>
      <c r="FG89" s="366">
        <v>714.95</v>
      </c>
      <c r="FH89" s="366">
        <v>714.95</v>
      </c>
      <c r="FI89" s="366">
        <v>572.34</v>
      </c>
      <c r="FJ89" s="366">
        <v>578.13</v>
      </c>
      <c r="FK89" s="366">
        <v>456.19</v>
      </c>
      <c r="FL89" s="366">
        <v>454.38</v>
      </c>
      <c r="FM89" s="366">
        <v>510.57</v>
      </c>
      <c r="FN89" s="366">
        <v>622.22</v>
      </c>
      <c r="FO89" s="366">
        <v>450.14</v>
      </c>
      <c r="FP89" s="366">
        <v>19.61</v>
      </c>
      <c r="FQ89" s="366">
        <v>454.01</v>
      </c>
      <c r="FR89" s="366">
        <v>337.27</v>
      </c>
      <c r="FS89" s="366">
        <v>260.51</v>
      </c>
      <c r="FT89" s="366">
        <v>711.27</v>
      </c>
      <c r="FU89" s="366">
        <v>258.43</v>
      </c>
      <c r="FV89" s="366">
        <v>946.99</v>
      </c>
      <c r="FW89" s="366">
        <v>946.99</v>
      </c>
      <c r="FX89" s="366">
        <v>946.99</v>
      </c>
      <c r="FY89" s="366">
        <v>155.66</v>
      </c>
      <c r="FZ89" s="366">
        <v>345.17</v>
      </c>
      <c r="GA89" s="366">
        <v>28.51</v>
      </c>
      <c r="GB89" s="366">
        <v>298.98</v>
      </c>
      <c r="GC89" s="366">
        <v>662.62</v>
      </c>
      <c r="GD89" s="366">
        <v>327.93</v>
      </c>
      <c r="GE89" s="366">
        <v>420.04</v>
      </c>
      <c r="GF89" s="366">
        <v>244.9</v>
      </c>
      <c r="GG89" s="366">
        <v>244.9</v>
      </c>
      <c r="GH89" s="366">
        <v>59.16</v>
      </c>
      <c r="GI89" s="366">
        <v>510.73</v>
      </c>
      <c r="GJ89" s="366">
        <v>510.57</v>
      </c>
      <c r="GK89" s="366">
        <v>452.74</v>
      </c>
      <c r="GL89" s="366">
        <v>337.76</v>
      </c>
      <c r="GM89" s="366">
        <v>337.76</v>
      </c>
      <c r="GN89" s="366">
        <v>337.76</v>
      </c>
      <c r="GO89" s="366">
        <v>476.01</v>
      </c>
      <c r="GP89" s="366">
        <v>23.1</v>
      </c>
      <c r="GQ89" s="366">
        <v>498.45</v>
      </c>
      <c r="GR89" s="366">
        <v>538.79999999999995</v>
      </c>
      <c r="GS89" s="366">
        <v>405.34</v>
      </c>
      <c r="GT89" s="366">
        <v>441.04</v>
      </c>
      <c r="GU89" s="366">
        <v>263.13</v>
      </c>
      <c r="GV89" s="366">
        <v>624.36</v>
      </c>
      <c r="GW89" s="366">
        <v>313.74</v>
      </c>
      <c r="GX89" s="366">
        <v>437.61</v>
      </c>
      <c r="GY89" s="366">
        <v>328.53</v>
      </c>
      <c r="GZ89" s="366">
        <v>257.70999999999998</v>
      </c>
      <c r="HA89" s="366">
        <v>455.55</v>
      </c>
      <c r="HB89" s="366">
        <v>455.55</v>
      </c>
      <c r="HC89" s="366">
        <v>455.55</v>
      </c>
      <c r="HD89" s="366">
        <v>624.59</v>
      </c>
      <c r="HE89" s="366">
        <v>158.59</v>
      </c>
      <c r="HF89" s="366">
        <v>195.73</v>
      </c>
      <c r="HG89" s="366">
        <v>290.08999999999997</v>
      </c>
      <c r="HH89" s="366">
        <v>290.08999999999997</v>
      </c>
      <c r="HI89" s="366">
        <v>290.08999999999997</v>
      </c>
      <c r="HJ89" s="366">
        <v>265.77</v>
      </c>
      <c r="HK89" s="366">
        <v>513.53</v>
      </c>
      <c r="HL89" s="366">
        <v>183.52</v>
      </c>
      <c r="HM89" s="366">
        <v>507.85</v>
      </c>
      <c r="HN89" s="366">
        <v>510.57</v>
      </c>
      <c r="HO89" s="366">
        <v>916.29</v>
      </c>
      <c r="HP89" s="366">
        <v>258.43</v>
      </c>
      <c r="HQ89" s="366">
        <v>946.99</v>
      </c>
      <c r="HR89" s="366">
        <v>768.3</v>
      </c>
      <c r="HS89" s="366">
        <v>506.82</v>
      </c>
      <c r="HT89" s="366">
        <v>389.14</v>
      </c>
      <c r="HU89" s="366">
        <v>356.39</v>
      </c>
      <c r="HV89" s="366">
        <v>374.71</v>
      </c>
    </row>
    <row r="90" spans="1:230">
      <c r="A90" s="366" t="s">
        <v>111</v>
      </c>
      <c r="B90" s="366">
        <v>779.17</v>
      </c>
      <c r="C90" s="366">
        <v>324.63</v>
      </c>
      <c r="D90" s="366">
        <v>225.4</v>
      </c>
      <c r="E90" s="366">
        <v>225.4</v>
      </c>
      <c r="F90" s="366">
        <v>843.07</v>
      </c>
      <c r="G90" s="366">
        <v>650.64</v>
      </c>
      <c r="H90" s="366">
        <v>269.02</v>
      </c>
      <c r="I90" s="366">
        <v>269.69</v>
      </c>
      <c r="J90" s="366">
        <v>292.8</v>
      </c>
      <c r="K90" s="366">
        <v>292.8</v>
      </c>
      <c r="L90" s="366">
        <v>216.01</v>
      </c>
      <c r="M90" s="366">
        <v>350.05</v>
      </c>
      <c r="N90" s="366">
        <v>400.36</v>
      </c>
      <c r="O90" s="366">
        <v>118.29</v>
      </c>
      <c r="P90" s="366">
        <v>118.29</v>
      </c>
      <c r="Q90" s="366">
        <v>118.29</v>
      </c>
      <c r="R90" s="366">
        <v>118.29</v>
      </c>
      <c r="S90" s="366">
        <v>118.29</v>
      </c>
      <c r="T90" s="366">
        <v>344.19</v>
      </c>
      <c r="U90" s="366">
        <v>758.68</v>
      </c>
      <c r="V90" s="366">
        <v>98.93</v>
      </c>
      <c r="W90" s="366">
        <v>487.55</v>
      </c>
      <c r="X90" s="366">
        <v>487.55</v>
      </c>
      <c r="Y90" s="366">
        <v>487.55</v>
      </c>
      <c r="Z90" s="366">
        <v>215.52</v>
      </c>
      <c r="AA90" s="366">
        <v>644.80999999999995</v>
      </c>
      <c r="AB90" s="366">
        <v>403.93</v>
      </c>
      <c r="AC90" s="366">
        <v>406.39</v>
      </c>
      <c r="AD90" s="366">
        <v>406.39</v>
      </c>
      <c r="AE90" s="366">
        <v>174.5</v>
      </c>
      <c r="AF90" s="366">
        <v>664.38</v>
      </c>
      <c r="AG90" s="366">
        <v>489.07</v>
      </c>
      <c r="AH90" s="366">
        <v>223.64</v>
      </c>
      <c r="AI90" s="366">
        <v>223.64</v>
      </c>
      <c r="AJ90" s="366">
        <v>223.64</v>
      </c>
      <c r="AK90" s="366">
        <v>237.72</v>
      </c>
      <c r="AL90" s="366">
        <v>237.72</v>
      </c>
      <c r="AM90" s="366">
        <v>406.65</v>
      </c>
      <c r="AN90" s="366">
        <v>159.12</v>
      </c>
      <c r="AO90" s="366">
        <v>657.76</v>
      </c>
      <c r="AP90" s="366">
        <v>332.91</v>
      </c>
      <c r="AQ90" s="366">
        <v>799.61</v>
      </c>
      <c r="AR90" s="366">
        <v>355.57</v>
      </c>
      <c r="AS90" s="366">
        <v>140.56</v>
      </c>
      <c r="AT90" s="366">
        <v>140.56</v>
      </c>
      <c r="AU90" s="366">
        <v>13.79</v>
      </c>
      <c r="AV90" s="366">
        <v>789.73</v>
      </c>
      <c r="AW90" s="366">
        <v>337.12</v>
      </c>
      <c r="AX90" s="366">
        <v>290.29000000000002</v>
      </c>
      <c r="AY90" s="366">
        <v>436.07</v>
      </c>
      <c r="AZ90" s="366">
        <v>293.25</v>
      </c>
      <c r="BA90" s="366">
        <v>619.99</v>
      </c>
      <c r="BB90" s="366">
        <v>438.96</v>
      </c>
      <c r="BC90" s="366">
        <v>562.04999999999995</v>
      </c>
      <c r="BD90" s="366">
        <v>471.82</v>
      </c>
      <c r="BE90" s="366">
        <v>102.99</v>
      </c>
      <c r="BF90" s="366">
        <v>400.9</v>
      </c>
      <c r="BG90" s="366">
        <v>223.07</v>
      </c>
      <c r="BH90" s="366">
        <v>118.29</v>
      </c>
      <c r="BI90" s="366">
        <v>355.6</v>
      </c>
      <c r="BJ90" s="366">
        <v>161.19</v>
      </c>
      <c r="BK90" s="366">
        <v>361.03</v>
      </c>
      <c r="BL90" s="366">
        <v>218.4</v>
      </c>
      <c r="BM90" s="366">
        <v>241.61</v>
      </c>
      <c r="BN90" s="366">
        <v>685</v>
      </c>
      <c r="BO90" s="366">
        <v>403.23</v>
      </c>
      <c r="BP90" s="366">
        <v>369.09</v>
      </c>
      <c r="BQ90" s="366">
        <v>248.99</v>
      </c>
      <c r="BR90" s="366">
        <v>248.99</v>
      </c>
      <c r="BS90" s="366">
        <v>300.82</v>
      </c>
      <c r="BT90" s="366">
        <v>340.03</v>
      </c>
      <c r="BU90" s="366">
        <v>384.43</v>
      </c>
      <c r="BV90" s="366">
        <v>404.05</v>
      </c>
      <c r="BW90" s="366">
        <v>73.08</v>
      </c>
      <c r="BX90" s="366">
        <v>241.91</v>
      </c>
      <c r="BY90" s="366">
        <v>126.41</v>
      </c>
      <c r="BZ90" s="366">
        <v>126.41</v>
      </c>
      <c r="CA90" s="366">
        <v>369.06</v>
      </c>
      <c r="CB90" s="366">
        <v>260.33999999999997</v>
      </c>
      <c r="CC90" s="366">
        <v>261.45999999999998</v>
      </c>
      <c r="CD90" s="366">
        <v>263.86</v>
      </c>
      <c r="CE90" s="366">
        <v>344.26</v>
      </c>
      <c r="CF90" s="366">
        <v>663.11</v>
      </c>
      <c r="CG90" s="366">
        <v>663.11</v>
      </c>
      <c r="CH90" s="366">
        <v>263.99</v>
      </c>
      <c r="CI90" s="366">
        <v>166.9</v>
      </c>
      <c r="CJ90" s="366">
        <v>674.06</v>
      </c>
      <c r="CK90" s="366">
        <v>131.5</v>
      </c>
      <c r="CL90" s="366">
        <v>0</v>
      </c>
      <c r="CM90" s="366">
        <v>508.33</v>
      </c>
      <c r="CN90" s="366">
        <v>110.56</v>
      </c>
      <c r="CO90" s="366">
        <v>354.18</v>
      </c>
      <c r="CP90" s="366">
        <v>242.3</v>
      </c>
      <c r="CQ90" s="366">
        <v>242.3</v>
      </c>
      <c r="CR90" s="366">
        <v>306.58</v>
      </c>
      <c r="CS90" s="366">
        <v>306.58</v>
      </c>
      <c r="CT90" s="366">
        <v>316.02</v>
      </c>
      <c r="CU90" s="366">
        <v>308.14999999999998</v>
      </c>
      <c r="CV90" s="366">
        <v>310.75</v>
      </c>
      <c r="CW90" s="366">
        <v>98.93</v>
      </c>
      <c r="CX90" s="366">
        <v>280.52999999999997</v>
      </c>
      <c r="CY90" s="366">
        <v>554.75</v>
      </c>
      <c r="CZ90" s="366">
        <v>575.99</v>
      </c>
      <c r="DA90" s="366">
        <v>338.41</v>
      </c>
      <c r="DB90" s="366">
        <v>157.16999999999999</v>
      </c>
      <c r="DC90" s="366">
        <v>157.16999999999999</v>
      </c>
      <c r="DD90" s="366">
        <v>474.71</v>
      </c>
      <c r="DE90" s="366">
        <v>416.04</v>
      </c>
      <c r="DF90" s="366">
        <v>827.53</v>
      </c>
      <c r="DG90" s="366">
        <v>196.55</v>
      </c>
      <c r="DH90" s="366">
        <v>478.6</v>
      </c>
      <c r="DI90" s="366">
        <v>528.92999999999995</v>
      </c>
      <c r="DJ90" s="366">
        <v>592.19000000000005</v>
      </c>
      <c r="DK90" s="366">
        <v>204.33</v>
      </c>
      <c r="DL90" s="366">
        <v>390.43</v>
      </c>
      <c r="DM90" s="366">
        <v>312.20999999999998</v>
      </c>
      <c r="DN90" s="366">
        <v>543.69000000000005</v>
      </c>
      <c r="DO90" s="366">
        <v>230.9</v>
      </c>
      <c r="DP90" s="366">
        <v>436.4</v>
      </c>
      <c r="DQ90" s="366">
        <v>84.42</v>
      </c>
      <c r="DR90" s="366">
        <v>478.6</v>
      </c>
      <c r="DS90" s="366">
        <v>332.05</v>
      </c>
      <c r="DT90" s="366">
        <v>320.33999999999997</v>
      </c>
      <c r="DU90" s="366">
        <v>308.07</v>
      </c>
      <c r="DV90" s="366">
        <v>241.36</v>
      </c>
      <c r="DW90" s="366">
        <v>156.97999999999999</v>
      </c>
      <c r="DX90" s="366">
        <v>59.4</v>
      </c>
      <c r="DY90" s="366">
        <v>132.79</v>
      </c>
      <c r="DZ90" s="366">
        <v>484.38</v>
      </c>
      <c r="EA90" s="366">
        <v>337.85</v>
      </c>
      <c r="EB90" s="366">
        <v>126.79</v>
      </c>
      <c r="EC90" s="366">
        <v>250.84</v>
      </c>
      <c r="ED90" s="366">
        <v>558.70000000000005</v>
      </c>
      <c r="EE90" s="366">
        <v>569.49</v>
      </c>
      <c r="EF90" s="366">
        <v>326.63</v>
      </c>
      <c r="EG90" s="366">
        <v>337.12</v>
      </c>
      <c r="EH90" s="366">
        <v>337.12</v>
      </c>
      <c r="EI90" s="366">
        <v>247.51</v>
      </c>
      <c r="EJ90" s="366">
        <v>513.25</v>
      </c>
      <c r="EK90" s="366">
        <v>125.94</v>
      </c>
      <c r="EL90" s="366">
        <v>125.94</v>
      </c>
      <c r="EM90" s="366">
        <v>60.82</v>
      </c>
      <c r="EN90" s="366">
        <v>60.82</v>
      </c>
      <c r="EO90" s="366">
        <v>406.65</v>
      </c>
      <c r="EP90" s="366">
        <v>329.51</v>
      </c>
      <c r="EQ90" s="366">
        <v>325.51</v>
      </c>
      <c r="ER90" s="366">
        <v>728.72</v>
      </c>
      <c r="ES90" s="366">
        <v>324.52999999999997</v>
      </c>
      <c r="ET90" s="366">
        <v>266.95999999999998</v>
      </c>
      <c r="EU90" s="366">
        <v>779.17</v>
      </c>
      <c r="EV90" s="366">
        <v>487.55</v>
      </c>
      <c r="EW90" s="366">
        <v>248.43</v>
      </c>
      <c r="EX90" s="366">
        <v>301.27</v>
      </c>
      <c r="EY90" s="366">
        <v>301.27</v>
      </c>
      <c r="EZ90" s="366">
        <v>53.76</v>
      </c>
      <c r="FA90" s="366">
        <v>26.7</v>
      </c>
      <c r="FB90" s="366">
        <v>188.63</v>
      </c>
      <c r="FC90" s="366">
        <v>79.540000000000006</v>
      </c>
      <c r="FD90" s="366">
        <v>154.07</v>
      </c>
      <c r="FE90" s="366">
        <v>251.34</v>
      </c>
      <c r="FF90" s="366">
        <v>226.52</v>
      </c>
      <c r="FG90" s="366">
        <v>611.03</v>
      </c>
      <c r="FH90" s="366">
        <v>611.03</v>
      </c>
      <c r="FI90" s="366">
        <v>468.42</v>
      </c>
      <c r="FJ90" s="366">
        <v>474.21</v>
      </c>
      <c r="FK90" s="366">
        <v>352.27</v>
      </c>
      <c r="FL90" s="366">
        <v>350.46</v>
      </c>
      <c r="FM90" s="366">
        <v>406.65</v>
      </c>
      <c r="FN90" s="366">
        <v>518.29999999999995</v>
      </c>
      <c r="FO90" s="366">
        <v>346.22</v>
      </c>
      <c r="FP90" s="366">
        <v>111.89</v>
      </c>
      <c r="FQ90" s="366">
        <v>350.09</v>
      </c>
      <c r="FR90" s="366">
        <v>233.35</v>
      </c>
      <c r="FS90" s="366">
        <v>156.59</v>
      </c>
      <c r="FT90" s="366">
        <v>607.35</v>
      </c>
      <c r="FU90" s="366">
        <v>154.51</v>
      </c>
      <c r="FV90" s="366">
        <v>843.07</v>
      </c>
      <c r="FW90" s="366">
        <v>843.07</v>
      </c>
      <c r="FX90" s="366">
        <v>843.07</v>
      </c>
      <c r="FY90" s="366">
        <v>51.74</v>
      </c>
      <c r="FZ90" s="366">
        <v>241.25</v>
      </c>
      <c r="GA90" s="366">
        <v>102.99</v>
      </c>
      <c r="GB90" s="366">
        <v>195.06</v>
      </c>
      <c r="GC90" s="366">
        <v>558.70000000000005</v>
      </c>
      <c r="GD90" s="366">
        <v>224.01</v>
      </c>
      <c r="GE90" s="366">
        <v>316.12</v>
      </c>
      <c r="GF90" s="366">
        <v>140.97999999999999</v>
      </c>
      <c r="GG90" s="366">
        <v>140.97999999999999</v>
      </c>
      <c r="GH90" s="366">
        <v>151.44</v>
      </c>
      <c r="GI90" s="366">
        <v>406.81</v>
      </c>
      <c r="GJ90" s="366">
        <v>406.65</v>
      </c>
      <c r="GK90" s="366">
        <v>348.82</v>
      </c>
      <c r="GL90" s="366">
        <v>233.84</v>
      </c>
      <c r="GM90" s="366">
        <v>233.84</v>
      </c>
      <c r="GN90" s="366">
        <v>233.84</v>
      </c>
      <c r="GO90" s="366">
        <v>372.09</v>
      </c>
      <c r="GP90" s="366">
        <v>108.4</v>
      </c>
      <c r="GQ90" s="366">
        <v>394.53</v>
      </c>
      <c r="GR90" s="366">
        <v>434.88</v>
      </c>
      <c r="GS90" s="366">
        <v>301.42</v>
      </c>
      <c r="GT90" s="366">
        <v>337.12</v>
      </c>
      <c r="GU90" s="366">
        <v>159.21</v>
      </c>
      <c r="GV90" s="366">
        <v>520.44000000000005</v>
      </c>
      <c r="GW90" s="366">
        <v>209.82</v>
      </c>
      <c r="GX90" s="366">
        <v>333.69</v>
      </c>
      <c r="GY90" s="366">
        <v>224.61</v>
      </c>
      <c r="GZ90" s="366">
        <v>153.79</v>
      </c>
      <c r="HA90" s="366">
        <v>351.63</v>
      </c>
      <c r="HB90" s="366">
        <v>351.63</v>
      </c>
      <c r="HC90" s="366">
        <v>351.63</v>
      </c>
      <c r="HD90" s="366">
        <v>520.66999999999996</v>
      </c>
      <c r="HE90" s="366">
        <v>54.67</v>
      </c>
      <c r="HF90" s="366">
        <v>91.81</v>
      </c>
      <c r="HG90" s="366">
        <v>186.17</v>
      </c>
      <c r="HH90" s="366">
        <v>186.17</v>
      </c>
      <c r="HI90" s="366">
        <v>186.17</v>
      </c>
      <c r="HJ90" s="366">
        <v>161.85</v>
      </c>
      <c r="HK90" s="366">
        <v>409.61</v>
      </c>
      <c r="HL90" s="366">
        <v>151.66999999999999</v>
      </c>
      <c r="HM90" s="366">
        <v>403.93</v>
      </c>
      <c r="HN90" s="366">
        <v>406.65</v>
      </c>
      <c r="HO90" s="366">
        <v>812.37</v>
      </c>
      <c r="HP90" s="366">
        <v>154.51</v>
      </c>
      <c r="HQ90" s="366">
        <v>843.07</v>
      </c>
      <c r="HR90" s="366">
        <v>664.38</v>
      </c>
      <c r="HS90" s="366">
        <v>402.9</v>
      </c>
      <c r="HT90" s="366">
        <v>285.22000000000003</v>
      </c>
      <c r="HU90" s="366">
        <v>252.47</v>
      </c>
      <c r="HV90" s="366">
        <v>270.79000000000002</v>
      </c>
    </row>
    <row r="91" spans="1:230">
      <c r="A91" s="366" t="s">
        <v>112</v>
      </c>
      <c r="B91" s="366">
        <v>270.83999999999997</v>
      </c>
      <c r="C91" s="366">
        <v>614.86</v>
      </c>
      <c r="D91" s="366">
        <v>499.15</v>
      </c>
      <c r="E91" s="366">
        <v>499.15</v>
      </c>
      <c r="F91" s="366">
        <v>334.74</v>
      </c>
      <c r="G91" s="366">
        <v>166.04</v>
      </c>
      <c r="H91" s="366">
        <v>455.53</v>
      </c>
      <c r="I91" s="366">
        <v>238.64</v>
      </c>
      <c r="J91" s="366">
        <v>431.75</v>
      </c>
      <c r="K91" s="366">
        <v>431.75</v>
      </c>
      <c r="L91" s="366">
        <v>506.24</v>
      </c>
      <c r="M91" s="366">
        <v>640.28</v>
      </c>
      <c r="N91" s="366">
        <v>737.18</v>
      </c>
      <c r="O91" s="366">
        <v>490.29</v>
      </c>
      <c r="P91" s="366">
        <v>490.29</v>
      </c>
      <c r="Q91" s="366">
        <v>490.29</v>
      </c>
      <c r="R91" s="366">
        <v>490.29</v>
      </c>
      <c r="S91" s="366">
        <v>490.29</v>
      </c>
      <c r="T91" s="366">
        <v>164.14</v>
      </c>
      <c r="U91" s="366">
        <v>285.74</v>
      </c>
      <c r="V91" s="366">
        <v>579.67999999999995</v>
      </c>
      <c r="W91" s="366">
        <v>350.46</v>
      </c>
      <c r="X91" s="366">
        <v>350.46</v>
      </c>
      <c r="Y91" s="366">
        <v>350.46</v>
      </c>
      <c r="Z91" s="366">
        <v>617.41999999999996</v>
      </c>
      <c r="AA91" s="366">
        <v>171.87</v>
      </c>
      <c r="AB91" s="366">
        <v>133.47</v>
      </c>
      <c r="AC91" s="366">
        <v>101.94</v>
      </c>
      <c r="AD91" s="366">
        <v>101.94</v>
      </c>
      <c r="AE91" s="366">
        <v>464.73</v>
      </c>
      <c r="AF91" s="366">
        <v>191.44</v>
      </c>
      <c r="AG91" s="366">
        <v>351.98</v>
      </c>
      <c r="AH91" s="366">
        <v>284.69</v>
      </c>
      <c r="AI91" s="366">
        <v>284.69</v>
      </c>
      <c r="AJ91" s="366">
        <v>284.69</v>
      </c>
      <c r="AK91" s="366">
        <v>639.62</v>
      </c>
      <c r="AL91" s="366">
        <v>639.62</v>
      </c>
      <c r="AM91" s="366">
        <v>136.19</v>
      </c>
      <c r="AN91" s="366">
        <v>449.46</v>
      </c>
      <c r="AO91" s="366">
        <v>149.43</v>
      </c>
      <c r="AP91" s="366">
        <v>183.26</v>
      </c>
      <c r="AQ91" s="366">
        <v>291.27999999999997</v>
      </c>
      <c r="AR91" s="366">
        <v>471.49</v>
      </c>
      <c r="AS91" s="366">
        <v>430.79</v>
      </c>
      <c r="AT91" s="366">
        <v>430.79</v>
      </c>
      <c r="AU91" s="366">
        <v>494.54</v>
      </c>
      <c r="AV91" s="366">
        <v>316.79000000000002</v>
      </c>
      <c r="AW91" s="366">
        <v>394.29</v>
      </c>
      <c r="AX91" s="366">
        <v>226.3</v>
      </c>
      <c r="AY91" s="366">
        <v>772.89</v>
      </c>
      <c r="AZ91" s="366">
        <v>583.48</v>
      </c>
      <c r="BA91" s="366">
        <v>111.66</v>
      </c>
      <c r="BB91" s="366">
        <v>775.78</v>
      </c>
      <c r="BC91" s="366">
        <v>53.72</v>
      </c>
      <c r="BD91" s="366">
        <v>36.51</v>
      </c>
      <c r="BE91" s="366">
        <v>583.74</v>
      </c>
      <c r="BF91" s="366">
        <v>130.44</v>
      </c>
      <c r="BG91" s="366">
        <v>624.97</v>
      </c>
      <c r="BH91" s="366">
        <v>490.29</v>
      </c>
      <c r="BI91" s="366">
        <v>471.52</v>
      </c>
      <c r="BJ91" s="366">
        <v>563.09</v>
      </c>
      <c r="BK91" s="366">
        <v>651.26</v>
      </c>
      <c r="BL91" s="366">
        <v>506.15</v>
      </c>
      <c r="BM91" s="366">
        <v>482.94</v>
      </c>
      <c r="BN91" s="366">
        <v>212.06</v>
      </c>
      <c r="BO91" s="366">
        <v>693.46</v>
      </c>
      <c r="BP91" s="366">
        <v>659.32</v>
      </c>
      <c r="BQ91" s="366">
        <v>259.33999999999997</v>
      </c>
      <c r="BR91" s="366">
        <v>259.33999999999997</v>
      </c>
      <c r="BS91" s="366">
        <v>591.04999999999995</v>
      </c>
      <c r="BT91" s="366">
        <v>463.44</v>
      </c>
      <c r="BU91" s="366">
        <v>123.9</v>
      </c>
      <c r="BV91" s="366">
        <v>133.59</v>
      </c>
      <c r="BW91" s="366">
        <v>553.83000000000004</v>
      </c>
      <c r="BX91" s="366">
        <v>532.14</v>
      </c>
      <c r="BY91" s="366">
        <v>607.16</v>
      </c>
      <c r="BZ91" s="366">
        <v>607.16</v>
      </c>
      <c r="CA91" s="366">
        <v>355.49</v>
      </c>
      <c r="CB91" s="366">
        <v>550.57000000000005</v>
      </c>
      <c r="CC91" s="366">
        <v>255.13</v>
      </c>
      <c r="CD91" s="366">
        <v>268.61</v>
      </c>
      <c r="CE91" s="366">
        <v>634.49</v>
      </c>
      <c r="CF91" s="366">
        <v>190.17</v>
      </c>
      <c r="CG91" s="366">
        <v>190.17</v>
      </c>
      <c r="CH91" s="366">
        <v>244.34</v>
      </c>
      <c r="CI91" s="366">
        <v>363.49</v>
      </c>
      <c r="CJ91" s="366">
        <v>201.12</v>
      </c>
      <c r="CK91" s="366">
        <v>612.25</v>
      </c>
      <c r="CL91" s="366">
        <v>508.33</v>
      </c>
      <c r="CM91" s="366">
        <v>0</v>
      </c>
      <c r="CN91" s="366">
        <v>512.46</v>
      </c>
      <c r="CO91" s="366">
        <v>470.1</v>
      </c>
      <c r="CP91" s="366">
        <v>266.02999999999997</v>
      </c>
      <c r="CQ91" s="366">
        <v>266.02999999999997</v>
      </c>
      <c r="CR91" s="366">
        <v>421.42</v>
      </c>
      <c r="CS91" s="366">
        <v>421.42</v>
      </c>
      <c r="CT91" s="366">
        <v>411.98</v>
      </c>
      <c r="CU91" s="366">
        <v>419.85</v>
      </c>
      <c r="CV91" s="366">
        <v>413.8</v>
      </c>
      <c r="CW91" s="366">
        <v>579.67999999999995</v>
      </c>
      <c r="CX91" s="366">
        <v>242.84</v>
      </c>
      <c r="CY91" s="366">
        <v>46.42</v>
      </c>
      <c r="CZ91" s="366">
        <v>67.66</v>
      </c>
      <c r="DA91" s="366">
        <v>675.23</v>
      </c>
      <c r="DB91" s="366">
        <v>559.07000000000005</v>
      </c>
      <c r="DC91" s="366">
        <v>559.07000000000005</v>
      </c>
      <c r="DD91" s="366">
        <v>273.8</v>
      </c>
      <c r="DE91" s="366">
        <v>752.86</v>
      </c>
      <c r="DF91" s="366">
        <v>319.2</v>
      </c>
      <c r="DG91" s="366">
        <v>333.84</v>
      </c>
      <c r="DH91" s="366">
        <v>815.42</v>
      </c>
      <c r="DI91" s="366">
        <v>224.48</v>
      </c>
      <c r="DJ91" s="366">
        <v>83.86</v>
      </c>
      <c r="DK91" s="366">
        <v>494.56</v>
      </c>
      <c r="DL91" s="366">
        <v>119.57</v>
      </c>
      <c r="DM91" s="366">
        <v>602.44000000000005</v>
      </c>
      <c r="DN91" s="366">
        <v>239.24</v>
      </c>
      <c r="DO91" s="366">
        <v>521.13</v>
      </c>
      <c r="DP91" s="366">
        <v>299.31</v>
      </c>
      <c r="DQ91" s="366">
        <v>565.16999999999996</v>
      </c>
      <c r="DR91" s="366">
        <v>815.42</v>
      </c>
      <c r="DS91" s="366">
        <v>471</v>
      </c>
      <c r="DT91" s="366">
        <v>459.29</v>
      </c>
      <c r="DU91" s="366">
        <v>705.57</v>
      </c>
      <c r="DV91" s="366">
        <v>643.26</v>
      </c>
      <c r="DW91" s="366">
        <v>447.21</v>
      </c>
      <c r="DX91" s="366">
        <v>540.15</v>
      </c>
      <c r="DY91" s="366">
        <v>613.54</v>
      </c>
      <c r="DZ91" s="366">
        <v>262.82</v>
      </c>
      <c r="EA91" s="366">
        <v>453.77</v>
      </c>
      <c r="EB91" s="366">
        <v>607.54</v>
      </c>
      <c r="EC91" s="366">
        <v>473.71</v>
      </c>
      <c r="ED91" s="366">
        <v>254.25</v>
      </c>
      <c r="EE91" s="366">
        <v>248.1</v>
      </c>
      <c r="EF91" s="366">
        <v>189.54</v>
      </c>
      <c r="EG91" s="366">
        <v>394.29</v>
      </c>
      <c r="EH91" s="366">
        <v>394.29</v>
      </c>
      <c r="EI91" s="366">
        <v>269.08</v>
      </c>
      <c r="EJ91" s="366">
        <v>803.48</v>
      </c>
      <c r="EK91" s="366">
        <v>416.17</v>
      </c>
      <c r="EL91" s="366">
        <v>416.17</v>
      </c>
      <c r="EM91" s="366">
        <v>510.28</v>
      </c>
      <c r="EN91" s="366">
        <v>510.28</v>
      </c>
      <c r="EO91" s="366">
        <v>136.19</v>
      </c>
      <c r="EP91" s="366">
        <v>187.08</v>
      </c>
      <c r="EQ91" s="366">
        <v>402.49</v>
      </c>
      <c r="ER91" s="366">
        <v>255.78</v>
      </c>
      <c r="ES91" s="366">
        <v>614.76</v>
      </c>
      <c r="ET91" s="366">
        <v>241.37</v>
      </c>
      <c r="EU91" s="366">
        <v>270.83999999999997</v>
      </c>
      <c r="EV91" s="366">
        <v>350.46</v>
      </c>
      <c r="EW91" s="366">
        <v>268.45999999999998</v>
      </c>
      <c r="EX91" s="366">
        <v>591.5</v>
      </c>
      <c r="EY91" s="366">
        <v>591.5</v>
      </c>
      <c r="EZ91" s="366">
        <v>554.82000000000005</v>
      </c>
      <c r="FA91" s="366">
        <v>507.45</v>
      </c>
      <c r="FB91" s="366">
        <v>478.86</v>
      </c>
      <c r="FC91" s="366">
        <v>560.29</v>
      </c>
      <c r="FD91" s="366">
        <v>415.48</v>
      </c>
      <c r="FE91" s="366">
        <v>272.91000000000003</v>
      </c>
      <c r="FF91" s="366">
        <v>351.03</v>
      </c>
      <c r="FG91" s="366">
        <v>102.7</v>
      </c>
      <c r="FH91" s="366">
        <v>102.7</v>
      </c>
      <c r="FI91" s="366">
        <v>331.33</v>
      </c>
      <c r="FJ91" s="366">
        <v>337.12</v>
      </c>
      <c r="FK91" s="366">
        <v>642.5</v>
      </c>
      <c r="FL91" s="366">
        <v>640.69000000000005</v>
      </c>
      <c r="FM91" s="366">
        <v>136.19</v>
      </c>
      <c r="FN91" s="366">
        <v>381.21</v>
      </c>
      <c r="FO91" s="366">
        <v>462.14</v>
      </c>
      <c r="FP91" s="366">
        <v>592.64</v>
      </c>
      <c r="FQ91" s="366">
        <v>466.01</v>
      </c>
      <c r="FR91" s="366">
        <v>523.58000000000004</v>
      </c>
      <c r="FS91" s="366">
        <v>351.74</v>
      </c>
      <c r="FT91" s="366">
        <v>99.02</v>
      </c>
      <c r="FU91" s="366">
        <v>375.88</v>
      </c>
      <c r="FV91" s="366">
        <v>334.74</v>
      </c>
      <c r="FW91" s="366">
        <v>334.74</v>
      </c>
      <c r="FX91" s="366">
        <v>334.74</v>
      </c>
      <c r="FY91" s="366">
        <v>456.59</v>
      </c>
      <c r="FZ91" s="366">
        <v>295.77999999999997</v>
      </c>
      <c r="GA91" s="366">
        <v>583.74</v>
      </c>
      <c r="GB91" s="366">
        <v>390.21</v>
      </c>
      <c r="GC91" s="366">
        <v>254.25</v>
      </c>
      <c r="GD91" s="366">
        <v>514.24</v>
      </c>
      <c r="GE91" s="366">
        <v>411.88</v>
      </c>
      <c r="GF91" s="366">
        <v>389.41</v>
      </c>
      <c r="GG91" s="366">
        <v>389.41</v>
      </c>
      <c r="GH91" s="366">
        <v>632.19000000000005</v>
      </c>
      <c r="GI91" s="366">
        <v>136.35</v>
      </c>
      <c r="GJ91" s="366">
        <v>136.19</v>
      </c>
      <c r="GK91" s="366">
        <v>639.04999999999995</v>
      </c>
      <c r="GL91" s="366">
        <v>282.75</v>
      </c>
      <c r="GM91" s="366">
        <v>282.75</v>
      </c>
      <c r="GN91" s="366">
        <v>282.75</v>
      </c>
      <c r="GO91" s="366">
        <v>144.08000000000001</v>
      </c>
      <c r="GP91" s="366">
        <v>589.15</v>
      </c>
      <c r="GQ91" s="366">
        <v>684.76</v>
      </c>
      <c r="GR91" s="366">
        <v>130.43</v>
      </c>
      <c r="GS91" s="366">
        <v>206.91</v>
      </c>
      <c r="GT91" s="366">
        <v>394.29</v>
      </c>
      <c r="GU91" s="366">
        <v>449.44</v>
      </c>
      <c r="GV91" s="366">
        <v>810.67</v>
      </c>
      <c r="GW91" s="366">
        <v>307.20999999999998</v>
      </c>
      <c r="GX91" s="366">
        <v>390.86</v>
      </c>
      <c r="GY91" s="366">
        <v>283.72000000000003</v>
      </c>
      <c r="GZ91" s="366">
        <v>415.2</v>
      </c>
      <c r="HA91" s="366">
        <v>467.55</v>
      </c>
      <c r="HB91" s="366">
        <v>467.55</v>
      </c>
      <c r="HC91" s="366">
        <v>467.55</v>
      </c>
      <c r="HD91" s="366">
        <v>226.53</v>
      </c>
      <c r="HE91" s="366">
        <v>504.13</v>
      </c>
      <c r="HF91" s="366">
        <v>460.42</v>
      </c>
      <c r="HG91" s="366">
        <v>588.07000000000005</v>
      </c>
      <c r="HH91" s="366">
        <v>588.07000000000005</v>
      </c>
      <c r="HI91" s="366">
        <v>588.07000000000005</v>
      </c>
      <c r="HJ91" s="366">
        <v>368.54</v>
      </c>
      <c r="HK91" s="366">
        <v>320.91000000000003</v>
      </c>
      <c r="HL91" s="366">
        <v>523.66999999999996</v>
      </c>
      <c r="HM91" s="366">
        <v>133.47</v>
      </c>
      <c r="HN91" s="366">
        <v>136.19</v>
      </c>
      <c r="HO91" s="366">
        <v>304.04000000000002</v>
      </c>
      <c r="HP91" s="366">
        <v>415.92</v>
      </c>
      <c r="HQ91" s="366">
        <v>334.74</v>
      </c>
      <c r="HR91" s="366">
        <v>191.44</v>
      </c>
      <c r="HS91" s="366">
        <v>132.44</v>
      </c>
      <c r="HT91" s="366">
        <v>236.14</v>
      </c>
      <c r="HU91" s="366">
        <v>262.82</v>
      </c>
      <c r="HV91" s="366">
        <v>287.29000000000002</v>
      </c>
    </row>
    <row r="92" spans="1:230">
      <c r="A92" s="366" t="s">
        <v>113</v>
      </c>
      <c r="B92" s="366">
        <v>783.3</v>
      </c>
      <c r="C92" s="366">
        <v>288.22000000000003</v>
      </c>
      <c r="D92" s="366">
        <v>229.53</v>
      </c>
      <c r="E92" s="366">
        <v>229.53</v>
      </c>
      <c r="F92" s="366">
        <v>847.2</v>
      </c>
      <c r="G92" s="366">
        <v>654.77</v>
      </c>
      <c r="H92" s="366">
        <v>273.14999999999998</v>
      </c>
      <c r="I92" s="366">
        <v>273.82</v>
      </c>
      <c r="J92" s="366">
        <v>296.93</v>
      </c>
      <c r="K92" s="366">
        <v>296.93</v>
      </c>
      <c r="L92" s="366">
        <v>220.14</v>
      </c>
      <c r="M92" s="366">
        <v>313.83999999999997</v>
      </c>
      <c r="N92" s="366">
        <v>289.8</v>
      </c>
      <c r="O92" s="366">
        <v>228.85</v>
      </c>
      <c r="P92" s="366">
        <v>228.85</v>
      </c>
      <c r="Q92" s="366">
        <v>228.85</v>
      </c>
      <c r="R92" s="366">
        <v>228.85</v>
      </c>
      <c r="S92" s="366">
        <v>228.85</v>
      </c>
      <c r="T92" s="366">
        <v>348.32</v>
      </c>
      <c r="U92" s="366">
        <v>762.81</v>
      </c>
      <c r="V92" s="366">
        <v>181.91</v>
      </c>
      <c r="W92" s="366">
        <v>491.68</v>
      </c>
      <c r="X92" s="366">
        <v>491.68</v>
      </c>
      <c r="Y92" s="366">
        <v>491.68</v>
      </c>
      <c r="Z92" s="366">
        <v>104.96</v>
      </c>
      <c r="AA92" s="366">
        <v>648.94000000000005</v>
      </c>
      <c r="AB92" s="366">
        <v>408.06</v>
      </c>
      <c r="AC92" s="366">
        <v>410.52</v>
      </c>
      <c r="AD92" s="366">
        <v>410.52</v>
      </c>
      <c r="AE92" s="366">
        <v>178.63</v>
      </c>
      <c r="AF92" s="366">
        <v>668.51</v>
      </c>
      <c r="AG92" s="366">
        <v>493.2</v>
      </c>
      <c r="AH92" s="366">
        <v>227.77</v>
      </c>
      <c r="AI92" s="366">
        <v>227.77</v>
      </c>
      <c r="AJ92" s="366">
        <v>227.77</v>
      </c>
      <c r="AK92" s="366">
        <v>127.16</v>
      </c>
      <c r="AL92" s="366">
        <v>127.16</v>
      </c>
      <c r="AM92" s="366">
        <v>410.78</v>
      </c>
      <c r="AN92" s="366">
        <v>192.18</v>
      </c>
      <c r="AO92" s="366">
        <v>661.89</v>
      </c>
      <c r="AP92" s="366">
        <v>337.04</v>
      </c>
      <c r="AQ92" s="366">
        <v>803.74</v>
      </c>
      <c r="AR92" s="366">
        <v>359.7</v>
      </c>
      <c r="AS92" s="366">
        <v>144.69</v>
      </c>
      <c r="AT92" s="366">
        <v>144.69</v>
      </c>
      <c r="AU92" s="366">
        <v>96.77</v>
      </c>
      <c r="AV92" s="366">
        <v>793.86</v>
      </c>
      <c r="AW92" s="366">
        <v>341.25</v>
      </c>
      <c r="AX92" s="366">
        <v>294.42</v>
      </c>
      <c r="AY92" s="366">
        <v>325.51</v>
      </c>
      <c r="AZ92" s="366">
        <v>297.38</v>
      </c>
      <c r="BA92" s="366">
        <v>624.12</v>
      </c>
      <c r="BB92" s="366">
        <v>328.4</v>
      </c>
      <c r="BC92" s="366">
        <v>566.17999999999995</v>
      </c>
      <c r="BD92" s="366">
        <v>475.95</v>
      </c>
      <c r="BE92" s="366">
        <v>185.97</v>
      </c>
      <c r="BF92" s="366">
        <v>405.03</v>
      </c>
      <c r="BG92" s="366">
        <v>112.51</v>
      </c>
      <c r="BH92" s="366">
        <v>228.85</v>
      </c>
      <c r="BI92" s="366">
        <v>359.73</v>
      </c>
      <c r="BJ92" s="366">
        <v>50.63</v>
      </c>
      <c r="BK92" s="366">
        <v>365.16</v>
      </c>
      <c r="BL92" s="366">
        <v>222.53</v>
      </c>
      <c r="BM92" s="366">
        <v>245.74</v>
      </c>
      <c r="BN92" s="366">
        <v>689.13</v>
      </c>
      <c r="BO92" s="366">
        <v>407.36</v>
      </c>
      <c r="BP92" s="366">
        <v>373.22</v>
      </c>
      <c r="BQ92" s="366">
        <v>253.12</v>
      </c>
      <c r="BR92" s="366">
        <v>253.12</v>
      </c>
      <c r="BS92" s="366">
        <v>304.95</v>
      </c>
      <c r="BT92" s="366">
        <v>344.16</v>
      </c>
      <c r="BU92" s="366">
        <v>388.56</v>
      </c>
      <c r="BV92" s="366">
        <v>408.18</v>
      </c>
      <c r="BW92" s="366">
        <v>156.06</v>
      </c>
      <c r="BX92" s="366">
        <v>246.04</v>
      </c>
      <c r="BY92" s="366">
        <v>209.39</v>
      </c>
      <c r="BZ92" s="366">
        <v>209.39</v>
      </c>
      <c r="CA92" s="366">
        <v>373.19</v>
      </c>
      <c r="CB92" s="366">
        <v>264.47000000000003</v>
      </c>
      <c r="CC92" s="366">
        <v>265.58999999999997</v>
      </c>
      <c r="CD92" s="366">
        <v>267.99</v>
      </c>
      <c r="CE92" s="366">
        <v>348.39</v>
      </c>
      <c r="CF92" s="366">
        <v>667.24</v>
      </c>
      <c r="CG92" s="366">
        <v>667.24</v>
      </c>
      <c r="CH92" s="366">
        <v>268.12</v>
      </c>
      <c r="CI92" s="366">
        <v>171.03</v>
      </c>
      <c r="CJ92" s="366">
        <v>678.19</v>
      </c>
      <c r="CK92" s="366">
        <v>214.48</v>
      </c>
      <c r="CL92" s="366">
        <v>110.56</v>
      </c>
      <c r="CM92" s="366">
        <v>512.46</v>
      </c>
      <c r="CN92" s="366">
        <v>0</v>
      </c>
      <c r="CO92" s="366">
        <v>358.31</v>
      </c>
      <c r="CP92" s="366">
        <v>246.43</v>
      </c>
      <c r="CQ92" s="366">
        <v>246.43</v>
      </c>
      <c r="CR92" s="366">
        <v>310.70999999999998</v>
      </c>
      <c r="CS92" s="366">
        <v>310.70999999999998</v>
      </c>
      <c r="CT92" s="366">
        <v>320.14999999999998</v>
      </c>
      <c r="CU92" s="366">
        <v>312.27999999999997</v>
      </c>
      <c r="CV92" s="366">
        <v>314.88</v>
      </c>
      <c r="CW92" s="366">
        <v>181.91</v>
      </c>
      <c r="CX92" s="366">
        <v>284.66000000000003</v>
      </c>
      <c r="CY92" s="366">
        <v>558.88</v>
      </c>
      <c r="CZ92" s="366">
        <v>580.12</v>
      </c>
      <c r="DA92" s="366">
        <v>227.85</v>
      </c>
      <c r="DB92" s="366">
        <v>46.61</v>
      </c>
      <c r="DC92" s="366">
        <v>46.61</v>
      </c>
      <c r="DD92" s="366">
        <v>478.84</v>
      </c>
      <c r="DE92" s="366">
        <v>305.48</v>
      </c>
      <c r="DF92" s="366">
        <v>831.66</v>
      </c>
      <c r="DG92" s="366">
        <v>200.68</v>
      </c>
      <c r="DH92" s="366">
        <v>368.04</v>
      </c>
      <c r="DI92" s="366">
        <v>533.05999999999995</v>
      </c>
      <c r="DJ92" s="366">
        <v>596.32000000000005</v>
      </c>
      <c r="DK92" s="366">
        <v>208.46</v>
      </c>
      <c r="DL92" s="366">
        <v>394.56</v>
      </c>
      <c r="DM92" s="366">
        <v>300.64</v>
      </c>
      <c r="DN92" s="366">
        <v>547.82000000000005</v>
      </c>
      <c r="DO92" s="366">
        <v>235.03</v>
      </c>
      <c r="DP92" s="366">
        <v>440.53</v>
      </c>
      <c r="DQ92" s="366">
        <v>167.4</v>
      </c>
      <c r="DR92" s="366">
        <v>368.04</v>
      </c>
      <c r="DS92" s="366">
        <v>336.18</v>
      </c>
      <c r="DT92" s="366">
        <v>324.47000000000003</v>
      </c>
      <c r="DU92" s="366">
        <v>197.51</v>
      </c>
      <c r="DV92" s="366">
        <v>130.80000000000001</v>
      </c>
      <c r="DW92" s="366">
        <v>161.11000000000001</v>
      </c>
      <c r="DX92" s="366">
        <v>142.38</v>
      </c>
      <c r="DY92" s="366">
        <v>215.77</v>
      </c>
      <c r="DZ92" s="366">
        <v>488.51</v>
      </c>
      <c r="EA92" s="366">
        <v>341.98</v>
      </c>
      <c r="EB92" s="366">
        <v>209.77</v>
      </c>
      <c r="EC92" s="366">
        <v>254.97</v>
      </c>
      <c r="ED92" s="366">
        <v>562.83000000000004</v>
      </c>
      <c r="EE92" s="366">
        <v>573.62</v>
      </c>
      <c r="EF92" s="366">
        <v>330.76</v>
      </c>
      <c r="EG92" s="366">
        <v>341.25</v>
      </c>
      <c r="EH92" s="366">
        <v>341.25</v>
      </c>
      <c r="EI92" s="366">
        <v>251.64</v>
      </c>
      <c r="EJ92" s="366">
        <v>517.38</v>
      </c>
      <c r="EK92" s="366">
        <v>130.07</v>
      </c>
      <c r="EL92" s="366">
        <v>130.07</v>
      </c>
      <c r="EM92" s="366">
        <v>62.04</v>
      </c>
      <c r="EN92" s="366">
        <v>62.04</v>
      </c>
      <c r="EO92" s="366">
        <v>410.78</v>
      </c>
      <c r="EP92" s="366">
        <v>333.64</v>
      </c>
      <c r="EQ92" s="366">
        <v>329.64</v>
      </c>
      <c r="ER92" s="366">
        <v>732.85</v>
      </c>
      <c r="ES92" s="366">
        <v>288.32</v>
      </c>
      <c r="ET92" s="366">
        <v>271.08999999999997</v>
      </c>
      <c r="EU92" s="366">
        <v>783.3</v>
      </c>
      <c r="EV92" s="366">
        <v>491.68</v>
      </c>
      <c r="EW92" s="366">
        <v>252.56</v>
      </c>
      <c r="EX92" s="366">
        <v>305.39999999999998</v>
      </c>
      <c r="EY92" s="366">
        <v>305.39999999999998</v>
      </c>
      <c r="EZ92" s="366">
        <v>164.32</v>
      </c>
      <c r="FA92" s="366">
        <v>83.86</v>
      </c>
      <c r="FB92" s="366">
        <v>192.76</v>
      </c>
      <c r="FC92" s="366">
        <v>162.52000000000001</v>
      </c>
      <c r="FD92" s="366">
        <v>158.19999999999999</v>
      </c>
      <c r="FE92" s="366">
        <v>255.47</v>
      </c>
      <c r="FF92" s="366">
        <v>230.65</v>
      </c>
      <c r="FG92" s="366">
        <v>615.16</v>
      </c>
      <c r="FH92" s="366">
        <v>615.16</v>
      </c>
      <c r="FI92" s="366">
        <v>472.55</v>
      </c>
      <c r="FJ92" s="366">
        <v>478.34</v>
      </c>
      <c r="FK92" s="366">
        <v>316.06</v>
      </c>
      <c r="FL92" s="366">
        <v>314.25</v>
      </c>
      <c r="FM92" s="366">
        <v>410.78</v>
      </c>
      <c r="FN92" s="366">
        <v>522.42999999999995</v>
      </c>
      <c r="FO92" s="366">
        <v>350.35</v>
      </c>
      <c r="FP92" s="366">
        <v>194.87</v>
      </c>
      <c r="FQ92" s="366">
        <v>354.22</v>
      </c>
      <c r="FR92" s="366">
        <v>237.48</v>
      </c>
      <c r="FS92" s="366">
        <v>160.72</v>
      </c>
      <c r="FT92" s="366">
        <v>611.48</v>
      </c>
      <c r="FU92" s="366">
        <v>158.63999999999999</v>
      </c>
      <c r="FV92" s="366">
        <v>847.2</v>
      </c>
      <c r="FW92" s="366">
        <v>847.2</v>
      </c>
      <c r="FX92" s="366">
        <v>847.2</v>
      </c>
      <c r="FY92" s="366">
        <v>92.11</v>
      </c>
      <c r="FZ92" s="366">
        <v>245.38</v>
      </c>
      <c r="GA92" s="366">
        <v>185.97</v>
      </c>
      <c r="GB92" s="366">
        <v>199.19</v>
      </c>
      <c r="GC92" s="366">
        <v>562.83000000000004</v>
      </c>
      <c r="GD92" s="366">
        <v>228.14</v>
      </c>
      <c r="GE92" s="366">
        <v>320.25</v>
      </c>
      <c r="GF92" s="366">
        <v>145.11000000000001</v>
      </c>
      <c r="GG92" s="366">
        <v>145.11000000000001</v>
      </c>
      <c r="GH92" s="366">
        <v>234.42</v>
      </c>
      <c r="GI92" s="366">
        <v>410.94</v>
      </c>
      <c r="GJ92" s="366">
        <v>410.78</v>
      </c>
      <c r="GK92" s="366">
        <v>312.61</v>
      </c>
      <c r="GL92" s="366">
        <v>237.97</v>
      </c>
      <c r="GM92" s="366">
        <v>237.97</v>
      </c>
      <c r="GN92" s="366">
        <v>237.97</v>
      </c>
      <c r="GO92" s="366">
        <v>376.22</v>
      </c>
      <c r="GP92" s="366">
        <v>191.38</v>
      </c>
      <c r="GQ92" s="366">
        <v>398.66</v>
      </c>
      <c r="GR92" s="366">
        <v>439.01</v>
      </c>
      <c r="GS92" s="366">
        <v>305.55</v>
      </c>
      <c r="GT92" s="366">
        <v>341.25</v>
      </c>
      <c r="GU92" s="366">
        <v>163.34</v>
      </c>
      <c r="GV92" s="366">
        <v>524.57000000000005</v>
      </c>
      <c r="GW92" s="366">
        <v>213.95</v>
      </c>
      <c r="GX92" s="366">
        <v>337.82</v>
      </c>
      <c r="GY92" s="366">
        <v>228.74</v>
      </c>
      <c r="GZ92" s="366">
        <v>157.91999999999999</v>
      </c>
      <c r="HA92" s="366">
        <v>355.76</v>
      </c>
      <c r="HB92" s="366">
        <v>355.76</v>
      </c>
      <c r="HC92" s="366">
        <v>355.76</v>
      </c>
      <c r="HD92" s="366">
        <v>524.79999999999995</v>
      </c>
      <c r="HE92" s="366">
        <v>55.89</v>
      </c>
      <c r="HF92" s="366">
        <v>52.76</v>
      </c>
      <c r="HG92" s="366">
        <v>75.61</v>
      </c>
      <c r="HH92" s="366">
        <v>75.61</v>
      </c>
      <c r="HI92" s="366">
        <v>75.61</v>
      </c>
      <c r="HJ92" s="366">
        <v>165.98</v>
      </c>
      <c r="HK92" s="366">
        <v>413.74</v>
      </c>
      <c r="HL92" s="366">
        <v>262.23</v>
      </c>
      <c r="HM92" s="366">
        <v>408.06</v>
      </c>
      <c r="HN92" s="366">
        <v>410.78</v>
      </c>
      <c r="HO92" s="366">
        <v>816.5</v>
      </c>
      <c r="HP92" s="366">
        <v>158.63999999999999</v>
      </c>
      <c r="HQ92" s="366">
        <v>847.2</v>
      </c>
      <c r="HR92" s="366">
        <v>668.51</v>
      </c>
      <c r="HS92" s="366">
        <v>407.03</v>
      </c>
      <c r="HT92" s="366">
        <v>289.35000000000002</v>
      </c>
      <c r="HU92" s="366">
        <v>256.60000000000002</v>
      </c>
      <c r="HV92" s="366">
        <v>274.92</v>
      </c>
    </row>
    <row r="93" spans="1:230">
      <c r="A93" s="366" t="s">
        <v>114</v>
      </c>
      <c r="B93" s="366">
        <v>641.35</v>
      </c>
      <c r="C93" s="366">
        <v>324.87</v>
      </c>
      <c r="D93" s="366">
        <v>128.78</v>
      </c>
      <c r="E93" s="366">
        <v>128.78</v>
      </c>
      <c r="F93" s="366">
        <v>705.25</v>
      </c>
      <c r="G93" s="366">
        <v>441.76</v>
      </c>
      <c r="H93" s="366">
        <v>85.16</v>
      </c>
      <c r="I93" s="366">
        <v>337.5</v>
      </c>
      <c r="J93" s="366">
        <v>61.38</v>
      </c>
      <c r="K93" s="366">
        <v>61.38</v>
      </c>
      <c r="L93" s="366">
        <v>146.69</v>
      </c>
      <c r="M93" s="366">
        <v>350.29</v>
      </c>
      <c r="N93" s="366">
        <v>447.19</v>
      </c>
      <c r="O93" s="366">
        <v>370.6</v>
      </c>
      <c r="P93" s="366">
        <v>370.6</v>
      </c>
      <c r="Q93" s="366">
        <v>370.6</v>
      </c>
      <c r="R93" s="366">
        <v>370.6</v>
      </c>
      <c r="S93" s="366">
        <v>370.6</v>
      </c>
      <c r="T93" s="366">
        <v>348.54</v>
      </c>
      <c r="U93" s="366">
        <v>549.79999999999995</v>
      </c>
      <c r="V93" s="366">
        <v>425.53</v>
      </c>
      <c r="W93" s="366">
        <v>251.94</v>
      </c>
      <c r="X93" s="366">
        <v>251.94</v>
      </c>
      <c r="Y93" s="366">
        <v>251.94</v>
      </c>
      <c r="Z93" s="366">
        <v>463.27</v>
      </c>
      <c r="AA93" s="366">
        <v>435.93</v>
      </c>
      <c r="AB93" s="366">
        <v>376.03</v>
      </c>
      <c r="AC93" s="366">
        <v>368.16</v>
      </c>
      <c r="AD93" s="366">
        <v>368.16</v>
      </c>
      <c r="AE93" s="366">
        <v>179.68</v>
      </c>
      <c r="AF93" s="366">
        <v>455.5</v>
      </c>
      <c r="AG93" s="366">
        <v>253.46</v>
      </c>
      <c r="AH93" s="366">
        <v>359.72</v>
      </c>
      <c r="AI93" s="366">
        <v>359.72</v>
      </c>
      <c r="AJ93" s="366">
        <v>359.72</v>
      </c>
      <c r="AK93" s="366">
        <v>485.47</v>
      </c>
      <c r="AL93" s="366">
        <v>485.47</v>
      </c>
      <c r="AM93" s="366">
        <v>378.75</v>
      </c>
      <c r="AN93" s="366">
        <v>329.77</v>
      </c>
      <c r="AO93" s="366">
        <v>458.37</v>
      </c>
      <c r="AP93" s="366">
        <v>286.83999999999997</v>
      </c>
      <c r="AQ93" s="366">
        <v>661.79</v>
      </c>
      <c r="AR93" s="366">
        <v>1.39</v>
      </c>
      <c r="AS93" s="366">
        <v>222.14</v>
      </c>
      <c r="AT93" s="366">
        <v>222.14</v>
      </c>
      <c r="AU93" s="366">
        <v>340.39</v>
      </c>
      <c r="AV93" s="366">
        <v>580.85</v>
      </c>
      <c r="AW93" s="366">
        <v>82.67</v>
      </c>
      <c r="AX93" s="366">
        <v>418.68</v>
      </c>
      <c r="AY93" s="366">
        <v>482.9</v>
      </c>
      <c r="AZ93" s="366">
        <v>293.49</v>
      </c>
      <c r="BA93" s="366">
        <v>581.76</v>
      </c>
      <c r="BB93" s="366">
        <v>485.79</v>
      </c>
      <c r="BC93" s="366">
        <v>523.82000000000005</v>
      </c>
      <c r="BD93" s="366">
        <v>433.59</v>
      </c>
      <c r="BE93" s="366">
        <v>429.59</v>
      </c>
      <c r="BF93" s="366">
        <v>373</v>
      </c>
      <c r="BG93" s="366">
        <v>470.82</v>
      </c>
      <c r="BH93" s="366">
        <v>370.6</v>
      </c>
      <c r="BI93" s="366">
        <v>1.42</v>
      </c>
      <c r="BJ93" s="366">
        <v>408.94</v>
      </c>
      <c r="BK93" s="366">
        <v>361.27</v>
      </c>
      <c r="BL93" s="366">
        <v>135.78</v>
      </c>
      <c r="BM93" s="366">
        <v>112.57</v>
      </c>
      <c r="BN93" s="366">
        <v>476.12</v>
      </c>
      <c r="BO93" s="366">
        <v>403.47</v>
      </c>
      <c r="BP93" s="366">
        <v>369.33</v>
      </c>
      <c r="BQ93" s="366">
        <v>358.2</v>
      </c>
      <c r="BR93" s="366">
        <v>358.2</v>
      </c>
      <c r="BS93" s="366">
        <v>301.06</v>
      </c>
      <c r="BT93" s="366">
        <v>26</v>
      </c>
      <c r="BU93" s="366">
        <v>356.53</v>
      </c>
      <c r="BV93" s="366">
        <v>376.15</v>
      </c>
      <c r="BW93" s="366">
        <v>399.68</v>
      </c>
      <c r="BX93" s="366">
        <v>242.15</v>
      </c>
      <c r="BY93" s="366">
        <v>453.01</v>
      </c>
      <c r="BZ93" s="366">
        <v>453.01</v>
      </c>
      <c r="CA93" s="366">
        <v>114.61</v>
      </c>
      <c r="CB93" s="366">
        <v>260.58</v>
      </c>
      <c r="CC93" s="366">
        <v>389.85</v>
      </c>
      <c r="CD93" s="366">
        <v>399.94</v>
      </c>
      <c r="CE93" s="366">
        <v>344.5</v>
      </c>
      <c r="CF93" s="366">
        <v>454.23</v>
      </c>
      <c r="CG93" s="366">
        <v>454.23</v>
      </c>
      <c r="CH93" s="366">
        <v>343.2</v>
      </c>
      <c r="CI93" s="366">
        <v>313.56</v>
      </c>
      <c r="CJ93" s="366">
        <v>465.18</v>
      </c>
      <c r="CK93" s="366">
        <v>458.1</v>
      </c>
      <c r="CL93" s="366">
        <v>354.18</v>
      </c>
      <c r="CM93" s="366">
        <v>470.1</v>
      </c>
      <c r="CN93" s="366">
        <v>358.31</v>
      </c>
      <c r="CO93" s="366">
        <v>0</v>
      </c>
      <c r="CP93" s="366">
        <v>364.89</v>
      </c>
      <c r="CQ93" s="366">
        <v>364.89</v>
      </c>
      <c r="CR93" s="366">
        <v>50.67</v>
      </c>
      <c r="CS93" s="366">
        <v>50.67</v>
      </c>
      <c r="CT93" s="366">
        <v>58.12</v>
      </c>
      <c r="CU93" s="366">
        <v>50.25</v>
      </c>
      <c r="CV93" s="366">
        <v>79.33</v>
      </c>
      <c r="CW93" s="366">
        <v>425.53</v>
      </c>
      <c r="CX93" s="366">
        <v>408.92</v>
      </c>
      <c r="CY93" s="366">
        <v>516.52</v>
      </c>
      <c r="CZ93" s="366">
        <v>537.76</v>
      </c>
      <c r="DA93" s="366">
        <v>385.24</v>
      </c>
      <c r="DB93" s="366">
        <v>404.92</v>
      </c>
      <c r="DC93" s="366">
        <v>404.92</v>
      </c>
      <c r="DD93" s="366">
        <v>239.1</v>
      </c>
      <c r="DE93" s="366">
        <v>462.87</v>
      </c>
      <c r="DF93" s="366">
        <v>689.71</v>
      </c>
      <c r="DG93" s="366">
        <v>343.21</v>
      </c>
      <c r="DH93" s="366">
        <v>525.42999999999995</v>
      </c>
      <c r="DI93" s="366">
        <v>320.05</v>
      </c>
      <c r="DJ93" s="366">
        <v>523.94000000000005</v>
      </c>
      <c r="DK93" s="366">
        <v>204.57</v>
      </c>
      <c r="DL93" s="366">
        <v>350.53</v>
      </c>
      <c r="DM93" s="366">
        <v>312.45</v>
      </c>
      <c r="DN93" s="366">
        <v>334.81</v>
      </c>
      <c r="DO93" s="366">
        <v>231.14</v>
      </c>
      <c r="DP93" s="366">
        <v>200.79</v>
      </c>
      <c r="DQ93" s="366">
        <v>411.02</v>
      </c>
      <c r="DR93" s="366">
        <v>525.42999999999995</v>
      </c>
      <c r="DS93" s="366">
        <v>46.8</v>
      </c>
      <c r="DT93" s="366">
        <v>45.69</v>
      </c>
      <c r="DU93" s="366">
        <v>415.58</v>
      </c>
      <c r="DV93" s="366">
        <v>482.29</v>
      </c>
      <c r="DW93" s="366">
        <v>205.72</v>
      </c>
      <c r="DX93" s="366">
        <v>386</v>
      </c>
      <c r="DY93" s="366">
        <v>459.39</v>
      </c>
      <c r="DZ93" s="366">
        <v>248.77</v>
      </c>
      <c r="EA93" s="366">
        <v>16.329999999999998</v>
      </c>
      <c r="EB93" s="366">
        <v>453.39</v>
      </c>
      <c r="EC93" s="366">
        <v>103.34</v>
      </c>
      <c r="ED93" s="366">
        <v>349.82</v>
      </c>
      <c r="EE93" s="366">
        <v>360.61</v>
      </c>
      <c r="EF93" s="366">
        <v>280.56</v>
      </c>
      <c r="EG93" s="366">
        <v>82.67</v>
      </c>
      <c r="EH93" s="366">
        <v>82.67</v>
      </c>
      <c r="EI93" s="366">
        <v>383.59</v>
      </c>
      <c r="EJ93" s="366">
        <v>513.49</v>
      </c>
      <c r="EK93" s="366">
        <v>262.02</v>
      </c>
      <c r="EL93" s="366">
        <v>262.02</v>
      </c>
      <c r="EM93" s="366">
        <v>356.13</v>
      </c>
      <c r="EN93" s="366">
        <v>356.13</v>
      </c>
      <c r="EO93" s="366">
        <v>378.75</v>
      </c>
      <c r="EP93" s="366">
        <v>419.71</v>
      </c>
      <c r="EQ93" s="366">
        <v>67.61</v>
      </c>
      <c r="ER93" s="366">
        <v>519.84</v>
      </c>
      <c r="ES93" s="366">
        <v>324.77</v>
      </c>
      <c r="ET93" s="366">
        <v>340.23</v>
      </c>
      <c r="EU93" s="366">
        <v>641.35</v>
      </c>
      <c r="EV93" s="366">
        <v>251.94</v>
      </c>
      <c r="EW93" s="366">
        <v>384.51</v>
      </c>
      <c r="EX93" s="366">
        <v>301.51</v>
      </c>
      <c r="EY93" s="366">
        <v>301.51</v>
      </c>
      <c r="EZ93" s="366">
        <v>407.94</v>
      </c>
      <c r="FA93" s="366">
        <v>353.3</v>
      </c>
      <c r="FB93" s="366">
        <v>188.87</v>
      </c>
      <c r="FC93" s="366">
        <v>406.14</v>
      </c>
      <c r="FD93" s="366">
        <v>295.79000000000002</v>
      </c>
      <c r="FE93" s="366">
        <v>387.42</v>
      </c>
      <c r="FF93" s="366">
        <v>362.6</v>
      </c>
      <c r="FG93" s="366">
        <v>572.79999999999995</v>
      </c>
      <c r="FH93" s="366">
        <v>572.79999999999995</v>
      </c>
      <c r="FI93" s="366">
        <v>232.81</v>
      </c>
      <c r="FJ93" s="366">
        <v>238.6</v>
      </c>
      <c r="FK93" s="366">
        <v>352.51</v>
      </c>
      <c r="FL93" s="366">
        <v>350.7</v>
      </c>
      <c r="FM93" s="366">
        <v>378.75</v>
      </c>
      <c r="FN93" s="366">
        <v>282.69</v>
      </c>
      <c r="FO93" s="366">
        <v>24.7</v>
      </c>
      <c r="FP93" s="366">
        <v>438.49</v>
      </c>
      <c r="FQ93" s="366">
        <v>4.2699999999999996</v>
      </c>
      <c r="FR93" s="366">
        <v>164.03</v>
      </c>
      <c r="FS93" s="366">
        <v>292.67</v>
      </c>
      <c r="FT93" s="366">
        <v>508.78</v>
      </c>
      <c r="FU93" s="366">
        <v>301.17</v>
      </c>
      <c r="FV93" s="366">
        <v>705.25</v>
      </c>
      <c r="FW93" s="366">
        <v>705.25</v>
      </c>
      <c r="FX93" s="366">
        <v>705.25</v>
      </c>
      <c r="FY93" s="366">
        <v>302.44</v>
      </c>
      <c r="FZ93" s="366">
        <v>377.33</v>
      </c>
      <c r="GA93" s="366">
        <v>429.59</v>
      </c>
      <c r="GB93" s="366">
        <v>331.14</v>
      </c>
      <c r="GC93" s="366">
        <v>349.82</v>
      </c>
      <c r="GD93" s="366">
        <v>224.25</v>
      </c>
      <c r="GE93" s="366">
        <v>58.22</v>
      </c>
      <c r="GF93" s="366">
        <v>287.64</v>
      </c>
      <c r="GG93" s="366">
        <v>287.64</v>
      </c>
      <c r="GH93" s="366">
        <v>478.04</v>
      </c>
      <c r="GI93" s="366">
        <v>378.91</v>
      </c>
      <c r="GJ93" s="366">
        <v>378.75</v>
      </c>
      <c r="GK93" s="366">
        <v>349.06</v>
      </c>
      <c r="GL93" s="366">
        <v>369.92</v>
      </c>
      <c r="GM93" s="366">
        <v>369.92</v>
      </c>
      <c r="GN93" s="366">
        <v>369.92</v>
      </c>
      <c r="GO93" s="366">
        <v>326.02</v>
      </c>
      <c r="GP93" s="366">
        <v>435</v>
      </c>
      <c r="GQ93" s="366">
        <v>394.77</v>
      </c>
      <c r="GR93" s="366">
        <v>381.16</v>
      </c>
      <c r="GS93" s="366">
        <v>305.77</v>
      </c>
      <c r="GT93" s="366">
        <v>82.67</v>
      </c>
      <c r="GU93" s="366">
        <v>197.85</v>
      </c>
      <c r="GV93" s="366">
        <v>520.67999999999995</v>
      </c>
      <c r="GW93" s="366">
        <v>345.9</v>
      </c>
      <c r="GX93" s="366">
        <v>79.239999999999995</v>
      </c>
      <c r="GY93" s="366">
        <v>360.69</v>
      </c>
      <c r="GZ93" s="366">
        <v>295.51</v>
      </c>
      <c r="HA93" s="366">
        <v>30.11</v>
      </c>
      <c r="HB93" s="366">
        <v>30.11</v>
      </c>
      <c r="HC93" s="366">
        <v>30.11</v>
      </c>
      <c r="HD93" s="366">
        <v>285.06</v>
      </c>
      <c r="HE93" s="366">
        <v>349.98</v>
      </c>
      <c r="HF93" s="366">
        <v>306.27</v>
      </c>
      <c r="HG93" s="366">
        <v>433.92</v>
      </c>
      <c r="HH93" s="366">
        <v>433.92</v>
      </c>
      <c r="HI93" s="366">
        <v>433.92</v>
      </c>
      <c r="HJ93" s="366">
        <v>308.51</v>
      </c>
      <c r="HK93" s="366">
        <v>155.16</v>
      </c>
      <c r="HL93" s="366">
        <v>403.98</v>
      </c>
      <c r="HM93" s="366">
        <v>376.03</v>
      </c>
      <c r="HN93" s="366">
        <v>378.75</v>
      </c>
      <c r="HO93" s="366">
        <v>609.51</v>
      </c>
      <c r="HP93" s="366">
        <v>296.23</v>
      </c>
      <c r="HQ93" s="366">
        <v>705.25</v>
      </c>
      <c r="HR93" s="366">
        <v>455.5</v>
      </c>
      <c r="HS93" s="366">
        <v>375</v>
      </c>
      <c r="HT93" s="366">
        <v>327.16000000000003</v>
      </c>
      <c r="HU93" s="366">
        <v>361.68</v>
      </c>
      <c r="HV93" s="366">
        <v>406.87</v>
      </c>
    </row>
    <row r="94" spans="1:230">
      <c r="A94" s="366" t="s">
        <v>115</v>
      </c>
      <c r="B94" s="366">
        <v>536.87</v>
      </c>
      <c r="C94" s="366">
        <v>348.83</v>
      </c>
      <c r="D94" s="366">
        <v>249.6</v>
      </c>
      <c r="E94" s="366">
        <v>249.6</v>
      </c>
      <c r="F94" s="366">
        <v>600.77</v>
      </c>
      <c r="G94" s="366">
        <v>408.34</v>
      </c>
      <c r="H94" s="366">
        <v>293.22000000000003</v>
      </c>
      <c r="I94" s="366">
        <v>27.39</v>
      </c>
      <c r="J94" s="366">
        <v>317</v>
      </c>
      <c r="K94" s="366">
        <v>317</v>
      </c>
      <c r="L94" s="366">
        <v>240.21</v>
      </c>
      <c r="M94" s="366">
        <v>374.25</v>
      </c>
      <c r="N94" s="366">
        <v>471.15</v>
      </c>
      <c r="O94" s="366">
        <v>224.26</v>
      </c>
      <c r="P94" s="366">
        <v>224.26</v>
      </c>
      <c r="Q94" s="366">
        <v>224.26</v>
      </c>
      <c r="R94" s="366">
        <v>224.26</v>
      </c>
      <c r="S94" s="366">
        <v>224.26</v>
      </c>
      <c r="T94" s="366">
        <v>101.89</v>
      </c>
      <c r="U94" s="366">
        <v>516.38</v>
      </c>
      <c r="V94" s="366">
        <v>313.64999999999998</v>
      </c>
      <c r="W94" s="366">
        <v>245.25</v>
      </c>
      <c r="X94" s="366">
        <v>245.25</v>
      </c>
      <c r="Y94" s="366">
        <v>245.25</v>
      </c>
      <c r="Z94" s="366">
        <v>351.39</v>
      </c>
      <c r="AA94" s="366">
        <v>402.51</v>
      </c>
      <c r="AB94" s="366">
        <v>161.63</v>
      </c>
      <c r="AC94" s="366">
        <v>164.09</v>
      </c>
      <c r="AD94" s="366">
        <v>164.09</v>
      </c>
      <c r="AE94" s="366">
        <v>198.7</v>
      </c>
      <c r="AF94" s="366">
        <v>422.08</v>
      </c>
      <c r="AG94" s="366">
        <v>246.77</v>
      </c>
      <c r="AH94" s="366">
        <v>18.66</v>
      </c>
      <c r="AI94" s="366">
        <v>18.66</v>
      </c>
      <c r="AJ94" s="366">
        <v>18.66</v>
      </c>
      <c r="AK94" s="366">
        <v>373.59</v>
      </c>
      <c r="AL94" s="366">
        <v>373.59</v>
      </c>
      <c r="AM94" s="366">
        <v>164.35</v>
      </c>
      <c r="AN94" s="366">
        <v>183.43</v>
      </c>
      <c r="AO94" s="366">
        <v>415.46</v>
      </c>
      <c r="AP94" s="366">
        <v>90.61</v>
      </c>
      <c r="AQ94" s="366">
        <v>557.30999999999995</v>
      </c>
      <c r="AR94" s="366">
        <v>366.28</v>
      </c>
      <c r="AS94" s="366">
        <v>164.76</v>
      </c>
      <c r="AT94" s="366">
        <v>164.76</v>
      </c>
      <c r="AU94" s="366">
        <v>228.51</v>
      </c>
      <c r="AV94" s="366">
        <v>547.42999999999995</v>
      </c>
      <c r="AW94" s="366">
        <v>289.08</v>
      </c>
      <c r="AX94" s="366">
        <v>108.57</v>
      </c>
      <c r="AY94" s="366">
        <v>506.86</v>
      </c>
      <c r="AZ94" s="366">
        <v>317.45</v>
      </c>
      <c r="BA94" s="366">
        <v>377.69</v>
      </c>
      <c r="BB94" s="366">
        <v>509.75</v>
      </c>
      <c r="BC94" s="366">
        <v>319.75</v>
      </c>
      <c r="BD94" s="366">
        <v>229.52</v>
      </c>
      <c r="BE94" s="366">
        <v>317.70999999999998</v>
      </c>
      <c r="BF94" s="366">
        <v>158.6</v>
      </c>
      <c r="BG94" s="366">
        <v>358.94</v>
      </c>
      <c r="BH94" s="366">
        <v>224.26</v>
      </c>
      <c r="BI94" s="366">
        <v>366.31</v>
      </c>
      <c r="BJ94" s="366">
        <v>297.06</v>
      </c>
      <c r="BK94" s="366">
        <v>385.23</v>
      </c>
      <c r="BL94" s="366">
        <v>242.6</v>
      </c>
      <c r="BM94" s="366">
        <v>265.81</v>
      </c>
      <c r="BN94" s="366">
        <v>442.7</v>
      </c>
      <c r="BO94" s="366">
        <v>427.43</v>
      </c>
      <c r="BP94" s="366">
        <v>393.29</v>
      </c>
      <c r="BQ94" s="366">
        <v>6.69</v>
      </c>
      <c r="BR94" s="366">
        <v>6.69</v>
      </c>
      <c r="BS94" s="366">
        <v>325.02</v>
      </c>
      <c r="BT94" s="366">
        <v>358.23</v>
      </c>
      <c r="BU94" s="366">
        <v>142.13</v>
      </c>
      <c r="BV94" s="366">
        <v>161.75</v>
      </c>
      <c r="BW94" s="366">
        <v>287.8</v>
      </c>
      <c r="BX94" s="366">
        <v>266.11</v>
      </c>
      <c r="BY94" s="366">
        <v>341.13</v>
      </c>
      <c r="BZ94" s="366">
        <v>341.13</v>
      </c>
      <c r="CA94" s="366">
        <v>250.28</v>
      </c>
      <c r="CB94" s="366">
        <v>284.54000000000002</v>
      </c>
      <c r="CC94" s="366">
        <v>79.739999999999995</v>
      </c>
      <c r="CD94" s="366">
        <v>93.22</v>
      </c>
      <c r="CE94" s="366">
        <v>368.46</v>
      </c>
      <c r="CF94" s="366">
        <v>420.81</v>
      </c>
      <c r="CG94" s="366">
        <v>420.81</v>
      </c>
      <c r="CH94" s="366">
        <v>21.69</v>
      </c>
      <c r="CI94" s="366">
        <v>97.46</v>
      </c>
      <c r="CJ94" s="366">
        <v>431.76</v>
      </c>
      <c r="CK94" s="366">
        <v>346.22</v>
      </c>
      <c r="CL94" s="366">
        <v>242.3</v>
      </c>
      <c r="CM94" s="366">
        <v>266.02999999999997</v>
      </c>
      <c r="CN94" s="366">
        <v>246.43</v>
      </c>
      <c r="CO94" s="366">
        <v>364.89</v>
      </c>
      <c r="CP94" s="366">
        <v>0</v>
      </c>
      <c r="CQ94" s="366">
        <v>0</v>
      </c>
      <c r="CR94" s="366">
        <v>316.20999999999998</v>
      </c>
      <c r="CS94" s="366">
        <v>316.20999999999998</v>
      </c>
      <c r="CT94" s="366">
        <v>306.77</v>
      </c>
      <c r="CU94" s="366">
        <v>314.64</v>
      </c>
      <c r="CV94" s="366">
        <v>308.58999999999997</v>
      </c>
      <c r="CW94" s="366">
        <v>313.64999999999998</v>
      </c>
      <c r="CX94" s="366">
        <v>98.81</v>
      </c>
      <c r="CY94" s="366">
        <v>312.45</v>
      </c>
      <c r="CZ94" s="366">
        <v>333.69</v>
      </c>
      <c r="DA94" s="366">
        <v>409.2</v>
      </c>
      <c r="DB94" s="366">
        <v>293.04000000000002</v>
      </c>
      <c r="DC94" s="366">
        <v>293.04000000000002</v>
      </c>
      <c r="DD94" s="366">
        <v>232.41</v>
      </c>
      <c r="DE94" s="366">
        <v>486.83</v>
      </c>
      <c r="DF94" s="366">
        <v>585.23</v>
      </c>
      <c r="DG94" s="366">
        <v>67.81</v>
      </c>
      <c r="DH94" s="366">
        <v>549.39</v>
      </c>
      <c r="DI94" s="366">
        <v>286.63</v>
      </c>
      <c r="DJ94" s="366">
        <v>349.89</v>
      </c>
      <c r="DK94" s="366">
        <v>228.53</v>
      </c>
      <c r="DL94" s="366">
        <v>148.13</v>
      </c>
      <c r="DM94" s="366">
        <v>336.41</v>
      </c>
      <c r="DN94" s="366">
        <v>301.39</v>
      </c>
      <c r="DO94" s="366">
        <v>255.1</v>
      </c>
      <c r="DP94" s="366">
        <v>194.1</v>
      </c>
      <c r="DQ94" s="366">
        <v>299.14</v>
      </c>
      <c r="DR94" s="366">
        <v>549.39</v>
      </c>
      <c r="DS94" s="366">
        <v>356.25</v>
      </c>
      <c r="DT94" s="366">
        <v>344.54</v>
      </c>
      <c r="DU94" s="366">
        <v>439.54</v>
      </c>
      <c r="DV94" s="366">
        <v>377.23</v>
      </c>
      <c r="DW94" s="366">
        <v>181.18</v>
      </c>
      <c r="DX94" s="366">
        <v>274.12</v>
      </c>
      <c r="DY94" s="366">
        <v>347.51</v>
      </c>
      <c r="DZ94" s="366">
        <v>242.08</v>
      </c>
      <c r="EA94" s="366">
        <v>348.56</v>
      </c>
      <c r="EB94" s="366">
        <v>341.51</v>
      </c>
      <c r="EC94" s="366">
        <v>275.04000000000002</v>
      </c>
      <c r="ED94" s="366">
        <v>316.39999999999998</v>
      </c>
      <c r="EE94" s="366">
        <v>327.19</v>
      </c>
      <c r="EF94" s="366">
        <v>84.33</v>
      </c>
      <c r="EG94" s="366">
        <v>289.08</v>
      </c>
      <c r="EH94" s="366">
        <v>289.08</v>
      </c>
      <c r="EI94" s="366">
        <v>93.69</v>
      </c>
      <c r="EJ94" s="366">
        <v>537.45000000000005</v>
      </c>
      <c r="EK94" s="366">
        <v>150.13999999999999</v>
      </c>
      <c r="EL94" s="366">
        <v>150.13999999999999</v>
      </c>
      <c r="EM94" s="366">
        <v>244.25</v>
      </c>
      <c r="EN94" s="366">
        <v>244.25</v>
      </c>
      <c r="EO94" s="366">
        <v>164.35</v>
      </c>
      <c r="EP94" s="366">
        <v>147.79</v>
      </c>
      <c r="EQ94" s="366">
        <v>297.27999999999997</v>
      </c>
      <c r="ER94" s="366">
        <v>486.42</v>
      </c>
      <c r="ES94" s="366">
        <v>348.73</v>
      </c>
      <c r="ET94" s="366">
        <v>24.66</v>
      </c>
      <c r="EU94" s="366">
        <v>536.87</v>
      </c>
      <c r="EV94" s="366">
        <v>245.25</v>
      </c>
      <c r="EW94" s="366">
        <v>93.07</v>
      </c>
      <c r="EX94" s="366">
        <v>325.47000000000003</v>
      </c>
      <c r="EY94" s="366">
        <v>325.47000000000003</v>
      </c>
      <c r="EZ94" s="366">
        <v>288.79000000000002</v>
      </c>
      <c r="FA94" s="366">
        <v>241.42</v>
      </c>
      <c r="FB94" s="366">
        <v>212.83</v>
      </c>
      <c r="FC94" s="366">
        <v>294.26</v>
      </c>
      <c r="FD94" s="366">
        <v>149.44999999999999</v>
      </c>
      <c r="FE94" s="366">
        <v>97.52</v>
      </c>
      <c r="FF94" s="366">
        <v>85</v>
      </c>
      <c r="FG94" s="366">
        <v>368.73</v>
      </c>
      <c r="FH94" s="366">
        <v>368.73</v>
      </c>
      <c r="FI94" s="366">
        <v>226.12</v>
      </c>
      <c r="FJ94" s="366">
        <v>231.91</v>
      </c>
      <c r="FK94" s="366">
        <v>376.47</v>
      </c>
      <c r="FL94" s="366">
        <v>374.66</v>
      </c>
      <c r="FM94" s="366">
        <v>164.35</v>
      </c>
      <c r="FN94" s="366">
        <v>276</v>
      </c>
      <c r="FO94" s="366">
        <v>356.93</v>
      </c>
      <c r="FP94" s="366">
        <v>326.61</v>
      </c>
      <c r="FQ94" s="366">
        <v>360.8</v>
      </c>
      <c r="FR94" s="366">
        <v>257.55</v>
      </c>
      <c r="FS94" s="366">
        <v>85.71</v>
      </c>
      <c r="FT94" s="366">
        <v>365.05</v>
      </c>
      <c r="FU94" s="366">
        <v>109.85</v>
      </c>
      <c r="FV94" s="366">
        <v>600.77</v>
      </c>
      <c r="FW94" s="366">
        <v>600.77</v>
      </c>
      <c r="FX94" s="366">
        <v>600.77</v>
      </c>
      <c r="FY94" s="366">
        <v>190.56</v>
      </c>
      <c r="FZ94" s="366">
        <v>99.73</v>
      </c>
      <c r="GA94" s="366">
        <v>317.70999999999998</v>
      </c>
      <c r="GB94" s="366">
        <v>124.18</v>
      </c>
      <c r="GC94" s="366">
        <v>316.39999999999998</v>
      </c>
      <c r="GD94" s="366">
        <v>248.21</v>
      </c>
      <c r="GE94" s="366">
        <v>306.67</v>
      </c>
      <c r="GF94" s="366">
        <v>123.38</v>
      </c>
      <c r="GG94" s="366">
        <v>123.38</v>
      </c>
      <c r="GH94" s="366">
        <v>366.16</v>
      </c>
      <c r="GI94" s="366">
        <v>164.51</v>
      </c>
      <c r="GJ94" s="366">
        <v>164.35</v>
      </c>
      <c r="GK94" s="366">
        <v>373.02</v>
      </c>
      <c r="GL94" s="366">
        <v>92.32</v>
      </c>
      <c r="GM94" s="366">
        <v>92.32</v>
      </c>
      <c r="GN94" s="366">
        <v>92.32</v>
      </c>
      <c r="GO94" s="366">
        <v>129.79</v>
      </c>
      <c r="GP94" s="366">
        <v>323.12</v>
      </c>
      <c r="GQ94" s="366">
        <v>418.73</v>
      </c>
      <c r="GR94" s="366">
        <v>192.58</v>
      </c>
      <c r="GS94" s="366">
        <v>59.12</v>
      </c>
      <c r="GT94" s="366">
        <v>289.08</v>
      </c>
      <c r="GU94" s="366">
        <v>183.41</v>
      </c>
      <c r="GV94" s="366">
        <v>544.64</v>
      </c>
      <c r="GW94" s="366">
        <v>68.3</v>
      </c>
      <c r="GX94" s="366">
        <v>285.64999999999998</v>
      </c>
      <c r="GY94" s="366">
        <v>17.690000000000001</v>
      </c>
      <c r="GZ94" s="366">
        <v>149.16999999999999</v>
      </c>
      <c r="HA94" s="366">
        <v>362.34</v>
      </c>
      <c r="HB94" s="366">
        <v>362.34</v>
      </c>
      <c r="HC94" s="366">
        <v>362.34</v>
      </c>
      <c r="HD94" s="366">
        <v>278.37</v>
      </c>
      <c r="HE94" s="366">
        <v>238.1</v>
      </c>
      <c r="HF94" s="366">
        <v>194.39</v>
      </c>
      <c r="HG94" s="366">
        <v>322.04000000000002</v>
      </c>
      <c r="HH94" s="366">
        <v>322.04000000000002</v>
      </c>
      <c r="HI94" s="366">
        <v>322.04000000000002</v>
      </c>
      <c r="HJ94" s="366">
        <v>102.51</v>
      </c>
      <c r="HK94" s="366">
        <v>215.7</v>
      </c>
      <c r="HL94" s="366">
        <v>257.64</v>
      </c>
      <c r="HM94" s="366">
        <v>161.63</v>
      </c>
      <c r="HN94" s="366">
        <v>164.35</v>
      </c>
      <c r="HO94" s="366">
        <v>570.07000000000005</v>
      </c>
      <c r="HP94" s="366">
        <v>149.88999999999999</v>
      </c>
      <c r="HQ94" s="366">
        <v>600.77</v>
      </c>
      <c r="HR94" s="366">
        <v>422.08</v>
      </c>
      <c r="HS94" s="366">
        <v>160.6</v>
      </c>
      <c r="HT94" s="366">
        <v>42.92</v>
      </c>
      <c r="HU94" s="366">
        <v>10.17</v>
      </c>
      <c r="HV94" s="366">
        <v>111.9</v>
      </c>
    </row>
    <row r="95" spans="1:230">
      <c r="A95" s="366" t="s">
        <v>116</v>
      </c>
      <c r="B95" s="366">
        <v>536.87</v>
      </c>
      <c r="C95" s="366">
        <v>348.83</v>
      </c>
      <c r="D95" s="366">
        <v>249.6</v>
      </c>
      <c r="E95" s="366">
        <v>249.6</v>
      </c>
      <c r="F95" s="366">
        <v>600.77</v>
      </c>
      <c r="G95" s="366">
        <v>408.34</v>
      </c>
      <c r="H95" s="366">
        <v>293.22000000000003</v>
      </c>
      <c r="I95" s="366">
        <v>27.39</v>
      </c>
      <c r="J95" s="366">
        <v>317</v>
      </c>
      <c r="K95" s="366">
        <v>317</v>
      </c>
      <c r="L95" s="366">
        <v>240.21</v>
      </c>
      <c r="M95" s="366">
        <v>374.25</v>
      </c>
      <c r="N95" s="366">
        <v>471.15</v>
      </c>
      <c r="O95" s="366">
        <v>224.26</v>
      </c>
      <c r="P95" s="366">
        <v>224.26</v>
      </c>
      <c r="Q95" s="366">
        <v>224.26</v>
      </c>
      <c r="R95" s="366">
        <v>224.26</v>
      </c>
      <c r="S95" s="366">
        <v>224.26</v>
      </c>
      <c r="T95" s="366">
        <v>101.89</v>
      </c>
      <c r="U95" s="366">
        <v>516.38</v>
      </c>
      <c r="V95" s="366">
        <v>313.64999999999998</v>
      </c>
      <c r="W95" s="366">
        <v>245.25</v>
      </c>
      <c r="X95" s="366">
        <v>245.25</v>
      </c>
      <c r="Y95" s="366">
        <v>245.25</v>
      </c>
      <c r="Z95" s="366">
        <v>351.39</v>
      </c>
      <c r="AA95" s="366">
        <v>402.51</v>
      </c>
      <c r="AB95" s="366">
        <v>161.63</v>
      </c>
      <c r="AC95" s="366">
        <v>164.09</v>
      </c>
      <c r="AD95" s="366">
        <v>164.09</v>
      </c>
      <c r="AE95" s="366">
        <v>198.7</v>
      </c>
      <c r="AF95" s="366">
        <v>422.08</v>
      </c>
      <c r="AG95" s="366">
        <v>246.77</v>
      </c>
      <c r="AH95" s="366">
        <v>18.66</v>
      </c>
      <c r="AI95" s="366">
        <v>18.66</v>
      </c>
      <c r="AJ95" s="366">
        <v>18.66</v>
      </c>
      <c r="AK95" s="366">
        <v>373.59</v>
      </c>
      <c r="AL95" s="366">
        <v>373.59</v>
      </c>
      <c r="AM95" s="366">
        <v>164.35</v>
      </c>
      <c r="AN95" s="366">
        <v>183.43</v>
      </c>
      <c r="AO95" s="366">
        <v>415.46</v>
      </c>
      <c r="AP95" s="366">
        <v>90.61</v>
      </c>
      <c r="AQ95" s="366">
        <v>557.30999999999995</v>
      </c>
      <c r="AR95" s="366">
        <v>366.28</v>
      </c>
      <c r="AS95" s="366">
        <v>164.76</v>
      </c>
      <c r="AT95" s="366">
        <v>164.76</v>
      </c>
      <c r="AU95" s="366">
        <v>228.51</v>
      </c>
      <c r="AV95" s="366">
        <v>547.42999999999995</v>
      </c>
      <c r="AW95" s="366">
        <v>289.08</v>
      </c>
      <c r="AX95" s="366">
        <v>108.57</v>
      </c>
      <c r="AY95" s="366">
        <v>506.86</v>
      </c>
      <c r="AZ95" s="366">
        <v>317.45</v>
      </c>
      <c r="BA95" s="366">
        <v>377.69</v>
      </c>
      <c r="BB95" s="366">
        <v>509.75</v>
      </c>
      <c r="BC95" s="366">
        <v>319.75</v>
      </c>
      <c r="BD95" s="366">
        <v>229.52</v>
      </c>
      <c r="BE95" s="366">
        <v>317.70999999999998</v>
      </c>
      <c r="BF95" s="366">
        <v>158.6</v>
      </c>
      <c r="BG95" s="366">
        <v>358.94</v>
      </c>
      <c r="BH95" s="366">
        <v>224.26</v>
      </c>
      <c r="BI95" s="366">
        <v>366.31</v>
      </c>
      <c r="BJ95" s="366">
        <v>297.06</v>
      </c>
      <c r="BK95" s="366">
        <v>385.23</v>
      </c>
      <c r="BL95" s="366">
        <v>242.6</v>
      </c>
      <c r="BM95" s="366">
        <v>265.81</v>
      </c>
      <c r="BN95" s="366">
        <v>442.7</v>
      </c>
      <c r="BO95" s="366">
        <v>427.43</v>
      </c>
      <c r="BP95" s="366">
        <v>393.29</v>
      </c>
      <c r="BQ95" s="366">
        <v>6.69</v>
      </c>
      <c r="BR95" s="366">
        <v>6.69</v>
      </c>
      <c r="BS95" s="366">
        <v>325.02</v>
      </c>
      <c r="BT95" s="366">
        <v>358.23</v>
      </c>
      <c r="BU95" s="366">
        <v>142.13</v>
      </c>
      <c r="BV95" s="366">
        <v>161.75</v>
      </c>
      <c r="BW95" s="366">
        <v>287.8</v>
      </c>
      <c r="BX95" s="366">
        <v>266.11</v>
      </c>
      <c r="BY95" s="366">
        <v>341.13</v>
      </c>
      <c r="BZ95" s="366">
        <v>341.13</v>
      </c>
      <c r="CA95" s="366">
        <v>250.28</v>
      </c>
      <c r="CB95" s="366">
        <v>284.54000000000002</v>
      </c>
      <c r="CC95" s="366">
        <v>79.739999999999995</v>
      </c>
      <c r="CD95" s="366">
        <v>93.22</v>
      </c>
      <c r="CE95" s="366">
        <v>368.46</v>
      </c>
      <c r="CF95" s="366">
        <v>420.81</v>
      </c>
      <c r="CG95" s="366">
        <v>420.81</v>
      </c>
      <c r="CH95" s="366">
        <v>21.69</v>
      </c>
      <c r="CI95" s="366">
        <v>97.46</v>
      </c>
      <c r="CJ95" s="366">
        <v>431.76</v>
      </c>
      <c r="CK95" s="366">
        <v>346.22</v>
      </c>
      <c r="CL95" s="366">
        <v>242.3</v>
      </c>
      <c r="CM95" s="366">
        <v>266.02999999999997</v>
      </c>
      <c r="CN95" s="366">
        <v>246.43</v>
      </c>
      <c r="CO95" s="366">
        <v>364.89</v>
      </c>
      <c r="CP95" s="366">
        <v>0</v>
      </c>
      <c r="CQ95" s="366">
        <v>0</v>
      </c>
      <c r="CR95" s="366">
        <v>316.20999999999998</v>
      </c>
      <c r="CS95" s="366">
        <v>316.20999999999998</v>
      </c>
      <c r="CT95" s="366">
        <v>306.77</v>
      </c>
      <c r="CU95" s="366">
        <v>314.64</v>
      </c>
      <c r="CV95" s="366">
        <v>308.58999999999997</v>
      </c>
      <c r="CW95" s="366">
        <v>313.64999999999998</v>
      </c>
      <c r="CX95" s="366">
        <v>98.81</v>
      </c>
      <c r="CY95" s="366">
        <v>312.45</v>
      </c>
      <c r="CZ95" s="366">
        <v>333.69</v>
      </c>
      <c r="DA95" s="366">
        <v>409.2</v>
      </c>
      <c r="DB95" s="366">
        <v>293.04000000000002</v>
      </c>
      <c r="DC95" s="366">
        <v>293.04000000000002</v>
      </c>
      <c r="DD95" s="366">
        <v>232.41</v>
      </c>
      <c r="DE95" s="366">
        <v>486.83</v>
      </c>
      <c r="DF95" s="366">
        <v>585.23</v>
      </c>
      <c r="DG95" s="366">
        <v>67.81</v>
      </c>
      <c r="DH95" s="366">
        <v>549.39</v>
      </c>
      <c r="DI95" s="366">
        <v>286.63</v>
      </c>
      <c r="DJ95" s="366">
        <v>349.89</v>
      </c>
      <c r="DK95" s="366">
        <v>228.53</v>
      </c>
      <c r="DL95" s="366">
        <v>148.13</v>
      </c>
      <c r="DM95" s="366">
        <v>336.41</v>
      </c>
      <c r="DN95" s="366">
        <v>301.39</v>
      </c>
      <c r="DO95" s="366">
        <v>255.1</v>
      </c>
      <c r="DP95" s="366">
        <v>194.1</v>
      </c>
      <c r="DQ95" s="366">
        <v>299.14</v>
      </c>
      <c r="DR95" s="366">
        <v>549.39</v>
      </c>
      <c r="DS95" s="366">
        <v>356.25</v>
      </c>
      <c r="DT95" s="366">
        <v>344.54</v>
      </c>
      <c r="DU95" s="366">
        <v>439.54</v>
      </c>
      <c r="DV95" s="366">
        <v>377.23</v>
      </c>
      <c r="DW95" s="366">
        <v>181.18</v>
      </c>
      <c r="DX95" s="366">
        <v>274.12</v>
      </c>
      <c r="DY95" s="366">
        <v>347.51</v>
      </c>
      <c r="DZ95" s="366">
        <v>242.08</v>
      </c>
      <c r="EA95" s="366">
        <v>348.56</v>
      </c>
      <c r="EB95" s="366">
        <v>341.51</v>
      </c>
      <c r="EC95" s="366">
        <v>275.04000000000002</v>
      </c>
      <c r="ED95" s="366">
        <v>316.39999999999998</v>
      </c>
      <c r="EE95" s="366">
        <v>327.19</v>
      </c>
      <c r="EF95" s="366">
        <v>84.33</v>
      </c>
      <c r="EG95" s="366">
        <v>289.08</v>
      </c>
      <c r="EH95" s="366">
        <v>289.08</v>
      </c>
      <c r="EI95" s="366">
        <v>93.69</v>
      </c>
      <c r="EJ95" s="366">
        <v>537.45000000000005</v>
      </c>
      <c r="EK95" s="366">
        <v>150.13999999999999</v>
      </c>
      <c r="EL95" s="366">
        <v>150.13999999999999</v>
      </c>
      <c r="EM95" s="366">
        <v>244.25</v>
      </c>
      <c r="EN95" s="366">
        <v>244.25</v>
      </c>
      <c r="EO95" s="366">
        <v>164.35</v>
      </c>
      <c r="EP95" s="366">
        <v>147.79</v>
      </c>
      <c r="EQ95" s="366">
        <v>297.27999999999997</v>
      </c>
      <c r="ER95" s="366">
        <v>486.42</v>
      </c>
      <c r="ES95" s="366">
        <v>348.73</v>
      </c>
      <c r="ET95" s="366">
        <v>24.66</v>
      </c>
      <c r="EU95" s="366">
        <v>536.87</v>
      </c>
      <c r="EV95" s="366">
        <v>245.25</v>
      </c>
      <c r="EW95" s="366">
        <v>93.07</v>
      </c>
      <c r="EX95" s="366">
        <v>325.47000000000003</v>
      </c>
      <c r="EY95" s="366">
        <v>325.47000000000003</v>
      </c>
      <c r="EZ95" s="366">
        <v>288.79000000000002</v>
      </c>
      <c r="FA95" s="366">
        <v>241.42</v>
      </c>
      <c r="FB95" s="366">
        <v>212.83</v>
      </c>
      <c r="FC95" s="366">
        <v>294.26</v>
      </c>
      <c r="FD95" s="366">
        <v>149.44999999999999</v>
      </c>
      <c r="FE95" s="366">
        <v>97.52</v>
      </c>
      <c r="FF95" s="366">
        <v>85</v>
      </c>
      <c r="FG95" s="366">
        <v>368.73</v>
      </c>
      <c r="FH95" s="366">
        <v>368.73</v>
      </c>
      <c r="FI95" s="366">
        <v>226.12</v>
      </c>
      <c r="FJ95" s="366">
        <v>231.91</v>
      </c>
      <c r="FK95" s="366">
        <v>376.47</v>
      </c>
      <c r="FL95" s="366">
        <v>374.66</v>
      </c>
      <c r="FM95" s="366">
        <v>164.35</v>
      </c>
      <c r="FN95" s="366">
        <v>276</v>
      </c>
      <c r="FO95" s="366">
        <v>356.93</v>
      </c>
      <c r="FP95" s="366">
        <v>326.61</v>
      </c>
      <c r="FQ95" s="366">
        <v>360.8</v>
      </c>
      <c r="FR95" s="366">
        <v>257.55</v>
      </c>
      <c r="FS95" s="366">
        <v>85.71</v>
      </c>
      <c r="FT95" s="366">
        <v>365.05</v>
      </c>
      <c r="FU95" s="366">
        <v>109.85</v>
      </c>
      <c r="FV95" s="366">
        <v>600.77</v>
      </c>
      <c r="FW95" s="366">
        <v>600.77</v>
      </c>
      <c r="FX95" s="366">
        <v>600.77</v>
      </c>
      <c r="FY95" s="366">
        <v>190.56</v>
      </c>
      <c r="FZ95" s="366">
        <v>99.73</v>
      </c>
      <c r="GA95" s="366">
        <v>317.70999999999998</v>
      </c>
      <c r="GB95" s="366">
        <v>124.18</v>
      </c>
      <c r="GC95" s="366">
        <v>316.39999999999998</v>
      </c>
      <c r="GD95" s="366">
        <v>248.21</v>
      </c>
      <c r="GE95" s="366">
        <v>306.67</v>
      </c>
      <c r="GF95" s="366">
        <v>123.38</v>
      </c>
      <c r="GG95" s="366">
        <v>123.38</v>
      </c>
      <c r="GH95" s="366">
        <v>366.16</v>
      </c>
      <c r="GI95" s="366">
        <v>164.51</v>
      </c>
      <c r="GJ95" s="366">
        <v>164.35</v>
      </c>
      <c r="GK95" s="366">
        <v>373.02</v>
      </c>
      <c r="GL95" s="366">
        <v>92.32</v>
      </c>
      <c r="GM95" s="366">
        <v>92.32</v>
      </c>
      <c r="GN95" s="366">
        <v>92.32</v>
      </c>
      <c r="GO95" s="366">
        <v>129.79</v>
      </c>
      <c r="GP95" s="366">
        <v>323.12</v>
      </c>
      <c r="GQ95" s="366">
        <v>418.73</v>
      </c>
      <c r="GR95" s="366">
        <v>192.58</v>
      </c>
      <c r="GS95" s="366">
        <v>59.12</v>
      </c>
      <c r="GT95" s="366">
        <v>289.08</v>
      </c>
      <c r="GU95" s="366">
        <v>183.41</v>
      </c>
      <c r="GV95" s="366">
        <v>544.64</v>
      </c>
      <c r="GW95" s="366">
        <v>68.3</v>
      </c>
      <c r="GX95" s="366">
        <v>285.64999999999998</v>
      </c>
      <c r="GY95" s="366">
        <v>17.690000000000001</v>
      </c>
      <c r="GZ95" s="366">
        <v>149.16999999999999</v>
      </c>
      <c r="HA95" s="366">
        <v>362.34</v>
      </c>
      <c r="HB95" s="366">
        <v>362.34</v>
      </c>
      <c r="HC95" s="366">
        <v>362.34</v>
      </c>
      <c r="HD95" s="366">
        <v>278.37</v>
      </c>
      <c r="HE95" s="366">
        <v>238.1</v>
      </c>
      <c r="HF95" s="366">
        <v>194.39</v>
      </c>
      <c r="HG95" s="366">
        <v>322.04000000000002</v>
      </c>
      <c r="HH95" s="366">
        <v>322.04000000000002</v>
      </c>
      <c r="HI95" s="366">
        <v>322.04000000000002</v>
      </c>
      <c r="HJ95" s="366">
        <v>102.51</v>
      </c>
      <c r="HK95" s="366">
        <v>215.7</v>
      </c>
      <c r="HL95" s="366">
        <v>257.64</v>
      </c>
      <c r="HM95" s="366">
        <v>161.63</v>
      </c>
      <c r="HN95" s="366">
        <v>164.35</v>
      </c>
      <c r="HO95" s="366">
        <v>570.07000000000005</v>
      </c>
      <c r="HP95" s="366">
        <v>149.88999999999999</v>
      </c>
      <c r="HQ95" s="366">
        <v>600.77</v>
      </c>
      <c r="HR95" s="366">
        <v>422.08</v>
      </c>
      <c r="HS95" s="366">
        <v>160.6</v>
      </c>
      <c r="HT95" s="366">
        <v>42.92</v>
      </c>
      <c r="HU95" s="366">
        <v>10.17</v>
      </c>
      <c r="HV95" s="366">
        <v>111.9</v>
      </c>
    </row>
    <row r="96" spans="1:230">
      <c r="A96" s="366" t="s">
        <v>117</v>
      </c>
      <c r="B96" s="366">
        <v>592.66999999999996</v>
      </c>
      <c r="C96" s="366">
        <v>277.27</v>
      </c>
      <c r="D96" s="366">
        <v>81.180000000000007</v>
      </c>
      <c r="E96" s="366">
        <v>81.180000000000007</v>
      </c>
      <c r="F96" s="366">
        <v>656.57</v>
      </c>
      <c r="G96" s="366">
        <v>393.08</v>
      </c>
      <c r="H96" s="366">
        <v>37.56</v>
      </c>
      <c r="I96" s="366">
        <v>288.82</v>
      </c>
      <c r="J96" s="366">
        <v>13.78</v>
      </c>
      <c r="K96" s="366">
        <v>13.78</v>
      </c>
      <c r="L96" s="366">
        <v>99.09</v>
      </c>
      <c r="M96" s="366">
        <v>302.69</v>
      </c>
      <c r="N96" s="366">
        <v>399.59</v>
      </c>
      <c r="O96" s="366">
        <v>323</v>
      </c>
      <c r="P96" s="366">
        <v>323</v>
      </c>
      <c r="Q96" s="366">
        <v>323</v>
      </c>
      <c r="R96" s="366">
        <v>323</v>
      </c>
      <c r="S96" s="366">
        <v>323</v>
      </c>
      <c r="T96" s="366">
        <v>299.86</v>
      </c>
      <c r="U96" s="366">
        <v>501.12</v>
      </c>
      <c r="V96" s="366">
        <v>377.93</v>
      </c>
      <c r="W96" s="366">
        <v>203.26</v>
      </c>
      <c r="X96" s="366">
        <v>203.26</v>
      </c>
      <c r="Y96" s="366">
        <v>203.26</v>
      </c>
      <c r="Z96" s="366">
        <v>415.67</v>
      </c>
      <c r="AA96" s="366">
        <v>387.25</v>
      </c>
      <c r="AB96" s="366">
        <v>327.35000000000002</v>
      </c>
      <c r="AC96" s="366">
        <v>319.48</v>
      </c>
      <c r="AD96" s="366">
        <v>319.48</v>
      </c>
      <c r="AE96" s="366">
        <v>132.08000000000001</v>
      </c>
      <c r="AF96" s="366">
        <v>406.82</v>
      </c>
      <c r="AG96" s="366">
        <v>204.78</v>
      </c>
      <c r="AH96" s="366">
        <v>312.12</v>
      </c>
      <c r="AI96" s="366">
        <v>312.12</v>
      </c>
      <c r="AJ96" s="366">
        <v>312.12</v>
      </c>
      <c r="AK96" s="366">
        <v>437.87</v>
      </c>
      <c r="AL96" s="366">
        <v>437.87</v>
      </c>
      <c r="AM96" s="366">
        <v>330.07</v>
      </c>
      <c r="AN96" s="366">
        <v>282.17</v>
      </c>
      <c r="AO96" s="366">
        <v>409.69</v>
      </c>
      <c r="AP96" s="366">
        <v>238.16</v>
      </c>
      <c r="AQ96" s="366">
        <v>613.11</v>
      </c>
      <c r="AR96" s="366">
        <v>52.06</v>
      </c>
      <c r="AS96" s="366">
        <v>174.54</v>
      </c>
      <c r="AT96" s="366">
        <v>174.54</v>
      </c>
      <c r="AU96" s="366">
        <v>292.79000000000002</v>
      </c>
      <c r="AV96" s="366">
        <v>532.16999999999996</v>
      </c>
      <c r="AW96" s="366">
        <v>33.99</v>
      </c>
      <c r="AX96" s="366">
        <v>370</v>
      </c>
      <c r="AY96" s="366">
        <v>435.3</v>
      </c>
      <c r="AZ96" s="366">
        <v>245.89</v>
      </c>
      <c r="BA96" s="366">
        <v>533.08000000000004</v>
      </c>
      <c r="BB96" s="366">
        <v>438.19</v>
      </c>
      <c r="BC96" s="366">
        <v>475.14</v>
      </c>
      <c r="BD96" s="366">
        <v>384.91</v>
      </c>
      <c r="BE96" s="366">
        <v>381.99</v>
      </c>
      <c r="BF96" s="366">
        <v>324.32</v>
      </c>
      <c r="BG96" s="366">
        <v>423.22</v>
      </c>
      <c r="BH96" s="366">
        <v>323</v>
      </c>
      <c r="BI96" s="366">
        <v>52.09</v>
      </c>
      <c r="BJ96" s="366">
        <v>361.34</v>
      </c>
      <c r="BK96" s="366">
        <v>313.67</v>
      </c>
      <c r="BL96" s="366">
        <v>88.18</v>
      </c>
      <c r="BM96" s="366">
        <v>64.97</v>
      </c>
      <c r="BN96" s="366">
        <v>427.44</v>
      </c>
      <c r="BO96" s="366">
        <v>355.87</v>
      </c>
      <c r="BP96" s="366">
        <v>321.73</v>
      </c>
      <c r="BQ96" s="366">
        <v>309.52</v>
      </c>
      <c r="BR96" s="366">
        <v>309.52</v>
      </c>
      <c r="BS96" s="366">
        <v>253.46</v>
      </c>
      <c r="BT96" s="366">
        <v>44.01</v>
      </c>
      <c r="BU96" s="366">
        <v>307.85000000000002</v>
      </c>
      <c r="BV96" s="366">
        <v>327.47000000000003</v>
      </c>
      <c r="BW96" s="366">
        <v>352.08</v>
      </c>
      <c r="BX96" s="366">
        <v>194.55</v>
      </c>
      <c r="BY96" s="366">
        <v>405.41</v>
      </c>
      <c r="BZ96" s="366">
        <v>405.41</v>
      </c>
      <c r="CA96" s="366">
        <v>65.930000000000007</v>
      </c>
      <c r="CB96" s="366">
        <v>212.98</v>
      </c>
      <c r="CC96" s="366">
        <v>341.17</v>
      </c>
      <c r="CD96" s="366">
        <v>352.34</v>
      </c>
      <c r="CE96" s="366">
        <v>296.89999999999998</v>
      </c>
      <c r="CF96" s="366">
        <v>405.55</v>
      </c>
      <c r="CG96" s="366">
        <v>405.55</v>
      </c>
      <c r="CH96" s="366">
        <v>294.52</v>
      </c>
      <c r="CI96" s="366">
        <v>265.95999999999998</v>
      </c>
      <c r="CJ96" s="366">
        <v>416.5</v>
      </c>
      <c r="CK96" s="366">
        <v>410.5</v>
      </c>
      <c r="CL96" s="366">
        <v>306.58</v>
      </c>
      <c r="CM96" s="366">
        <v>421.42</v>
      </c>
      <c r="CN96" s="366">
        <v>310.70999999999998</v>
      </c>
      <c r="CO96" s="366">
        <v>50.67</v>
      </c>
      <c r="CP96" s="366">
        <v>316.20999999999998</v>
      </c>
      <c r="CQ96" s="366">
        <v>316.20999999999998</v>
      </c>
      <c r="CR96" s="366">
        <v>0</v>
      </c>
      <c r="CS96" s="366">
        <v>0</v>
      </c>
      <c r="CT96" s="366">
        <v>9.44</v>
      </c>
      <c r="CU96" s="366">
        <v>1.57</v>
      </c>
      <c r="CV96" s="366">
        <v>31.73</v>
      </c>
      <c r="CW96" s="366">
        <v>377.93</v>
      </c>
      <c r="CX96" s="366">
        <v>360.24</v>
      </c>
      <c r="CY96" s="366">
        <v>467.84</v>
      </c>
      <c r="CZ96" s="366">
        <v>489.08</v>
      </c>
      <c r="DA96" s="366">
        <v>337.64</v>
      </c>
      <c r="DB96" s="366">
        <v>357.32</v>
      </c>
      <c r="DC96" s="366">
        <v>357.32</v>
      </c>
      <c r="DD96" s="366">
        <v>190.42</v>
      </c>
      <c r="DE96" s="366">
        <v>415.27</v>
      </c>
      <c r="DF96" s="366">
        <v>641.03</v>
      </c>
      <c r="DG96" s="366">
        <v>295.61</v>
      </c>
      <c r="DH96" s="366">
        <v>477.83</v>
      </c>
      <c r="DI96" s="366">
        <v>271.37</v>
      </c>
      <c r="DJ96" s="366">
        <v>475.26</v>
      </c>
      <c r="DK96" s="366">
        <v>156.97</v>
      </c>
      <c r="DL96" s="366">
        <v>301.85000000000002</v>
      </c>
      <c r="DM96" s="366">
        <v>264.85000000000002</v>
      </c>
      <c r="DN96" s="366">
        <v>286.13</v>
      </c>
      <c r="DO96" s="366">
        <v>183.54</v>
      </c>
      <c r="DP96" s="366">
        <v>152.11000000000001</v>
      </c>
      <c r="DQ96" s="366">
        <v>363.42</v>
      </c>
      <c r="DR96" s="366">
        <v>477.83</v>
      </c>
      <c r="DS96" s="366">
        <v>53.03</v>
      </c>
      <c r="DT96" s="366">
        <v>41.32</v>
      </c>
      <c r="DU96" s="366">
        <v>367.98</v>
      </c>
      <c r="DV96" s="366">
        <v>434.69</v>
      </c>
      <c r="DW96" s="366">
        <v>158.12</v>
      </c>
      <c r="DX96" s="366">
        <v>338.4</v>
      </c>
      <c r="DY96" s="366">
        <v>411.79</v>
      </c>
      <c r="DZ96" s="366">
        <v>200.09</v>
      </c>
      <c r="EA96" s="366">
        <v>34.340000000000003</v>
      </c>
      <c r="EB96" s="366">
        <v>405.79</v>
      </c>
      <c r="EC96" s="366">
        <v>55.74</v>
      </c>
      <c r="ED96" s="366">
        <v>301.14</v>
      </c>
      <c r="EE96" s="366">
        <v>311.93</v>
      </c>
      <c r="EF96" s="366">
        <v>231.88</v>
      </c>
      <c r="EG96" s="366">
        <v>33.99</v>
      </c>
      <c r="EH96" s="366">
        <v>33.99</v>
      </c>
      <c r="EI96" s="366">
        <v>335.99</v>
      </c>
      <c r="EJ96" s="366">
        <v>465.89</v>
      </c>
      <c r="EK96" s="366">
        <v>214.42</v>
      </c>
      <c r="EL96" s="366">
        <v>214.42</v>
      </c>
      <c r="EM96" s="366">
        <v>308.52999999999997</v>
      </c>
      <c r="EN96" s="366">
        <v>308.52999999999997</v>
      </c>
      <c r="EO96" s="366">
        <v>330.07</v>
      </c>
      <c r="EP96" s="366">
        <v>371.03</v>
      </c>
      <c r="EQ96" s="366">
        <v>18.93</v>
      </c>
      <c r="ER96" s="366">
        <v>471.16</v>
      </c>
      <c r="ES96" s="366">
        <v>277.17</v>
      </c>
      <c r="ET96" s="366">
        <v>291.55</v>
      </c>
      <c r="EU96" s="366">
        <v>592.66999999999996</v>
      </c>
      <c r="EV96" s="366">
        <v>203.26</v>
      </c>
      <c r="EW96" s="366">
        <v>336.91</v>
      </c>
      <c r="EX96" s="366">
        <v>253.91</v>
      </c>
      <c r="EY96" s="366">
        <v>253.91</v>
      </c>
      <c r="EZ96" s="366">
        <v>360.34</v>
      </c>
      <c r="FA96" s="366">
        <v>305.7</v>
      </c>
      <c r="FB96" s="366">
        <v>141.27000000000001</v>
      </c>
      <c r="FC96" s="366">
        <v>358.54</v>
      </c>
      <c r="FD96" s="366">
        <v>248.19</v>
      </c>
      <c r="FE96" s="366">
        <v>339.82</v>
      </c>
      <c r="FF96" s="366">
        <v>315</v>
      </c>
      <c r="FG96" s="366">
        <v>524.12</v>
      </c>
      <c r="FH96" s="366">
        <v>524.12</v>
      </c>
      <c r="FI96" s="366">
        <v>184.13</v>
      </c>
      <c r="FJ96" s="366">
        <v>189.92</v>
      </c>
      <c r="FK96" s="366">
        <v>304.91000000000003</v>
      </c>
      <c r="FL96" s="366">
        <v>303.10000000000002</v>
      </c>
      <c r="FM96" s="366">
        <v>330.07</v>
      </c>
      <c r="FN96" s="366">
        <v>234.01</v>
      </c>
      <c r="FO96" s="366">
        <v>42.71</v>
      </c>
      <c r="FP96" s="366">
        <v>390.89</v>
      </c>
      <c r="FQ96" s="366">
        <v>46.58</v>
      </c>
      <c r="FR96" s="366">
        <v>116.43</v>
      </c>
      <c r="FS96" s="366">
        <v>245.07</v>
      </c>
      <c r="FT96" s="366">
        <v>460.1</v>
      </c>
      <c r="FU96" s="366">
        <v>253.57</v>
      </c>
      <c r="FV96" s="366">
        <v>656.57</v>
      </c>
      <c r="FW96" s="366">
        <v>656.57</v>
      </c>
      <c r="FX96" s="366">
        <v>656.57</v>
      </c>
      <c r="FY96" s="366">
        <v>254.84</v>
      </c>
      <c r="FZ96" s="366">
        <v>329.73</v>
      </c>
      <c r="GA96" s="366">
        <v>381.99</v>
      </c>
      <c r="GB96" s="366">
        <v>283.54000000000002</v>
      </c>
      <c r="GC96" s="366">
        <v>301.14</v>
      </c>
      <c r="GD96" s="366">
        <v>176.65</v>
      </c>
      <c r="GE96" s="366">
        <v>9.5399999999999991</v>
      </c>
      <c r="GF96" s="366">
        <v>240.04</v>
      </c>
      <c r="GG96" s="366">
        <v>240.04</v>
      </c>
      <c r="GH96" s="366">
        <v>430.44</v>
      </c>
      <c r="GI96" s="366">
        <v>330.23</v>
      </c>
      <c r="GJ96" s="366">
        <v>330.07</v>
      </c>
      <c r="GK96" s="366">
        <v>301.45999999999998</v>
      </c>
      <c r="GL96" s="366">
        <v>322.32</v>
      </c>
      <c r="GM96" s="366">
        <v>322.32</v>
      </c>
      <c r="GN96" s="366">
        <v>322.32</v>
      </c>
      <c r="GO96" s="366">
        <v>277.33999999999997</v>
      </c>
      <c r="GP96" s="366">
        <v>387.4</v>
      </c>
      <c r="GQ96" s="366">
        <v>347.17</v>
      </c>
      <c r="GR96" s="366">
        <v>332.48</v>
      </c>
      <c r="GS96" s="366">
        <v>257.08999999999997</v>
      </c>
      <c r="GT96" s="366">
        <v>33.99</v>
      </c>
      <c r="GU96" s="366">
        <v>150.25</v>
      </c>
      <c r="GV96" s="366">
        <v>473.08</v>
      </c>
      <c r="GW96" s="366">
        <v>298.3</v>
      </c>
      <c r="GX96" s="366">
        <v>30.56</v>
      </c>
      <c r="GY96" s="366">
        <v>313.08999999999997</v>
      </c>
      <c r="GZ96" s="366">
        <v>247.91</v>
      </c>
      <c r="HA96" s="366">
        <v>48.12</v>
      </c>
      <c r="HB96" s="366">
        <v>48.12</v>
      </c>
      <c r="HC96" s="366">
        <v>48.12</v>
      </c>
      <c r="HD96" s="366">
        <v>236.38</v>
      </c>
      <c r="HE96" s="366">
        <v>302.38</v>
      </c>
      <c r="HF96" s="366">
        <v>258.67</v>
      </c>
      <c r="HG96" s="366">
        <v>386.32</v>
      </c>
      <c r="HH96" s="366">
        <v>386.32</v>
      </c>
      <c r="HI96" s="366">
        <v>386.32</v>
      </c>
      <c r="HJ96" s="366">
        <v>260.91000000000003</v>
      </c>
      <c r="HK96" s="366">
        <v>106.48</v>
      </c>
      <c r="HL96" s="366">
        <v>356.38</v>
      </c>
      <c r="HM96" s="366">
        <v>327.35000000000002</v>
      </c>
      <c r="HN96" s="366">
        <v>330.07</v>
      </c>
      <c r="HO96" s="366">
        <v>560.83000000000004</v>
      </c>
      <c r="HP96" s="366">
        <v>248.63</v>
      </c>
      <c r="HQ96" s="366">
        <v>656.57</v>
      </c>
      <c r="HR96" s="366">
        <v>406.82</v>
      </c>
      <c r="HS96" s="366">
        <v>326.32</v>
      </c>
      <c r="HT96" s="366">
        <v>278.48</v>
      </c>
      <c r="HU96" s="366">
        <v>313</v>
      </c>
      <c r="HV96" s="366">
        <v>359.27</v>
      </c>
    </row>
    <row r="97" spans="1:230">
      <c r="A97" s="366" t="s">
        <v>118</v>
      </c>
      <c r="B97" s="366">
        <v>592.66999999999996</v>
      </c>
      <c r="C97" s="366">
        <v>277.27</v>
      </c>
      <c r="D97" s="366">
        <v>81.180000000000007</v>
      </c>
      <c r="E97" s="366">
        <v>81.180000000000007</v>
      </c>
      <c r="F97" s="366">
        <v>656.57</v>
      </c>
      <c r="G97" s="366">
        <v>393.08</v>
      </c>
      <c r="H97" s="366">
        <v>37.56</v>
      </c>
      <c r="I97" s="366">
        <v>288.82</v>
      </c>
      <c r="J97" s="366">
        <v>13.78</v>
      </c>
      <c r="K97" s="366">
        <v>13.78</v>
      </c>
      <c r="L97" s="366">
        <v>99.09</v>
      </c>
      <c r="M97" s="366">
        <v>302.69</v>
      </c>
      <c r="N97" s="366">
        <v>399.59</v>
      </c>
      <c r="O97" s="366">
        <v>323</v>
      </c>
      <c r="P97" s="366">
        <v>323</v>
      </c>
      <c r="Q97" s="366">
        <v>323</v>
      </c>
      <c r="R97" s="366">
        <v>323</v>
      </c>
      <c r="S97" s="366">
        <v>323</v>
      </c>
      <c r="T97" s="366">
        <v>299.86</v>
      </c>
      <c r="U97" s="366">
        <v>501.12</v>
      </c>
      <c r="V97" s="366">
        <v>377.93</v>
      </c>
      <c r="W97" s="366">
        <v>203.26</v>
      </c>
      <c r="X97" s="366">
        <v>203.26</v>
      </c>
      <c r="Y97" s="366">
        <v>203.26</v>
      </c>
      <c r="Z97" s="366">
        <v>415.67</v>
      </c>
      <c r="AA97" s="366">
        <v>387.25</v>
      </c>
      <c r="AB97" s="366">
        <v>327.35000000000002</v>
      </c>
      <c r="AC97" s="366">
        <v>319.48</v>
      </c>
      <c r="AD97" s="366">
        <v>319.48</v>
      </c>
      <c r="AE97" s="366">
        <v>132.08000000000001</v>
      </c>
      <c r="AF97" s="366">
        <v>406.82</v>
      </c>
      <c r="AG97" s="366">
        <v>204.78</v>
      </c>
      <c r="AH97" s="366">
        <v>312.12</v>
      </c>
      <c r="AI97" s="366">
        <v>312.12</v>
      </c>
      <c r="AJ97" s="366">
        <v>312.12</v>
      </c>
      <c r="AK97" s="366">
        <v>437.87</v>
      </c>
      <c r="AL97" s="366">
        <v>437.87</v>
      </c>
      <c r="AM97" s="366">
        <v>330.07</v>
      </c>
      <c r="AN97" s="366">
        <v>282.17</v>
      </c>
      <c r="AO97" s="366">
        <v>409.69</v>
      </c>
      <c r="AP97" s="366">
        <v>238.16</v>
      </c>
      <c r="AQ97" s="366">
        <v>613.11</v>
      </c>
      <c r="AR97" s="366">
        <v>52.06</v>
      </c>
      <c r="AS97" s="366">
        <v>174.54</v>
      </c>
      <c r="AT97" s="366">
        <v>174.54</v>
      </c>
      <c r="AU97" s="366">
        <v>292.79000000000002</v>
      </c>
      <c r="AV97" s="366">
        <v>532.16999999999996</v>
      </c>
      <c r="AW97" s="366">
        <v>33.99</v>
      </c>
      <c r="AX97" s="366">
        <v>370</v>
      </c>
      <c r="AY97" s="366">
        <v>435.3</v>
      </c>
      <c r="AZ97" s="366">
        <v>245.89</v>
      </c>
      <c r="BA97" s="366">
        <v>533.08000000000004</v>
      </c>
      <c r="BB97" s="366">
        <v>438.19</v>
      </c>
      <c r="BC97" s="366">
        <v>475.14</v>
      </c>
      <c r="BD97" s="366">
        <v>384.91</v>
      </c>
      <c r="BE97" s="366">
        <v>381.99</v>
      </c>
      <c r="BF97" s="366">
        <v>324.32</v>
      </c>
      <c r="BG97" s="366">
        <v>423.22</v>
      </c>
      <c r="BH97" s="366">
        <v>323</v>
      </c>
      <c r="BI97" s="366">
        <v>52.09</v>
      </c>
      <c r="BJ97" s="366">
        <v>361.34</v>
      </c>
      <c r="BK97" s="366">
        <v>313.67</v>
      </c>
      <c r="BL97" s="366">
        <v>88.18</v>
      </c>
      <c r="BM97" s="366">
        <v>64.97</v>
      </c>
      <c r="BN97" s="366">
        <v>427.44</v>
      </c>
      <c r="BO97" s="366">
        <v>355.87</v>
      </c>
      <c r="BP97" s="366">
        <v>321.73</v>
      </c>
      <c r="BQ97" s="366">
        <v>309.52</v>
      </c>
      <c r="BR97" s="366">
        <v>309.52</v>
      </c>
      <c r="BS97" s="366">
        <v>253.46</v>
      </c>
      <c r="BT97" s="366">
        <v>44.01</v>
      </c>
      <c r="BU97" s="366">
        <v>307.85000000000002</v>
      </c>
      <c r="BV97" s="366">
        <v>327.47000000000003</v>
      </c>
      <c r="BW97" s="366">
        <v>352.08</v>
      </c>
      <c r="BX97" s="366">
        <v>194.55</v>
      </c>
      <c r="BY97" s="366">
        <v>405.41</v>
      </c>
      <c r="BZ97" s="366">
        <v>405.41</v>
      </c>
      <c r="CA97" s="366">
        <v>65.930000000000007</v>
      </c>
      <c r="CB97" s="366">
        <v>212.98</v>
      </c>
      <c r="CC97" s="366">
        <v>341.17</v>
      </c>
      <c r="CD97" s="366">
        <v>352.34</v>
      </c>
      <c r="CE97" s="366">
        <v>296.89999999999998</v>
      </c>
      <c r="CF97" s="366">
        <v>405.55</v>
      </c>
      <c r="CG97" s="366">
        <v>405.55</v>
      </c>
      <c r="CH97" s="366">
        <v>294.52</v>
      </c>
      <c r="CI97" s="366">
        <v>265.95999999999998</v>
      </c>
      <c r="CJ97" s="366">
        <v>416.5</v>
      </c>
      <c r="CK97" s="366">
        <v>410.5</v>
      </c>
      <c r="CL97" s="366">
        <v>306.58</v>
      </c>
      <c r="CM97" s="366">
        <v>421.42</v>
      </c>
      <c r="CN97" s="366">
        <v>310.70999999999998</v>
      </c>
      <c r="CO97" s="366">
        <v>50.67</v>
      </c>
      <c r="CP97" s="366">
        <v>316.20999999999998</v>
      </c>
      <c r="CQ97" s="366">
        <v>316.20999999999998</v>
      </c>
      <c r="CR97" s="366">
        <v>0</v>
      </c>
      <c r="CS97" s="366">
        <v>0</v>
      </c>
      <c r="CT97" s="366">
        <v>9.44</v>
      </c>
      <c r="CU97" s="366">
        <v>1.57</v>
      </c>
      <c r="CV97" s="366">
        <v>31.73</v>
      </c>
      <c r="CW97" s="366">
        <v>377.93</v>
      </c>
      <c r="CX97" s="366">
        <v>360.24</v>
      </c>
      <c r="CY97" s="366">
        <v>467.84</v>
      </c>
      <c r="CZ97" s="366">
        <v>489.08</v>
      </c>
      <c r="DA97" s="366">
        <v>337.64</v>
      </c>
      <c r="DB97" s="366">
        <v>357.32</v>
      </c>
      <c r="DC97" s="366">
        <v>357.32</v>
      </c>
      <c r="DD97" s="366">
        <v>190.42</v>
      </c>
      <c r="DE97" s="366">
        <v>415.27</v>
      </c>
      <c r="DF97" s="366">
        <v>641.03</v>
      </c>
      <c r="DG97" s="366">
        <v>295.61</v>
      </c>
      <c r="DH97" s="366">
        <v>477.83</v>
      </c>
      <c r="DI97" s="366">
        <v>271.37</v>
      </c>
      <c r="DJ97" s="366">
        <v>475.26</v>
      </c>
      <c r="DK97" s="366">
        <v>156.97</v>
      </c>
      <c r="DL97" s="366">
        <v>301.85000000000002</v>
      </c>
      <c r="DM97" s="366">
        <v>264.85000000000002</v>
      </c>
      <c r="DN97" s="366">
        <v>286.13</v>
      </c>
      <c r="DO97" s="366">
        <v>183.54</v>
      </c>
      <c r="DP97" s="366">
        <v>152.11000000000001</v>
      </c>
      <c r="DQ97" s="366">
        <v>363.42</v>
      </c>
      <c r="DR97" s="366">
        <v>477.83</v>
      </c>
      <c r="DS97" s="366">
        <v>53.03</v>
      </c>
      <c r="DT97" s="366">
        <v>41.32</v>
      </c>
      <c r="DU97" s="366">
        <v>367.98</v>
      </c>
      <c r="DV97" s="366">
        <v>434.69</v>
      </c>
      <c r="DW97" s="366">
        <v>158.12</v>
      </c>
      <c r="DX97" s="366">
        <v>338.4</v>
      </c>
      <c r="DY97" s="366">
        <v>411.79</v>
      </c>
      <c r="DZ97" s="366">
        <v>200.09</v>
      </c>
      <c r="EA97" s="366">
        <v>34.340000000000003</v>
      </c>
      <c r="EB97" s="366">
        <v>405.79</v>
      </c>
      <c r="EC97" s="366">
        <v>55.74</v>
      </c>
      <c r="ED97" s="366">
        <v>301.14</v>
      </c>
      <c r="EE97" s="366">
        <v>311.93</v>
      </c>
      <c r="EF97" s="366">
        <v>231.88</v>
      </c>
      <c r="EG97" s="366">
        <v>33.99</v>
      </c>
      <c r="EH97" s="366">
        <v>33.99</v>
      </c>
      <c r="EI97" s="366">
        <v>335.99</v>
      </c>
      <c r="EJ97" s="366">
        <v>465.89</v>
      </c>
      <c r="EK97" s="366">
        <v>214.42</v>
      </c>
      <c r="EL97" s="366">
        <v>214.42</v>
      </c>
      <c r="EM97" s="366">
        <v>308.52999999999997</v>
      </c>
      <c r="EN97" s="366">
        <v>308.52999999999997</v>
      </c>
      <c r="EO97" s="366">
        <v>330.07</v>
      </c>
      <c r="EP97" s="366">
        <v>371.03</v>
      </c>
      <c r="EQ97" s="366">
        <v>18.93</v>
      </c>
      <c r="ER97" s="366">
        <v>471.16</v>
      </c>
      <c r="ES97" s="366">
        <v>277.17</v>
      </c>
      <c r="ET97" s="366">
        <v>291.55</v>
      </c>
      <c r="EU97" s="366">
        <v>592.66999999999996</v>
      </c>
      <c r="EV97" s="366">
        <v>203.26</v>
      </c>
      <c r="EW97" s="366">
        <v>336.91</v>
      </c>
      <c r="EX97" s="366">
        <v>253.91</v>
      </c>
      <c r="EY97" s="366">
        <v>253.91</v>
      </c>
      <c r="EZ97" s="366">
        <v>360.34</v>
      </c>
      <c r="FA97" s="366">
        <v>305.7</v>
      </c>
      <c r="FB97" s="366">
        <v>141.27000000000001</v>
      </c>
      <c r="FC97" s="366">
        <v>358.54</v>
      </c>
      <c r="FD97" s="366">
        <v>248.19</v>
      </c>
      <c r="FE97" s="366">
        <v>339.82</v>
      </c>
      <c r="FF97" s="366">
        <v>315</v>
      </c>
      <c r="FG97" s="366">
        <v>524.12</v>
      </c>
      <c r="FH97" s="366">
        <v>524.12</v>
      </c>
      <c r="FI97" s="366">
        <v>184.13</v>
      </c>
      <c r="FJ97" s="366">
        <v>189.92</v>
      </c>
      <c r="FK97" s="366">
        <v>304.91000000000003</v>
      </c>
      <c r="FL97" s="366">
        <v>303.10000000000002</v>
      </c>
      <c r="FM97" s="366">
        <v>330.07</v>
      </c>
      <c r="FN97" s="366">
        <v>234.01</v>
      </c>
      <c r="FO97" s="366">
        <v>42.71</v>
      </c>
      <c r="FP97" s="366">
        <v>390.89</v>
      </c>
      <c r="FQ97" s="366">
        <v>46.58</v>
      </c>
      <c r="FR97" s="366">
        <v>116.43</v>
      </c>
      <c r="FS97" s="366">
        <v>245.07</v>
      </c>
      <c r="FT97" s="366">
        <v>460.1</v>
      </c>
      <c r="FU97" s="366">
        <v>253.57</v>
      </c>
      <c r="FV97" s="366">
        <v>656.57</v>
      </c>
      <c r="FW97" s="366">
        <v>656.57</v>
      </c>
      <c r="FX97" s="366">
        <v>656.57</v>
      </c>
      <c r="FY97" s="366">
        <v>254.84</v>
      </c>
      <c r="FZ97" s="366">
        <v>329.73</v>
      </c>
      <c r="GA97" s="366">
        <v>381.99</v>
      </c>
      <c r="GB97" s="366">
        <v>283.54000000000002</v>
      </c>
      <c r="GC97" s="366">
        <v>301.14</v>
      </c>
      <c r="GD97" s="366">
        <v>176.65</v>
      </c>
      <c r="GE97" s="366">
        <v>9.5399999999999991</v>
      </c>
      <c r="GF97" s="366">
        <v>240.04</v>
      </c>
      <c r="GG97" s="366">
        <v>240.04</v>
      </c>
      <c r="GH97" s="366">
        <v>430.44</v>
      </c>
      <c r="GI97" s="366">
        <v>330.23</v>
      </c>
      <c r="GJ97" s="366">
        <v>330.07</v>
      </c>
      <c r="GK97" s="366">
        <v>301.45999999999998</v>
      </c>
      <c r="GL97" s="366">
        <v>322.32</v>
      </c>
      <c r="GM97" s="366">
        <v>322.32</v>
      </c>
      <c r="GN97" s="366">
        <v>322.32</v>
      </c>
      <c r="GO97" s="366">
        <v>277.33999999999997</v>
      </c>
      <c r="GP97" s="366">
        <v>387.4</v>
      </c>
      <c r="GQ97" s="366">
        <v>347.17</v>
      </c>
      <c r="GR97" s="366">
        <v>332.48</v>
      </c>
      <c r="GS97" s="366">
        <v>257.08999999999997</v>
      </c>
      <c r="GT97" s="366">
        <v>33.99</v>
      </c>
      <c r="GU97" s="366">
        <v>150.25</v>
      </c>
      <c r="GV97" s="366">
        <v>473.08</v>
      </c>
      <c r="GW97" s="366">
        <v>298.3</v>
      </c>
      <c r="GX97" s="366">
        <v>30.56</v>
      </c>
      <c r="GY97" s="366">
        <v>313.08999999999997</v>
      </c>
      <c r="GZ97" s="366">
        <v>247.91</v>
      </c>
      <c r="HA97" s="366">
        <v>48.12</v>
      </c>
      <c r="HB97" s="366">
        <v>48.12</v>
      </c>
      <c r="HC97" s="366">
        <v>48.12</v>
      </c>
      <c r="HD97" s="366">
        <v>236.38</v>
      </c>
      <c r="HE97" s="366">
        <v>302.38</v>
      </c>
      <c r="HF97" s="366">
        <v>258.67</v>
      </c>
      <c r="HG97" s="366">
        <v>386.32</v>
      </c>
      <c r="HH97" s="366">
        <v>386.32</v>
      </c>
      <c r="HI97" s="366">
        <v>386.32</v>
      </c>
      <c r="HJ97" s="366">
        <v>260.91000000000003</v>
      </c>
      <c r="HK97" s="366">
        <v>106.48</v>
      </c>
      <c r="HL97" s="366">
        <v>356.38</v>
      </c>
      <c r="HM97" s="366">
        <v>327.35000000000002</v>
      </c>
      <c r="HN97" s="366">
        <v>330.07</v>
      </c>
      <c r="HO97" s="366">
        <v>560.83000000000004</v>
      </c>
      <c r="HP97" s="366">
        <v>248.63</v>
      </c>
      <c r="HQ97" s="366">
        <v>656.57</v>
      </c>
      <c r="HR97" s="366">
        <v>406.82</v>
      </c>
      <c r="HS97" s="366">
        <v>326.32</v>
      </c>
      <c r="HT97" s="366">
        <v>278.48</v>
      </c>
      <c r="HU97" s="366">
        <v>313</v>
      </c>
      <c r="HV97" s="366">
        <v>359.27</v>
      </c>
    </row>
    <row r="98" spans="1:230">
      <c r="A98" s="366" t="s">
        <v>119</v>
      </c>
      <c r="B98" s="366">
        <v>583.23</v>
      </c>
      <c r="C98" s="366">
        <v>286.70999999999998</v>
      </c>
      <c r="D98" s="366">
        <v>90.62</v>
      </c>
      <c r="E98" s="366">
        <v>90.62</v>
      </c>
      <c r="F98" s="366">
        <v>647.13</v>
      </c>
      <c r="G98" s="366">
        <v>383.64</v>
      </c>
      <c r="H98" s="366">
        <v>47</v>
      </c>
      <c r="I98" s="366">
        <v>279.38</v>
      </c>
      <c r="J98" s="366">
        <v>23.22</v>
      </c>
      <c r="K98" s="366">
        <v>23.22</v>
      </c>
      <c r="L98" s="366">
        <v>108.53</v>
      </c>
      <c r="M98" s="366">
        <v>312.13</v>
      </c>
      <c r="N98" s="366">
        <v>409.03</v>
      </c>
      <c r="O98" s="366">
        <v>332.44</v>
      </c>
      <c r="P98" s="366">
        <v>332.44</v>
      </c>
      <c r="Q98" s="366">
        <v>332.44</v>
      </c>
      <c r="R98" s="366">
        <v>332.44</v>
      </c>
      <c r="S98" s="366">
        <v>332.44</v>
      </c>
      <c r="T98" s="366">
        <v>290.42</v>
      </c>
      <c r="U98" s="366">
        <v>491.68</v>
      </c>
      <c r="V98" s="366">
        <v>387.37</v>
      </c>
      <c r="W98" s="366">
        <v>193.82</v>
      </c>
      <c r="X98" s="366">
        <v>193.82</v>
      </c>
      <c r="Y98" s="366">
        <v>193.82</v>
      </c>
      <c r="Z98" s="366">
        <v>425.11</v>
      </c>
      <c r="AA98" s="366">
        <v>377.81</v>
      </c>
      <c r="AB98" s="366">
        <v>317.91000000000003</v>
      </c>
      <c r="AC98" s="366">
        <v>310.04000000000002</v>
      </c>
      <c r="AD98" s="366">
        <v>310.04000000000002</v>
      </c>
      <c r="AE98" s="366">
        <v>141.52000000000001</v>
      </c>
      <c r="AF98" s="366">
        <v>397.38</v>
      </c>
      <c r="AG98" s="366">
        <v>195.34</v>
      </c>
      <c r="AH98" s="366">
        <v>321.56</v>
      </c>
      <c r="AI98" s="366">
        <v>321.56</v>
      </c>
      <c r="AJ98" s="366">
        <v>321.56</v>
      </c>
      <c r="AK98" s="366">
        <v>447.31</v>
      </c>
      <c r="AL98" s="366">
        <v>447.31</v>
      </c>
      <c r="AM98" s="366">
        <v>320.63</v>
      </c>
      <c r="AN98" s="366">
        <v>291.61</v>
      </c>
      <c r="AO98" s="366">
        <v>400.25</v>
      </c>
      <c r="AP98" s="366">
        <v>228.72</v>
      </c>
      <c r="AQ98" s="366">
        <v>603.66999999999996</v>
      </c>
      <c r="AR98" s="366">
        <v>59.51</v>
      </c>
      <c r="AS98" s="366">
        <v>183.98</v>
      </c>
      <c r="AT98" s="366">
        <v>183.98</v>
      </c>
      <c r="AU98" s="366">
        <v>302.23</v>
      </c>
      <c r="AV98" s="366">
        <v>522.73</v>
      </c>
      <c r="AW98" s="366">
        <v>24.55</v>
      </c>
      <c r="AX98" s="366">
        <v>360.56</v>
      </c>
      <c r="AY98" s="366">
        <v>444.74</v>
      </c>
      <c r="AZ98" s="366">
        <v>255.33</v>
      </c>
      <c r="BA98" s="366">
        <v>523.64</v>
      </c>
      <c r="BB98" s="366">
        <v>447.63</v>
      </c>
      <c r="BC98" s="366">
        <v>465.7</v>
      </c>
      <c r="BD98" s="366">
        <v>375.47</v>
      </c>
      <c r="BE98" s="366">
        <v>391.43</v>
      </c>
      <c r="BF98" s="366">
        <v>314.88</v>
      </c>
      <c r="BG98" s="366">
        <v>432.66</v>
      </c>
      <c r="BH98" s="366">
        <v>332.44</v>
      </c>
      <c r="BI98" s="366">
        <v>59.54</v>
      </c>
      <c r="BJ98" s="366">
        <v>370.78</v>
      </c>
      <c r="BK98" s="366">
        <v>323.11</v>
      </c>
      <c r="BL98" s="366">
        <v>97.62</v>
      </c>
      <c r="BM98" s="366">
        <v>74.41</v>
      </c>
      <c r="BN98" s="366">
        <v>418</v>
      </c>
      <c r="BO98" s="366">
        <v>365.31</v>
      </c>
      <c r="BP98" s="366">
        <v>331.17</v>
      </c>
      <c r="BQ98" s="366">
        <v>300.08</v>
      </c>
      <c r="BR98" s="366">
        <v>300.08</v>
      </c>
      <c r="BS98" s="366">
        <v>262.89999999999998</v>
      </c>
      <c r="BT98" s="366">
        <v>51.46</v>
      </c>
      <c r="BU98" s="366">
        <v>298.41000000000003</v>
      </c>
      <c r="BV98" s="366">
        <v>318.02999999999997</v>
      </c>
      <c r="BW98" s="366">
        <v>361.52</v>
      </c>
      <c r="BX98" s="366">
        <v>203.99</v>
      </c>
      <c r="BY98" s="366">
        <v>414.85</v>
      </c>
      <c r="BZ98" s="366">
        <v>414.85</v>
      </c>
      <c r="CA98" s="366">
        <v>56.49</v>
      </c>
      <c r="CB98" s="366">
        <v>222.42</v>
      </c>
      <c r="CC98" s="366">
        <v>331.73</v>
      </c>
      <c r="CD98" s="366">
        <v>345.21</v>
      </c>
      <c r="CE98" s="366">
        <v>306.33999999999997</v>
      </c>
      <c r="CF98" s="366">
        <v>396.11</v>
      </c>
      <c r="CG98" s="366">
        <v>396.11</v>
      </c>
      <c r="CH98" s="366">
        <v>285.08</v>
      </c>
      <c r="CI98" s="366">
        <v>275.39999999999998</v>
      </c>
      <c r="CJ98" s="366">
        <v>407.06</v>
      </c>
      <c r="CK98" s="366">
        <v>419.94</v>
      </c>
      <c r="CL98" s="366">
        <v>316.02</v>
      </c>
      <c r="CM98" s="366">
        <v>411.98</v>
      </c>
      <c r="CN98" s="366">
        <v>320.14999999999998</v>
      </c>
      <c r="CO98" s="366">
        <v>58.12</v>
      </c>
      <c r="CP98" s="366">
        <v>306.77</v>
      </c>
      <c r="CQ98" s="366">
        <v>306.77</v>
      </c>
      <c r="CR98" s="366">
        <v>9.44</v>
      </c>
      <c r="CS98" s="366">
        <v>9.44</v>
      </c>
      <c r="CT98" s="366">
        <v>0</v>
      </c>
      <c r="CU98" s="366">
        <v>7.87</v>
      </c>
      <c r="CV98" s="366">
        <v>41.17</v>
      </c>
      <c r="CW98" s="366">
        <v>387.37</v>
      </c>
      <c r="CX98" s="366">
        <v>350.8</v>
      </c>
      <c r="CY98" s="366">
        <v>458.4</v>
      </c>
      <c r="CZ98" s="366">
        <v>479.64</v>
      </c>
      <c r="DA98" s="366">
        <v>347.08</v>
      </c>
      <c r="DB98" s="366">
        <v>366.76</v>
      </c>
      <c r="DC98" s="366">
        <v>366.76</v>
      </c>
      <c r="DD98" s="366">
        <v>180.98</v>
      </c>
      <c r="DE98" s="366">
        <v>424.71</v>
      </c>
      <c r="DF98" s="366">
        <v>631.59</v>
      </c>
      <c r="DG98" s="366">
        <v>305.05</v>
      </c>
      <c r="DH98" s="366">
        <v>487.27</v>
      </c>
      <c r="DI98" s="366">
        <v>261.93</v>
      </c>
      <c r="DJ98" s="366">
        <v>465.82</v>
      </c>
      <c r="DK98" s="366">
        <v>166.41</v>
      </c>
      <c r="DL98" s="366">
        <v>292.41000000000003</v>
      </c>
      <c r="DM98" s="366">
        <v>274.29000000000002</v>
      </c>
      <c r="DN98" s="366">
        <v>276.69</v>
      </c>
      <c r="DO98" s="366">
        <v>192.98</v>
      </c>
      <c r="DP98" s="366">
        <v>142.66999999999999</v>
      </c>
      <c r="DQ98" s="366">
        <v>372.86</v>
      </c>
      <c r="DR98" s="366">
        <v>487.27</v>
      </c>
      <c r="DS98" s="366">
        <v>62.47</v>
      </c>
      <c r="DT98" s="366">
        <v>50.76</v>
      </c>
      <c r="DU98" s="366">
        <v>377.42</v>
      </c>
      <c r="DV98" s="366">
        <v>444.13</v>
      </c>
      <c r="DW98" s="366">
        <v>167.56</v>
      </c>
      <c r="DX98" s="366">
        <v>347.84</v>
      </c>
      <c r="DY98" s="366">
        <v>421.23</v>
      </c>
      <c r="DZ98" s="366">
        <v>190.65</v>
      </c>
      <c r="EA98" s="366">
        <v>41.79</v>
      </c>
      <c r="EB98" s="366">
        <v>415.23</v>
      </c>
      <c r="EC98" s="366">
        <v>65.180000000000007</v>
      </c>
      <c r="ED98" s="366">
        <v>291.7</v>
      </c>
      <c r="EE98" s="366">
        <v>302.49</v>
      </c>
      <c r="EF98" s="366">
        <v>222.44</v>
      </c>
      <c r="EG98" s="366">
        <v>24.55</v>
      </c>
      <c r="EH98" s="366">
        <v>24.55</v>
      </c>
      <c r="EI98" s="366">
        <v>345.43</v>
      </c>
      <c r="EJ98" s="366">
        <v>475.33</v>
      </c>
      <c r="EK98" s="366">
        <v>223.86</v>
      </c>
      <c r="EL98" s="366">
        <v>223.86</v>
      </c>
      <c r="EM98" s="366">
        <v>317.97000000000003</v>
      </c>
      <c r="EN98" s="366">
        <v>317.97000000000003</v>
      </c>
      <c r="EO98" s="366">
        <v>320.63</v>
      </c>
      <c r="EP98" s="366">
        <v>361.59</v>
      </c>
      <c r="EQ98" s="366">
        <v>9.49</v>
      </c>
      <c r="ER98" s="366">
        <v>461.72</v>
      </c>
      <c r="ES98" s="366">
        <v>286.61</v>
      </c>
      <c r="ET98" s="366">
        <v>282.11</v>
      </c>
      <c r="EU98" s="366">
        <v>583.23</v>
      </c>
      <c r="EV98" s="366">
        <v>193.82</v>
      </c>
      <c r="EW98" s="366">
        <v>345.06</v>
      </c>
      <c r="EX98" s="366">
        <v>263.35000000000002</v>
      </c>
      <c r="EY98" s="366">
        <v>263.35000000000002</v>
      </c>
      <c r="EZ98" s="366">
        <v>369.78</v>
      </c>
      <c r="FA98" s="366">
        <v>315.14</v>
      </c>
      <c r="FB98" s="366">
        <v>150.71</v>
      </c>
      <c r="FC98" s="366">
        <v>367.98</v>
      </c>
      <c r="FD98" s="366">
        <v>257.63</v>
      </c>
      <c r="FE98" s="366">
        <v>349.26</v>
      </c>
      <c r="FF98" s="366">
        <v>324.44</v>
      </c>
      <c r="FG98" s="366">
        <v>514.67999999999995</v>
      </c>
      <c r="FH98" s="366">
        <v>514.67999999999995</v>
      </c>
      <c r="FI98" s="366">
        <v>174.69</v>
      </c>
      <c r="FJ98" s="366">
        <v>180.48</v>
      </c>
      <c r="FK98" s="366">
        <v>314.35000000000002</v>
      </c>
      <c r="FL98" s="366">
        <v>312.54000000000002</v>
      </c>
      <c r="FM98" s="366">
        <v>320.63</v>
      </c>
      <c r="FN98" s="366">
        <v>224.57</v>
      </c>
      <c r="FO98" s="366">
        <v>50.16</v>
      </c>
      <c r="FP98" s="366">
        <v>400.33</v>
      </c>
      <c r="FQ98" s="366">
        <v>54.03</v>
      </c>
      <c r="FR98" s="366">
        <v>125.87</v>
      </c>
      <c r="FS98" s="366">
        <v>254.51</v>
      </c>
      <c r="FT98" s="366">
        <v>450.66</v>
      </c>
      <c r="FU98" s="366">
        <v>263.01</v>
      </c>
      <c r="FV98" s="366">
        <v>647.13</v>
      </c>
      <c r="FW98" s="366">
        <v>647.13</v>
      </c>
      <c r="FX98" s="366">
        <v>647.13</v>
      </c>
      <c r="FY98" s="366">
        <v>264.27999999999997</v>
      </c>
      <c r="FZ98" s="366">
        <v>339.17</v>
      </c>
      <c r="GA98" s="366">
        <v>391.43</v>
      </c>
      <c r="GB98" s="366">
        <v>292.98</v>
      </c>
      <c r="GC98" s="366">
        <v>291.7</v>
      </c>
      <c r="GD98" s="366">
        <v>186.09</v>
      </c>
      <c r="GE98" s="366">
        <v>0.1</v>
      </c>
      <c r="GF98" s="366">
        <v>249.48</v>
      </c>
      <c r="GG98" s="366">
        <v>249.48</v>
      </c>
      <c r="GH98" s="366">
        <v>439.88</v>
      </c>
      <c r="GI98" s="366">
        <v>320.79000000000002</v>
      </c>
      <c r="GJ98" s="366">
        <v>320.63</v>
      </c>
      <c r="GK98" s="366">
        <v>310.89999999999998</v>
      </c>
      <c r="GL98" s="366">
        <v>331.76</v>
      </c>
      <c r="GM98" s="366">
        <v>331.76</v>
      </c>
      <c r="GN98" s="366">
        <v>331.76</v>
      </c>
      <c r="GO98" s="366">
        <v>267.89999999999998</v>
      </c>
      <c r="GP98" s="366">
        <v>396.84</v>
      </c>
      <c r="GQ98" s="366">
        <v>356.61</v>
      </c>
      <c r="GR98" s="366">
        <v>323.04000000000002</v>
      </c>
      <c r="GS98" s="366">
        <v>247.65</v>
      </c>
      <c r="GT98" s="366">
        <v>24.55</v>
      </c>
      <c r="GU98" s="366">
        <v>159.69</v>
      </c>
      <c r="GV98" s="366">
        <v>482.52</v>
      </c>
      <c r="GW98" s="366">
        <v>307.74</v>
      </c>
      <c r="GX98" s="366">
        <v>21.12</v>
      </c>
      <c r="GY98" s="366">
        <v>322.52999999999997</v>
      </c>
      <c r="GZ98" s="366">
        <v>257.35000000000002</v>
      </c>
      <c r="HA98" s="366">
        <v>55.57</v>
      </c>
      <c r="HB98" s="366">
        <v>55.57</v>
      </c>
      <c r="HC98" s="366">
        <v>55.57</v>
      </c>
      <c r="HD98" s="366">
        <v>226.94</v>
      </c>
      <c r="HE98" s="366">
        <v>311.82</v>
      </c>
      <c r="HF98" s="366">
        <v>268.11</v>
      </c>
      <c r="HG98" s="366">
        <v>395.76</v>
      </c>
      <c r="HH98" s="366">
        <v>395.76</v>
      </c>
      <c r="HI98" s="366">
        <v>395.76</v>
      </c>
      <c r="HJ98" s="366">
        <v>270.35000000000002</v>
      </c>
      <c r="HK98" s="366">
        <v>97.04</v>
      </c>
      <c r="HL98" s="366">
        <v>365.82</v>
      </c>
      <c r="HM98" s="366">
        <v>317.91000000000003</v>
      </c>
      <c r="HN98" s="366">
        <v>320.63</v>
      </c>
      <c r="HO98" s="366">
        <v>551.39</v>
      </c>
      <c r="HP98" s="366">
        <v>258.07</v>
      </c>
      <c r="HQ98" s="366">
        <v>647.13</v>
      </c>
      <c r="HR98" s="366">
        <v>397.38</v>
      </c>
      <c r="HS98" s="366">
        <v>316.88</v>
      </c>
      <c r="HT98" s="366">
        <v>269.04000000000002</v>
      </c>
      <c r="HU98" s="366">
        <v>303.56</v>
      </c>
      <c r="HV98" s="366">
        <v>363.89</v>
      </c>
    </row>
    <row r="99" spans="1:230">
      <c r="A99" s="366" t="s">
        <v>120</v>
      </c>
      <c r="B99" s="366">
        <v>591.1</v>
      </c>
      <c r="C99" s="366">
        <v>278.83999999999997</v>
      </c>
      <c r="D99" s="366">
        <v>82.75</v>
      </c>
      <c r="E99" s="366">
        <v>82.75</v>
      </c>
      <c r="F99" s="366">
        <v>655</v>
      </c>
      <c r="G99" s="366">
        <v>391.51</v>
      </c>
      <c r="H99" s="366">
        <v>39.130000000000003</v>
      </c>
      <c r="I99" s="366">
        <v>287.25</v>
      </c>
      <c r="J99" s="366">
        <v>15.35</v>
      </c>
      <c r="K99" s="366">
        <v>15.35</v>
      </c>
      <c r="L99" s="366">
        <v>100.66</v>
      </c>
      <c r="M99" s="366">
        <v>304.26</v>
      </c>
      <c r="N99" s="366">
        <v>401.16</v>
      </c>
      <c r="O99" s="366">
        <v>324.57</v>
      </c>
      <c r="P99" s="366">
        <v>324.57</v>
      </c>
      <c r="Q99" s="366">
        <v>324.57</v>
      </c>
      <c r="R99" s="366">
        <v>324.57</v>
      </c>
      <c r="S99" s="366">
        <v>324.57</v>
      </c>
      <c r="T99" s="366">
        <v>298.29000000000002</v>
      </c>
      <c r="U99" s="366">
        <v>499.55</v>
      </c>
      <c r="V99" s="366">
        <v>379.5</v>
      </c>
      <c r="W99" s="366">
        <v>201.69</v>
      </c>
      <c r="X99" s="366">
        <v>201.69</v>
      </c>
      <c r="Y99" s="366">
        <v>201.69</v>
      </c>
      <c r="Z99" s="366">
        <v>417.24</v>
      </c>
      <c r="AA99" s="366">
        <v>385.68</v>
      </c>
      <c r="AB99" s="366">
        <v>325.77999999999997</v>
      </c>
      <c r="AC99" s="366">
        <v>317.91000000000003</v>
      </c>
      <c r="AD99" s="366">
        <v>317.91000000000003</v>
      </c>
      <c r="AE99" s="366">
        <v>133.65</v>
      </c>
      <c r="AF99" s="366">
        <v>405.25</v>
      </c>
      <c r="AG99" s="366">
        <v>203.21</v>
      </c>
      <c r="AH99" s="366">
        <v>313.69</v>
      </c>
      <c r="AI99" s="366">
        <v>313.69</v>
      </c>
      <c r="AJ99" s="366">
        <v>313.69</v>
      </c>
      <c r="AK99" s="366">
        <v>439.44</v>
      </c>
      <c r="AL99" s="366">
        <v>439.44</v>
      </c>
      <c r="AM99" s="366">
        <v>328.5</v>
      </c>
      <c r="AN99" s="366">
        <v>283.74</v>
      </c>
      <c r="AO99" s="366">
        <v>408.12</v>
      </c>
      <c r="AP99" s="366">
        <v>236.59</v>
      </c>
      <c r="AQ99" s="366">
        <v>611.54</v>
      </c>
      <c r="AR99" s="366">
        <v>51.64</v>
      </c>
      <c r="AS99" s="366">
        <v>176.11</v>
      </c>
      <c r="AT99" s="366">
        <v>176.11</v>
      </c>
      <c r="AU99" s="366">
        <v>294.36</v>
      </c>
      <c r="AV99" s="366">
        <v>530.6</v>
      </c>
      <c r="AW99" s="366">
        <v>32.42</v>
      </c>
      <c r="AX99" s="366">
        <v>368.43</v>
      </c>
      <c r="AY99" s="366">
        <v>436.87</v>
      </c>
      <c r="AZ99" s="366">
        <v>247.46</v>
      </c>
      <c r="BA99" s="366">
        <v>531.51</v>
      </c>
      <c r="BB99" s="366">
        <v>439.76</v>
      </c>
      <c r="BC99" s="366">
        <v>473.57</v>
      </c>
      <c r="BD99" s="366">
        <v>383.34</v>
      </c>
      <c r="BE99" s="366">
        <v>383.56</v>
      </c>
      <c r="BF99" s="366">
        <v>322.75</v>
      </c>
      <c r="BG99" s="366">
        <v>424.79</v>
      </c>
      <c r="BH99" s="366">
        <v>324.57</v>
      </c>
      <c r="BI99" s="366">
        <v>51.67</v>
      </c>
      <c r="BJ99" s="366">
        <v>362.91</v>
      </c>
      <c r="BK99" s="366">
        <v>315.24</v>
      </c>
      <c r="BL99" s="366">
        <v>89.75</v>
      </c>
      <c r="BM99" s="366">
        <v>66.540000000000006</v>
      </c>
      <c r="BN99" s="366">
        <v>425.87</v>
      </c>
      <c r="BO99" s="366">
        <v>357.44</v>
      </c>
      <c r="BP99" s="366">
        <v>323.3</v>
      </c>
      <c r="BQ99" s="366">
        <v>307.95</v>
      </c>
      <c r="BR99" s="366">
        <v>307.95</v>
      </c>
      <c r="BS99" s="366">
        <v>255.03</v>
      </c>
      <c r="BT99" s="366">
        <v>43.59</v>
      </c>
      <c r="BU99" s="366">
        <v>306.27999999999997</v>
      </c>
      <c r="BV99" s="366">
        <v>325.89999999999998</v>
      </c>
      <c r="BW99" s="366">
        <v>353.65</v>
      </c>
      <c r="BX99" s="366">
        <v>196.12</v>
      </c>
      <c r="BY99" s="366">
        <v>406.98</v>
      </c>
      <c r="BZ99" s="366">
        <v>406.98</v>
      </c>
      <c r="CA99" s="366">
        <v>64.36</v>
      </c>
      <c r="CB99" s="366">
        <v>214.55</v>
      </c>
      <c r="CC99" s="366">
        <v>339.6</v>
      </c>
      <c r="CD99" s="366">
        <v>353.08</v>
      </c>
      <c r="CE99" s="366">
        <v>298.47000000000003</v>
      </c>
      <c r="CF99" s="366">
        <v>403.98</v>
      </c>
      <c r="CG99" s="366">
        <v>403.98</v>
      </c>
      <c r="CH99" s="366">
        <v>292.95</v>
      </c>
      <c r="CI99" s="366">
        <v>267.52999999999997</v>
      </c>
      <c r="CJ99" s="366">
        <v>414.93</v>
      </c>
      <c r="CK99" s="366">
        <v>412.07</v>
      </c>
      <c r="CL99" s="366">
        <v>308.14999999999998</v>
      </c>
      <c r="CM99" s="366">
        <v>419.85</v>
      </c>
      <c r="CN99" s="366">
        <v>312.27999999999997</v>
      </c>
      <c r="CO99" s="366">
        <v>50.25</v>
      </c>
      <c r="CP99" s="366">
        <v>314.64</v>
      </c>
      <c r="CQ99" s="366">
        <v>314.64</v>
      </c>
      <c r="CR99" s="366">
        <v>1.57</v>
      </c>
      <c r="CS99" s="366">
        <v>1.57</v>
      </c>
      <c r="CT99" s="366">
        <v>7.87</v>
      </c>
      <c r="CU99" s="366">
        <v>0</v>
      </c>
      <c r="CV99" s="366">
        <v>33.299999999999997</v>
      </c>
      <c r="CW99" s="366">
        <v>379.5</v>
      </c>
      <c r="CX99" s="366">
        <v>358.67</v>
      </c>
      <c r="CY99" s="366">
        <v>466.27</v>
      </c>
      <c r="CZ99" s="366">
        <v>487.51</v>
      </c>
      <c r="DA99" s="366">
        <v>339.21</v>
      </c>
      <c r="DB99" s="366">
        <v>358.89</v>
      </c>
      <c r="DC99" s="366">
        <v>358.89</v>
      </c>
      <c r="DD99" s="366">
        <v>188.85</v>
      </c>
      <c r="DE99" s="366">
        <v>416.84</v>
      </c>
      <c r="DF99" s="366">
        <v>639.46</v>
      </c>
      <c r="DG99" s="366">
        <v>297.18</v>
      </c>
      <c r="DH99" s="366">
        <v>479.4</v>
      </c>
      <c r="DI99" s="366">
        <v>269.8</v>
      </c>
      <c r="DJ99" s="366">
        <v>473.69</v>
      </c>
      <c r="DK99" s="366">
        <v>158.54</v>
      </c>
      <c r="DL99" s="366">
        <v>300.27999999999997</v>
      </c>
      <c r="DM99" s="366">
        <v>266.42</v>
      </c>
      <c r="DN99" s="366">
        <v>284.56</v>
      </c>
      <c r="DO99" s="366">
        <v>185.11</v>
      </c>
      <c r="DP99" s="366">
        <v>150.54</v>
      </c>
      <c r="DQ99" s="366">
        <v>364.99</v>
      </c>
      <c r="DR99" s="366">
        <v>479.4</v>
      </c>
      <c r="DS99" s="366">
        <v>54.6</v>
      </c>
      <c r="DT99" s="366">
        <v>42.89</v>
      </c>
      <c r="DU99" s="366">
        <v>369.55</v>
      </c>
      <c r="DV99" s="366">
        <v>436.26</v>
      </c>
      <c r="DW99" s="366">
        <v>159.69</v>
      </c>
      <c r="DX99" s="366">
        <v>339.97</v>
      </c>
      <c r="DY99" s="366">
        <v>413.36</v>
      </c>
      <c r="DZ99" s="366">
        <v>198.52</v>
      </c>
      <c r="EA99" s="366">
        <v>33.92</v>
      </c>
      <c r="EB99" s="366">
        <v>407.36</v>
      </c>
      <c r="EC99" s="366">
        <v>57.31</v>
      </c>
      <c r="ED99" s="366">
        <v>299.57</v>
      </c>
      <c r="EE99" s="366">
        <v>310.36</v>
      </c>
      <c r="EF99" s="366">
        <v>230.31</v>
      </c>
      <c r="EG99" s="366">
        <v>32.42</v>
      </c>
      <c r="EH99" s="366">
        <v>32.42</v>
      </c>
      <c r="EI99" s="366">
        <v>337.56</v>
      </c>
      <c r="EJ99" s="366">
        <v>467.46</v>
      </c>
      <c r="EK99" s="366">
        <v>215.99</v>
      </c>
      <c r="EL99" s="366">
        <v>215.99</v>
      </c>
      <c r="EM99" s="366">
        <v>310.10000000000002</v>
      </c>
      <c r="EN99" s="366">
        <v>310.10000000000002</v>
      </c>
      <c r="EO99" s="366">
        <v>328.5</v>
      </c>
      <c r="EP99" s="366">
        <v>369.46</v>
      </c>
      <c r="EQ99" s="366">
        <v>17.36</v>
      </c>
      <c r="ER99" s="366">
        <v>469.59</v>
      </c>
      <c r="ES99" s="366">
        <v>278.74</v>
      </c>
      <c r="ET99" s="366">
        <v>289.98</v>
      </c>
      <c r="EU99" s="366">
        <v>591.1</v>
      </c>
      <c r="EV99" s="366">
        <v>201.69</v>
      </c>
      <c r="EW99" s="366">
        <v>338.48</v>
      </c>
      <c r="EX99" s="366">
        <v>255.48</v>
      </c>
      <c r="EY99" s="366">
        <v>255.48</v>
      </c>
      <c r="EZ99" s="366">
        <v>361.91</v>
      </c>
      <c r="FA99" s="366">
        <v>307.27</v>
      </c>
      <c r="FB99" s="366">
        <v>142.84</v>
      </c>
      <c r="FC99" s="366">
        <v>360.11</v>
      </c>
      <c r="FD99" s="366">
        <v>249.76</v>
      </c>
      <c r="FE99" s="366">
        <v>341.39</v>
      </c>
      <c r="FF99" s="366">
        <v>316.57</v>
      </c>
      <c r="FG99" s="366">
        <v>522.54999999999995</v>
      </c>
      <c r="FH99" s="366">
        <v>522.54999999999995</v>
      </c>
      <c r="FI99" s="366">
        <v>182.56</v>
      </c>
      <c r="FJ99" s="366">
        <v>188.35</v>
      </c>
      <c r="FK99" s="366">
        <v>306.48</v>
      </c>
      <c r="FL99" s="366">
        <v>304.67</v>
      </c>
      <c r="FM99" s="366">
        <v>328.5</v>
      </c>
      <c r="FN99" s="366">
        <v>232.44</v>
      </c>
      <c r="FO99" s="366">
        <v>42.29</v>
      </c>
      <c r="FP99" s="366">
        <v>392.46</v>
      </c>
      <c r="FQ99" s="366">
        <v>46.16</v>
      </c>
      <c r="FR99" s="366">
        <v>118</v>
      </c>
      <c r="FS99" s="366">
        <v>246.64</v>
      </c>
      <c r="FT99" s="366">
        <v>458.53</v>
      </c>
      <c r="FU99" s="366">
        <v>255.14</v>
      </c>
      <c r="FV99" s="366">
        <v>655</v>
      </c>
      <c r="FW99" s="366">
        <v>655</v>
      </c>
      <c r="FX99" s="366">
        <v>655</v>
      </c>
      <c r="FY99" s="366">
        <v>256.41000000000003</v>
      </c>
      <c r="FZ99" s="366">
        <v>331.3</v>
      </c>
      <c r="GA99" s="366">
        <v>383.56</v>
      </c>
      <c r="GB99" s="366">
        <v>285.11</v>
      </c>
      <c r="GC99" s="366">
        <v>299.57</v>
      </c>
      <c r="GD99" s="366">
        <v>178.22</v>
      </c>
      <c r="GE99" s="366">
        <v>7.97</v>
      </c>
      <c r="GF99" s="366">
        <v>241.61</v>
      </c>
      <c r="GG99" s="366">
        <v>241.61</v>
      </c>
      <c r="GH99" s="366">
        <v>432.01</v>
      </c>
      <c r="GI99" s="366">
        <v>328.66</v>
      </c>
      <c r="GJ99" s="366">
        <v>328.5</v>
      </c>
      <c r="GK99" s="366">
        <v>303.02999999999997</v>
      </c>
      <c r="GL99" s="366">
        <v>323.89</v>
      </c>
      <c r="GM99" s="366">
        <v>323.89</v>
      </c>
      <c r="GN99" s="366">
        <v>323.89</v>
      </c>
      <c r="GO99" s="366">
        <v>275.77</v>
      </c>
      <c r="GP99" s="366">
        <v>388.97</v>
      </c>
      <c r="GQ99" s="366">
        <v>348.74</v>
      </c>
      <c r="GR99" s="366">
        <v>330.91</v>
      </c>
      <c r="GS99" s="366">
        <v>255.52</v>
      </c>
      <c r="GT99" s="366">
        <v>32.42</v>
      </c>
      <c r="GU99" s="366">
        <v>151.82</v>
      </c>
      <c r="GV99" s="366">
        <v>474.65</v>
      </c>
      <c r="GW99" s="366">
        <v>299.87</v>
      </c>
      <c r="GX99" s="366">
        <v>28.99</v>
      </c>
      <c r="GY99" s="366">
        <v>314.66000000000003</v>
      </c>
      <c r="GZ99" s="366">
        <v>249.48</v>
      </c>
      <c r="HA99" s="366">
        <v>47.7</v>
      </c>
      <c r="HB99" s="366">
        <v>47.7</v>
      </c>
      <c r="HC99" s="366">
        <v>47.7</v>
      </c>
      <c r="HD99" s="366">
        <v>234.81</v>
      </c>
      <c r="HE99" s="366">
        <v>303.95</v>
      </c>
      <c r="HF99" s="366">
        <v>260.24</v>
      </c>
      <c r="HG99" s="366">
        <v>387.89</v>
      </c>
      <c r="HH99" s="366">
        <v>387.89</v>
      </c>
      <c r="HI99" s="366">
        <v>387.89</v>
      </c>
      <c r="HJ99" s="366">
        <v>262.48</v>
      </c>
      <c r="HK99" s="366">
        <v>104.91</v>
      </c>
      <c r="HL99" s="366">
        <v>357.95</v>
      </c>
      <c r="HM99" s="366">
        <v>325.77999999999997</v>
      </c>
      <c r="HN99" s="366">
        <v>328.5</v>
      </c>
      <c r="HO99" s="366">
        <v>559.26</v>
      </c>
      <c r="HP99" s="366">
        <v>250.2</v>
      </c>
      <c r="HQ99" s="366">
        <v>655</v>
      </c>
      <c r="HR99" s="366">
        <v>405.25</v>
      </c>
      <c r="HS99" s="366">
        <v>324.75</v>
      </c>
      <c r="HT99" s="366">
        <v>276.91000000000003</v>
      </c>
      <c r="HU99" s="366">
        <v>311.43</v>
      </c>
      <c r="HV99" s="366">
        <v>360.84</v>
      </c>
    </row>
    <row r="100" spans="1:230">
      <c r="A100" s="366" t="s">
        <v>121</v>
      </c>
      <c r="B100" s="366">
        <v>585.04999999999995</v>
      </c>
      <c r="C100" s="366">
        <v>281.44</v>
      </c>
      <c r="D100" s="366">
        <v>85.35</v>
      </c>
      <c r="E100" s="366">
        <v>85.35</v>
      </c>
      <c r="F100" s="366">
        <v>648.95000000000005</v>
      </c>
      <c r="G100" s="366">
        <v>385.46</v>
      </c>
      <c r="H100" s="366">
        <v>41.73</v>
      </c>
      <c r="I100" s="366">
        <v>281.2</v>
      </c>
      <c r="J100" s="366">
        <v>17.95</v>
      </c>
      <c r="K100" s="366">
        <v>17.95</v>
      </c>
      <c r="L100" s="366">
        <v>103.26</v>
      </c>
      <c r="M100" s="366">
        <v>306.86</v>
      </c>
      <c r="N100" s="366">
        <v>403.76</v>
      </c>
      <c r="O100" s="366">
        <v>327.17</v>
      </c>
      <c r="P100" s="366">
        <v>327.17</v>
      </c>
      <c r="Q100" s="366">
        <v>327.17</v>
      </c>
      <c r="R100" s="366">
        <v>327.17</v>
      </c>
      <c r="S100" s="366">
        <v>327.17</v>
      </c>
      <c r="T100" s="366">
        <v>292.24</v>
      </c>
      <c r="U100" s="366">
        <v>493.5</v>
      </c>
      <c r="V100" s="366">
        <v>382.1</v>
      </c>
      <c r="W100" s="366">
        <v>195.64</v>
      </c>
      <c r="X100" s="366">
        <v>195.64</v>
      </c>
      <c r="Y100" s="366">
        <v>195.64</v>
      </c>
      <c r="Z100" s="366">
        <v>419.84</v>
      </c>
      <c r="AA100" s="366">
        <v>379.63</v>
      </c>
      <c r="AB100" s="366">
        <v>319.73</v>
      </c>
      <c r="AC100" s="366">
        <v>311.86</v>
      </c>
      <c r="AD100" s="366">
        <v>311.86</v>
      </c>
      <c r="AE100" s="366">
        <v>136.25</v>
      </c>
      <c r="AF100" s="366">
        <v>399.2</v>
      </c>
      <c r="AG100" s="366">
        <v>197.16</v>
      </c>
      <c r="AH100" s="366">
        <v>316.29000000000002</v>
      </c>
      <c r="AI100" s="366">
        <v>316.29000000000002</v>
      </c>
      <c r="AJ100" s="366">
        <v>316.29000000000002</v>
      </c>
      <c r="AK100" s="366">
        <v>442.04</v>
      </c>
      <c r="AL100" s="366">
        <v>442.04</v>
      </c>
      <c r="AM100" s="366">
        <v>322.45</v>
      </c>
      <c r="AN100" s="366">
        <v>286.33999999999997</v>
      </c>
      <c r="AO100" s="366">
        <v>402.07</v>
      </c>
      <c r="AP100" s="366">
        <v>230.54</v>
      </c>
      <c r="AQ100" s="366">
        <v>605.49</v>
      </c>
      <c r="AR100" s="366">
        <v>80.72</v>
      </c>
      <c r="AS100" s="366">
        <v>178.71</v>
      </c>
      <c r="AT100" s="366">
        <v>178.71</v>
      </c>
      <c r="AU100" s="366">
        <v>296.95999999999998</v>
      </c>
      <c r="AV100" s="366">
        <v>524.54999999999995</v>
      </c>
      <c r="AW100" s="366">
        <v>26.37</v>
      </c>
      <c r="AX100" s="366">
        <v>362.38</v>
      </c>
      <c r="AY100" s="366">
        <v>439.47</v>
      </c>
      <c r="AZ100" s="366">
        <v>250.06</v>
      </c>
      <c r="BA100" s="366">
        <v>525.46</v>
      </c>
      <c r="BB100" s="366">
        <v>442.36</v>
      </c>
      <c r="BC100" s="366">
        <v>467.52</v>
      </c>
      <c r="BD100" s="366">
        <v>377.29</v>
      </c>
      <c r="BE100" s="366">
        <v>386.16</v>
      </c>
      <c r="BF100" s="366">
        <v>316.7</v>
      </c>
      <c r="BG100" s="366">
        <v>427.39</v>
      </c>
      <c r="BH100" s="366">
        <v>327.17</v>
      </c>
      <c r="BI100" s="366">
        <v>80.75</v>
      </c>
      <c r="BJ100" s="366">
        <v>365.51</v>
      </c>
      <c r="BK100" s="366">
        <v>317.83999999999997</v>
      </c>
      <c r="BL100" s="366">
        <v>92.35</v>
      </c>
      <c r="BM100" s="366">
        <v>69.14</v>
      </c>
      <c r="BN100" s="366">
        <v>419.82</v>
      </c>
      <c r="BO100" s="366">
        <v>360.04</v>
      </c>
      <c r="BP100" s="366">
        <v>325.89999999999998</v>
      </c>
      <c r="BQ100" s="366">
        <v>301.89999999999998</v>
      </c>
      <c r="BR100" s="366">
        <v>301.89999999999998</v>
      </c>
      <c r="BS100" s="366">
        <v>257.63</v>
      </c>
      <c r="BT100" s="366">
        <v>65.180000000000007</v>
      </c>
      <c r="BU100" s="366">
        <v>300.23</v>
      </c>
      <c r="BV100" s="366">
        <v>319.85000000000002</v>
      </c>
      <c r="BW100" s="366">
        <v>356.25</v>
      </c>
      <c r="BX100" s="366">
        <v>198.72</v>
      </c>
      <c r="BY100" s="366">
        <v>409.58</v>
      </c>
      <c r="BZ100" s="366">
        <v>409.58</v>
      </c>
      <c r="CA100" s="366">
        <v>58.31</v>
      </c>
      <c r="CB100" s="366">
        <v>217.15</v>
      </c>
      <c r="CC100" s="366">
        <v>333.55</v>
      </c>
      <c r="CD100" s="366">
        <v>347.03</v>
      </c>
      <c r="CE100" s="366">
        <v>301.07</v>
      </c>
      <c r="CF100" s="366">
        <v>397.93</v>
      </c>
      <c r="CG100" s="366">
        <v>397.93</v>
      </c>
      <c r="CH100" s="366">
        <v>286.89999999999998</v>
      </c>
      <c r="CI100" s="366">
        <v>270.13</v>
      </c>
      <c r="CJ100" s="366">
        <v>408.88</v>
      </c>
      <c r="CK100" s="366">
        <v>414.67</v>
      </c>
      <c r="CL100" s="366">
        <v>310.75</v>
      </c>
      <c r="CM100" s="366">
        <v>413.8</v>
      </c>
      <c r="CN100" s="366">
        <v>314.88</v>
      </c>
      <c r="CO100" s="366">
        <v>79.33</v>
      </c>
      <c r="CP100" s="366">
        <v>308.58999999999997</v>
      </c>
      <c r="CQ100" s="366">
        <v>308.58999999999997</v>
      </c>
      <c r="CR100" s="366">
        <v>31.73</v>
      </c>
      <c r="CS100" s="366">
        <v>31.73</v>
      </c>
      <c r="CT100" s="366">
        <v>41.17</v>
      </c>
      <c r="CU100" s="366">
        <v>33.299999999999997</v>
      </c>
      <c r="CV100" s="366">
        <v>0</v>
      </c>
      <c r="CW100" s="366">
        <v>382.1</v>
      </c>
      <c r="CX100" s="366">
        <v>352.62</v>
      </c>
      <c r="CY100" s="366">
        <v>460.22</v>
      </c>
      <c r="CZ100" s="366">
        <v>481.46</v>
      </c>
      <c r="DA100" s="366">
        <v>341.81</v>
      </c>
      <c r="DB100" s="366">
        <v>361.49</v>
      </c>
      <c r="DC100" s="366">
        <v>361.49</v>
      </c>
      <c r="DD100" s="366">
        <v>182.8</v>
      </c>
      <c r="DE100" s="366">
        <v>419.44</v>
      </c>
      <c r="DF100" s="366">
        <v>633.41</v>
      </c>
      <c r="DG100" s="366">
        <v>299.77999999999997</v>
      </c>
      <c r="DH100" s="366">
        <v>482</v>
      </c>
      <c r="DI100" s="366">
        <v>263.75</v>
      </c>
      <c r="DJ100" s="366">
        <v>467.64</v>
      </c>
      <c r="DK100" s="366">
        <v>161.13999999999999</v>
      </c>
      <c r="DL100" s="366">
        <v>294.23</v>
      </c>
      <c r="DM100" s="366">
        <v>269.02</v>
      </c>
      <c r="DN100" s="366">
        <v>278.51</v>
      </c>
      <c r="DO100" s="366">
        <v>187.71</v>
      </c>
      <c r="DP100" s="366">
        <v>144.49</v>
      </c>
      <c r="DQ100" s="366">
        <v>367.59</v>
      </c>
      <c r="DR100" s="366">
        <v>482</v>
      </c>
      <c r="DS100" s="366">
        <v>57.2</v>
      </c>
      <c r="DT100" s="366">
        <v>45.49</v>
      </c>
      <c r="DU100" s="366">
        <v>372.15</v>
      </c>
      <c r="DV100" s="366">
        <v>438.86</v>
      </c>
      <c r="DW100" s="366">
        <v>162.29</v>
      </c>
      <c r="DX100" s="366">
        <v>342.57</v>
      </c>
      <c r="DY100" s="366">
        <v>415.96</v>
      </c>
      <c r="DZ100" s="366">
        <v>192.47</v>
      </c>
      <c r="EA100" s="366">
        <v>63</v>
      </c>
      <c r="EB100" s="366">
        <v>409.96</v>
      </c>
      <c r="EC100" s="366">
        <v>59.91</v>
      </c>
      <c r="ED100" s="366">
        <v>293.52</v>
      </c>
      <c r="EE100" s="366">
        <v>304.31</v>
      </c>
      <c r="EF100" s="366">
        <v>224.26</v>
      </c>
      <c r="EG100" s="366">
        <v>26.37</v>
      </c>
      <c r="EH100" s="366">
        <v>26.37</v>
      </c>
      <c r="EI100" s="366">
        <v>340.16</v>
      </c>
      <c r="EJ100" s="366">
        <v>470.06</v>
      </c>
      <c r="EK100" s="366">
        <v>218.59</v>
      </c>
      <c r="EL100" s="366">
        <v>218.59</v>
      </c>
      <c r="EM100" s="366">
        <v>312.7</v>
      </c>
      <c r="EN100" s="366">
        <v>312.7</v>
      </c>
      <c r="EO100" s="366">
        <v>322.45</v>
      </c>
      <c r="EP100" s="366">
        <v>363.41</v>
      </c>
      <c r="EQ100" s="366">
        <v>34.57</v>
      </c>
      <c r="ER100" s="366">
        <v>463.54</v>
      </c>
      <c r="ES100" s="366">
        <v>281.33999999999997</v>
      </c>
      <c r="ET100" s="366">
        <v>283.93</v>
      </c>
      <c r="EU100" s="366">
        <v>585.04999999999995</v>
      </c>
      <c r="EV100" s="366">
        <v>195.64</v>
      </c>
      <c r="EW100" s="366">
        <v>341.08</v>
      </c>
      <c r="EX100" s="366">
        <v>258.08</v>
      </c>
      <c r="EY100" s="366">
        <v>258.08</v>
      </c>
      <c r="EZ100" s="366">
        <v>364.51</v>
      </c>
      <c r="FA100" s="366">
        <v>309.87</v>
      </c>
      <c r="FB100" s="366">
        <v>145.44</v>
      </c>
      <c r="FC100" s="366">
        <v>362.71</v>
      </c>
      <c r="FD100" s="366">
        <v>252.36</v>
      </c>
      <c r="FE100" s="366">
        <v>343.99</v>
      </c>
      <c r="FF100" s="366">
        <v>319.17</v>
      </c>
      <c r="FG100" s="366">
        <v>516.5</v>
      </c>
      <c r="FH100" s="366">
        <v>516.5</v>
      </c>
      <c r="FI100" s="366">
        <v>176.51</v>
      </c>
      <c r="FJ100" s="366">
        <v>182.3</v>
      </c>
      <c r="FK100" s="366">
        <v>309.08</v>
      </c>
      <c r="FL100" s="366">
        <v>307.27</v>
      </c>
      <c r="FM100" s="366">
        <v>322.45</v>
      </c>
      <c r="FN100" s="366">
        <v>226.39</v>
      </c>
      <c r="FO100" s="366">
        <v>71.37</v>
      </c>
      <c r="FP100" s="366">
        <v>395.06</v>
      </c>
      <c r="FQ100" s="366">
        <v>75.239999999999995</v>
      </c>
      <c r="FR100" s="366">
        <v>120.6</v>
      </c>
      <c r="FS100" s="366">
        <v>249.24</v>
      </c>
      <c r="FT100" s="366">
        <v>452.48</v>
      </c>
      <c r="FU100" s="366">
        <v>257.74</v>
      </c>
      <c r="FV100" s="366">
        <v>648.95000000000005</v>
      </c>
      <c r="FW100" s="366">
        <v>648.95000000000005</v>
      </c>
      <c r="FX100" s="366">
        <v>648.95000000000005</v>
      </c>
      <c r="FY100" s="366">
        <v>259.01</v>
      </c>
      <c r="FZ100" s="366">
        <v>333.9</v>
      </c>
      <c r="GA100" s="366">
        <v>386.16</v>
      </c>
      <c r="GB100" s="366">
        <v>287.70999999999998</v>
      </c>
      <c r="GC100" s="366">
        <v>293.52</v>
      </c>
      <c r="GD100" s="366">
        <v>180.82</v>
      </c>
      <c r="GE100" s="366">
        <v>41.27</v>
      </c>
      <c r="GF100" s="366">
        <v>244.21</v>
      </c>
      <c r="GG100" s="366">
        <v>244.21</v>
      </c>
      <c r="GH100" s="366">
        <v>434.61</v>
      </c>
      <c r="GI100" s="366">
        <v>322.61</v>
      </c>
      <c r="GJ100" s="366">
        <v>322.45</v>
      </c>
      <c r="GK100" s="366">
        <v>305.63</v>
      </c>
      <c r="GL100" s="366">
        <v>326.49</v>
      </c>
      <c r="GM100" s="366">
        <v>326.49</v>
      </c>
      <c r="GN100" s="366">
        <v>326.49</v>
      </c>
      <c r="GO100" s="366">
        <v>269.72000000000003</v>
      </c>
      <c r="GP100" s="366">
        <v>391.57</v>
      </c>
      <c r="GQ100" s="366">
        <v>351.34</v>
      </c>
      <c r="GR100" s="366">
        <v>324.86</v>
      </c>
      <c r="GS100" s="366">
        <v>249.47</v>
      </c>
      <c r="GT100" s="366">
        <v>26.37</v>
      </c>
      <c r="GU100" s="366">
        <v>154.41999999999999</v>
      </c>
      <c r="GV100" s="366">
        <v>477.25</v>
      </c>
      <c r="GW100" s="366">
        <v>302.47000000000003</v>
      </c>
      <c r="GX100" s="366">
        <v>22.94</v>
      </c>
      <c r="GY100" s="366">
        <v>317.26</v>
      </c>
      <c r="GZ100" s="366">
        <v>252.08</v>
      </c>
      <c r="HA100" s="366">
        <v>76.78</v>
      </c>
      <c r="HB100" s="366">
        <v>76.78</v>
      </c>
      <c r="HC100" s="366">
        <v>76.78</v>
      </c>
      <c r="HD100" s="366">
        <v>228.76</v>
      </c>
      <c r="HE100" s="366">
        <v>306.55</v>
      </c>
      <c r="HF100" s="366">
        <v>262.83999999999997</v>
      </c>
      <c r="HG100" s="366">
        <v>390.49</v>
      </c>
      <c r="HH100" s="366">
        <v>390.49</v>
      </c>
      <c r="HI100" s="366">
        <v>390.49</v>
      </c>
      <c r="HJ100" s="366">
        <v>265.08</v>
      </c>
      <c r="HK100" s="366">
        <v>98.86</v>
      </c>
      <c r="HL100" s="366">
        <v>360.55</v>
      </c>
      <c r="HM100" s="366">
        <v>319.73</v>
      </c>
      <c r="HN100" s="366">
        <v>322.45</v>
      </c>
      <c r="HO100" s="366">
        <v>553.21</v>
      </c>
      <c r="HP100" s="366">
        <v>252.8</v>
      </c>
      <c r="HQ100" s="366">
        <v>648.95000000000005</v>
      </c>
      <c r="HR100" s="366">
        <v>399.2</v>
      </c>
      <c r="HS100" s="366">
        <v>318.7</v>
      </c>
      <c r="HT100" s="366">
        <v>270.86</v>
      </c>
      <c r="HU100" s="366">
        <v>305.38</v>
      </c>
      <c r="HV100" s="366">
        <v>363.44</v>
      </c>
    </row>
    <row r="101" spans="1:230">
      <c r="A101" s="366" t="s">
        <v>122</v>
      </c>
      <c r="B101" s="366">
        <v>850.52</v>
      </c>
      <c r="C101" s="366">
        <v>395.98</v>
      </c>
      <c r="D101" s="366">
        <v>296.75</v>
      </c>
      <c r="E101" s="366">
        <v>296.75</v>
      </c>
      <c r="F101" s="366">
        <v>914.42</v>
      </c>
      <c r="G101" s="366">
        <v>721.99</v>
      </c>
      <c r="H101" s="366">
        <v>340.37</v>
      </c>
      <c r="I101" s="366">
        <v>341.04</v>
      </c>
      <c r="J101" s="366">
        <v>364.15</v>
      </c>
      <c r="K101" s="366">
        <v>364.15</v>
      </c>
      <c r="L101" s="366">
        <v>287.36</v>
      </c>
      <c r="M101" s="366">
        <v>421.4</v>
      </c>
      <c r="N101" s="366">
        <v>471.71</v>
      </c>
      <c r="O101" s="366">
        <v>184.33</v>
      </c>
      <c r="P101" s="366">
        <v>184.33</v>
      </c>
      <c r="Q101" s="366">
        <v>184.33</v>
      </c>
      <c r="R101" s="366">
        <v>184.33</v>
      </c>
      <c r="S101" s="366">
        <v>184.33</v>
      </c>
      <c r="T101" s="366">
        <v>415.54</v>
      </c>
      <c r="U101" s="366">
        <v>830.03</v>
      </c>
      <c r="V101" s="366">
        <v>0</v>
      </c>
      <c r="W101" s="366">
        <v>558.9</v>
      </c>
      <c r="X101" s="366">
        <v>558.9</v>
      </c>
      <c r="Y101" s="366">
        <v>558.9</v>
      </c>
      <c r="Z101" s="366">
        <v>286.87</v>
      </c>
      <c r="AA101" s="366">
        <v>716.16</v>
      </c>
      <c r="AB101" s="366">
        <v>475.28</v>
      </c>
      <c r="AC101" s="366">
        <v>477.74</v>
      </c>
      <c r="AD101" s="366">
        <v>477.74</v>
      </c>
      <c r="AE101" s="366">
        <v>245.85</v>
      </c>
      <c r="AF101" s="366">
        <v>735.73</v>
      </c>
      <c r="AG101" s="366">
        <v>560.41999999999996</v>
      </c>
      <c r="AH101" s="366">
        <v>294.99</v>
      </c>
      <c r="AI101" s="366">
        <v>294.99</v>
      </c>
      <c r="AJ101" s="366">
        <v>294.99</v>
      </c>
      <c r="AK101" s="366">
        <v>309.07</v>
      </c>
      <c r="AL101" s="366">
        <v>309.07</v>
      </c>
      <c r="AM101" s="366">
        <v>478</v>
      </c>
      <c r="AN101" s="366">
        <v>225.16</v>
      </c>
      <c r="AO101" s="366">
        <v>729.11</v>
      </c>
      <c r="AP101" s="366">
        <v>404.26</v>
      </c>
      <c r="AQ101" s="366">
        <v>870.96</v>
      </c>
      <c r="AR101" s="366">
        <v>426.92</v>
      </c>
      <c r="AS101" s="366">
        <v>211.91</v>
      </c>
      <c r="AT101" s="366">
        <v>211.91</v>
      </c>
      <c r="AU101" s="366">
        <v>85.14</v>
      </c>
      <c r="AV101" s="366">
        <v>861.08</v>
      </c>
      <c r="AW101" s="366">
        <v>408.47</v>
      </c>
      <c r="AX101" s="366">
        <v>361.64</v>
      </c>
      <c r="AY101" s="366">
        <v>507.42</v>
      </c>
      <c r="AZ101" s="366">
        <v>364.6</v>
      </c>
      <c r="BA101" s="366">
        <v>691.34</v>
      </c>
      <c r="BB101" s="366">
        <v>510.31</v>
      </c>
      <c r="BC101" s="366">
        <v>633.4</v>
      </c>
      <c r="BD101" s="366">
        <v>543.16999999999996</v>
      </c>
      <c r="BE101" s="366">
        <v>4.0599999999999996</v>
      </c>
      <c r="BF101" s="366">
        <v>472.25</v>
      </c>
      <c r="BG101" s="366">
        <v>294.42</v>
      </c>
      <c r="BH101" s="366">
        <v>184.33</v>
      </c>
      <c r="BI101" s="366">
        <v>426.95</v>
      </c>
      <c r="BJ101" s="366">
        <v>232.54</v>
      </c>
      <c r="BK101" s="366">
        <v>432.38</v>
      </c>
      <c r="BL101" s="366">
        <v>289.75</v>
      </c>
      <c r="BM101" s="366">
        <v>312.95999999999998</v>
      </c>
      <c r="BN101" s="366">
        <v>756.35</v>
      </c>
      <c r="BO101" s="366">
        <v>474.58</v>
      </c>
      <c r="BP101" s="366">
        <v>440.44</v>
      </c>
      <c r="BQ101" s="366">
        <v>320.33999999999997</v>
      </c>
      <c r="BR101" s="366">
        <v>320.33999999999997</v>
      </c>
      <c r="BS101" s="366">
        <v>372.17</v>
      </c>
      <c r="BT101" s="366">
        <v>411.38</v>
      </c>
      <c r="BU101" s="366">
        <v>455.78</v>
      </c>
      <c r="BV101" s="366">
        <v>475.4</v>
      </c>
      <c r="BW101" s="366">
        <v>53.21</v>
      </c>
      <c r="BX101" s="366">
        <v>313.26</v>
      </c>
      <c r="BY101" s="366">
        <v>27.48</v>
      </c>
      <c r="BZ101" s="366">
        <v>27.48</v>
      </c>
      <c r="CA101" s="366">
        <v>440.41</v>
      </c>
      <c r="CB101" s="366">
        <v>331.69</v>
      </c>
      <c r="CC101" s="366">
        <v>332.81</v>
      </c>
      <c r="CD101" s="366">
        <v>335.21</v>
      </c>
      <c r="CE101" s="366">
        <v>415.61</v>
      </c>
      <c r="CF101" s="366">
        <v>734.46</v>
      </c>
      <c r="CG101" s="366">
        <v>734.46</v>
      </c>
      <c r="CH101" s="366">
        <v>335.34</v>
      </c>
      <c r="CI101" s="366">
        <v>238.25</v>
      </c>
      <c r="CJ101" s="366">
        <v>745.41</v>
      </c>
      <c r="CK101" s="366">
        <v>32.57</v>
      </c>
      <c r="CL101" s="366">
        <v>98.93</v>
      </c>
      <c r="CM101" s="366">
        <v>579.67999999999995</v>
      </c>
      <c r="CN101" s="366">
        <v>181.91</v>
      </c>
      <c r="CO101" s="366">
        <v>425.53</v>
      </c>
      <c r="CP101" s="366">
        <v>313.64999999999998</v>
      </c>
      <c r="CQ101" s="366">
        <v>313.64999999999998</v>
      </c>
      <c r="CR101" s="366">
        <v>377.93</v>
      </c>
      <c r="CS101" s="366">
        <v>377.93</v>
      </c>
      <c r="CT101" s="366">
        <v>387.37</v>
      </c>
      <c r="CU101" s="366">
        <v>379.5</v>
      </c>
      <c r="CV101" s="366">
        <v>382.1</v>
      </c>
      <c r="CW101" s="366">
        <v>0</v>
      </c>
      <c r="CX101" s="366">
        <v>351.88</v>
      </c>
      <c r="CY101" s="366">
        <v>626.1</v>
      </c>
      <c r="CZ101" s="366">
        <v>647.34</v>
      </c>
      <c r="DA101" s="366">
        <v>409.76</v>
      </c>
      <c r="DB101" s="366">
        <v>228.52</v>
      </c>
      <c r="DC101" s="366">
        <v>228.52</v>
      </c>
      <c r="DD101" s="366">
        <v>546.05999999999995</v>
      </c>
      <c r="DE101" s="366">
        <v>487.39</v>
      </c>
      <c r="DF101" s="366">
        <v>898.88</v>
      </c>
      <c r="DG101" s="366">
        <v>267.89999999999998</v>
      </c>
      <c r="DH101" s="366">
        <v>549.95000000000005</v>
      </c>
      <c r="DI101" s="366">
        <v>600.28</v>
      </c>
      <c r="DJ101" s="366">
        <v>663.54</v>
      </c>
      <c r="DK101" s="366">
        <v>275.68</v>
      </c>
      <c r="DL101" s="366">
        <v>461.78</v>
      </c>
      <c r="DM101" s="366">
        <v>383.56</v>
      </c>
      <c r="DN101" s="366">
        <v>615.04</v>
      </c>
      <c r="DO101" s="366">
        <v>302.25</v>
      </c>
      <c r="DP101" s="366">
        <v>507.75</v>
      </c>
      <c r="DQ101" s="366">
        <v>35.43</v>
      </c>
      <c r="DR101" s="366">
        <v>549.95000000000005</v>
      </c>
      <c r="DS101" s="366">
        <v>403.4</v>
      </c>
      <c r="DT101" s="366">
        <v>391.69</v>
      </c>
      <c r="DU101" s="366">
        <v>379.42</v>
      </c>
      <c r="DV101" s="366">
        <v>312.70999999999998</v>
      </c>
      <c r="DW101" s="366">
        <v>228.33</v>
      </c>
      <c r="DX101" s="366">
        <v>39.53</v>
      </c>
      <c r="DY101" s="366">
        <v>33.86</v>
      </c>
      <c r="DZ101" s="366">
        <v>555.73</v>
      </c>
      <c r="EA101" s="366">
        <v>409.2</v>
      </c>
      <c r="EB101" s="366">
        <v>27.86</v>
      </c>
      <c r="EC101" s="366">
        <v>322.19</v>
      </c>
      <c r="ED101" s="366">
        <v>630.04999999999995</v>
      </c>
      <c r="EE101" s="366">
        <v>640.84</v>
      </c>
      <c r="EF101" s="366">
        <v>397.98</v>
      </c>
      <c r="EG101" s="366">
        <v>408.47</v>
      </c>
      <c r="EH101" s="366">
        <v>408.47</v>
      </c>
      <c r="EI101" s="366">
        <v>318.86</v>
      </c>
      <c r="EJ101" s="366">
        <v>584.6</v>
      </c>
      <c r="EK101" s="366">
        <v>197.29</v>
      </c>
      <c r="EL101" s="366">
        <v>197.29</v>
      </c>
      <c r="EM101" s="366">
        <v>132.16999999999999</v>
      </c>
      <c r="EN101" s="366">
        <v>132.16999999999999</v>
      </c>
      <c r="EO101" s="366">
        <v>478</v>
      </c>
      <c r="EP101" s="366">
        <v>400.86</v>
      </c>
      <c r="EQ101" s="366">
        <v>396.86</v>
      </c>
      <c r="ER101" s="366">
        <v>800.07</v>
      </c>
      <c r="ES101" s="366">
        <v>395.88</v>
      </c>
      <c r="ET101" s="366">
        <v>338.31</v>
      </c>
      <c r="EU101" s="366">
        <v>850.52</v>
      </c>
      <c r="EV101" s="366">
        <v>558.9</v>
      </c>
      <c r="EW101" s="366">
        <v>319.77999999999997</v>
      </c>
      <c r="EX101" s="366">
        <v>372.62</v>
      </c>
      <c r="EY101" s="366">
        <v>372.62</v>
      </c>
      <c r="EZ101" s="366">
        <v>152.69</v>
      </c>
      <c r="FA101" s="366">
        <v>98.05</v>
      </c>
      <c r="FB101" s="366">
        <v>259.98</v>
      </c>
      <c r="FC101" s="366">
        <v>59.67</v>
      </c>
      <c r="FD101" s="366">
        <v>225.42</v>
      </c>
      <c r="FE101" s="366">
        <v>322.69</v>
      </c>
      <c r="FF101" s="366">
        <v>297.87</v>
      </c>
      <c r="FG101" s="366">
        <v>682.38</v>
      </c>
      <c r="FH101" s="366">
        <v>682.38</v>
      </c>
      <c r="FI101" s="366">
        <v>539.77</v>
      </c>
      <c r="FJ101" s="366">
        <v>545.55999999999995</v>
      </c>
      <c r="FK101" s="366">
        <v>423.62</v>
      </c>
      <c r="FL101" s="366">
        <v>421.81</v>
      </c>
      <c r="FM101" s="366">
        <v>478</v>
      </c>
      <c r="FN101" s="366">
        <v>589.65</v>
      </c>
      <c r="FO101" s="366">
        <v>417.57</v>
      </c>
      <c r="FP101" s="366">
        <v>12.96</v>
      </c>
      <c r="FQ101" s="366">
        <v>421.44</v>
      </c>
      <c r="FR101" s="366">
        <v>304.7</v>
      </c>
      <c r="FS101" s="366">
        <v>227.94</v>
      </c>
      <c r="FT101" s="366">
        <v>678.7</v>
      </c>
      <c r="FU101" s="366">
        <v>225.86</v>
      </c>
      <c r="FV101" s="366">
        <v>914.42</v>
      </c>
      <c r="FW101" s="366">
        <v>914.42</v>
      </c>
      <c r="FX101" s="366">
        <v>914.42</v>
      </c>
      <c r="FY101" s="366">
        <v>123.09</v>
      </c>
      <c r="FZ101" s="366">
        <v>312.60000000000002</v>
      </c>
      <c r="GA101" s="366">
        <v>4.0599999999999996</v>
      </c>
      <c r="GB101" s="366">
        <v>266.41000000000003</v>
      </c>
      <c r="GC101" s="366">
        <v>630.04999999999995</v>
      </c>
      <c r="GD101" s="366">
        <v>295.36</v>
      </c>
      <c r="GE101" s="366">
        <v>387.47</v>
      </c>
      <c r="GF101" s="366">
        <v>212.33</v>
      </c>
      <c r="GG101" s="366">
        <v>212.33</v>
      </c>
      <c r="GH101" s="366">
        <v>52.51</v>
      </c>
      <c r="GI101" s="366">
        <v>478.16</v>
      </c>
      <c r="GJ101" s="366">
        <v>478</v>
      </c>
      <c r="GK101" s="366">
        <v>420.17</v>
      </c>
      <c r="GL101" s="366">
        <v>305.19</v>
      </c>
      <c r="GM101" s="366">
        <v>305.19</v>
      </c>
      <c r="GN101" s="366">
        <v>305.19</v>
      </c>
      <c r="GO101" s="366">
        <v>443.44</v>
      </c>
      <c r="GP101" s="366">
        <v>9.4700000000000006</v>
      </c>
      <c r="GQ101" s="366">
        <v>465.88</v>
      </c>
      <c r="GR101" s="366">
        <v>506.23</v>
      </c>
      <c r="GS101" s="366">
        <v>372.77</v>
      </c>
      <c r="GT101" s="366">
        <v>408.47</v>
      </c>
      <c r="GU101" s="366">
        <v>230.56</v>
      </c>
      <c r="GV101" s="366">
        <v>591.79</v>
      </c>
      <c r="GW101" s="366">
        <v>281.17</v>
      </c>
      <c r="GX101" s="366">
        <v>405.04</v>
      </c>
      <c r="GY101" s="366">
        <v>295.95999999999998</v>
      </c>
      <c r="GZ101" s="366">
        <v>225.14</v>
      </c>
      <c r="HA101" s="366">
        <v>422.98</v>
      </c>
      <c r="HB101" s="366">
        <v>422.98</v>
      </c>
      <c r="HC101" s="366">
        <v>422.98</v>
      </c>
      <c r="HD101" s="366">
        <v>592.02</v>
      </c>
      <c r="HE101" s="366">
        <v>126.02</v>
      </c>
      <c r="HF101" s="366">
        <v>163.16</v>
      </c>
      <c r="HG101" s="366">
        <v>257.52</v>
      </c>
      <c r="HH101" s="366">
        <v>257.52</v>
      </c>
      <c r="HI101" s="366">
        <v>257.52</v>
      </c>
      <c r="HJ101" s="366">
        <v>233.2</v>
      </c>
      <c r="HK101" s="366">
        <v>480.96</v>
      </c>
      <c r="HL101" s="366">
        <v>150.94999999999999</v>
      </c>
      <c r="HM101" s="366">
        <v>475.28</v>
      </c>
      <c r="HN101" s="366">
        <v>478</v>
      </c>
      <c r="HO101" s="366">
        <v>883.72</v>
      </c>
      <c r="HP101" s="366">
        <v>225.86</v>
      </c>
      <c r="HQ101" s="366">
        <v>914.42</v>
      </c>
      <c r="HR101" s="366">
        <v>735.73</v>
      </c>
      <c r="HS101" s="366">
        <v>474.25</v>
      </c>
      <c r="HT101" s="366">
        <v>356.57</v>
      </c>
      <c r="HU101" s="366">
        <v>323.82</v>
      </c>
      <c r="HV101" s="366">
        <v>342.14</v>
      </c>
    </row>
    <row r="102" spans="1:230">
      <c r="A102" s="366" t="s">
        <v>123</v>
      </c>
      <c r="B102" s="366">
        <v>513.67999999999995</v>
      </c>
      <c r="C102" s="366">
        <v>387.06</v>
      </c>
      <c r="D102" s="366">
        <v>287.83</v>
      </c>
      <c r="E102" s="366">
        <v>287.83</v>
      </c>
      <c r="F102" s="366">
        <v>577.58000000000004</v>
      </c>
      <c r="G102" s="366">
        <v>385.15</v>
      </c>
      <c r="H102" s="366">
        <v>331.45</v>
      </c>
      <c r="I102" s="366">
        <v>71.42</v>
      </c>
      <c r="J102" s="366">
        <v>355.23</v>
      </c>
      <c r="K102" s="366">
        <v>355.23</v>
      </c>
      <c r="L102" s="366">
        <v>278.44</v>
      </c>
      <c r="M102" s="366">
        <v>412.48</v>
      </c>
      <c r="N102" s="366">
        <v>509.38</v>
      </c>
      <c r="O102" s="366">
        <v>262.49</v>
      </c>
      <c r="P102" s="366">
        <v>262.49</v>
      </c>
      <c r="Q102" s="366">
        <v>262.49</v>
      </c>
      <c r="R102" s="366">
        <v>262.49</v>
      </c>
      <c r="S102" s="366">
        <v>262.49</v>
      </c>
      <c r="T102" s="366">
        <v>145.91999999999999</v>
      </c>
      <c r="U102" s="366">
        <v>493.19</v>
      </c>
      <c r="V102" s="366">
        <v>351.88</v>
      </c>
      <c r="W102" s="366">
        <v>289.27999999999997</v>
      </c>
      <c r="X102" s="366">
        <v>289.27999999999997</v>
      </c>
      <c r="Y102" s="366">
        <v>289.27999999999997</v>
      </c>
      <c r="Z102" s="366">
        <v>389.62</v>
      </c>
      <c r="AA102" s="366">
        <v>379.32</v>
      </c>
      <c r="AB102" s="366">
        <v>138.44</v>
      </c>
      <c r="AC102" s="366">
        <v>140.9</v>
      </c>
      <c r="AD102" s="366">
        <v>140.9</v>
      </c>
      <c r="AE102" s="366">
        <v>236.93</v>
      </c>
      <c r="AF102" s="366">
        <v>398.89</v>
      </c>
      <c r="AG102" s="366">
        <v>290.8</v>
      </c>
      <c r="AH102" s="366">
        <v>117.47</v>
      </c>
      <c r="AI102" s="366">
        <v>117.47</v>
      </c>
      <c r="AJ102" s="366">
        <v>117.47</v>
      </c>
      <c r="AK102" s="366">
        <v>411.82</v>
      </c>
      <c r="AL102" s="366">
        <v>411.82</v>
      </c>
      <c r="AM102" s="366">
        <v>141.16</v>
      </c>
      <c r="AN102" s="366">
        <v>221.66</v>
      </c>
      <c r="AO102" s="366">
        <v>392.27</v>
      </c>
      <c r="AP102" s="366">
        <v>134.63999999999999</v>
      </c>
      <c r="AQ102" s="366">
        <v>534.12</v>
      </c>
      <c r="AR102" s="366">
        <v>410.31</v>
      </c>
      <c r="AS102" s="366">
        <v>202.99</v>
      </c>
      <c r="AT102" s="366">
        <v>202.99</v>
      </c>
      <c r="AU102" s="366">
        <v>266.74</v>
      </c>
      <c r="AV102" s="366">
        <v>524.24</v>
      </c>
      <c r="AW102" s="366">
        <v>333.11</v>
      </c>
      <c r="AX102" s="366">
        <v>16.54</v>
      </c>
      <c r="AY102" s="366">
        <v>545.09</v>
      </c>
      <c r="AZ102" s="366">
        <v>355.68</v>
      </c>
      <c r="BA102" s="366">
        <v>354.5</v>
      </c>
      <c r="BB102" s="366">
        <v>547.98</v>
      </c>
      <c r="BC102" s="366">
        <v>296.56</v>
      </c>
      <c r="BD102" s="366">
        <v>206.33</v>
      </c>
      <c r="BE102" s="366">
        <v>355.94</v>
      </c>
      <c r="BF102" s="366">
        <v>135.41</v>
      </c>
      <c r="BG102" s="366">
        <v>397.17</v>
      </c>
      <c r="BH102" s="366">
        <v>262.49</v>
      </c>
      <c r="BI102" s="366">
        <v>410.34</v>
      </c>
      <c r="BJ102" s="366">
        <v>335.29</v>
      </c>
      <c r="BK102" s="366">
        <v>423.46</v>
      </c>
      <c r="BL102" s="366">
        <v>280.83</v>
      </c>
      <c r="BM102" s="366">
        <v>304.04000000000002</v>
      </c>
      <c r="BN102" s="366">
        <v>419.51</v>
      </c>
      <c r="BO102" s="366">
        <v>465.66</v>
      </c>
      <c r="BP102" s="366">
        <v>431.52</v>
      </c>
      <c r="BQ102" s="366">
        <v>92.12</v>
      </c>
      <c r="BR102" s="366">
        <v>92.12</v>
      </c>
      <c r="BS102" s="366">
        <v>363.25</v>
      </c>
      <c r="BT102" s="366">
        <v>402.26</v>
      </c>
      <c r="BU102" s="366">
        <v>118.94</v>
      </c>
      <c r="BV102" s="366">
        <v>138.56</v>
      </c>
      <c r="BW102" s="366">
        <v>326.02999999999997</v>
      </c>
      <c r="BX102" s="366">
        <v>304.33999999999997</v>
      </c>
      <c r="BY102" s="366">
        <v>379.36</v>
      </c>
      <c r="BZ102" s="366">
        <v>379.36</v>
      </c>
      <c r="CA102" s="366">
        <v>294.31</v>
      </c>
      <c r="CB102" s="366">
        <v>322.77</v>
      </c>
      <c r="CC102" s="366">
        <v>19.07</v>
      </c>
      <c r="CD102" s="366">
        <v>32.549999999999997</v>
      </c>
      <c r="CE102" s="366">
        <v>406.69</v>
      </c>
      <c r="CF102" s="366">
        <v>397.62</v>
      </c>
      <c r="CG102" s="366">
        <v>397.62</v>
      </c>
      <c r="CH102" s="366">
        <v>77.12</v>
      </c>
      <c r="CI102" s="366">
        <v>135.69</v>
      </c>
      <c r="CJ102" s="366">
        <v>408.57</v>
      </c>
      <c r="CK102" s="366">
        <v>384.45</v>
      </c>
      <c r="CL102" s="366">
        <v>280.52999999999997</v>
      </c>
      <c r="CM102" s="366">
        <v>242.84</v>
      </c>
      <c r="CN102" s="366">
        <v>284.66000000000003</v>
      </c>
      <c r="CO102" s="366">
        <v>408.92</v>
      </c>
      <c r="CP102" s="366">
        <v>98.81</v>
      </c>
      <c r="CQ102" s="366">
        <v>98.81</v>
      </c>
      <c r="CR102" s="366">
        <v>360.24</v>
      </c>
      <c r="CS102" s="366">
        <v>360.24</v>
      </c>
      <c r="CT102" s="366">
        <v>350.8</v>
      </c>
      <c r="CU102" s="366">
        <v>358.67</v>
      </c>
      <c r="CV102" s="366">
        <v>352.62</v>
      </c>
      <c r="CW102" s="366">
        <v>351.88</v>
      </c>
      <c r="CX102" s="366">
        <v>0</v>
      </c>
      <c r="CY102" s="366">
        <v>289.26</v>
      </c>
      <c r="CZ102" s="366">
        <v>310.5</v>
      </c>
      <c r="DA102" s="366">
        <v>447.43</v>
      </c>
      <c r="DB102" s="366">
        <v>331.27</v>
      </c>
      <c r="DC102" s="366">
        <v>331.27</v>
      </c>
      <c r="DD102" s="366">
        <v>276.44</v>
      </c>
      <c r="DE102" s="366">
        <v>525.05999999999995</v>
      </c>
      <c r="DF102" s="366">
        <v>562.04</v>
      </c>
      <c r="DG102" s="366">
        <v>106.04</v>
      </c>
      <c r="DH102" s="366">
        <v>587.62</v>
      </c>
      <c r="DI102" s="366">
        <v>263.44</v>
      </c>
      <c r="DJ102" s="366">
        <v>326.7</v>
      </c>
      <c r="DK102" s="366">
        <v>266.76</v>
      </c>
      <c r="DL102" s="366">
        <v>124.94</v>
      </c>
      <c r="DM102" s="366">
        <v>374.64</v>
      </c>
      <c r="DN102" s="366">
        <v>278.2</v>
      </c>
      <c r="DO102" s="366">
        <v>293.33</v>
      </c>
      <c r="DP102" s="366">
        <v>238.13</v>
      </c>
      <c r="DQ102" s="366">
        <v>337.37</v>
      </c>
      <c r="DR102" s="366">
        <v>587.62</v>
      </c>
      <c r="DS102" s="366">
        <v>394.48</v>
      </c>
      <c r="DT102" s="366">
        <v>382.77</v>
      </c>
      <c r="DU102" s="366">
        <v>477.77</v>
      </c>
      <c r="DV102" s="366">
        <v>415.46</v>
      </c>
      <c r="DW102" s="366">
        <v>219.41</v>
      </c>
      <c r="DX102" s="366">
        <v>312.35000000000002</v>
      </c>
      <c r="DY102" s="366">
        <v>385.74</v>
      </c>
      <c r="DZ102" s="366">
        <v>286.11</v>
      </c>
      <c r="EA102" s="366">
        <v>392.59</v>
      </c>
      <c r="EB102" s="366">
        <v>379.74</v>
      </c>
      <c r="EC102" s="366">
        <v>313.27</v>
      </c>
      <c r="ED102" s="366">
        <v>293.20999999999998</v>
      </c>
      <c r="EE102" s="366">
        <v>304</v>
      </c>
      <c r="EF102" s="366">
        <v>128.36000000000001</v>
      </c>
      <c r="EG102" s="366">
        <v>333.11</v>
      </c>
      <c r="EH102" s="366">
        <v>333.11</v>
      </c>
      <c r="EI102" s="366">
        <v>33.020000000000003</v>
      </c>
      <c r="EJ102" s="366">
        <v>575.67999999999995</v>
      </c>
      <c r="EK102" s="366">
        <v>188.37</v>
      </c>
      <c r="EL102" s="366">
        <v>188.37</v>
      </c>
      <c r="EM102" s="366">
        <v>282.48</v>
      </c>
      <c r="EN102" s="366">
        <v>282.48</v>
      </c>
      <c r="EO102" s="366">
        <v>141.16</v>
      </c>
      <c r="EP102" s="366">
        <v>55.76</v>
      </c>
      <c r="EQ102" s="366">
        <v>341.31</v>
      </c>
      <c r="ER102" s="366">
        <v>463.23</v>
      </c>
      <c r="ES102" s="366">
        <v>386.96</v>
      </c>
      <c r="ET102" s="366">
        <v>74.150000000000006</v>
      </c>
      <c r="EU102" s="366">
        <v>513.67999999999995</v>
      </c>
      <c r="EV102" s="366">
        <v>289.27999999999997</v>
      </c>
      <c r="EW102" s="366">
        <v>32.4</v>
      </c>
      <c r="EX102" s="366">
        <v>363.7</v>
      </c>
      <c r="EY102" s="366">
        <v>363.7</v>
      </c>
      <c r="EZ102" s="366">
        <v>327.02</v>
      </c>
      <c r="FA102" s="366">
        <v>279.64999999999998</v>
      </c>
      <c r="FB102" s="366">
        <v>251.06</v>
      </c>
      <c r="FC102" s="366">
        <v>332.49</v>
      </c>
      <c r="FD102" s="366">
        <v>187.68</v>
      </c>
      <c r="FE102" s="366">
        <v>36.85</v>
      </c>
      <c r="FF102" s="366">
        <v>123.23</v>
      </c>
      <c r="FG102" s="366">
        <v>345.54</v>
      </c>
      <c r="FH102" s="366">
        <v>345.54</v>
      </c>
      <c r="FI102" s="366">
        <v>270.14999999999998</v>
      </c>
      <c r="FJ102" s="366">
        <v>275.94</v>
      </c>
      <c r="FK102" s="366">
        <v>414.7</v>
      </c>
      <c r="FL102" s="366">
        <v>412.89</v>
      </c>
      <c r="FM102" s="366">
        <v>141.16</v>
      </c>
      <c r="FN102" s="366">
        <v>320.02999999999997</v>
      </c>
      <c r="FO102" s="366">
        <v>400.96</v>
      </c>
      <c r="FP102" s="366">
        <v>364.84</v>
      </c>
      <c r="FQ102" s="366">
        <v>404.83</v>
      </c>
      <c r="FR102" s="366">
        <v>295.77999999999997</v>
      </c>
      <c r="FS102" s="366">
        <v>123.94</v>
      </c>
      <c r="FT102" s="366">
        <v>341.86</v>
      </c>
      <c r="FU102" s="366">
        <v>148.08000000000001</v>
      </c>
      <c r="FV102" s="366">
        <v>577.58000000000004</v>
      </c>
      <c r="FW102" s="366">
        <v>577.58000000000004</v>
      </c>
      <c r="FX102" s="366">
        <v>577.58000000000004</v>
      </c>
      <c r="FY102" s="366">
        <v>228.79</v>
      </c>
      <c r="FZ102" s="366">
        <v>59.72</v>
      </c>
      <c r="GA102" s="366">
        <v>355.94</v>
      </c>
      <c r="GB102" s="366">
        <v>162.41</v>
      </c>
      <c r="GC102" s="366">
        <v>293.20999999999998</v>
      </c>
      <c r="GD102" s="366">
        <v>286.44</v>
      </c>
      <c r="GE102" s="366">
        <v>350.7</v>
      </c>
      <c r="GF102" s="366">
        <v>161.61000000000001</v>
      </c>
      <c r="GG102" s="366">
        <v>161.61000000000001</v>
      </c>
      <c r="GH102" s="366">
        <v>404.39</v>
      </c>
      <c r="GI102" s="366">
        <v>141.32</v>
      </c>
      <c r="GJ102" s="366">
        <v>141.16</v>
      </c>
      <c r="GK102" s="366">
        <v>411.25</v>
      </c>
      <c r="GL102" s="366">
        <v>46.69</v>
      </c>
      <c r="GM102" s="366">
        <v>46.69</v>
      </c>
      <c r="GN102" s="366">
        <v>46.69</v>
      </c>
      <c r="GO102" s="366">
        <v>149.44999999999999</v>
      </c>
      <c r="GP102" s="366">
        <v>361.35</v>
      </c>
      <c r="GQ102" s="366">
        <v>456.96</v>
      </c>
      <c r="GR102" s="366">
        <v>169.39</v>
      </c>
      <c r="GS102" s="366">
        <v>103.15</v>
      </c>
      <c r="GT102" s="366">
        <v>333.11</v>
      </c>
      <c r="GU102" s="366">
        <v>221.64</v>
      </c>
      <c r="GV102" s="366">
        <v>582.87</v>
      </c>
      <c r="GW102" s="366">
        <v>71.150000000000006</v>
      </c>
      <c r="GX102" s="366">
        <v>329.68</v>
      </c>
      <c r="GY102" s="366">
        <v>116.5</v>
      </c>
      <c r="GZ102" s="366">
        <v>187.4</v>
      </c>
      <c r="HA102" s="366">
        <v>406.37</v>
      </c>
      <c r="HB102" s="366">
        <v>406.37</v>
      </c>
      <c r="HC102" s="366">
        <v>406.37</v>
      </c>
      <c r="HD102" s="366">
        <v>265.49</v>
      </c>
      <c r="HE102" s="366">
        <v>276.33</v>
      </c>
      <c r="HF102" s="366">
        <v>232.62</v>
      </c>
      <c r="HG102" s="366">
        <v>360.27</v>
      </c>
      <c r="HH102" s="366">
        <v>360.27</v>
      </c>
      <c r="HI102" s="366">
        <v>360.27</v>
      </c>
      <c r="HJ102" s="366">
        <v>140.74</v>
      </c>
      <c r="HK102" s="366">
        <v>259.73</v>
      </c>
      <c r="HL102" s="366">
        <v>295.87</v>
      </c>
      <c r="HM102" s="366">
        <v>138.44</v>
      </c>
      <c r="HN102" s="366">
        <v>141.16</v>
      </c>
      <c r="HO102" s="366">
        <v>546.88</v>
      </c>
      <c r="HP102" s="366">
        <v>188.12</v>
      </c>
      <c r="HQ102" s="366">
        <v>577.58000000000004</v>
      </c>
      <c r="HR102" s="366">
        <v>398.89</v>
      </c>
      <c r="HS102" s="366">
        <v>137.41</v>
      </c>
      <c r="HT102" s="366">
        <v>86.95</v>
      </c>
      <c r="HU102" s="366">
        <v>95.6</v>
      </c>
      <c r="HV102" s="366">
        <v>51.23</v>
      </c>
    </row>
    <row r="103" spans="1:230">
      <c r="A103" s="366" t="s">
        <v>124</v>
      </c>
      <c r="B103" s="366">
        <v>232.78</v>
      </c>
      <c r="C103" s="366">
        <v>661.28</v>
      </c>
      <c r="D103" s="366">
        <v>545.57000000000005</v>
      </c>
      <c r="E103" s="366">
        <v>545.57000000000005</v>
      </c>
      <c r="F103" s="366">
        <v>296.68</v>
      </c>
      <c r="G103" s="366">
        <v>127.98</v>
      </c>
      <c r="H103" s="366">
        <v>501.95</v>
      </c>
      <c r="I103" s="366">
        <v>285.06</v>
      </c>
      <c r="J103" s="366">
        <v>478.17</v>
      </c>
      <c r="K103" s="366">
        <v>478.17</v>
      </c>
      <c r="L103" s="366">
        <v>552.66</v>
      </c>
      <c r="M103" s="366">
        <v>686.7</v>
      </c>
      <c r="N103" s="366">
        <v>783.6</v>
      </c>
      <c r="O103" s="366">
        <v>536.71</v>
      </c>
      <c r="P103" s="366">
        <v>536.71</v>
      </c>
      <c r="Q103" s="366">
        <v>536.71</v>
      </c>
      <c r="R103" s="366">
        <v>536.71</v>
      </c>
      <c r="S103" s="366">
        <v>536.71</v>
      </c>
      <c r="T103" s="366">
        <v>210.56</v>
      </c>
      <c r="U103" s="366">
        <v>247.68</v>
      </c>
      <c r="V103" s="366">
        <v>626.1</v>
      </c>
      <c r="W103" s="366">
        <v>396.88</v>
      </c>
      <c r="X103" s="366">
        <v>396.88</v>
      </c>
      <c r="Y103" s="366">
        <v>396.88</v>
      </c>
      <c r="Z103" s="366">
        <v>663.84</v>
      </c>
      <c r="AA103" s="366">
        <v>133.81</v>
      </c>
      <c r="AB103" s="366">
        <v>179.89</v>
      </c>
      <c r="AC103" s="366">
        <v>148.36000000000001</v>
      </c>
      <c r="AD103" s="366">
        <v>148.36000000000001</v>
      </c>
      <c r="AE103" s="366">
        <v>511.15</v>
      </c>
      <c r="AF103" s="366">
        <v>153.38</v>
      </c>
      <c r="AG103" s="366">
        <v>398.4</v>
      </c>
      <c r="AH103" s="366">
        <v>331.11</v>
      </c>
      <c r="AI103" s="366">
        <v>331.11</v>
      </c>
      <c r="AJ103" s="366">
        <v>331.11</v>
      </c>
      <c r="AK103" s="366">
        <v>686.04</v>
      </c>
      <c r="AL103" s="366">
        <v>686.04</v>
      </c>
      <c r="AM103" s="366">
        <v>182.61</v>
      </c>
      <c r="AN103" s="366">
        <v>495.88</v>
      </c>
      <c r="AO103" s="366">
        <v>111.37</v>
      </c>
      <c r="AP103" s="366">
        <v>229.68</v>
      </c>
      <c r="AQ103" s="366">
        <v>253.22</v>
      </c>
      <c r="AR103" s="366">
        <v>517.91</v>
      </c>
      <c r="AS103" s="366">
        <v>477.21</v>
      </c>
      <c r="AT103" s="366">
        <v>477.21</v>
      </c>
      <c r="AU103" s="366">
        <v>540.96</v>
      </c>
      <c r="AV103" s="366">
        <v>278.73</v>
      </c>
      <c r="AW103" s="366">
        <v>440.71</v>
      </c>
      <c r="AX103" s="366">
        <v>272.72000000000003</v>
      </c>
      <c r="AY103" s="366">
        <v>819.31</v>
      </c>
      <c r="AZ103" s="366">
        <v>629.9</v>
      </c>
      <c r="BA103" s="366">
        <v>73.599999999999994</v>
      </c>
      <c r="BB103" s="366">
        <v>822.2</v>
      </c>
      <c r="BC103" s="366">
        <v>15.66</v>
      </c>
      <c r="BD103" s="366">
        <v>82.93</v>
      </c>
      <c r="BE103" s="366">
        <v>630.16</v>
      </c>
      <c r="BF103" s="366">
        <v>176.86</v>
      </c>
      <c r="BG103" s="366">
        <v>671.39</v>
      </c>
      <c r="BH103" s="366">
        <v>536.71</v>
      </c>
      <c r="BI103" s="366">
        <v>517.94000000000005</v>
      </c>
      <c r="BJ103" s="366">
        <v>609.51</v>
      </c>
      <c r="BK103" s="366">
        <v>697.68</v>
      </c>
      <c r="BL103" s="366">
        <v>552.57000000000005</v>
      </c>
      <c r="BM103" s="366">
        <v>529.36</v>
      </c>
      <c r="BN103" s="366">
        <v>174</v>
      </c>
      <c r="BO103" s="366">
        <v>739.88</v>
      </c>
      <c r="BP103" s="366">
        <v>705.74</v>
      </c>
      <c r="BQ103" s="366">
        <v>305.76</v>
      </c>
      <c r="BR103" s="366">
        <v>305.76</v>
      </c>
      <c r="BS103" s="366">
        <v>637.47</v>
      </c>
      <c r="BT103" s="366">
        <v>509.86</v>
      </c>
      <c r="BU103" s="366">
        <v>170.32</v>
      </c>
      <c r="BV103" s="366">
        <v>180.01</v>
      </c>
      <c r="BW103" s="366">
        <v>600.25</v>
      </c>
      <c r="BX103" s="366">
        <v>578.55999999999995</v>
      </c>
      <c r="BY103" s="366">
        <v>653.58000000000004</v>
      </c>
      <c r="BZ103" s="366">
        <v>653.58000000000004</v>
      </c>
      <c r="CA103" s="366">
        <v>401.91</v>
      </c>
      <c r="CB103" s="366">
        <v>596.99</v>
      </c>
      <c r="CC103" s="366">
        <v>301.55</v>
      </c>
      <c r="CD103" s="366">
        <v>315.02999999999997</v>
      </c>
      <c r="CE103" s="366">
        <v>680.91</v>
      </c>
      <c r="CF103" s="366">
        <v>152.11000000000001</v>
      </c>
      <c r="CG103" s="366">
        <v>152.11000000000001</v>
      </c>
      <c r="CH103" s="366">
        <v>290.76</v>
      </c>
      <c r="CI103" s="366">
        <v>409.91</v>
      </c>
      <c r="CJ103" s="366">
        <v>163.06</v>
      </c>
      <c r="CK103" s="366">
        <v>658.67</v>
      </c>
      <c r="CL103" s="366">
        <v>554.75</v>
      </c>
      <c r="CM103" s="366">
        <v>46.42</v>
      </c>
      <c r="CN103" s="366">
        <v>558.88</v>
      </c>
      <c r="CO103" s="366">
        <v>516.52</v>
      </c>
      <c r="CP103" s="366">
        <v>312.45</v>
      </c>
      <c r="CQ103" s="366">
        <v>312.45</v>
      </c>
      <c r="CR103" s="366">
        <v>467.84</v>
      </c>
      <c r="CS103" s="366">
        <v>467.84</v>
      </c>
      <c r="CT103" s="366">
        <v>458.4</v>
      </c>
      <c r="CU103" s="366">
        <v>466.27</v>
      </c>
      <c r="CV103" s="366">
        <v>460.22</v>
      </c>
      <c r="CW103" s="366">
        <v>626.1</v>
      </c>
      <c r="CX103" s="366">
        <v>289.26</v>
      </c>
      <c r="CY103" s="366">
        <v>0</v>
      </c>
      <c r="CZ103" s="366">
        <v>29.6</v>
      </c>
      <c r="DA103" s="366">
        <v>721.65</v>
      </c>
      <c r="DB103" s="366">
        <v>605.49</v>
      </c>
      <c r="DC103" s="366">
        <v>605.49</v>
      </c>
      <c r="DD103" s="366">
        <v>320.22000000000003</v>
      </c>
      <c r="DE103" s="366">
        <v>799.28</v>
      </c>
      <c r="DF103" s="366">
        <v>281.14</v>
      </c>
      <c r="DG103" s="366">
        <v>380.26</v>
      </c>
      <c r="DH103" s="366">
        <v>861.84</v>
      </c>
      <c r="DI103" s="366">
        <v>249.69</v>
      </c>
      <c r="DJ103" s="366">
        <v>45.8</v>
      </c>
      <c r="DK103" s="366">
        <v>540.98</v>
      </c>
      <c r="DL103" s="366">
        <v>165.99</v>
      </c>
      <c r="DM103" s="366">
        <v>648.86</v>
      </c>
      <c r="DN103" s="366">
        <v>236.72</v>
      </c>
      <c r="DO103" s="366">
        <v>567.54999999999995</v>
      </c>
      <c r="DP103" s="366">
        <v>345.73</v>
      </c>
      <c r="DQ103" s="366">
        <v>611.59</v>
      </c>
      <c r="DR103" s="366">
        <v>861.84</v>
      </c>
      <c r="DS103" s="366">
        <v>517.41999999999996</v>
      </c>
      <c r="DT103" s="366">
        <v>505.71</v>
      </c>
      <c r="DU103" s="366">
        <v>751.99</v>
      </c>
      <c r="DV103" s="366">
        <v>689.68</v>
      </c>
      <c r="DW103" s="366">
        <v>493.63</v>
      </c>
      <c r="DX103" s="366">
        <v>586.57000000000005</v>
      </c>
      <c r="DY103" s="366">
        <v>659.96</v>
      </c>
      <c r="DZ103" s="366">
        <v>309.24</v>
      </c>
      <c r="EA103" s="366">
        <v>500.19</v>
      </c>
      <c r="EB103" s="366">
        <v>653.96</v>
      </c>
      <c r="EC103" s="366">
        <v>520.13</v>
      </c>
      <c r="ED103" s="366">
        <v>219.92</v>
      </c>
      <c r="EE103" s="366">
        <v>210.04</v>
      </c>
      <c r="EF103" s="366">
        <v>235.96</v>
      </c>
      <c r="EG103" s="366">
        <v>440.71</v>
      </c>
      <c r="EH103" s="366">
        <v>440.71</v>
      </c>
      <c r="EI103" s="366">
        <v>315.5</v>
      </c>
      <c r="EJ103" s="366">
        <v>849.9</v>
      </c>
      <c r="EK103" s="366">
        <v>462.59</v>
      </c>
      <c r="EL103" s="366">
        <v>462.59</v>
      </c>
      <c r="EM103" s="366">
        <v>556.70000000000005</v>
      </c>
      <c r="EN103" s="366">
        <v>556.70000000000005</v>
      </c>
      <c r="EO103" s="366">
        <v>182.61</v>
      </c>
      <c r="EP103" s="366">
        <v>233.5</v>
      </c>
      <c r="EQ103" s="366">
        <v>448.91</v>
      </c>
      <c r="ER103" s="366">
        <v>217.72</v>
      </c>
      <c r="ES103" s="366">
        <v>661.18</v>
      </c>
      <c r="ET103" s="366">
        <v>287.79000000000002</v>
      </c>
      <c r="EU103" s="366">
        <v>232.78</v>
      </c>
      <c r="EV103" s="366">
        <v>396.88</v>
      </c>
      <c r="EW103" s="366">
        <v>314.88</v>
      </c>
      <c r="EX103" s="366">
        <v>637.91999999999996</v>
      </c>
      <c r="EY103" s="366">
        <v>637.91999999999996</v>
      </c>
      <c r="EZ103" s="366">
        <v>601.24</v>
      </c>
      <c r="FA103" s="366">
        <v>553.87</v>
      </c>
      <c r="FB103" s="366">
        <v>525.28</v>
      </c>
      <c r="FC103" s="366">
        <v>606.71</v>
      </c>
      <c r="FD103" s="366">
        <v>461.9</v>
      </c>
      <c r="FE103" s="366">
        <v>319.33</v>
      </c>
      <c r="FF103" s="366">
        <v>397.45</v>
      </c>
      <c r="FG103" s="366">
        <v>56.28</v>
      </c>
      <c r="FH103" s="366">
        <v>56.28</v>
      </c>
      <c r="FI103" s="366">
        <v>377.75</v>
      </c>
      <c r="FJ103" s="366">
        <v>383.54</v>
      </c>
      <c r="FK103" s="366">
        <v>688.92</v>
      </c>
      <c r="FL103" s="366">
        <v>687.11</v>
      </c>
      <c r="FM103" s="366">
        <v>182.61</v>
      </c>
      <c r="FN103" s="366">
        <v>427.63</v>
      </c>
      <c r="FO103" s="366">
        <v>508.56</v>
      </c>
      <c r="FP103" s="366">
        <v>639.05999999999995</v>
      </c>
      <c r="FQ103" s="366">
        <v>512.42999999999995</v>
      </c>
      <c r="FR103" s="366">
        <v>570</v>
      </c>
      <c r="FS103" s="366">
        <v>398.16</v>
      </c>
      <c r="FT103" s="366">
        <v>60.96</v>
      </c>
      <c r="FU103" s="366">
        <v>422.3</v>
      </c>
      <c r="FV103" s="366">
        <v>296.68</v>
      </c>
      <c r="FW103" s="366">
        <v>296.68</v>
      </c>
      <c r="FX103" s="366">
        <v>296.68</v>
      </c>
      <c r="FY103" s="366">
        <v>503.01</v>
      </c>
      <c r="FZ103" s="366">
        <v>342.2</v>
      </c>
      <c r="GA103" s="366">
        <v>630.16</v>
      </c>
      <c r="GB103" s="366">
        <v>436.63</v>
      </c>
      <c r="GC103" s="366">
        <v>219.92</v>
      </c>
      <c r="GD103" s="366">
        <v>560.66</v>
      </c>
      <c r="GE103" s="366">
        <v>458.3</v>
      </c>
      <c r="GF103" s="366">
        <v>435.83</v>
      </c>
      <c r="GG103" s="366">
        <v>435.83</v>
      </c>
      <c r="GH103" s="366">
        <v>678.61</v>
      </c>
      <c r="GI103" s="366">
        <v>182.77</v>
      </c>
      <c r="GJ103" s="366">
        <v>182.61</v>
      </c>
      <c r="GK103" s="366">
        <v>685.47</v>
      </c>
      <c r="GL103" s="366">
        <v>329.17</v>
      </c>
      <c r="GM103" s="366">
        <v>329.17</v>
      </c>
      <c r="GN103" s="366">
        <v>329.17</v>
      </c>
      <c r="GO103" s="366">
        <v>190.5</v>
      </c>
      <c r="GP103" s="366">
        <v>635.57000000000005</v>
      </c>
      <c r="GQ103" s="366">
        <v>731.18</v>
      </c>
      <c r="GR103" s="366">
        <v>176.85</v>
      </c>
      <c r="GS103" s="366">
        <v>253.33</v>
      </c>
      <c r="GT103" s="366">
        <v>440.71</v>
      </c>
      <c r="GU103" s="366">
        <v>495.86</v>
      </c>
      <c r="GV103" s="366">
        <v>857.09</v>
      </c>
      <c r="GW103" s="366">
        <v>353.63</v>
      </c>
      <c r="GX103" s="366">
        <v>437.28</v>
      </c>
      <c r="GY103" s="366">
        <v>330.14</v>
      </c>
      <c r="GZ103" s="366">
        <v>461.62</v>
      </c>
      <c r="HA103" s="366">
        <v>513.97</v>
      </c>
      <c r="HB103" s="366">
        <v>513.97</v>
      </c>
      <c r="HC103" s="366">
        <v>513.97</v>
      </c>
      <c r="HD103" s="366">
        <v>272.95</v>
      </c>
      <c r="HE103" s="366">
        <v>550.54999999999995</v>
      </c>
      <c r="HF103" s="366">
        <v>506.84</v>
      </c>
      <c r="HG103" s="366">
        <v>634.49</v>
      </c>
      <c r="HH103" s="366">
        <v>634.49</v>
      </c>
      <c r="HI103" s="366">
        <v>634.49</v>
      </c>
      <c r="HJ103" s="366">
        <v>414.96</v>
      </c>
      <c r="HK103" s="366">
        <v>367.33</v>
      </c>
      <c r="HL103" s="366">
        <v>570.09</v>
      </c>
      <c r="HM103" s="366">
        <v>179.89</v>
      </c>
      <c r="HN103" s="366">
        <v>182.61</v>
      </c>
      <c r="HO103" s="366">
        <v>265.98</v>
      </c>
      <c r="HP103" s="366">
        <v>462.34</v>
      </c>
      <c r="HQ103" s="366">
        <v>296.68</v>
      </c>
      <c r="HR103" s="366">
        <v>153.38</v>
      </c>
      <c r="HS103" s="366">
        <v>178.86</v>
      </c>
      <c r="HT103" s="366">
        <v>282.56</v>
      </c>
      <c r="HU103" s="366">
        <v>309.24</v>
      </c>
      <c r="HV103" s="366">
        <v>333.71</v>
      </c>
    </row>
    <row r="104" spans="1:230">
      <c r="A104" s="366" t="s">
        <v>125</v>
      </c>
      <c r="B104" s="366">
        <v>254.02</v>
      </c>
      <c r="C104" s="366">
        <v>682.52</v>
      </c>
      <c r="D104" s="366">
        <v>566.80999999999995</v>
      </c>
      <c r="E104" s="366">
        <v>566.80999999999995</v>
      </c>
      <c r="F104" s="366">
        <v>317.92</v>
      </c>
      <c r="G104" s="366">
        <v>98.38</v>
      </c>
      <c r="H104" s="366">
        <v>523.19000000000005</v>
      </c>
      <c r="I104" s="366">
        <v>306.3</v>
      </c>
      <c r="J104" s="366">
        <v>499.41</v>
      </c>
      <c r="K104" s="366">
        <v>499.41</v>
      </c>
      <c r="L104" s="366">
        <v>573.9</v>
      </c>
      <c r="M104" s="366">
        <v>707.94</v>
      </c>
      <c r="N104" s="366">
        <v>804.84</v>
      </c>
      <c r="O104" s="366">
        <v>557.95000000000005</v>
      </c>
      <c r="P104" s="366">
        <v>557.95000000000005</v>
      </c>
      <c r="Q104" s="366">
        <v>557.95000000000005</v>
      </c>
      <c r="R104" s="366">
        <v>557.95000000000005</v>
      </c>
      <c r="S104" s="366">
        <v>557.95000000000005</v>
      </c>
      <c r="T104" s="366">
        <v>231.8</v>
      </c>
      <c r="U104" s="366">
        <v>218.08</v>
      </c>
      <c r="V104" s="366">
        <v>647.34</v>
      </c>
      <c r="W104" s="366">
        <v>390.5</v>
      </c>
      <c r="X104" s="366">
        <v>390.5</v>
      </c>
      <c r="Y104" s="366">
        <v>390.5</v>
      </c>
      <c r="Z104" s="366">
        <v>685.08</v>
      </c>
      <c r="AA104" s="366">
        <v>104.21</v>
      </c>
      <c r="AB104" s="366">
        <v>201.13</v>
      </c>
      <c r="AC104" s="366">
        <v>169.6</v>
      </c>
      <c r="AD104" s="366">
        <v>169.6</v>
      </c>
      <c r="AE104" s="366">
        <v>532.39</v>
      </c>
      <c r="AF104" s="366">
        <v>123.78</v>
      </c>
      <c r="AG104" s="366">
        <v>419.64</v>
      </c>
      <c r="AH104" s="366">
        <v>352.35</v>
      </c>
      <c r="AI104" s="366">
        <v>352.35</v>
      </c>
      <c r="AJ104" s="366">
        <v>352.35</v>
      </c>
      <c r="AK104" s="366">
        <v>707.28</v>
      </c>
      <c r="AL104" s="366">
        <v>707.28</v>
      </c>
      <c r="AM104" s="366">
        <v>203.85</v>
      </c>
      <c r="AN104" s="366">
        <v>517.12</v>
      </c>
      <c r="AO104" s="366">
        <v>81.77</v>
      </c>
      <c r="AP104" s="366">
        <v>250.92</v>
      </c>
      <c r="AQ104" s="366">
        <v>274.45999999999998</v>
      </c>
      <c r="AR104" s="366">
        <v>539.15</v>
      </c>
      <c r="AS104" s="366">
        <v>498.45</v>
      </c>
      <c r="AT104" s="366">
        <v>498.45</v>
      </c>
      <c r="AU104" s="366">
        <v>562.20000000000005</v>
      </c>
      <c r="AV104" s="366">
        <v>249.13</v>
      </c>
      <c r="AW104" s="366">
        <v>461.95</v>
      </c>
      <c r="AX104" s="366">
        <v>293.95999999999998</v>
      </c>
      <c r="AY104" s="366">
        <v>840.55</v>
      </c>
      <c r="AZ104" s="366">
        <v>651.14</v>
      </c>
      <c r="BA104" s="366">
        <v>94.84</v>
      </c>
      <c r="BB104" s="366">
        <v>843.44</v>
      </c>
      <c r="BC104" s="366">
        <v>13.94</v>
      </c>
      <c r="BD104" s="366">
        <v>104.17</v>
      </c>
      <c r="BE104" s="366">
        <v>651.4</v>
      </c>
      <c r="BF104" s="366">
        <v>198.1</v>
      </c>
      <c r="BG104" s="366">
        <v>692.63</v>
      </c>
      <c r="BH104" s="366">
        <v>557.95000000000005</v>
      </c>
      <c r="BI104" s="366">
        <v>539.17999999999995</v>
      </c>
      <c r="BJ104" s="366">
        <v>630.75</v>
      </c>
      <c r="BK104" s="366">
        <v>718.92</v>
      </c>
      <c r="BL104" s="366">
        <v>573.80999999999995</v>
      </c>
      <c r="BM104" s="366">
        <v>550.6</v>
      </c>
      <c r="BN104" s="366">
        <v>144.4</v>
      </c>
      <c r="BO104" s="366">
        <v>761.12</v>
      </c>
      <c r="BP104" s="366">
        <v>726.98</v>
      </c>
      <c r="BQ104" s="366">
        <v>327</v>
      </c>
      <c r="BR104" s="366">
        <v>327</v>
      </c>
      <c r="BS104" s="366">
        <v>658.71</v>
      </c>
      <c r="BT104" s="366">
        <v>531.1</v>
      </c>
      <c r="BU104" s="366">
        <v>191.56</v>
      </c>
      <c r="BV104" s="366">
        <v>201.25</v>
      </c>
      <c r="BW104" s="366">
        <v>621.49</v>
      </c>
      <c r="BX104" s="366">
        <v>599.79999999999995</v>
      </c>
      <c r="BY104" s="366">
        <v>674.82</v>
      </c>
      <c r="BZ104" s="366">
        <v>674.82</v>
      </c>
      <c r="CA104" s="366">
        <v>423.15</v>
      </c>
      <c r="CB104" s="366">
        <v>618.23</v>
      </c>
      <c r="CC104" s="366">
        <v>322.79000000000002</v>
      </c>
      <c r="CD104" s="366">
        <v>336.27</v>
      </c>
      <c r="CE104" s="366">
        <v>702.15</v>
      </c>
      <c r="CF104" s="366">
        <v>122.51</v>
      </c>
      <c r="CG104" s="366">
        <v>122.51</v>
      </c>
      <c r="CH104" s="366">
        <v>312</v>
      </c>
      <c r="CI104" s="366">
        <v>431.15</v>
      </c>
      <c r="CJ104" s="366">
        <v>133.46</v>
      </c>
      <c r="CK104" s="366">
        <v>679.91</v>
      </c>
      <c r="CL104" s="366">
        <v>575.99</v>
      </c>
      <c r="CM104" s="366">
        <v>67.66</v>
      </c>
      <c r="CN104" s="366">
        <v>580.12</v>
      </c>
      <c r="CO104" s="366">
        <v>537.76</v>
      </c>
      <c r="CP104" s="366">
        <v>333.69</v>
      </c>
      <c r="CQ104" s="366">
        <v>333.69</v>
      </c>
      <c r="CR104" s="366">
        <v>489.08</v>
      </c>
      <c r="CS104" s="366">
        <v>489.08</v>
      </c>
      <c r="CT104" s="366">
        <v>479.64</v>
      </c>
      <c r="CU104" s="366">
        <v>487.51</v>
      </c>
      <c r="CV104" s="366">
        <v>481.46</v>
      </c>
      <c r="CW104" s="366">
        <v>647.34</v>
      </c>
      <c r="CX104" s="366">
        <v>310.5</v>
      </c>
      <c r="CY104" s="366">
        <v>29.6</v>
      </c>
      <c r="CZ104" s="366">
        <v>0</v>
      </c>
      <c r="DA104" s="366">
        <v>742.89</v>
      </c>
      <c r="DB104" s="366">
        <v>626.73</v>
      </c>
      <c r="DC104" s="366">
        <v>626.73</v>
      </c>
      <c r="DD104" s="366">
        <v>302.35000000000002</v>
      </c>
      <c r="DE104" s="366">
        <v>820.52</v>
      </c>
      <c r="DF104" s="366">
        <v>302.38</v>
      </c>
      <c r="DG104" s="366">
        <v>401.5</v>
      </c>
      <c r="DH104" s="366">
        <v>883.08</v>
      </c>
      <c r="DI104" s="366">
        <v>220.09</v>
      </c>
      <c r="DJ104" s="366">
        <v>16.2</v>
      </c>
      <c r="DK104" s="366">
        <v>562.22</v>
      </c>
      <c r="DL104" s="366">
        <v>187.23</v>
      </c>
      <c r="DM104" s="366">
        <v>670.1</v>
      </c>
      <c r="DN104" s="366">
        <v>207.12</v>
      </c>
      <c r="DO104" s="366">
        <v>588.79</v>
      </c>
      <c r="DP104" s="366">
        <v>339.35</v>
      </c>
      <c r="DQ104" s="366">
        <v>632.83000000000004</v>
      </c>
      <c r="DR104" s="366">
        <v>883.08</v>
      </c>
      <c r="DS104" s="366">
        <v>538.66</v>
      </c>
      <c r="DT104" s="366">
        <v>526.95000000000005</v>
      </c>
      <c r="DU104" s="366">
        <v>773.23</v>
      </c>
      <c r="DV104" s="366">
        <v>710.92</v>
      </c>
      <c r="DW104" s="366">
        <v>514.87</v>
      </c>
      <c r="DX104" s="366">
        <v>607.80999999999995</v>
      </c>
      <c r="DY104" s="366">
        <v>681.2</v>
      </c>
      <c r="DZ104" s="366">
        <v>291.37</v>
      </c>
      <c r="EA104" s="366">
        <v>521.42999999999995</v>
      </c>
      <c r="EB104" s="366">
        <v>675.2</v>
      </c>
      <c r="EC104" s="366">
        <v>541.37</v>
      </c>
      <c r="ED104" s="366">
        <v>190.32</v>
      </c>
      <c r="EE104" s="366">
        <v>180.44</v>
      </c>
      <c r="EF104" s="366">
        <v>257.2</v>
      </c>
      <c r="EG104" s="366">
        <v>461.95</v>
      </c>
      <c r="EH104" s="366">
        <v>461.95</v>
      </c>
      <c r="EI104" s="366">
        <v>336.74</v>
      </c>
      <c r="EJ104" s="366">
        <v>871.14</v>
      </c>
      <c r="EK104" s="366">
        <v>483.83</v>
      </c>
      <c r="EL104" s="366">
        <v>483.83</v>
      </c>
      <c r="EM104" s="366">
        <v>577.94000000000005</v>
      </c>
      <c r="EN104" s="366">
        <v>577.94000000000005</v>
      </c>
      <c r="EO104" s="366">
        <v>203.85</v>
      </c>
      <c r="EP104" s="366">
        <v>254.74</v>
      </c>
      <c r="EQ104" s="366">
        <v>470.15</v>
      </c>
      <c r="ER104" s="366">
        <v>188.12</v>
      </c>
      <c r="ES104" s="366">
        <v>682.42</v>
      </c>
      <c r="ET104" s="366">
        <v>309.02999999999997</v>
      </c>
      <c r="EU104" s="366">
        <v>254.02</v>
      </c>
      <c r="EV104" s="366">
        <v>390.5</v>
      </c>
      <c r="EW104" s="366">
        <v>336.12</v>
      </c>
      <c r="EX104" s="366">
        <v>659.16</v>
      </c>
      <c r="EY104" s="366">
        <v>659.16</v>
      </c>
      <c r="EZ104" s="366">
        <v>622.48</v>
      </c>
      <c r="FA104" s="366">
        <v>575.11</v>
      </c>
      <c r="FB104" s="366">
        <v>546.52</v>
      </c>
      <c r="FC104" s="366">
        <v>627.95000000000005</v>
      </c>
      <c r="FD104" s="366">
        <v>483.14</v>
      </c>
      <c r="FE104" s="366">
        <v>340.57</v>
      </c>
      <c r="FF104" s="366">
        <v>418.69</v>
      </c>
      <c r="FG104" s="366">
        <v>85.88</v>
      </c>
      <c r="FH104" s="366">
        <v>85.88</v>
      </c>
      <c r="FI104" s="366">
        <v>398.99</v>
      </c>
      <c r="FJ104" s="366">
        <v>404.78</v>
      </c>
      <c r="FK104" s="366">
        <v>710.16</v>
      </c>
      <c r="FL104" s="366">
        <v>708.35</v>
      </c>
      <c r="FM104" s="366">
        <v>203.85</v>
      </c>
      <c r="FN104" s="366">
        <v>421.25</v>
      </c>
      <c r="FO104" s="366">
        <v>529.79999999999995</v>
      </c>
      <c r="FP104" s="366">
        <v>660.3</v>
      </c>
      <c r="FQ104" s="366">
        <v>533.66999999999996</v>
      </c>
      <c r="FR104" s="366">
        <v>591.24</v>
      </c>
      <c r="FS104" s="366">
        <v>419.4</v>
      </c>
      <c r="FT104" s="366">
        <v>31.36</v>
      </c>
      <c r="FU104" s="366">
        <v>443.54</v>
      </c>
      <c r="FV104" s="366">
        <v>317.92</v>
      </c>
      <c r="FW104" s="366">
        <v>317.92</v>
      </c>
      <c r="FX104" s="366">
        <v>317.92</v>
      </c>
      <c r="FY104" s="366">
        <v>524.25</v>
      </c>
      <c r="FZ104" s="366">
        <v>363.44</v>
      </c>
      <c r="GA104" s="366">
        <v>651.4</v>
      </c>
      <c r="GB104" s="366">
        <v>457.87</v>
      </c>
      <c r="GC104" s="366">
        <v>190.32</v>
      </c>
      <c r="GD104" s="366">
        <v>581.9</v>
      </c>
      <c r="GE104" s="366">
        <v>479.54</v>
      </c>
      <c r="GF104" s="366">
        <v>457.07</v>
      </c>
      <c r="GG104" s="366">
        <v>457.07</v>
      </c>
      <c r="GH104" s="366">
        <v>699.85</v>
      </c>
      <c r="GI104" s="366">
        <v>204.01</v>
      </c>
      <c r="GJ104" s="366">
        <v>203.85</v>
      </c>
      <c r="GK104" s="366">
        <v>706.71</v>
      </c>
      <c r="GL104" s="366">
        <v>350.41</v>
      </c>
      <c r="GM104" s="366">
        <v>350.41</v>
      </c>
      <c r="GN104" s="366">
        <v>350.41</v>
      </c>
      <c r="GO104" s="366">
        <v>211.74</v>
      </c>
      <c r="GP104" s="366">
        <v>656.81</v>
      </c>
      <c r="GQ104" s="366">
        <v>752.42</v>
      </c>
      <c r="GR104" s="366">
        <v>198.09</v>
      </c>
      <c r="GS104" s="366">
        <v>274.57</v>
      </c>
      <c r="GT104" s="366">
        <v>461.95</v>
      </c>
      <c r="GU104" s="366">
        <v>517.1</v>
      </c>
      <c r="GV104" s="366">
        <v>878.33</v>
      </c>
      <c r="GW104" s="366">
        <v>374.87</v>
      </c>
      <c r="GX104" s="366">
        <v>458.52</v>
      </c>
      <c r="GY104" s="366">
        <v>351.38</v>
      </c>
      <c r="GZ104" s="366">
        <v>482.86</v>
      </c>
      <c r="HA104" s="366">
        <v>535.21</v>
      </c>
      <c r="HB104" s="366">
        <v>535.21</v>
      </c>
      <c r="HC104" s="366">
        <v>535.21</v>
      </c>
      <c r="HD104" s="366">
        <v>255.08</v>
      </c>
      <c r="HE104" s="366">
        <v>571.79</v>
      </c>
      <c r="HF104" s="366">
        <v>528.08000000000004</v>
      </c>
      <c r="HG104" s="366">
        <v>655.73</v>
      </c>
      <c r="HH104" s="366">
        <v>655.73</v>
      </c>
      <c r="HI104" s="366">
        <v>655.73</v>
      </c>
      <c r="HJ104" s="366">
        <v>436.2</v>
      </c>
      <c r="HK104" s="366">
        <v>388.57</v>
      </c>
      <c r="HL104" s="366">
        <v>591.33000000000004</v>
      </c>
      <c r="HM104" s="366">
        <v>201.13</v>
      </c>
      <c r="HN104" s="366">
        <v>203.85</v>
      </c>
      <c r="HO104" s="366">
        <v>277.79000000000002</v>
      </c>
      <c r="HP104" s="366">
        <v>483.58</v>
      </c>
      <c r="HQ104" s="366">
        <v>317.92</v>
      </c>
      <c r="HR104" s="366">
        <v>123.78</v>
      </c>
      <c r="HS104" s="366">
        <v>200.1</v>
      </c>
      <c r="HT104" s="366">
        <v>303.8</v>
      </c>
      <c r="HU104" s="366">
        <v>330.48</v>
      </c>
      <c r="HV104" s="366">
        <v>354.95</v>
      </c>
    </row>
    <row r="105" spans="1:230">
      <c r="A105" s="366" t="s">
        <v>126</v>
      </c>
      <c r="B105" s="366">
        <v>926.86</v>
      </c>
      <c r="C105" s="366">
        <v>60.37</v>
      </c>
      <c r="D105" s="366">
        <v>256.45999999999998</v>
      </c>
      <c r="E105" s="366">
        <v>256.45999999999998</v>
      </c>
      <c r="F105" s="366">
        <v>990.76</v>
      </c>
      <c r="G105" s="366">
        <v>727.27</v>
      </c>
      <c r="H105" s="366">
        <v>300.08</v>
      </c>
      <c r="I105" s="366">
        <v>436.59</v>
      </c>
      <c r="J105" s="366">
        <v>323.86</v>
      </c>
      <c r="K105" s="366">
        <v>323.86</v>
      </c>
      <c r="L105" s="366">
        <v>238.55</v>
      </c>
      <c r="M105" s="366">
        <v>85.99</v>
      </c>
      <c r="N105" s="366">
        <v>61.95</v>
      </c>
      <c r="O105" s="366">
        <v>401.42</v>
      </c>
      <c r="P105" s="366">
        <v>401.42</v>
      </c>
      <c r="Q105" s="366">
        <v>401.42</v>
      </c>
      <c r="R105" s="366">
        <v>401.42</v>
      </c>
      <c r="S105" s="366">
        <v>401.42</v>
      </c>
      <c r="T105" s="366">
        <v>511.09</v>
      </c>
      <c r="U105" s="366">
        <v>835.31</v>
      </c>
      <c r="V105" s="366">
        <v>409.76</v>
      </c>
      <c r="W105" s="366">
        <v>537.45000000000005</v>
      </c>
      <c r="X105" s="366">
        <v>537.45000000000005</v>
      </c>
      <c r="Y105" s="366">
        <v>537.45000000000005</v>
      </c>
      <c r="Z105" s="366">
        <v>122.89</v>
      </c>
      <c r="AA105" s="366">
        <v>721.44</v>
      </c>
      <c r="AB105" s="366">
        <v>570.83000000000004</v>
      </c>
      <c r="AC105" s="366">
        <v>573.29</v>
      </c>
      <c r="AD105" s="366">
        <v>573.29</v>
      </c>
      <c r="AE105" s="366">
        <v>307.36</v>
      </c>
      <c r="AF105" s="366">
        <v>741.01</v>
      </c>
      <c r="AG105" s="366">
        <v>538.97</v>
      </c>
      <c r="AH105" s="366">
        <v>390.54</v>
      </c>
      <c r="AI105" s="366">
        <v>390.54</v>
      </c>
      <c r="AJ105" s="366">
        <v>390.54</v>
      </c>
      <c r="AK105" s="366">
        <v>105.65</v>
      </c>
      <c r="AL105" s="366">
        <v>105.65</v>
      </c>
      <c r="AM105" s="366">
        <v>573.54999999999995</v>
      </c>
      <c r="AN105" s="366">
        <v>360.59</v>
      </c>
      <c r="AO105" s="366">
        <v>743.88</v>
      </c>
      <c r="AP105" s="366">
        <v>499.81</v>
      </c>
      <c r="AQ105" s="366">
        <v>947.3</v>
      </c>
      <c r="AR105" s="366">
        <v>386.63</v>
      </c>
      <c r="AS105" s="366">
        <v>244.44</v>
      </c>
      <c r="AT105" s="366">
        <v>244.44</v>
      </c>
      <c r="AU105" s="366">
        <v>324.62</v>
      </c>
      <c r="AV105" s="366">
        <v>866.36</v>
      </c>
      <c r="AW105" s="366">
        <v>368.18</v>
      </c>
      <c r="AX105" s="366">
        <v>457.19</v>
      </c>
      <c r="AY105" s="366">
        <v>97.66</v>
      </c>
      <c r="AZ105" s="366">
        <v>109.55</v>
      </c>
      <c r="BA105" s="366">
        <v>786.89</v>
      </c>
      <c r="BB105" s="366">
        <v>100.55</v>
      </c>
      <c r="BC105" s="366">
        <v>728.95</v>
      </c>
      <c r="BD105" s="366">
        <v>638.72</v>
      </c>
      <c r="BE105" s="366">
        <v>413.82</v>
      </c>
      <c r="BF105" s="366">
        <v>567.79999999999995</v>
      </c>
      <c r="BG105" s="366">
        <v>119.41</v>
      </c>
      <c r="BH105" s="366">
        <v>401.42</v>
      </c>
      <c r="BI105" s="366">
        <v>386.66</v>
      </c>
      <c r="BJ105" s="366">
        <v>212.18</v>
      </c>
      <c r="BK105" s="366">
        <v>254.01</v>
      </c>
      <c r="BL105" s="366">
        <v>263.45999999999998</v>
      </c>
      <c r="BM105" s="366">
        <v>272.67</v>
      </c>
      <c r="BN105" s="366">
        <v>761.63</v>
      </c>
      <c r="BO105" s="366">
        <v>296.20999999999998</v>
      </c>
      <c r="BP105" s="366">
        <v>262.07</v>
      </c>
      <c r="BQ105" s="366">
        <v>415.89</v>
      </c>
      <c r="BR105" s="366">
        <v>415.89</v>
      </c>
      <c r="BS105" s="366">
        <v>84.18</v>
      </c>
      <c r="BT105" s="366">
        <v>371.09</v>
      </c>
      <c r="BU105" s="366">
        <v>551.33000000000004</v>
      </c>
      <c r="BV105" s="366">
        <v>570.95000000000005</v>
      </c>
      <c r="BW105" s="366">
        <v>383.91</v>
      </c>
      <c r="BX105" s="366">
        <v>143.09</v>
      </c>
      <c r="BY105" s="366">
        <v>437.24</v>
      </c>
      <c r="BZ105" s="366">
        <v>437.24</v>
      </c>
      <c r="CA105" s="366">
        <v>400.12</v>
      </c>
      <c r="CB105" s="366">
        <v>153.32</v>
      </c>
      <c r="CC105" s="366">
        <v>428.36</v>
      </c>
      <c r="CD105" s="366">
        <v>430.76</v>
      </c>
      <c r="CE105" s="366">
        <v>237.24</v>
      </c>
      <c r="CF105" s="366">
        <v>739.74</v>
      </c>
      <c r="CG105" s="366">
        <v>739.74</v>
      </c>
      <c r="CH105" s="366">
        <v>430.89</v>
      </c>
      <c r="CI105" s="366">
        <v>344.38</v>
      </c>
      <c r="CJ105" s="366">
        <v>750.69</v>
      </c>
      <c r="CK105" s="366">
        <v>442.33</v>
      </c>
      <c r="CL105" s="366">
        <v>338.41</v>
      </c>
      <c r="CM105" s="366">
        <v>675.23</v>
      </c>
      <c r="CN105" s="366">
        <v>227.85</v>
      </c>
      <c r="CO105" s="366">
        <v>385.24</v>
      </c>
      <c r="CP105" s="366">
        <v>409.2</v>
      </c>
      <c r="CQ105" s="366">
        <v>409.2</v>
      </c>
      <c r="CR105" s="366">
        <v>337.64</v>
      </c>
      <c r="CS105" s="366">
        <v>337.64</v>
      </c>
      <c r="CT105" s="366">
        <v>347.08</v>
      </c>
      <c r="CU105" s="366">
        <v>339.21</v>
      </c>
      <c r="CV105" s="366">
        <v>341.81</v>
      </c>
      <c r="CW105" s="366">
        <v>409.76</v>
      </c>
      <c r="CX105" s="366">
        <v>447.43</v>
      </c>
      <c r="CY105" s="366">
        <v>721.65</v>
      </c>
      <c r="CZ105" s="366">
        <v>742.89</v>
      </c>
      <c r="DA105" s="366">
        <v>0</v>
      </c>
      <c r="DB105" s="366">
        <v>183.77</v>
      </c>
      <c r="DC105" s="366">
        <v>183.77</v>
      </c>
      <c r="DD105" s="366">
        <v>524.61</v>
      </c>
      <c r="DE105" s="366">
        <v>77.63</v>
      </c>
      <c r="DF105" s="366">
        <v>975.22</v>
      </c>
      <c r="DG105" s="366">
        <v>374.03</v>
      </c>
      <c r="DH105" s="366">
        <v>140.19</v>
      </c>
      <c r="DI105" s="366">
        <v>605.55999999999995</v>
      </c>
      <c r="DJ105" s="366">
        <v>759.09</v>
      </c>
      <c r="DK105" s="366">
        <v>180.67</v>
      </c>
      <c r="DL105" s="366">
        <v>557.33000000000004</v>
      </c>
      <c r="DM105" s="366">
        <v>72.790000000000006</v>
      </c>
      <c r="DN105" s="366">
        <v>620.32000000000005</v>
      </c>
      <c r="DO105" s="366">
        <v>158.66999999999999</v>
      </c>
      <c r="DP105" s="366">
        <v>486.3</v>
      </c>
      <c r="DQ105" s="366">
        <v>395.25</v>
      </c>
      <c r="DR105" s="366">
        <v>140.19</v>
      </c>
      <c r="DS105" s="366">
        <v>363.11</v>
      </c>
      <c r="DT105" s="366">
        <v>351.4</v>
      </c>
      <c r="DU105" s="366">
        <v>30.34</v>
      </c>
      <c r="DV105" s="366">
        <v>97.05</v>
      </c>
      <c r="DW105" s="366">
        <v>228.02</v>
      </c>
      <c r="DX105" s="366">
        <v>370.23</v>
      </c>
      <c r="DY105" s="366">
        <v>443.62</v>
      </c>
      <c r="DZ105" s="366">
        <v>534.28</v>
      </c>
      <c r="EA105" s="366">
        <v>368.91</v>
      </c>
      <c r="EB105" s="366">
        <v>437.62</v>
      </c>
      <c r="EC105" s="366">
        <v>281.89999999999998</v>
      </c>
      <c r="ED105" s="366">
        <v>635.33000000000004</v>
      </c>
      <c r="EE105" s="366">
        <v>646.12</v>
      </c>
      <c r="EF105" s="366">
        <v>493.53</v>
      </c>
      <c r="EG105" s="366">
        <v>368.18</v>
      </c>
      <c r="EH105" s="366">
        <v>368.18</v>
      </c>
      <c r="EI105" s="366">
        <v>414.41</v>
      </c>
      <c r="EJ105" s="366">
        <v>406.23</v>
      </c>
      <c r="EK105" s="366">
        <v>292.83999999999997</v>
      </c>
      <c r="EL105" s="366">
        <v>292.83999999999997</v>
      </c>
      <c r="EM105" s="366">
        <v>289.89</v>
      </c>
      <c r="EN105" s="366">
        <v>289.89</v>
      </c>
      <c r="EO105" s="366">
        <v>573.54999999999995</v>
      </c>
      <c r="EP105" s="366">
        <v>496.41</v>
      </c>
      <c r="EQ105" s="366">
        <v>356.57</v>
      </c>
      <c r="ER105" s="366">
        <v>805.35</v>
      </c>
      <c r="ES105" s="366">
        <v>60.47</v>
      </c>
      <c r="ET105" s="366">
        <v>433.86</v>
      </c>
      <c r="EU105" s="366">
        <v>926.86</v>
      </c>
      <c r="EV105" s="366">
        <v>537.45000000000005</v>
      </c>
      <c r="EW105" s="366">
        <v>415.33</v>
      </c>
      <c r="EX105" s="366">
        <v>194.25</v>
      </c>
      <c r="EY105" s="366">
        <v>194.25</v>
      </c>
      <c r="EZ105" s="366">
        <v>392.17</v>
      </c>
      <c r="FA105" s="366">
        <v>311.70999999999998</v>
      </c>
      <c r="FB105" s="366">
        <v>196.37</v>
      </c>
      <c r="FC105" s="366">
        <v>390.37</v>
      </c>
      <c r="FD105" s="366">
        <v>326.61</v>
      </c>
      <c r="FE105" s="366">
        <v>418.24</v>
      </c>
      <c r="FF105" s="366">
        <v>393.42</v>
      </c>
      <c r="FG105" s="366">
        <v>777.93</v>
      </c>
      <c r="FH105" s="366">
        <v>777.93</v>
      </c>
      <c r="FI105" s="366">
        <v>518.32000000000005</v>
      </c>
      <c r="FJ105" s="366">
        <v>524.11</v>
      </c>
      <c r="FK105" s="366">
        <v>88.21</v>
      </c>
      <c r="FL105" s="366">
        <v>86.4</v>
      </c>
      <c r="FM105" s="366">
        <v>573.54999999999995</v>
      </c>
      <c r="FN105" s="366">
        <v>568.20000000000005</v>
      </c>
      <c r="FO105" s="366">
        <v>377.28</v>
      </c>
      <c r="FP105" s="366">
        <v>422.72</v>
      </c>
      <c r="FQ105" s="366">
        <v>381.15</v>
      </c>
      <c r="FR105" s="366">
        <v>255.89</v>
      </c>
      <c r="FS105" s="366">
        <v>323.49</v>
      </c>
      <c r="FT105" s="366">
        <v>774.25</v>
      </c>
      <c r="FU105" s="366">
        <v>331.99</v>
      </c>
      <c r="FV105" s="366">
        <v>990.76</v>
      </c>
      <c r="FW105" s="366">
        <v>990.76</v>
      </c>
      <c r="FX105" s="366">
        <v>990.76</v>
      </c>
      <c r="FY105" s="366">
        <v>319.95999999999998</v>
      </c>
      <c r="FZ105" s="366">
        <v>408.15</v>
      </c>
      <c r="GA105" s="366">
        <v>413.82</v>
      </c>
      <c r="GB105" s="366">
        <v>361.96</v>
      </c>
      <c r="GC105" s="366">
        <v>635.33000000000004</v>
      </c>
      <c r="GD105" s="366">
        <v>160.99</v>
      </c>
      <c r="GE105" s="366">
        <v>347.18</v>
      </c>
      <c r="GF105" s="366">
        <v>318.45999999999998</v>
      </c>
      <c r="GG105" s="366">
        <v>318.45999999999998</v>
      </c>
      <c r="GH105" s="366">
        <v>462.27</v>
      </c>
      <c r="GI105" s="366">
        <v>573.71</v>
      </c>
      <c r="GJ105" s="366">
        <v>573.54999999999995</v>
      </c>
      <c r="GK105" s="366">
        <v>84.76</v>
      </c>
      <c r="GL105" s="366">
        <v>400.74</v>
      </c>
      <c r="GM105" s="366">
        <v>400.74</v>
      </c>
      <c r="GN105" s="366">
        <v>400.74</v>
      </c>
      <c r="GO105" s="366">
        <v>538.99</v>
      </c>
      <c r="GP105" s="366">
        <v>419.23</v>
      </c>
      <c r="GQ105" s="366">
        <v>287.51</v>
      </c>
      <c r="GR105" s="366">
        <v>601.78</v>
      </c>
      <c r="GS105" s="366">
        <v>468.32</v>
      </c>
      <c r="GT105" s="366">
        <v>368.18</v>
      </c>
      <c r="GU105" s="366">
        <v>325.52999999999997</v>
      </c>
      <c r="GV105" s="366">
        <v>413.42</v>
      </c>
      <c r="GW105" s="366">
        <v>376.72</v>
      </c>
      <c r="GX105" s="366">
        <v>364.75</v>
      </c>
      <c r="GY105" s="366">
        <v>391.51</v>
      </c>
      <c r="GZ105" s="366">
        <v>326.33</v>
      </c>
      <c r="HA105" s="366">
        <v>382.69</v>
      </c>
      <c r="HB105" s="366">
        <v>382.69</v>
      </c>
      <c r="HC105" s="366">
        <v>382.69</v>
      </c>
      <c r="HD105" s="366">
        <v>570.57000000000005</v>
      </c>
      <c r="HE105" s="366">
        <v>283.74</v>
      </c>
      <c r="HF105" s="366">
        <v>280.61</v>
      </c>
      <c r="HG105" s="366">
        <v>220.75</v>
      </c>
      <c r="HH105" s="366">
        <v>220.75</v>
      </c>
      <c r="HI105" s="366">
        <v>220.75</v>
      </c>
      <c r="HJ105" s="366">
        <v>339.33</v>
      </c>
      <c r="HK105" s="366">
        <v>440.67</v>
      </c>
      <c r="HL105" s="366">
        <v>434.8</v>
      </c>
      <c r="HM105" s="366">
        <v>570.83000000000004</v>
      </c>
      <c r="HN105" s="366">
        <v>573.54999999999995</v>
      </c>
      <c r="HO105" s="366">
        <v>895.02</v>
      </c>
      <c r="HP105" s="366">
        <v>327.05</v>
      </c>
      <c r="HQ105" s="366">
        <v>990.76</v>
      </c>
      <c r="HR105" s="366">
        <v>741.01</v>
      </c>
      <c r="HS105" s="366">
        <v>569.79999999999995</v>
      </c>
      <c r="HT105" s="366">
        <v>452.12</v>
      </c>
      <c r="HU105" s="366">
        <v>419.37</v>
      </c>
      <c r="HV105" s="366">
        <v>437.69</v>
      </c>
    </row>
    <row r="106" spans="1:230">
      <c r="A106" s="366" t="s">
        <v>127</v>
      </c>
      <c r="B106" s="366">
        <v>829.91</v>
      </c>
      <c r="C106" s="366">
        <v>244.14</v>
      </c>
      <c r="D106" s="366">
        <v>276.14</v>
      </c>
      <c r="E106" s="366">
        <v>276.14</v>
      </c>
      <c r="F106" s="366">
        <v>893.81</v>
      </c>
      <c r="G106" s="366">
        <v>701.38</v>
      </c>
      <c r="H106" s="366">
        <v>319.76</v>
      </c>
      <c r="I106" s="366">
        <v>320.43</v>
      </c>
      <c r="J106" s="366">
        <v>343.54</v>
      </c>
      <c r="K106" s="366">
        <v>343.54</v>
      </c>
      <c r="L106" s="366">
        <v>266.75</v>
      </c>
      <c r="M106" s="366">
        <v>269.76</v>
      </c>
      <c r="N106" s="366">
        <v>245.72</v>
      </c>
      <c r="O106" s="366">
        <v>275.45999999999998</v>
      </c>
      <c r="P106" s="366">
        <v>275.45999999999998</v>
      </c>
      <c r="Q106" s="366">
        <v>275.45999999999998</v>
      </c>
      <c r="R106" s="366">
        <v>275.45999999999998</v>
      </c>
      <c r="S106" s="366">
        <v>275.45999999999998</v>
      </c>
      <c r="T106" s="366">
        <v>394.93</v>
      </c>
      <c r="U106" s="366">
        <v>809.42</v>
      </c>
      <c r="V106" s="366">
        <v>228.52</v>
      </c>
      <c r="W106" s="366">
        <v>538.29</v>
      </c>
      <c r="X106" s="366">
        <v>538.29</v>
      </c>
      <c r="Y106" s="366">
        <v>538.29</v>
      </c>
      <c r="Z106" s="366">
        <v>60.88</v>
      </c>
      <c r="AA106" s="366">
        <v>695.55</v>
      </c>
      <c r="AB106" s="366">
        <v>454.67</v>
      </c>
      <c r="AC106" s="366">
        <v>457.13</v>
      </c>
      <c r="AD106" s="366">
        <v>457.13</v>
      </c>
      <c r="AE106" s="366">
        <v>225.24</v>
      </c>
      <c r="AF106" s="366">
        <v>715.12</v>
      </c>
      <c r="AG106" s="366">
        <v>539.80999999999995</v>
      </c>
      <c r="AH106" s="366">
        <v>274.38</v>
      </c>
      <c r="AI106" s="366">
        <v>274.38</v>
      </c>
      <c r="AJ106" s="366">
        <v>274.38</v>
      </c>
      <c r="AK106" s="366">
        <v>83.08</v>
      </c>
      <c r="AL106" s="366">
        <v>83.08</v>
      </c>
      <c r="AM106" s="366">
        <v>457.39</v>
      </c>
      <c r="AN106" s="366">
        <v>238.79</v>
      </c>
      <c r="AO106" s="366">
        <v>708.5</v>
      </c>
      <c r="AP106" s="366">
        <v>383.65</v>
      </c>
      <c r="AQ106" s="366">
        <v>850.35</v>
      </c>
      <c r="AR106" s="366">
        <v>406.31</v>
      </c>
      <c r="AS106" s="366">
        <v>191.3</v>
      </c>
      <c r="AT106" s="366">
        <v>191.3</v>
      </c>
      <c r="AU106" s="366">
        <v>143.38</v>
      </c>
      <c r="AV106" s="366">
        <v>840.47</v>
      </c>
      <c r="AW106" s="366">
        <v>387.86</v>
      </c>
      <c r="AX106" s="366">
        <v>341.03</v>
      </c>
      <c r="AY106" s="366">
        <v>281.43</v>
      </c>
      <c r="AZ106" s="366">
        <v>293.32</v>
      </c>
      <c r="BA106" s="366">
        <v>670.73</v>
      </c>
      <c r="BB106" s="366">
        <v>284.32</v>
      </c>
      <c r="BC106" s="366">
        <v>612.79</v>
      </c>
      <c r="BD106" s="366">
        <v>522.55999999999995</v>
      </c>
      <c r="BE106" s="366">
        <v>232.58</v>
      </c>
      <c r="BF106" s="366">
        <v>451.64</v>
      </c>
      <c r="BG106" s="366">
        <v>68.430000000000007</v>
      </c>
      <c r="BH106" s="366">
        <v>275.45999999999998</v>
      </c>
      <c r="BI106" s="366">
        <v>406.34</v>
      </c>
      <c r="BJ106" s="366">
        <v>30.94</v>
      </c>
      <c r="BK106" s="366">
        <v>411.77</v>
      </c>
      <c r="BL106" s="366">
        <v>269.14</v>
      </c>
      <c r="BM106" s="366">
        <v>292.35000000000002</v>
      </c>
      <c r="BN106" s="366">
        <v>735.74</v>
      </c>
      <c r="BO106" s="366">
        <v>453.97</v>
      </c>
      <c r="BP106" s="366">
        <v>419.83</v>
      </c>
      <c r="BQ106" s="366">
        <v>299.73</v>
      </c>
      <c r="BR106" s="366">
        <v>299.73</v>
      </c>
      <c r="BS106" s="366">
        <v>267.95</v>
      </c>
      <c r="BT106" s="366">
        <v>390.77</v>
      </c>
      <c r="BU106" s="366">
        <v>435.17</v>
      </c>
      <c r="BV106" s="366">
        <v>454.79</v>
      </c>
      <c r="BW106" s="366">
        <v>202.67</v>
      </c>
      <c r="BX106" s="366">
        <v>292.64999999999998</v>
      </c>
      <c r="BY106" s="366">
        <v>256</v>
      </c>
      <c r="BZ106" s="366">
        <v>256</v>
      </c>
      <c r="CA106" s="366">
        <v>419.8</v>
      </c>
      <c r="CB106" s="366">
        <v>311.08</v>
      </c>
      <c r="CC106" s="366">
        <v>312.2</v>
      </c>
      <c r="CD106" s="366">
        <v>314.60000000000002</v>
      </c>
      <c r="CE106" s="366">
        <v>395</v>
      </c>
      <c r="CF106" s="366">
        <v>713.85</v>
      </c>
      <c r="CG106" s="366">
        <v>713.85</v>
      </c>
      <c r="CH106" s="366">
        <v>314.73</v>
      </c>
      <c r="CI106" s="366">
        <v>217.64</v>
      </c>
      <c r="CJ106" s="366">
        <v>724.8</v>
      </c>
      <c r="CK106" s="366">
        <v>261.08999999999997</v>
      </c>
      <c r="CL106" s="366">
        <v>157.16999999999999</v>
      </c>
      <c r="CM106" s="366">
        <v>559.07000000000005</v>
      </c>
      <c r="CN106" s="366">
        <v>46.61</v>
      </c>
      <c r="CO106" s="366">
        <v>404.92</v>
      </c>
      <c r="CP106" s="366">
        <v>293.04000000000002</v>
      </c>
      <c r="CQ106" s="366">
        <v>293.04000000000002</v>
      </c>
      <c r="CR106" s="366">
        <v>357.32</v>
      </c>
      <c r="CS106" s="366">
        <v>357.32</v>
      </c>
      <c r="CT106" s="366">
        <v>366.76</v>
      </c>
      <c r="CU106" s="366">
        <v>358.89</v>
      </c>
      <c r="CV106" s="366">
        <v>361.49</v>
      </c>
      <c r="CW106" s="366">
        <v>228.52</v>
      </c>
      <c r="CX106" s="366">
        <v>331.27</v>
      </c>
      <c r="CY106" s="366">
        <v>605.49</v>
      </c>
      <c r="CZ106" s="366">
        <v>626.73</v>
      </c>
      <c r="DA106" s="366">
        <v>183.77</v>
      </c>
      <c r="DB106" s="366">
        <v>0</v>
      </c>
      <c r="DC106" s="366">
        <v>0</v>
      </c>
      <c r="DD106" s="366">
        <v>525.45000000000005</v>
      </c>
      <c r="DE106" s="366">
        <v>261.39999999999998</v>
      </c>
      <c r="DF106" s="366">
        <v>878.27</v>
      </c>
      <c r="DG106" s="366">
        <v>247.29</v>
      </c>
      <c r="DH106" s="366">
        <v>323.95999999999998</v>
      </c>
      <c r="DI106" s="366">
        <v>579.66999999999996</v>
      </c>
      <c r="DJ106" s="366">
        <v>642.92999999999995</v>
      </c>
      <c r="DK106" s="366">
        <v>255.07</v>
      </c>
      <c r="DL106" s="366">
        <v>441.17</v>
      </c>
      <c r="DM106" s="366">
        <v>256.56</v>
      </c>
      <c r="DN106" s="366">
        <v>594.42999999999995</v>
      </c>
      <c r="DO106" s="366">
        <v>281.64</v>
      </c>
      <c r="DP106" s="366">
        <v>487.14</v>
      </c>
      <c r="DQ106" s="366">
        <v>214.01</v>
      </c>
      <c r="DR106" s="366">
        <v>323.95999999999998</v>
      </c>
      <c r="DS106" s="366">
        <v>382.79</v>
      </c>
      <c r="DT106" s="366">
        <v>371.08</v>
      </c>
      <c r="DU106" s="366">
        <v>153.43</v>
      </c>
      <c r="DV106" s="366">
        <v>86.72</v>
      </c>
      <c r="DW106" s="366">
        <v>207.72</v>
      </c>
      <c r="DX106" s="366">
        <v>188.99</v>
      </c>
      <c r="DY106" s="366">
        <v>262.38</v>
      </c>
      <c r="DZ106" s="366">
        <v>535.12</v>
      </c>
      <c r="EA106" s="366">
        <v>388.59</v>
      </c>
      <c r="EB106" s="366">
        <v>256.38</v>
      </c>
      <c r="EC106" s="366">
        <v>301.58</v>
      </c>
      <c r="ED106" s="366">
        <v>609.44000000000005</v>
      </c>
      <c r="EE106" s="366">
        <v>620.23</v>
      </c>
      <c r="EF106" s="366">
        <v>377.37</v>
      </c>
      <c r="EG106" s="366">
        <v>387.86</v>
      </c>
      <c r="EH106" s="366">
        <v>387.86</v>
      </c>
      <c r="EI106" s="366">
        <v>298.25</v>
      </c>
      <c r="EJ106" s="366">
        <v>563.99</v>
      </c>
      <c r="EK106" s="366">
        <v>176.68</v>
      </c>
      <c r="EL106" s="366">
        <v>176.68</v>
      </c>
      <c r="EM106" s="366">
        <v>108.65</v>
      </c>
      <c r="EN106" s="366">
        <v>108.65</v>
      </c>
      <c r="EO106" s="366">
        <v>457.39</v>
      </c>
      <c r="EP106" s="366">
        <v>380.25</v>
      </c>
      <c r="EQ106" s="366">
        <v>376.25</v>
      </c>
      <c r="ER106" s="366">
        <v>779.46</v>
      </c>
      <c r="ES106" s="366">
        <v>244.24</v>
      </c>
      <c r="ET106" s="366">
        <v>317.7</v>
      </c>
      <c r="EU106" s="366">
        <v>829.91</v>
      </c>
      <c r="EV106" s="366">
        <v>538.29</v>
      </c>
      <c r="EW106" s="366">
        <v>299.17</v>
      </c>
      <c r="EX106" s="366">
        <v>352.01</v>
      </c>
      <c r="EY106" s="366">
        <v>352.01</v>
      </c>
      <c r="EZ106" s="366">
        <v>210.93</v>
      </c>
      <c r="FA106" s="366">
        <v>130.47</v>
      </c>
      <c r="FB106" s="366">
        <v>239.37</v>
      </c>
      <c r="FC106" s="366">
        <v>209.13</v>
      </c>
      <c r="FD106" s="366">
        <v>204.81</v>
      </c>
      <c r="FE106" s="366">
        <v>302.08</v>
      </c>
      <c r="FF106" s="366">
        <v>277.26</v>
      </c>
      <c r="FG106" s="366">
        <v>661.77</v>
      </c>
      <c r="FH106" s="366">
        <v>661.77</v>
      </c>
      <c r="FI106" s="366">
        <v>519.16</v>
      </c>
      <c r="FJ106" s="366">
        <v>524.95000000000005</v>
      </c>
      <c r="FK106" s="366">
        <v>271.98</v>
      </c>
      <c r="FL106" s="366">
        <v>270.17</v>
      </c>
      <c r="FM106" s="366">
        <v>457.39</v>
      </c>
      <c r="FN106" s="366">
        <v>569.04</v>
      </c>
      <c r="FO106" s="366">
        <v>396.96</v>
      </c>
      <c r="FP106" s="366">
        <v>241.48</v>
      </c>
      <c r="FQ106" s="366">
        <v>400.83</v>
      </c>
      <c r="FR106" s="366">
        <v>284.08999999999997</v>
      </c>
      <c r="FS106" s="366">
        <v>207.33</v>
      </c>
      <c r="FT106" s="366">
        <v>658.09</v>
      </c>
      <c r="FU106" s="366">
        <v>205.25</v>
      </c>
      <c r="FV106" s="366">
        <v>893.81</v>
      </c>
      <c r="FW106" s="366">
        <v>893.81</v>
      </c>
      <c r="FX106" s="366">
        <v>893.81</v>
      </c>
      <c r="FY106" s="366">
        <v>138.72</v>
      </c>
      <c r="FZ106" s="366">
        <v>291.99</v>
      </c>
      <c r="GA106" s="366">
        <v>232.58</v>
      </c>
      <c r="GB106" s="366">
        <v>245.8</v>
      </c>
      <c r="GC106" s="366">
        <v>609.44000000000005</v>
      </c>
      <c r="GD106" s="366">
        <v>274.75</v>
      </c>
      <c r="GE106" s="366">
        <v>366.86</v>
      </c>
      <c r="GF106" s="366">
        <v>191.72</v>
      </c>
      <c r="GG106" s="366">
        <v>191.72</v>
      </c>
      <c r="GH106" s="366">
        <v>281.02999999999997</v>
      </c>
      <c r="GI106" s="366">
        <v>457.55</v>
      </c>
      <c r="GJ106" s="366">
        <v>457.39</v>
      </c>
      <c r="GK106" s="366">
        <v>268.52999999999997</v>
      </c>
      <c r="GL106" s="366">
        <v>284.58</v>
      </c>
      <c r="GM106" s="366">
        <v>284.58</v>
      </c>
      <c r="GN106" s="366">
        <v>284.58</v>
      </c>
      <c r="GO106" s="366">
        <v>422.83</v>
      </c>
      <c r="GP106" s="366">
        <v>237.99</v>
      </c>
      <c r="GQ106" s="366">
        <v>445.27</v>
      </c>
      <c r="GR106" s="366">
        <v>485.62</v>
      </c>
      <c r="GS106" s="366">
        <v>352.16</v>
      </c>
      <c r="GT106" s="366">
        <v>387.86</v>
      </c>
      <c r="GU106" s="366">
        <v>209.95</v>
      </c>
      <c r="GV106" s="366">
        <v>571.17999999999995</v>
      </c>
      <c r="GW106" s="366">
        <v>260.56</v>
      </c>
      <c r="GX106" s="366">
        <v>384.43</v>
      </c>
      <c r="GY106" s="366">
        <v>275.35000000000002</v>
      </c>
      <c r="GZ106" s="366">
        <v>204.53</v>
      </c>
      <c r="HA106" s="366">
        <v>402.37</v>
      </c>
      <c r="HB106" s="366">
        <v>402.37</v>
      </c>
      <c r="HC106" s="366">
        <v>402.37</v>
      </c>
      <c r="HD106" s="366">
        <v>571.41</v>
      </c>
      <c r="HE106" s="366">
        <v>102.5</v>
      </c>
      <c r="HF106" s="366">
        <v>99.37</v>
      </c>
      <c r="HG106" s="366">
        <v>36.979999999999997</v>
      </c>
      <c r="HH106" s="366">
        <v>36.979999999999997</v>
      </c>
      <c r="HI106" s="366">
        <v>36.979999999999997</v>
      </c>
      <c r="HJ106" s="366">
        <v>212.59</v>
      </c>
      <c r="HK106" s="366">
        <v>460.35</v>
      </c>
      <c r="HL106" s="366">
        <v>308.83999999999997</v>
      </c>
      <c r="HM106" s="366">
        <v>454.67</v>
      </c>
      <c r="HN106" s="366">
        <v>457.39</v>
      </c>
      <c r="HO106" s="366">
        <v>863.11</v>
      </c>
      <c r="HP106" s="366">
        <v>205.25</v>
      </c>
      <c r="HQ106" s="366">
        <v>893.81</v>
      </c>
      <c r="HR106" s="366">
        <v>715.12</v>
      </c>
      <c r="HS106" s="366">
        <v>453.64</v>
      </c>
      <c r="HT106" s="366">
        <v>335.96</v>
      </c>
      <c r="HU106" s="366">
        <v>303.20999999999998</v>
      </c>
      <c r="HV106" s="366">
        <v>321.52999999999997</v>
      </c>
    </row>
    <row r="107" spans="1:230">
      <c r="A107" s="366" t="s">
        <v>128</v>
      </c>
      <c r="B107" s="366">
        <v>829.91</v>
      </c>
      <c r="C107" s="366">
        <v>244.14</v>
      </c>
      <c r="D107" s="366">
        <v>276.14</v>
      </c>
      <c r="E107" s="366">
        <v>276.14</v>
      </c>
      <c r="F107" s="366">
        <v>893.81</v>
      </c>
      <c r="G107" s="366">
        <v>701.38</v>
      </c>
      <c r="H107" s="366">
        <v>319.76</v>
      </c>
      <c r="I107" s="366">
        <v>320.43</v>
      </c>
      <c r="J107" s="366">
        <v>343.54</v>
      </c>
      <c r="K107" s="366">
        <v>343.54</v>
      </c>
      <c r="L107" s="366">
        <v>266.75</v>
      </c>
      <c r="M107" s="366">
        <v>269.76</v>
      </c>
      <c r="N107" s="366">
        <v>245.72</v>
      </c>
      <c r="O107" s="366">
        <v>275.45999999999998</v>
      </c>
      <c r="P107" s="366">
        <v>275.45999999999998</v>
      </c>
      <c r="Q107" s="366">
        <v>275.45999999999998</v>
      </c>
      <c r="R107" s="366">
        <v>275.45999999999998</v>
      </c>
      <c r="S107" s="366">
        <v>275.45999999999998</v>
      </c>
      <c r="T107" s="366">
        <v>394.93</v>
      </c>
      <c r="U107" s="366">
        <v>809.42</v>
      </c>
      <c r="V107" s="366">
        <v>228.52</v>
      </c>
      <c r="W107" s="366">
        <v>538.29</v>
      </c>
      <c r="X107" s="366">
        <v>538.29</v>
      </c>
      <c r="Y107" s="366">
        <v>538.29</v>
      </c>
      <c r="Z107" s="366">
        <v>60.88</v>
      </c>
      <c r="AA107" s="366">
        <v>695.55</v>
      </c>
      <c r="AB107" s="366">
        <v>454.67</v>
      </c>
      <c r="AC107" s="366">
        <v>457.13</v>
      </c>
      <c r="AD107" s="366">
        <v>457.13</v>
      </c>
      <c r="AE107" s="366">
        <v>225.24</v>
      </c>
      <c r="AF107" s="366">
        <v>715.12</v>
      </c>
      <c r="AG107" s="366">
        <v>539.80999999999995</v>
      </c>
      <c r="AH107" s="366">
        <v>274.38</v>
      </c>
      <c r="AI107" s="366">
        <v>274.38</v>
      </c>
      <c r="AJ107" s="366">
        <v>274.38</v>
      </c>
      <c r="AK107" s="366">
        <v>83.08</v>
      </c>
      <c r="AL107" s="366">
        <v>83.08</v>
      </c>
      <c r="AM107" s="366">
        <v>457.39</v>
      </c>
      <c r="AN107" s="366">
        <v>238.79</v>
      </c>
      <c r="AO107" s="366">
        <v>708.5</v>
      </c>
      <c r="AP107" s="366">
        <v>383.65</v>
      </c>
      <c r="AQ107" s="366">
        <v>850.35</v>
      </c>
      <c r="AR107" s="366">
        <v>406.31</v>
      </c>
      <c r="AS107" s="366">
        <v>191.3</v>
      </c>
      <c r="AT107" s="366">
        <v>191.3</v>
      </c>
      <c r="AU107" s="366">
        <v>143.38</v>
      </c>
      <c r="AV107" s="366">
        <v>840.47</v>
      </c>
      <c r="AW107" s="366">
        <v>387.86</v>
      </c>
      <c r="AX107" s="366">
        <v>341.03</v>
      </c>
      <c r="AY107" s="366">
        <v>281.43</v>
      </c>
      <c r="AZ107" s="366">
        <v>293.32</v>
      </c>
      <c r="BA107" s="366">
        <v>670.73</v>
      </c>
      <c r="BB107" s="366">
        <v>284.32</v>
      </c>
      <c r="BC107" s="366">
        <v>612.79</v>
      </c>
      <c r="BD107" s="366">
        <v>522.55999999999995</v>
      </c>
      <c r="BE107" s="366">
        <v>232.58</v>
      </c>
      <c r="BF107" s="366">
        <v>451.64</v>
      </c>
      <c r="BG107" s="366">
        <v>68.430000000000007</v>
      </c>
      <c r="BH107" s="366">
        <v>275.45999999999998</v>
      </c>
      <c r="BI107" s="366">
        <v>406.34</v>
      </c>
      <c r="BJ107" s="366">
        <v>30.94</v>
      </c>
      <c r="BK107" s="366">
        <v>411.77</v>
      </c>
      <c r="BL107" s="366">
        <v>269.14</v>
      </c>
      <c r="BM107" s="366">
        <v>292.35000000000002</v>
      </c>
      <c r="BN107" s="366">
        <v>735.74</v>
      </c>
      <c r="BO107" s="366">
        <v>453.97</v>
      </c>
      <c r="BP107" s="366">
        <v>419.83</v>
      </c>
      <c r="BQ107" s="366">
        <v>299.73</v>
      </c>
      <c r="BR107" s="366">
        <v>299.73</v>
      </c>
      <c r="BS107" s="366">
        <v>267.95</v>
      </c>
      <c r="BT107" s="366">
        <v>390.77</v>
      </c>
      <c r="BU107" s="366">
        <v>435.17</v>
      </c>
      <c r="BV107" s="366">
        <v>454.79</v>
      </c>
      <c r="BW107" s="366">
        <v>202.67</v>
      </c>
      <c r="BX107" s="366">
        <v>292.64999999999998</v>
      </c>
      <c r="BY107" s="366">
        <v>256</v>
      </c>
      <c r="BZ107" s="366">
        <v>256</v>
      </c>
      <c r="CA107" s="366">
        <v>419.8</v>
      </c>
      <c r="CB107" s="366">
        <v>311.08</v>
      </c>
      <c r="CC107" s="366">
        <v>312.2</v>
      </c>
      <c r="CD107" s="366">
        <v>314.60000000000002</v>
      </c>
      <c r="CE107" s="366">
        <v>395</v>
      </c>
      <c r="CF107" s="366">
        <v>713.85</v>
      </c>
      <c r="CG107" s="366">
        <v>713.85</v>
      </c>
      <c r="CH107" s="366">
        <v>314.73</v>
      </c>
      <c r="CI107" s="366">
        <v>217.64</v>
      </c>
      <c r="CJ107" s="366">
        <v>724.8</v>
      </c>
      <c r="CK107" s="366">
        <v>261.08999999999997</v>
      </c>
      <c r="CL107" s="366">
        <v>157.16999999999999</v>
      </c>
      <c r="CM107" s="366">
        <v>559.07000000000005</v>
      </c>
      <c r="CN107" s="366">
        <v>46.61</v>
      </c>
      <c r="CO107" s="366">
        <v>404.92</v>
      </c>
      <c r="CP107" s="366">
        <v>293.04000000000002</v>
      </c>
      <c r="CQ107" s="366">
        <v>293.04000000000002</v>
      </c>
      <c r="CR107" s="366">
        <v>357.32</v>
      </c>
      <c r="CS107" s="366">
        <v>357.32</v>
      </c>
      <c r="CT107" s="366">
        <v>366.76</v>
      </c>
      <c r="CU107" s="366">
        <v>358.89</v>
      </c>
      <c r="CV107" s="366">
        <v>361.49</v>
      </c>
      <c r="CW107" s="366">
        <v>228.52</v>
      </c>
      <c r="CX107" s="366">
        <v>331.27</v>
      </c>
      <c r="CY107" s="366">
        <v>605.49</v>
      </c>
      <c r="CZ107" s="366">
        <v>626.73</v>
      </c>
      <c r="DA107" s="366">
        <v>183.77</v>
      </c>
      <c r="DB107" s="366">
        <v>0</v>
      </c>
      <c r="DC107" s="366">
        <v>0</v>
      </c>
      <c r="DD107" s="366">
        <v>525.45000000000005</v>
      </c>
      <c r="DE107" s="366">
        <v>261.39999999999998</v>
      </c>
      <c r="DF107" s="366">
        <v>878.27</v>
      </c>
      <c r="DG107" s="366">
        <v>247.29</v>
      </c>
      <c r="DH107" s="366">
        <v>323.95999999999998</v>
      </c>
      <c r="DI107" s="366">
        <v>579.66999999999996</v>
      </c>
      <c r="DJ107" s="366">
        <v>642.92999999999995</v>
      </c>
      <c r="DK107" s="366">
        <v>255.07</v>
      </c>
      <c r="DL107" s="366">
        <v>441.17</v>
      </c>
      <c r="DM107" s="366">
        <v>256.56</v>
      </c>
      <c r="DN107" s="366">
        <v>594.42999999999995</v>
      </c>
      <c r="DO107" s="366">
        <v>281.64</v>
      </c>
      <c r="DP107" s="366">
        <v>487.14</v>
      </c>
      <c r="DQ107" s="366">
        <v>214.01</v>
      </c>
      <c r="DR107" s="366">
        <v>323.95999999999998</v>
      </c>
      <c r="DS107" s="366">
        <v>382.79</v>
      </c>
      <c r="DT107" s="366">
        <v>371.08</v>
      </c>
      <c r="DU107" s="366">
        <v>153.43</v>
      </c>
      <c r="DV107" s="366">
        <v>86.72</v>
      </c>
      <c r="DW107" s="366">
        <v>207.72</v>
      </c>
      <c r="DX107" s="366">
        <v>188.99</v>
      </c>
      <c r="DY107" s="366">
        <v>262.38</v>
      </c>
      <c r="DZ107" s="366">
        <v>535.12</v>
      </c>
      <c r="EA107" s="366">
        <v>388.59</v>
      </c>
      <c r="EB107" s="366">
        <v>256.38</v>
      </c>
      <c r="EC107" s="366">
        <v>301.58</v>
      </c>
      <c r="ED107" s="366">
        <v>609.44000000000005</v>
      </c>
      <c r="EE107" s="366">
        <v>620.23</v>
      </c>
      <c r="EF107" s="366">
        <v>377.37</v>
      </c>
      <c r="EG107" s="366">
        <v>387.86</v>
      </c>
      <c r="EH107" s="366">
        <v>387.86</v>
      </c>
      <c r="EI107" s="366">
        <v>298.25</v>
      </c>
      <c r="EJ107" s="366">
        <v>563.99</v>
      </c>
      <c r="EK107" s="366">
        <v>176.68</v>
      </c>
      <c r="EL107" s="366">
        <v>176.68</v>
      </c>
      <c r="EM107" s="366">
        <v>108.65</v>
      </c>
      <c r="EN107" s="366">
        <v>108.65</v>
      </c>
      <c r="EO107" s="366">
        <v>457.39</v>
      </c>
      <c r="EP107" s="366">
        <v>380.25</v>
      </c>
      <c r="EQ107" s="366">
        <v>376.25</v>
      </c>
      <c r="ER107" s="366">
        <v>779.46</v>
      </c>
      <c r="ES107" s="366">
        <v>244.24</v>
      </c>
      <c r="ET107" s="366">
        <v>317.7</v>
      </c>
      <c r="EU107" s="366">
        <v>829.91</v>
      </c>
      <c r="EV107" s="366">
        <v>538.29</v>
      </c>
      <c r="EW107" s="366">
        <v>299.17</v>
      </c>
      <c r="EX107" s="366">
        <v>352.01</v>
      </c>
      <c r="EY107" s="366">
        <v>352.01</v>
      </c>
      <c r="EZ107" s="366">
        <v>210.93</v>
      </c>
      <c r="FA107" s="366">
        <v>130.47</v>
      </c>
      <c r="FB107" s="366">
        <v>239.37</v>
      </c>
      <c r="FC107" s="366">
        <v>209.13</v>
      </c>
      <c r="FD107" s="366">
        <v>204.81</v>
      </c>
      <c r="FE107" s="366">
        <v>302.08</v>
      </c>
      <c r="FF107" s="366">
        <v>277.26</v>
      </c>
      <c r="FG107" s="366">
        <v>661.77</v>
      </c>
      <c r="FH107" s="366">
        <v>661.77</v>
      </c>
      <c r="FI107" s="366">
        <v>519.16</v>
      </c>
      <c r="FJ107" s="366">
        <v>524.95000000000005</v>
      </c>
      <c r="FK107" s="366">
        <v>271.98</v>
      </c>
      <c r="FL107" s="366">
        <v>270.17</v>
      </c>
      <c r="FM107" s="366">
        <v>457.39</v>
      </c>
      <c r="FN107" s="366">
        <v>569.04</v>
      </c>
      <c r="FO107" s="366">
        <v>396.96</v>
      </c>
      <c r="FP107" s="366">
        <v>241.48</v>
      </c>
      <c r="FQ107" s="366">
        <v>400.83</v>
      </c>
      <c r="FR107" s="366">
        <v>284.08999999999997</v>
      </c>
      <c r="FS107" s="366">
        <v>207.33</v>
      </c>
      <c r="FT107" s="366">
        <v>658.09</v>
      </c>
      <c r="FU107" s="366">
        <v>205.25</v>
      </c>
      <c r="FV107" s="366">
        <v>893.81</v>
      </c>
      <c r="FW107" s="366">
        <v>893.81</v>
      </c>
      <c r="FX107" s="366">
        <v>893.81</v>
      </c>
      <c r="FY107" s="366">
        <v>138.72</v>
      </c>
      <c r="FZ107" s="366">
        <v>291.99</v>
      </c>
      <c r="GA107" s="366">
        <v>232.58</v>
      </c>
      <c r="GB107" s="366">
        <v>245.8</v>
      </c>
      <c r="GC107" s="366">
        <v>609.44000000000005</v>
      </c>
      <c r="GD107" s="366">
        <v>274.75</v>
      </c>
      <c r="GE107" s="366">
        <v>366.86</v>
      </c>
      <c r="GF107" s="366">
        <v>191.72</v>
      </c>
      <c r="GG107" s="366">
        <v>191.72</v>
      </c>
      <c r="GH107" s="366">
        <v>281.02999999999997</v>
      </c>
      <c r="GI107" s="366">
        <v>457.55</v>
      </c>
      <c r="GJ107" s="366">
        <v>457.39</v>
      </c>
      <c r="GK107" s="366">
        <v>268.52999999999997</v>
      </c>
      <c r="GL107" s="366">
        <v>284.58</v>
      </c>
      <c r="GM107" s="366">
        <v>284.58</v>
      </c>
      <c r="GN107" s="366">
        <v>284.58</v>
      </c>
      <c r="GO107" s="366">
        <v>422.83</v>
      </c>
      <c r="GP107" s="366">
        <v>237.99</v>
      </c>
      <c r="GQ107" s="366">
        <v>445.27</v>
      </c>
      <c r="GR107" s="366">
        <v>485.62</v>
      </c>
      <c r="GS107" s="366">
        <v>352.16</v>
      </c>
      <c r="GT107" s="366">
        <v>387.86</v>
      </c>
      <c r="GU107" s="366">
        <v>209.95</v>
      </c>
      <c r="GV107" s="366">
        <v>571.17999999999995</v>
      </c>
      <c r="GW107" s="366">
        <v>260.56</v>
      </c>
      <c r="GX107" s="366">
        <v>384.43</v>
      </c>
      <c r="GY107" s="366">
        <v>275.35000000000002</v>
      </c>
      <c r="GZ107" s="366">
        <v>204.53</v>
      </c>
      <c r="HA107" s="366">
        <v>402.37</v>
      </c>
      <c r="HB107" s="366">
        <v>402.37</v>
      </c>
      <c r="HC107" s="366">
        <v>402.37</v>
      </c>
      <c r="HD107" s="366">
        <v>571.41</v>
      </c>
      <c r="HE107" s="366">
        <v>102.5</v>
      </c>
      <c r="HF107" s="366">
        <v>99.37</v>
      </c>
      <c r="HG107" s="366">
        <v>36.979999999999997</v>
      </c>
      <c r="HH107" s="366">
        <v>36.979999999999997</v>
      </c>
      <c r="HI107" s="366">
        <v>36.979999999999997</v>
      </c>
      <c r="HJ107" s="366">
        <v>212.59</v>
      </c>
      <c r="HK107" s="366">
        <v>460.35</v>
      </c>
      <c r="HL107" s="366">
        <v>308.83999999999997</v>
      </c>
      <c r="HM107" s="366">
        <v>454.67</v>
      </c>
      <c r="HN107" s="366">
        <v>457.39</v>
      </c>
      <c r="HO107" s="366">
        <v>863.11</v>
      </c>
      <c r="HP107" s="366">
        <v>205.25</v>
      </c>
      <c r="HQ107" s="366">
        <v>893.81</v>
      </c>
      <c r="HR107" s="366">
        <v>715.12</v>
      </c>
      <c r="HS107" s="366">
        <v>453.64</v>
      </c>
      <c r="HT107" s="366">
        <v>335.96</v>
      </c>
      <c r="HU107" s="366">
        <v>303.20999999999998</v>
      </c>
      <c r="HV107" s="366">
        <v>321.52999999999997</v>
      </c>
    </row>
    <row r="108" spans="1:230">
      <c r="A108" s="366" t="s">
        <v>129</v>
      </c>
      <c r="B108" s="366">
        <v>403.56</v>
      </c>
      <c r="C108" s="366">
        <v>464.24</v>
      </c>
      <c r="D108" s="366">
        <v>268.14999999999998</v>
      </c>
      <c r="E108" s="366">
        <v>268.14999999999998</v>
      </c>
      <c r="F108" s="366">
        <v>467.46</v>
      </c>
      <c r="G108" s="366">
        <v>203.97</v>
      </c>
      <c r="H108" s="366">
        <v>224.53</v>
      </c>
      <c r="I108" s="366">
        <v>205.02</v>
      </c>
      <c r="J108" s="366">
        <v>200.75</v>
      </c>
      <c r="K108" s="366">
        <v>200.75</v>
      </c>
      <c r="L108" s="366">
        <v>286.06</v>
      </c>
      <c r="M108" s="366">
        <v>489.66</v>
      </c>
      <c r="N108" s="366">
        <v>586.55999999999995</v>
      </c>
      <c r="O108" s="366">
        <v>456.67</v>
      </c>
      <c r="P108" s="366">
        <v>456.67</v>
      </c>
      <c r="Q108" s="366">
        <v>456.67</v>
      </c>
      <c r="R108" s="366">
        <v>456.67</v>
      </c>
      <c r="S108" s="366">
        <v>456.67</v>
      </c>
      <c r="T108" s="366">
        <v>216.06</v>
      </c>
      <c r="U108" s="366">
        <v>312.01</v>
      </c>
      <c r="V108" s="366">
        <v>546.05999999999995</v>
      </c>
      <c r="W108" s="366">
        <v>89.46</v>
      </c>
      <c r="X108" s="366">
        <v>89.46</v>
      </c>
      <c r="Y108" s="366">
        <v>89.46</v>
      </c>
      <c r="Z108" s="366">
        <v>583.79999999999995</v>
      </c>
      <c r="AA108" s="366">
        <v>198.14</v>
      </c>
      <c r="AB108" s="366">
        <v>203.39</v>
      </c>
      <c r="AC108" s="366">
        <v>171.86</v>
      </c>
      <c r="AD108" s="366">
        <v>171.86</v>
      </c>
      <c r="AE108" s="366">
        <v>319.05</v>
      </c>
      <c r="AF108" s="366">
        <v>217.71</v>
      </c>
      <c r="AG108" s="366">
        <v>120.98</v>
      </c>
      <c r="AH108" s="366">
        <v>251.07</v>
      </c>
      <c r="AI108" s="366">
        <v>251.07</v>
      </c>
      <c r="AJ108" s="366">
        <v>251.07</v>
      </c>
      <c r="AK108" s="366">
        <v>606</v>
      </c>
      <c r="AL108" s="366">
        <v>606</v>
      </c>
      <c r="AM108" s="366">
        <v>206.11</v>
      </c>
      <c r="AN108" s="366">
        <v>415.84</v>
      </c>
      <c r="AO108" s="366">
        <v>220.58</v>
      </c>
      <c r="AP108" s="366">
        <v>154.36000000000001</v>
      </c>
      <c r="AQ108" s="366">
        <v>424</v>
      </c>
      <c r="AR108" s="366">
        <v>240.49</v>
      </c>
      <c r="AS108" s="366">
        <v>361.51</v>
      </c>
      <c r="AT108" s="366">
        <v>361.51</v>
      </c>
      <c r="AU108" s="366">
        <v>460.92</v>
      </c>
      <c r="AV108" s="366">
        <v>343.06</v>
      </c>
      <c r="AW108" s="366">
        <v>163.29</v>
      </c>
      <c r="AX108" s="366">
        <v>286.2</v>
      </c>
      <c r="AY108" s="366">
        <v>622.27</v>
      </c>
      <c r="AZ108" s="366">
        <v>432.86</v>
      </c>
      <c r="BA108" s="366">
        <v>385.46</v>
      </c>
      <c r="BB108" s="366">
        <v>625.16</v>
      </c>
      <c r="BC108" s="366">
        <v>316.29000000000002</v>
      </c>
      <c r="BD108" s="366">
        <v>237.29</v>
      </c>
      <c r="BE108" s="366">
        <v>550.12</v>
      </c>
      <c r="BF108" s="366">
        <v>200.36</v>
      </c>
      <c r="BG108" s="366">
        <v>591.35</v>
      </c>
      <c r="BH108" s="366">
        <v>456.67</v>
      </c>
      <c r="BI108" s="366">
        <v>240.52</v>
      </c>
      <c r="BJ108" s="366">
        <v>529.47</v>
      </c>
      <c r="BK108" s="366">
        <v>500.64</v>
      </c>
      <c r="BL108" s="366">
        <v>275.14999999999998</v>
      </c>
      <c r="BM108" s="366">
        <v>251.94</v>
      </c>
      <c r="BN108" s="366">
        <v>238.33</v>
      </c>
      <c r="BO108" s="366">
        <v>542.84</v>
      </c>
      <c r="BP108" s="366">
        <v>508.7</v>
      </c>
      <c r="BQ108" s="366">
        <v>225.72</v>
      </c>
      <c r="BR108" s="366">
        <v>225.72</v>
      </c>
      <c r="BS108" s="366">
        <v>440.43</v>
      </c>
      <c r="BT108" s="366">
        <v>232.44</v>
      </c>
      <c r="BU108" s="366">
        <v>193.82</v>
      </c>
      <c r="BV108" s="366">
        <v>203.51</v>
      </c>
      <c r="BW108" s="366">
        <v>520.21</v>
      </c>
      <c r="BX108" s="366">
        <v>381.52</v>
      </c>
      <c r="BY108" s="366">
        <v>573.54</v>
      </c>
      <c r="BZ108" s="366">
        <v>573.54</v>
      </c>
      <c r="CA108" s="366">
        <v>124.49</v>
      </c>
      <c r="CB108" s="366">
        <v>399.95</v>
      </c>
      <c r="CC108" s="366">
        <v>257.37</v>
      </c>
      <c r="CD108" s="366">
        <v>270.85000000000002</v>
      </c>
      <c r="CE108" s="366">
        <v>483.87</v>
      </c>
      <c r="CF108" s="366">
        <v>216.44</v>
      </c>
      <c r="CG108" s="366">
        <v>216.44</v>
      </c>
      <c r="CH108" s="366">
        <v>210.72</v>
      </c>
      <c r="CI108" s="366">
        <v>329.87</v>
      </c>
      <c r="CJ108" s="366">
        <v>227.39</v>
      </c>
      <c r="CK108" s="366">
        <v>578.63</v>
      </c>
      <c r="CL108" s="366">
        <v>474.71</v>
      </c>
      <c r="CM108" s="366">
        <v>273.8</v>
      </c>
      <c r="CN108" s="366">
        <v>478.84</v>
      </c>
      <c r="CO108" s="366">
        <v>239.1</v>
      </c>
      <c r="CP108" s="366">
        <v>232.41</v>
      </c>
      <c r="CQ108" s="366">
        <v>232.41</v>
      </c>
      <c r="CR108" s="366">
        <v>190.42</v>
      </c>
      <c r="CS108" s="366">
        <v>190.42</v>
      </c>
      <c r="CT108" s="366">
        <v>180.98</v>
      </c>
      <c r="CU108" s="366">
        <v>188.85</v>
      </c>
      <c r="CV108" s="366">
        <v>182.8</v>
      </c>
      <c r="CW108" s="366">
        <v>546.05999999999995</v>
      </c>
      <c r="CX108" s="366">
        <v>276.44</v>
      </c>
      <c r="CY108" s="366">
        <v>320.22000000000003</v>
      </c>
      <c r="CZ108" s="366">
        <v>302.35000000000002</v>
      </c>
      <c r="DA108" s="366">
        <v>524.61</v>
      </c>
      <c r="DB108" s="366">
        <v>525.45000000000005</v>
      </c>
      <c r="DC108" s="366">
        <v>525.45000000000005</v>
      </c>
      <c r="DD108" s="366">
        <v>0</v>
      </c>
      <c r="DE108" s="366">
        <v>602.24</v>
      </c>
      <c r="DF108" s="366">
        <v>451.92</v>
      </c>
      <c r="DG108" s="366">
        <v>300.22000000000003</v>
      </c>
      <c r="DH108" s="366">
        <v>664.8</v>
      </c>
      <c r="DI108" s="366">
        <v>82.26</v>
      </c>
      <c r="DJ108" s="366">
        <v>286.14999999999998</v>
      </c>
      <c r="DK108" s="366">
        <v>343.94</v>
      </c>
      <c r="DL108" s="366">
        <v>189.49</v>
      </c>
      <c r="DM108" s="366">
        <v>451.82</v>
      </c>
      <c r="DN108" s="366">
        <v>97.02</v>
      </c>
      <c r="DO108" s="366">
        <v>370.51</v>
      </c>
      <c r="DP108" s="366">
        <v>38.31</v>
      </c>
      <c r="DQ108" s="366">
        <v>531.54999999999995</v>
      </c>
      <c r="DR108" s="366">
        <v>664.8</v>
      </c>
      <c r="DS108" s="366">
        <v>240</v>
      </c>
      <c r="DT108" s="366">
        <v>228.29</v>
      </c>
      <c r="DU108" s="366">
        <v>554.95000000000005</v>
      </c>
      <c r="DV108" s="366">
        <v>609.64</v>
      </c>
      <c r="DW108" s="366">
        <v>345.09</v>
      </c>
      <c r="DX108" s="366">
        <v>506.53</v>
      </c>
      <c r="DY108" s="366">
        <v>579.91999999999996</v>
      </c>
      <c r="DZ108" s="366">
        <v>86.29</v>
      </c>
      <c r="EA108" s="366">
        <v>222.77</v>
      </c>
      <c r="EB108" s="366">
        <v>573.91999999999996</v>
      </c>
      <c r="EC108" s="366">
        <v>242.71</v>
      </c>
      <c r="ED108" s="366">
        <v>112.03</v>
      </c>
      <c r="EE108" s="366">
        <v>122.82</v>
      </c>
      <c r="EF108" s="366">
        <v>148.08000000000001</v>
      </c>
      <c r="EG108" s="366">
        <v>163.29</v>
      </c>
      <c r="EH108" s="366">
        <v>163.29</v>
      </c>
      <c r="EI108" s="366">
        <v>271.32</v>
      </c>
      <c r="EJ108" s="366">
        <v>652.86</v>
      </c>
      <c r="EK108" s="366">
        <v>382.55</v>
      </c>
      <c r="EL108" s="366">
        <v>382.55</v>
      </c>
      <c r="EM108" s="366">
        <v>476.66</v>
      </c>
      <c r="EN108" s="366">
        <v>476.66</v>
      </c>
      <c r="EO108" s="366">
        <v>206.11</v>
      </c>
      <c r="EP108" s="366">
        <v>257</v>
      </c>
      <c r="EQ108" s="366">
        <v>171.49</v>
      </c>
      <c r="ER108" s="366">
        <v>282.05</v>
      </c>
      <c r="ES108" s="366">
        <v>464.14</v>
      </c>
      <c r="ET108" s="366">
        <v>207.75</v>
      </c>
      <c r="EU108" s="366">
        <v>403.56</v>
      </c>
      <c r="EV108" s="366">
        <v>89.46</v>
      </c>
      <c r="EW108" s="366">
        <v>270.7</v>
      </c>
      <c r="EX108" s="366">
        <v>440.88</v>
      </c>
      <c r="EY108" s="366">
        <v>440.88</v>
      </c>
      <c r="EZ108" s="366">
        <v>521.20000000000005</v>
      </c>
      <c r="FA108" s="366">
        <v>473.83</v>
      </c>
      <c r="FB108" s="366">
        <v>328.24</v>
      </c>
      <c r="FC108" s="366">
        <v>526.66999999999996</v>
      </c>
      <c r="FD108" s="366">
        <v>381.86</v>
      </c>
      <c r="FE108" s="366">
        <v>275.14999999999998</v>
      </c>
      <c r="FF108" s="366">
        <v>317.41000000000003</v>
      </c>
      <c r="FG108" s="366">
        <v>376.5</v>
      </c>
      <c r="FH108" s="366">
        <v>376.5</v>
      </c>
      <c r="FI108" s="366">
        <v>100.33</v>
      </c>
      <c r="FJ108" s="366">
        <v>106.12</v>
      </c>
      <c r="FK108" s="366">
        <v>491.88</v>
      </c>
      <c r="FL108" s="366">
        <v>490.07</v>
      </c>
      <c r="FM108" s="366">
        <v>206.11</v>
      </c>
      <c r="FN108" s="366">
        <v>120.21</v>
      </c>
      <c r="FO108" s="366">
        <v>231.14</v>
      </c>
      <c r="FP108" s="366">
        <v>559.02</v>
      </c>
      <c r="FQ108" s="366">
        <v>235.01</v>
      </c>
      <c r="FR108" s="366">
        <v>303.39999999999998</v>
      </c>
      <c r="FS108" s="366">
        <v>318.12</v>
      </c>
      <c r="FT108" s="366">
        <v>270.99</v>
      </c>
      <c r="FU108" s="366">
        <v>342.26</v>
      </c>
      <c r="FV108" s="366">
        <v>467.46</v>
      </c>
      <c r="FW108" s="366">
        <v>467.46</v>
      </c>
      <c r="FX108" s="366">
        <v>467.46</v>
      </c>
      <c r="FY108" s="366">
        <v>422.97</v>
      </c>
      <c r="FZ108" s="366">
        <v>298.02</v>
      </c>
      <c r="GA108" s="366">
        <v>550.12</v>
      </c>
      <c r="GB108" s="366">
        <v>356.59</v>
      </c>
      <c r="GC108" s="366">
        <v>112.03</v>
      </c>
      <c r="GD108" s="366">
        <v>363.62</v>
      </c>
      <c r="GE108" s="366">
        <v>180.88</v>
      </c>
      <c r="GF108" s="366">
        <v>355.79</v>
      </c>
      <c r="GG108" s="366">
        <v>355.79</v>
      </c>
      <c r="GH108" s="366">
        <v>598.57000000000005</v>
      </c>
      <c r="GI108" s="366">
        <v>206.27</v>
      </c>
      <c r="GJ108" s="366">
        <v>206.11</v>
      </c>
      <c r="GK108" s="366">
        <v>488.43</v>
      </c>
      <c r="GL108" s="366">
        <v>284.99</v>
      </c>
      <c r="GM108" s="366">
        <v>284.99</v>
      </c>
      <c r="GN108" s="366">
        <v>284.99</v>
      </c>
      <c r="GO108" s="366">
        <v>193.54</v>
      </c>
      <c r="GP108" s="366">
        <v>555.53</v>
      </c>
      <c r="GQ108" s="366">
        <v>534.14</v>
      </c>
      <c r="GR108" s="366">
        <v>143.37</v>
      </c>
      <c r="GS108" s="366">
        <v>173.29</v>
      </c>
      <c r="GT108" s="366">
        <v>163.29</v>
      </c>
      <c r="GU108" s="366">
        <v>337.22</v>
      </c>
      <c r="GV108" s="366">
        <v>660.05</v>
      </c>
      <c r="GW108" s="366">
        <v>300.70999999999998</v>
      </c>
      <c r="GX108" s="366">
        <v>159.86000000000001</v>
      </c>
      <c r="GY108" s="366">
        <v>250.1</v>
      </c>
      <c r="GZ108" s="366">
        <v>381.58</v>
      </c>
      <c r="HA108" s="366">
        <v>236.55</v>
      </c>
      <c r="HB108" s="366">
        <v>236.55</v>
      </c>
      <c r="HC108" s="366">
        <v>236.55</v>
      </c>
      <c r="HD108" s="366">
        <v>84.31</v>
      </c>
      <c r="HE108" s="366">
        <v>470.51</v>
      </c>
      <c r="HF108" s="366">
        <v>426.8</v>
      </c>
      <c r="HG108" s="366">
        <v>554.45000000000005</v>
      </c>
      <c r="HH108" s="366">
        <v>554.45000000000005</v>
      </c>
      <c r="HI108" s="366">
        <v>554.45000000000005</v>
      </c>
      <c r="HJ108" s="366">
        <v>334.92</v>
      </c>
      <c r="HK108" s="366">
        <v>89.91</v>
      </c>
      <c r="HL108" s="366">
        <v>490.05</v>
      </c>
      <c r="HM108" s="366">
        <v>203.39</v>
      </c>
      <c r="HN108" s="366">
        <v>206.11</v>
      </c>
      <c r="HO108" s="366">
        <v>371.72</v>
      </c>
      <c r="HP108" s="366">
        <v>382.3</v>
      </c>
      <c r="HQ108" s="366">
        <v>467.46</v>
      </c>
      <c r="HR108" s="366">
        <v>217.71</v>
      </c>
      <c r="HS108" s="366">
        <v>202.36</v>
      </c>
      <c r="HT108" s="366">
        <v>194.68</v>
      </c>
      <c r="HU108" s="366">
        <v>229.2</v>
      </c>
      <c r="HV108" s="366">
        <v>289.52999999999997</v>
      </c>
    </row>
    <row r="109" spans="1:230">
      <c r="A109" s="366" t="s">
        <v>130</v>
      </c>
      <c r="B109" s="366">
        <v>1004.49</v>
      </c>
      <c r="C109" s="366">
        <v>138</v>
      </c>
      <c r="D109" s="366">
        <v>334.09</v>
      </c>
      <c r="E109" s="366">
        <v>334.09</v>
      </c>
      <c r="F109" s="366">
        <v>1068.3900000000001</v>
      </c>
      <c r="G109" s="366">
        <v>804.9</v>
      </c>
      <c r="H109" s="366">
        <v>377.71</v>
      </c>
      <c r="I109" s="366">
        <v>514.22</v>
      </c>
      <c r="J109" s="366">
        <v>401.49</v>
      </c>
      <c r="K109" s="366">
        <v>401.49</v>
      </c>
      <c r="L109" s="366">
        <v>316.18</v>
      </c>
      <c r="M109" s="366">
        <v>163.62</v>
      </c>
      <c r="N109" s="366">
        <v>15.68</v>
      </c>
      <c r="O109" s="366">
        <v>479.05</v>
      </c>
      <c r="P109" s="366">
        <v>479.05</v>
      </c>
      <c r="Q109" s="366">
        <v>479.05</v>
      </c>
      <c r="R109" s="366">
        <v>479.05</v>
      </c>
      <c r="S109" s="366">
        <v>479.05</v>
      </c>
      <c r="T109" s="366">
        <v>588.72</v>
      </c>
      <c r="U109" s="366">
        <v>912.94</v>
      </c>
      <c r="V109" s="366">
        <v>487.39</v>
      </c>
      <c r="W109" s="366">
        <v>615.08000000000004</v>
      </c>
      <c r="X109" s="366">
        <v>615.08000000000004</v>
      </c>
      <c r="Y109" s="366">
        <v>615.08000000000004</v>
      </c>
      <c r="Z109" s="366">
        <v>200.52</v>
      </c>
      <c r="AA109" s="366">
        <v>799.07</v>
      </c>
      <c r="AB109" s="366">
        <v>648.46</v>
      </c>
      <c r="AC109" s="366">
        <v>650.91999999999996</v>
      </c>
      <c r="AD109" s="366">
        <v>650.91999999999996</v>
      </c>
      <c r="AE109" s="366">
        <v>384.99</v>
      </c>
      <c r="AF109" s="366">
        <v>818.64</v>
      </c>
      <c r="AG109" s="366">
        <v>616.6</v>
      </c>
      <c r="AH109" s="366">
        <v>468.17</v>
      </c>
      <c r="AI109" s="366">
        <v>468.17</v>
      </c>
      <c r="AJ109" s="366">
        <v>468.17</v>
      </c>
      <c r="AK109" s="366">
        <v>183.28</v>
      </c>
      <c r="AL109" s="366">
        <v>183.28</v>
      </c>
      <c r="AM109" s="366">
        <v>651.17999999999995</v>
      </c>
      <c r="AN109" s="366">
        <v>438.22</v>
      </c>
      <c r="AO109" s="366">
        <v>821.51</v>
      </c>
      <c r="AP109" s="366">
        <v>577.44000000000005</v>
      </c>
      <c r="AQ109" s="366">
        <v>1024.93</v>
      </c>
      <c r="AR109" s="366">
        <v>464.26</v>
      </c>
      <c r="AS109" s="366">
        <v>322.07</v>
      </c>
      <c r="AT109" s="366">
        <v>322.07</v>
      </c>
      <c r="AU109" s="366">
        <v>402.25</v>
      </c>
      <c r="AV109" s="366">
        <v>943.99</v>
      </c>
      <c r="AW109" s="366">
        <v>445.81</v>
      </c>
      <c r="AX109" s="366">
        <v>534.82000000000005</v>
      </c>
      <c r="AY109" s="366">
        <v>20.03</v>
      </c>
      <c r="AZ109" s="366">
        <v>187.18</v>
      </c>
      <c r="BA109" s="366">
        <v>864.52</v>
      </c>
      <c r="BB109" s="366">
        <v>22.92</v>
      </c>
      <c r="BC109" s="366">
        <v>806.58</v>
      </c>
      <c r="BD109" s="366">
        <v>716.35</v>
      </c>
      <c r="BE109" s="366">
        <v>491.45</v>
      </c>
      <c r="BF109" s="366">
        <v>645.42999999999995</v>
      </c>
      <c r="BG109" s="366">
        <v>197.04</v>
      </c>
      <c r="BH109" s="366">
        <v>479.05</v>
      </c>
      <c r="BI109" s="366">
        <v>464.29</v>
      </c>
      <c r="BJ109" s="366">
        <v>289.81</v>
      </c>
      <c r="BK109" s="366">
        <v>331.64</v>
      </c>
      <c r="BL109" s="366">
        <v>341.09</v>
      </c>
      <c r="BM109" s="366">
        <v>350.3</v>
      </c>
      <c r="BN109" s="366">
        <v>839.26</v>
      </c>
      <c r="BO109" s="366">
        <v>373.84</v>
      </c>
      <c r="BP109" s="366">
        <v>339.7</v>
      </c>
      <c r="BQ109" s="366">
        <v>493.52</v>
      </c>
      <c r="BR109" s="366">
        <v>493.52</v>
      </c>
      <c r="BS109" s="366">
        <v>161.81</v>
      </c>
      <c r="BT109" s="366">
        <v>448.72</v>
      </c>
      <c r="BU109" s="366">
        <v>628.96</v>
      </c>
      <c r="BV109" s="366">
        <v>648.58000000000004</v>
      </c>
      <c r="BW109" s="366">
        <v>461.54</v>
      </c>
      <c r="BX109" s="366">
        <v>220.72</v>
      </c>
      <c r="BY109" s="366">
        <v>514.87</v>
      </c>
      <c r="BZ109" s="366">
        <v>514.87</v>
      </c>
      <c r="CA109" s="366">
        <v>477.75</v>
      </c>
      <c r="CB109" s="366">
        <v>230.95</v>
      </c>
      <c r="CC109" s="366">
        <v>505.99</v>
      </c>
      <c r="CD109" s="366">
        <v>508.39</v>
      </c>
      <c r="CE109" s="366">
        <v>314.87</v>
      </c>
      <c r="CF109" s="366">
        <v>817.37</v>
      </c>
      <c r="CG109" s="366">
        <v>817.37</v>
      </c>
      <c r="CH109" s="366">
        <v>508.52</v>
      </c>
      <c r="CI109" s="366">
        <v>422.01</v>
      </c>
      <c r="CJ109" s="366">
        <v>828.32</v>
      </c>
      <c r="CK109" s="366">
        <v>519.96</v>
      </c>
      <c r="CL109" s="366">
        <v>416.04</v>
      </c>
      <c r="CM109" s="366">
        <v>752.86</v>
      </c>
      <c r="CN109" s="366">
        <v>305.48</v>
      </c>
      <c r="CO109" s="366">
        <v>462.87</v>
      </c>
      <c r="CP109" s="366">
        <v>486.83</v>
      </c>
      <c r="CQ109" s="366">
        <v>486.83</v>
      </c>
      <c r="CR109" s="366">
        <v>415.27</v>
      </c>
      <c r="CS109" s="366">
        <v>415.27</v>
      </c>
      <c r="CT109" s="366">
        <v>424.71</v>
      </c>
      <c r="CU109" s="366">
        <v>416.84</v>
      </c>
      <c r="CV109" s="366">
        <v>419.44</v>
      </c>
      <c r="CW109" s="366">
        <v>487.39</v>
      </c>
      <c r="CX109" s="366">
        <v>525.05999999999995</v>
      </c>
      <c r="CY109" s="366">
        <v>799.28</v>
      </c>
      <c r="CZ109" s="366">
        <v>820.52</v>
      </c>
      <c r="DA109" s="366">
        <v>77.63</v>
      </c>
      <c r="DB109" s="366">
        <v>261.39999999999998</v>
      </c>
      <c r="DC109" s="366">
        <v>261.39999999999998</v>
      </c>
      <c r="DD109" s="366">
        <v>602.24</v>
      </c>
      <c r="DE109" s="366">
        <v>0</v>
      </c>
      <c r="DF109" s="366">
        <v>1052.8499999999999</v>
      </c>
      <c r="DG109" s="366">
        <v>451.66</v>
      </c>
      <c r="DH109" s="366">
        <v>62.56</v>
      </c>
      <c r="DI109" s="366">
        <v>683.19</v>
      </c>
      <c r="DJ109" s="366">
        <v>836.72</v>
      </c>
      <c r="DK109" s="366">
        <v>258.3</v>
      </c>
      <c r="DL109" s="366">
        <v>634.96</v>
      </c>
      <c r="DM109" s="366">
        <v>150.41999999999999</v>
      </c>
      <c r="DN109" s="366">
        <v>697.95</v>
      </c>
      <c r="DO109" s="366">
        <v>236.3</v>
      </c>
      <c r="DP109" s="366">
        <v>563.92999999999995</v>
      </c>
      <c r="DQ109" s="366">
        <v>472.88</v>
      </c>
      <c r="DR109" s="366">
        <v>62.56</v>
      </c>
      <c r="DS109" s="366">
        <v>440.74</v>
      </c>
      <c r="DT109" s="366">
        <v>429.03</v>
      </c>
      <c r="DU109" s="366">
        <v>107.97</v>
      </c>
      <c r="DV109" s="366">
        <v>174.68</v>
      </c>
      <c r="DW109" s="366">
        <v>305.64999999999998</v>
      </c>
      <c r="DX109" s="366">
        <v>447.86</v>
      </c>
      <c r="DY109" s="366">
        <v>521.25</v>
      </c>
      <c r="DZ109" s="366">
        <v>611.91</v>
      </c>
      <c r="EA109" s="366">
        <v>446.54</v>
      </c>
      <c r="EB109" s="366">
        <v>515.25</v>
      </c>
      <c r="EC109" s="366">
        <v>359.53</v>
      </c>
      <c r="ED109" s="366">
        <v>712.96</v>
      </c>
      <c r="EE109" s="366">
        <v>723.75</v>
      </c>
      <c r="EF109" s="366">
        <v>571.16</v>
      </c>
      <c r="EG109" s="366">
        <v>445.81</v>
      </c>
      <c r="EH109" s="366">
        <v>445.81</v>
      </c>
      <c r="EI109" s="366">
        <v>492.04</v>
      </c>
      <c r="EJ109" s="366">
        <v>483.86</v>
      </c>
      <c r="EK109" s="366">
        <v>370.47</v>
      </c>
      <c r="EL109" s="366">
        <v>370.47</v>
      </c>
      <c r="EM109" s="366">
        <v>367.52</v>
      </c>
      <c r="EN109" s="366">
        <v>367.52</v>
      </c>
      <c r="EO109" s="366">
        <v>651.17999999999995</v>
      </c>
      <c r="EP109" s="366">
        <v>574.04</v>
      </c>
      <c r="EQ109" s="366">
        <v>434.2</v>
      </c>
      <c r="ER109" s="366">
        <v>882.98</v>
      </c>
      <c r="ES109" s="366">
        <v>138.1</v>
      </c>
      <c r="ET109" s="366">
        <v>511.49</v>
      </c>
      <c r="EU109" s="366">
        <v>1004.49</v>
      </c>
      <c r="EV109" s="366">
        <v>615.08000000000004</v>
      </c>
      <c r="EW109" s="366">
        <v>492.96</v>
      </c>
      <c r="EX109" s="366">
        <v>271.88</v>
      </c>
      <c r="EY109" s="366">
        <v>271.88</v>
      </c>
      <c r="EZ109" s="366">
        <v>469.8</v>
      </c>
      <c r="FA109" s="366">
        <v>389.34</v>
      </c>
      <c r="FB109" s="366">
        <v>274</v>
      </c>
      <c r="FC109" s="366">
        <v>468</v>
      </c>
      <c r="FD109" s="366">
        <v>404.24</v>
      </c>
      <c r="FE109" s="366">
        <v>495.87</v>
      </c>
      <c r="FF109" s="366">
        <v>471.05</v>
      </c>
      <c r="FG109" s="366">
        <v>855.56</v>
      </c>
      <c r="FH109" s="366">
        <v>855.56</v>
      </c>
      <c r="FI109" s="366">
        <v>595.95000000000005</v>
      </c>
      <c r="FJ109" s="366">
        <v>601.74</v>
      </c>
      <c r="FK109" s="366">
        <v>165.84</v>
      </c>
      <c r="FL109" s="366">
        <v>164.03</v>
      </c>
      <c r="FM109" s="366">
        <v>651.17999999999995</v>
      </c>
      <c r="FN109" s="366">
        <v>645.83000000000004</v>
      </c>
      <c r="FO109" s="366">
        <v>454.91</v>
      </c>
      <c r="FP109" s="366">
        <v>500.35</v>
      </c>
      <c r="FQ109" s="366">
        <v>458.78</v>
      </c>
      <c r="FR109" s="366">
        <v>333.52</v>
      </c>
      <c r="FS109" s="366">
        <v>401.12</v>
      </c>
      <c r="FT109" s="366">
        <v>851.88</v>
      </c>
      <c r="FU109" s="366">
        <v>409.62</v>
      </c>
      <c r="FV109" s="366">
        <v>1068.3900000000001</v>
      </c>
      <c r="FW109" s="366">
        <v>1068.3900000000001</v>
      </c>
      <c r="FX109" s="366">
        <v>1068.3900000000001</v>
      </c>
      <c r="FY109" s="366">
        <v>397.59</v>
      </c>
      <c r="FZ109" s="366">
        <v>485.78</v>
      </c>
      <c r="GA109" s="366">
        <v>491.45</v>
      </c>
      <c r="GB109" s="366">
        <v>439.59</v>
      </c>
      <c r="GC109" s="366">
        <v>712.96</v>
      </c>
      <c r="GD109" s="366">
        <v>238.62</v>
      </c>
      <c r="GE109" s="366">
        <v>424.81</v>
      </c>
      <c r="GF109" s="366">
        <v>396.09</v>
      </c>
      <c r="GG109" s="366">
        <v>396.09</v>
      </c>
      <c r="GH109" s="366">
        <v>539.9</v>
      </c>
      <c r="GI109" s="366">
        <v>651.34</v>
      </c>
      <c r="GJ109" s="366">
        <v>651.17999999999995</v>
      </c>
      <c r="GK109" s="366">
        <v>162.38999999999999</v>
      </c>
      <c r="GL109" s="366">
        <v>478.37</v>
      </c>
      <c r="GM109" s="366">
        <v>478.37</v>
      </c>
      <c r="GN109" s="366">
        <v>478.37</v>
      </c>
      <c r="GO109" s="366">
        <v>616.62</v>
      </c>
      <c r="GP109" s="366">
        <v>496.86</v>
      </c>
      <c r="GQ109" s="366">
        <v>365.14</v>
      </c>
      <c r="GR109" s="366">
        <v>679.41</v>
      </c>
      <c r="GS109" s="366">
        <v>545.95000000000005</v>
      </c>
      <c r="GT109" s="366">
        <v>445.81</v>
      </c>
      <c r="GU109" s="366">
        <v>403.16</v>
      </c>
      <c r="GV109" s="366">
        <v>491.05</v>
      </c>
      <c r="GW109" s="366">
        <v>454.35</v>
      </c>
      <c r="GX109" s="366">
        <v>442.38</v>
      </c>
      <c r="GY109" s="366">
        <v>469.14</v>
      </c>
      <c r="GZ109" s="366">
        <v>403.96</v>
      </c>
      <c r="HA109" s="366">
        <v>460.32</v>
      </c>
      <c r="HB109" s="366">
        <v>460.32</v>
      </c>
      <c r="HC109" s="366">
        <v>460.32</v>
      </c>
      <c r="HD109" s="366">
        <v>648.20000000000005</v>
      </c>
      <c r="HE109" s="366">
        <v>361.37</v>
      </c>
      <c r="HF109" s="366">
        <v>358.24</v>
      </c>
      <c r="HG109" s="366">
        <v>298.38</v>
      </c>
      <c r="HH109" s="366">
        <v>298.38</v>
      </c>
      <c r="HI109" s="366">
        <v>298.38</v>
      </c>
      <c r="HJ109" s="366">
        <v>416.96</v>
      </c>
      <c r="HK109" s="366">
        <v>518.29999999999995</v>
      </c>
      <c r="HL109" s="366">
        <v>512.42999999999995</v>
      </c>
      <c r="HM109" s="366">
        <v>648.46</v>
      </c>
      <c r="HN109" s="366">
        <v>651.17999999999995</v>
      </c>
      <c r="HO109" s="366">
        <v>972.65</v>
      </c>
      <c r="HP109" s="366">
        <v>404.68</v>
      </c>
      <c r="HQ109" s="366">
        <v>1068.3900000000001</v>
      </c>
      <c r="HR109" s="366">
        <v>818.64</v>
      </c>
      <c r="HS109" s="366">
        <v>647.42999999999995</v>
      </c>
      <c r="HT109" s="366">
        <v>529.75</v>
      </c>
      <c r="HU109" s="366">
        <v>497</v>
      </c>
      <c r="HV109" s="366">
        <v>515.32000000000005</v>
      </c>
    </row>
    <row r="110" spans="1:230">
      <c r="A110" s="366" t="s">
        <v>131</v>
      </c>
      <c r="B110" s="366">
        <v>48.36</v>
      </c>
      <c r="C110" s="366">
        <v>914.85</v>
      </c>
      <c r="D110" s="366">
        <v>718.76</v>
      </c>
      <c r="E110" s="366">
        <v>718.76</v>
      </c>
      <c r="F110" s="366">
        <v>15.54</v>
      </c>
      <c r="G110" s="366">
        <v>259.61</v>
      </c>
      <c r="H110" s="366">
        <v>675.14</v>
      </c>
      <c r="I110" s="366">
        <v>557.84</v>
      </c>
      <c r="J110" s="366">
        <v>651.36</v>
      </c>
      <c r="K110" s="366">
        <v>651.36</v>
      </c>
      <c r="L110" s="366">
        <v>736.67</v>
      </c>
      <c r="M110" s="366">
        <v>940.27</v>
      </c>
      <c r="N110" s="366">
        <v>1037.17</v>
      </c>
      <c r="O110" s="366">
        <v>809.49</v>
      </c>
      <c r="P110" s="366">
        <v>809.49</v>
      </c>
      <c r="Q110" s="366">
        <v>809.49</v>
      </c>
      <c r="R110" s="366">
        <v>809.49</v>
      </c>
      <c r="S110" s="366">
        <v>809.49</v>
      </c>
      <c r="T110" s="366">
        <v>483.34</v>
      </c>
      <c r="U110" s="366">
        <v>139.91</v>
      </c>
      <c r="V110" s="366">
        <v>898.88</v>
      </c>
      <c r="W110" s="366">
        <v>540.07000000000005</v>
      </c>
      <c r="X110" s="366">
        <v>540.07000000000005</v>
      </c>
      <c r="Y110" s="366">
        <v>540.07000000000005</v>
      </c>
      <c r="Z110" s="366">
        <v>936.62</v>
      </c>
      <c r="AA110" s="366">
        <v>253.78</v>
      </c>
      <c r="AB110" s="366">
        <v>452.67</v>
      </c>
      <c r="AC110" s="366">
        <v>421.14</v>
      </c>
      <c r="AD110" s="366">
        <v>421.14</v>
      </c>
      <c r="AE110" s="366">
        <v>769.66</v>
      </c>
      <c r="AF110" s="366">
        <v>234.21</v>
      </c>
      <c r="AG110" s="366">
        <v>571.59</v>
      </c>
      <c r="AH110" s="366">
        <v>603.89</v>
      </c>
      <c r="AI110" s="366">
        <v>603.89</v>
      </c>
      <c r="AJ110" s="366">
        <v>603.89</v>
      </c>
      <c r="AK110" s="366">
        <v>958.82</v>
      </c>
      <c r="AL110" s="366">
        <v>958.82</v>
      </c>
      <c r="AM110" s="366">
        <v>455.39</v>
      </c>
      <c r="AN110" s="366">
        <v>768.66</v>
      </c>
      <c r="AO110" s="366">
        <v>276.22000000000003</v>
      </c>
      <c r="AP110" s="366">
        <v>502.46</v>
      </c>
      <c r="AQ110" s="366">
        <v>68.8</v>
      </c>
      <c r="AR110" s="366">
        <v>691.1</v>
      </c>
      <c r="AS110" s="366">
        <v>749.99</v>
      </c>
      <c r="AT110" s="366">
        <v>749.99</v>
      </c>
      <c r="AU110" s="366">
        <v>813.74</v>
      </c>
      <c r="AV110" s="366">
        <v>110.22</v>
      </c>
      <c r="AW110" s="366">
        <v>613.9</v>
      </c>
      <c r="AX110" s="366">
        <v>545.5</v>
      </c>
      <c r="AY110" s="366">
        <v>1072.8800000000001</v>
      </c>
      <c r="AZ110" s="366">
        <v>883.47</v>
      </c>
      <c r="BA110" s="366">
        <v>207.54</v>
      </c>
      <c r="BB110" s="366">
        <v>1075.77</v>
      </c>
      <c r="BC110" s="366">
        <v>288.44</v>
      </c>
      <c r="BD110" s="366">
        <v>355.71</v>
      </c>
      <c r="BE110" s="366">
        <v>902.94</v>
      </c>
      <c r="BF110" s="366">
        <v>449.64</v>
      </c>
      <c r="BG110" s="366">
        <v>944.17</v>
      </c>
      <c r="BH110" s="366">
        <v>809.49</v>
      </c>
      <c r="BI110" s="366">
        <v>691.13</v>
      </c>
      <c r="BJ110" s="366">
        <v>882.29</v>
      </c>
      <c r="BK110" s="366">
        <v>951.25</v>
      </c>
      <c r="BL110" s="366">
        <v>725.76</v>
      </c>
      <c r="BM110" s="366">
        <v>702.55</v>
      </c>
      <c r="BN110" s="366">
        <v>213.59</v>
      </c>
      <c r="BO110" s="366">
        <v>993.45</v>
      </c>
      <c r="BP110" s="366">
        <v>959.31</v>
      </c>
      <c r="BQ110" s="366">
        <v>578.54</v>
      </c>
      <c r="BR110" s="366">
        <v>578.54</v>
      </c>
      <c r="BS110" s="366">
        <v>891.04</v>
      </c>
      <c r="BT110" s="366">
        <v>683.05</v>
      </c>
      <c r="BU110" s="366">
        <v>443.1</v>
      </c>
      <c r="BV110" s="366">
        <v>452.79</v>
      </c>
      <c r="BW110" s="366">
        <v>873.03</v>
      </c>
      <c r="BX110" s="366">
        <v>832.13</v>
      </c>
      <c r="BY110" s="366">
        <v>926.36</v>
      </c>
      <c r="BZ110" s="366">
        <v>926.36</v>
      </c>
      <c r="CA110" s="366">
        <v>575.1</v>
      </c>
      <c r="CB110" s="366">
        <v>850.56</v>
      </c>
      <c r="CC110" s="366">
        <v>574.33000000000004</v>
      </c>
      <c r="CD110" s="366">
        <v>587.80999999999995</v>
      </c>
      <c r="CE110" s="366">
        <v>934.48</v>
      </c>
      <c r="CF110" s="366">
        <v>272.08</v>
      </c>
      <c r="CG110" s="366">
        <v>272.08</v>
      </c>
      <c r="CH110" s="366">
        <v>563.54</v>
      </c>
      <c r="CI110" s="366">
        <v>682.69</v>
      </c>
      <c r="CJ110" s="366">
        <v>224.67</v>
      </c>
      <c r="CK110" s="366">
        <v>931.45</v>
      </c>
      <c r="CL110" s="366">
        <v>827.53</v>
      </c>
      <c r="CM110" s="366">
        <v>319.2</v>
      </c>
      <c r="CN110" s="366">
        <v>831.66</v>
      </c>
      <c r="CO110" s="366">
        <v>689.71</v>
      </c>
      <c r="CP110" s="366">
        <v>585.23</v>
      </c>
      <c r="CQ110" s="366">
        <v>585.23</v>
      </c>
      <c r="CR110" s="366">
        <v>641.03</v>
      </c>
      <c r="CS110" s="366">
        <v>641.03</v>
      </c>
      <c r="CT110" s="366">
        <v>631.59</v>
      </c>
      <c r="CU110" s="366">
        <v>639.46</v>
      </c>
      <c r="CV110" s="366">
        <v>633.41</v>
      </c>
      <c r="CW110" s="366">
        <v>898.88</v>
      </c>
      <c r="CX110" s="366">
        <v>562.04</v>
      </c>
      <c r="CY110" s="366">
        <v>281.14</v>
      </c>
      <c r="CZ110" s="366">
        <v>302.38</v>
      </c>
      <c r="DA110" s="366">
        <v>975.22</v>
      </c>
      <c r="DB110" s="366">
        <v>878.27</v>
      </c>
      <c r="DC110" s="366">
        <v>878.27</v>
      </c>
      <c r="DD110" s="366">
        <v>451.92</v>
      </c>
      <c r="DE110" s="366">
        <v>1052.8499999999999</v>
      </c>
      <c r="DF110" s="366">
        <v>0</v>
      </c>
      <c r="DG110" s="366">
        <v>653.04</v>
      </c>
      <c r="DH110" s="366">
        <v>1115.4100000000001</v>
      </c>
      <c r="DI110" s="366">
        <v>369.66</v>
      </c>
      <c r="DJ110" s="366">
        <v>318.58</v>
      </c>
      <c r="DK110" s="366">
        <v>794.55</v>
      </c>
      <c r="DL110" s="366">
        <v>438.77</v>
      </c>
      <c r="DM110" s="366">
        <v>902.43</v>
      </c>
      <c r="DN110" s="366">
        <v>356.69</v>
      </c>
      <c r="DO110" s="366">
        <v>821.12</v>
      </c>
      <c r="DP110" s="366">
        <v>488.92</v>
      </c>
      <c r="DQ110" s="366">
        <v>884.37</v>
      </c>
      <c r="DR110" s="366">
        <v>1115.4100000000001</v>
      </c>
      <c r="DS110" s="366">
        <v>690.61</v>
      </c>
      <c r="DT110" s="366">
        <v>678.9</v>
      </c>
      <c r="DU110" s="366">
        <v>1005.56</v>
      </c>
      <c r="DV110" s="366">
        <v>962.46</v>
      </c>
      <c r="DW110" s="366">
        <v>766.41</v>
      </c>
      <c r="DX110" s="366">
        <v>859.35</v>
      </c>
      <c r="DY110" s="366">
        <v>932.74</v>
      </c>
      <c r="DZ110" s="366">
        <v>440.94</v>
      </c>
      <c r="EA110" s="366">
        <v>673.38</v>
      </c>
      <c r="EB110" s="366">
        <v>926.74</v>
      </c>
      <c r="EC110" s="366">
        <v>693.32</v>
      </c>
      <c r="ED110" s="366">
        <v>339.89</v>
      </c>
      <c r="EE110" s="366">
        <v>330.01</v>
      </c>
      <c r="EF110" s="366">
        <v>508.74</v>
      </c>
      <c r="EG110" s="366">
        <v>613.9</v>
      </c>
      <c r="EH110" s="366">
        <v>613.9</v>
      </c>
      <c r="EI110" s="366">
        <v>588.28</v>
      </c>
      <c r="EJ110" s="366">
        <v>1103.47</v>
      </c>
      <c r="EK110" s="366">
        <v>735.37</v>
      </c>
      <c r="EL110" s="366">
        <v>735.37</v>
      </c>
      <c r="EM110" s="366">
        <v>829.48</v>
      </c>
      <c r="EN110" s="366">
        <v>829.48</v>
      </c>
      <c r="EO110" s="366">
        <v>455.39</v>
      </c>
      <c r="EP110" s="366">
        <v>506.28</v>
      </c>
      <c r="EQ110" s="366">
        <v>622.1</v>
      </c>
      <c r="ER110" s="366">
        <v>173.43</v>
      </c>
      <c r="ES110" s="366">
        <v>914.75</v>
      </c>
      <c r="ET110" s="366">
        <v>560.57000000000005</v>
      </c>
      <c r="EU110" s="366">
        <v>48.36</v>
      </c>
      <c r="EV110" s="366">
        <v>540.07000000000005</v>
      </c>
      <c r="EW110" s="366">
        <v>587.66</v>
      </c>
      <c r="EX110" s="366">
        <v>891.49</v>
      </c>
      <c r="EY110" s="366">
        <v>891.49</v>
      </c>
      <c r="EZ110" s="366">
        <v>874.02</v>
      </c>
      <c r="FA110" s="366">
        <v>826.65</v>
      </c>
      <c r="FB110" s="366">
        <v>778.85</v>
      </c>
      <c r="FC110" s="366">
        <v>879.49</v>
      </c>
      <c r="FD110" s="366">
        <v>734.68</v>
      </c>
      <c r="FE110" s="366">
        <v>592.11</v>
      </c>
      <c r="FF110" s="366">
        <v>670.23</v>
      </c>
      <c r="FG110" s="366">
        <v>337.42</v>
      </c>
      <c r="FH110" s="366">
        <v>337.42</v>
      </c>
      <c r="FI110" s="366">
        <v>550.94000000000005</v>
      </c>
      <c r="FJ110" s="366">
        <v>556.73</v>
      </c>
      <c r="FK110" s="366">
        <v>942.49</v>
      </c>
      <c r="FL110" s="366">
        <v>940.68</v>
      </c>
      <c r="FM110" s="366">
        <v>455.39</v>
      </c>
      <c r="FN110" s="366">
        <v>570.82000000000005</v>
      </c>
      <c r="FO110" s="366">
        <v>681.75</v>
      </c>
      <c r="FP110" s="366">
        <v>911.84</v>
      </c>
      <c r="FQ110" s="366">
        <v>685.62</v>
      </c>
      <c r="FR110" s="366">
        <v>754.01</v>
      </c>
      <c r="FS110" s="366">
        <v>670.94</v>
      </c>
      <c r="FT110" s="366">
        <v>326.63</v>
      </c>
      <c r="FU110" s="366">
        <v>695.08</v>
      </c>
      <c r="FV110" s="366">
        <v>15.54</v>
      </c>
      <c r="FW110" s="366">
        <v>15.54</v>
      </c>
      <c r="FX110" s="366">
        <v>15.54</v>
      </c>
      <c r="FY110" s="366">
        <v>775.79</v>
      </c>
      <c r="FZ110" s="366">
        <v>614.98</v>
      </c>
      <c r="GA110" s="366">
        <v>902.94</v>
      </c>
      <c r="GB110" s="366">
        <v>709.41</v>
      </c>
      <c r="GC110" s="366">
        <v>339.89</v>
      </c>
      <c r="GD110" s="366">
        <v>814.23</v>
      </c>
      <c r="GE110" s="366">
        <v>631.49</v>
      </c>
      <c r="GF110" s="366">
        <v>708.61</v>
      </c>
      <c r="GG110" s="366">
        <v>708.61</v>
      </c>
      <c r="GH110" s="366">
        <v>951.39</v>
      </c>
      <c r="GI110" s="366">
        <v>455.55</v>
      </c>
      <c r="GJ110" s="366">
        <v>455.39</v>
      </c>
      <c r="GK110" s="366">
        <v>939.04</v>
      </c>
      <c r="GL110" s="366">
        <v>601.95000000000005</v>
      </c>
      <c r="GM110" s="366">
        <v>601.95000000000005</v>
      </c>
      <c r="GN110" s="366">
        <v>601.95000000000005</v>
      </c>
      <c r="GO110" s="366">
        <v>463.28</v>
      </c>
      <c r="GP110" s="366">
        <v>908.35</v>
      </c>
      <c r="GQ110" s="366">
        <v>984.75</v>
      </c>
      <c r="GR110" s="366">
        <v>449.63</v>
      </c>
      <c r="GS110" s="366">
        <v>526.11</v>
      </c>
      <c r="GT110" s="366">
        <v>613.9</v>
      </c>
      <c r="GU110" s="366">
        <v>768.64</v>
      </c>
      <c r="GV110" s="366">
        <v>1110.6600000000001</v>
      </c>
      <c r="GW110" s="366">
        <v>626.41</v>
      </c>
      <c r="GX110" s="366">
        <v>610.47</v>
      </c>
      <c r="GY110" s="366">
        <v>602.91999999999996</v>
      </c>
      <c r="GZ110" s="366">
        <v>734.4</v>
      </c>
      <c r="HA110" s="366">
        <v>687.16</v>
      </c>
      <c r="HB110" s="366">
        <v>687.16</v>
      </c>
      <c r="HC110" s="366">
        <v>687.16</v>
      </c>
      <c r="HD110" s="366">
        <v>404.65</v>
      </c>
      <c r="HE110" s="366">
        <v>823.33</v>
      </c>
      <c r="HF110" s="366">
        <v>779.62</v>
      </c>
      <c r="HG110" s="366">
        <v>907.27</v>
      </c>
      <c r="HH110" s="366">
        <v>907.27</v>
      </c>
      <c r="HI110" s="366">
        <v>907.27</v>
      </c>
      <c r="HJ110" s="366">
        <v>687.74</v>
      </c>
      <c r="HK110" s="366">
        <v>540.52</v>
      </c>
      <c r="HL110" s="366">
        <v>842.87</v>
      </c>
      <c r="HM110" s="366">
        <v>452.67</v>
      </c>
      <c r="HN110" s="366">
        <v>455.39</v>
      </c>
      <c r="HO110" s="366">
        <v>81.56</v>
      </c>
      <c r="HP110" s="366">
        <v>735.12</v>
      </c>
      <c r="HQ110" s="366">
        <v>15.54</v>
      </c>
      <c r="HR110" s="366">
        <v>234.21</v>
      </c>
      <c r="HS110" s="366">
        <v>451.64</v>
      </c>
      <c r="HT110" s="366">
        <v>555.34</v>
      </c>
      <c r="HU110" s="366">
        <v>582.02</v>
      </c>
      <c r="HV110" s="366">
        <v>606.49</v>
      </c>
    </row>
    <row r="111" spans="1:230">
      <c r="A111" s="366" t="s">
        <v>132</v>
      </c>
      <c r="B111" s="366">
        <v>604.67999999999995</v>
      </c>
      <c r="C111" s="366">
        <v>313.66000000000003</v>
      </c>
      <c r="D111" s="366">
        <v>214.43</v>
      </c>
      <c r="E111" s="366">
        <v>214.43</v>
      </c>
      <c r="F111" s="366">
        <v>668.58</v>
      </c>
      <c r="G111" s="366">
        <v>476.15</v>
      </c>
      <c r="H111" s="366">
        <v>258.05</v>
      </c>
      <c r="I111" s="366">
        <v>95.2</v>
      </c>
      <c r="J111" s="366">
        <v>281.83</v>
      </c>
      <c r="K111" s="366">
        <v>281.83</v>
      </c>
      <c r="L111" s="366">
        <v>205.04</v>
      </c>
      <c r="M111" s="366">
        <v>339.08</v>
      </c>
      <c r="N111" s="366">
        <v>435.98</v>
      </c>
      <c r="O111" s="366">
        <v>156.44999999999999</v>
      </c>
      <c r="P111" s="366">
        <v>156.44999999999999</v>
      </c>
      <c r="Q111" s="366">
        <v>156.44999999999999</v>
      </c>
      <c r="R111" s="366">
        <v>156.44999999999999</v>
      </c>
      <c r="S111" s="366">
        <v>156.44999999999999</v>
      </c>
      <c r="T111" s="366">
        <v>169.7</v>
      </c>
      <c r="U111" s="366">
        <v>584.19000000000005</v>
      </c>
      <c r="V111" s="366">
        <v>267.89999999999998</v>
      </c>
      <c r="W111" s="366">
        <v>313.06</v>
      </c>
      <c r="X111" s="366">
        <v>313.06</v>
      </c>
      <c r="Y111" s="366">
        <v>313.06</v>
      </c>
      <c r="Z111" s="366">
        <v>305.64</v>
      </c>
      <c r="AA111" s="366">
        <v>470.32</v>
      </c>
      <c r="AB111" s="366">
        <v>229.44</v>
      </c>
      <c r="AC111" s="366">
        <v>231.9</v>
      </c>
      <c r="AD111" s="366">
        <v>231.9</v>
      </c>
      <c r="AE111" s="366">
        <v>163.53</v>
      </c>
      <c r="AF111" s="366">
        <v>489.89</v>
      </c>
      <c r="AG111" s="366">
        <v>314.58</v>
      </c>
      <c r="AH111" s="366">
        <v>49.15</v>
      </c>
      <c r="AI111" s="366">
        <v>49.15</v>
      </c>
      <c r="AJ111" s="366">
        <v>49.15</v>
      </c>
      <c r="AK111" s="366">
        <v>327.84</v>
      </c>
      <c r="AL111" s="366">
        <v>327.84</v>
      </c>
      <c r="AM111" s="366">
        <v>232.16</v>
      </c>
      <c r="AN111" s="366">
        <v>115.62</v>
      </c>
      <c r="AO111" s="366">
        <v>483.27</v>
      </c>
      <c r="AP111" s="366">
        <v>158.41999999999999</v>
      </c>
      <c r="AQ111" s="366">
        <v>625.12</v>
      </c>
      <c r="AR111" s="366">
        <v>344.6</v>
      </c>
      <c r="AS111" s="366">
        <v>129.59</v>
      </c>
      <c r="AT111" s="366">
        <v>129.59</v>
      </c>
      <c r="AU111" s="366">
        <v>182.76</v>
      </c>
      <c r="AV111" s="366">
        <v>615.24</v>
      </c>
      <c r="AW111" s="366">
        <v>326.14999999999998</v>
      </c>
      <c r="AX111" s="366">
        <v>115.8</v>
      </c>
      <c r="AY111" s="366">
        <v>471.69</v>
      </c>
      <c r="AZ111" s="366">
        <v>282.27999999999997</v>
      </c>
      <c r="BA111" s="366">
        <v>445.5</v>
      </c>
      <c r="BB111" s="366">
        <v>474.58</v>
      </c>
      <c r="BC111" s="366">
        <v>387.56</v>
      </c>
      <c r="BD111" s="366">
        <v>297.33</v>
      </c>
      <c r="BE111" s="366">
        <v>271.95999999999998</v>
      </c>
      <c r="BF111" s="366">
        <v>226.41</v>
      </c>
      <c r="BG111" s="366">
        <v>313.19</v>
      </c>
      <c r="BH111" s="366">
        <v>156.44999999999999</v>
      </c>
      <c r="BI111" s="366">
        <v>344.63</v>
      </c>
      <c r="BJ111" s="366">
        <v>251.31</v>
      </c>
      <c r="BK111" s="366">
        <v>350.06</v>
      </c>
      <c r="BL111" s="366">
        <v>207.43</v>
      </c>
      <c r="BM111" s="366">
        <v>230.64</v>
      </c>
      <c r="BN111" s="366">
        <v>510.51</v>
      </c>
      <c r="BO111" s="366">
        <v>392.26</v>
      </c>
      <c r="BP111" s="366">
        <v>358.12</v>
      </c>
      <c r="BQ111" s="366">
        <v>74.5</v>
      </c>
      <c r="BR111" s="366">
        <v>74.5</v>
      </c>
      <c r="BS111" s="366">
        <v>289.85000000000002</v>
      </c>
      <c r="BT111" s="366">
        <v>329.06</v>
      </c>
      <c r="BU111" s="366">
        <v>209.94</v>
      </c>
      <c r="BV111" s="366">
        <v>229.56</v>
      </c>
      <c r="BW111" s="366">
        <v>242.05</v>
      </c>
      <c r="BX111" s="366">
        <v>230.94</v>
      </c>
      <c r="BY111" s="366">
        <v>295.38</v>
      </c>
      <c r="BZ111" s="366">
        <v>295.38</v>
      </c>
      <c r="CA111" s="366">
        <v>318.08999999999997</v>
      </c>
      <c r="CB111" s="366">
        <v>249.37</v>
      </c>
      <c r="CC111" s="366">
        <v>86.97</v>
      </c>
      <c r="CD111" s="366">
        <v>89.37</v>
      </c>
      <c r="CE111" s="366">
        <v>333.29</v>
      </c>
      <c r="CF111" s="366">
        <v>488.62</v>
      </c>
      <c r="CG111" s="366">
        <v>488.62</v>
      </c>
      <c r="CH111" s="366">
        <v>89.5</v>
      </c>
      <c r="CI111" s="366">
        <v>29.65</v>
      </c>
      <c r="CJ111" s="366">
        <v>499.57</v>
      </c>
      <c r="CK111" s="366">
        <v>300.47000000000003</v>
      </c>
      <c r="CL111" s="366">
        <v>196.55</v>
      </c>
      <c r="CM111" s="366">
        <v>333.84</v>
      </c>
      <c r="CN111" s="366">
        <v>200.68</v>
      </c>
      <c r="CO111" s="366">
        <v>343.21</v>
      </c>
      <c r="CP111" s="366">
        <v>67.81</v>
      </c>
      <c r="CQ111" s="366">
        <v>67.81</v>
      </c>
      <c r="CR111" s="366">
        <v>295.61</v>
      </c>
      <c r="CS111" s="366">
        <v>295.61</v>
      </c>
      <c r="CT111" s="366">
        <v>305.05</v>
      </c>
      <c r="CU111" s="366">
        <v>297.18</v>
      </c>
      <c r="CV111" s="366">
        <v>299.77999999999997</v>
      </c>
      <c r="CW111" s="366">
        <v>267.89999999999998</v>
      </c>
      <c r="CX111" s="366">
        <v>106.04</v>
      </c>
      <c r="CY111" s="366">
        <v>380.26</v>
      </c>
      <c r="CZ111" s="366">
        <v>401.5</v>
      </c>
      <c r="DA111" s="366">
        <v>374.03</v>
      </c>
      <c r="DB111" s="366">
        <v>247.29</v>
      </c>
      <c r="DC111" s="366">
        <v>247.29</v>
      </c>
      <c r="DD111" s="366">
        <v>300.22000000000003</v>
      </c>
      <c r="DE111" s="366">
        <v>451.66</v>
      </c>
      <c r="DF111" s="366">
        <v>653.04</v>
      </c>
      <c r="DG111" s="366">
        <v>0</v>
      </c>
      <c r="DH111" s="366">
        <v>514.22</v>
      </c>
      <c r="DI111" s="366">
        <v>354.44</v>
      </c>
      <c r="DJ111" s="366">
        <v>417.7</v>
      </c>
      <c r="DK111" s="366">
        <v>193.36</v>
      </c>
      <c r="DL111" s="366">
        <v>215.94</v>
      </c>
      <c r="DM111" s="366">
        <v>301.24</v>
      </c>
      <c r="DN111" s="366">
        <v>369.2</v>
      </c>
      <c r="DO111" s="366">
        <v>219.93</v>
      </c>
      <c r="DP111" s="366">
        <v>261.91000000000003</v>
      </c>
      <c r="DQ111" s="366">
        <v>253.39</v>
      </c>
      <c r="DR111" s="366">
        <v>514.22</v>
      </c>
      <c r="DS111" s="366">
        <v>321.08</v>
      </c>
      <c r="DT111" s="366">
        <v>309.37</v>
      </c>
      <c r="DU111" s="366">
        <v>398.19</v>
      </c>
      <c r="DV111" s="366">
        <v>331.48</v>
      </c>
      <c r="DW111" s="366">
        <v>146.01</v>
      </c>
      <c r="DX111" s="366">
        <v>228.37</v>
      </c>
      <c r="DY111" s="366">
        <v>301.76</v>
      </c>
      <c r="DZ111" s="366">
        <v>309.89</v>
      </c>
      <c r="EA111" s="366">
        <v>326.88</v>
      </c>
      <c r="EB111" s="366">
        <v>295.76</v>
      </c>
      <c r="EC111" s="366">
        <v>239.87</v>
      </c>
      <c r="ED111" s="366">
        <v>384.21</v>
      </c>
      <c r="EE111" s="366">
        <v>395</v>
      </c>
      <c r="EF111" s="366">
        <v>152.13999999999999</v>
      </c>
      <c r="EG111" s="366">
        <v>326.14999999999998</v>
      </c>
      <c r="EH111" s="366">
        <v>326.14999999999998</v>
      </c>
      <c r="EI111" s="366">
        <v>73.02</v>
      </c>
      <c r="EJ111" s="366">
        <v>502.28</v>
      </c>
      <c r="EK111" s="366">
        <v>95.87</v>
      </c>
      <c r="EL111" s="366">
        <v>95.87</v>
      </c>
      <c r="EM111" s="366">
        <v>198.5</v>
      </c>
      <c r="EN111" s="366">
        <v>198.5</v>
      </c>
      <c r="EO111" s="366">
        <v>232.16</v>
      </c>
      <c r="EP111" s="366">
        <v>155.02000000000001</v>
      </c>
      <c r="EQ111" s="366">
        <v>314.54000000000002</v>
      </c>
      <c r="ER111" s="366">
        <v>554.23</v>
      </c>
      <c r="ES111" s="366">
        <v>313.56</v>
      </c>
      <c r="ET111" s="366">
        <v>92.47</v>
      </c>
      <c r="EU111" s="366">
        <v>604.67999999999995</v>
      </c>
      <c r="EV111" s="366">
        <v>313.06</v>
      </c>
      <c r="EW111" s="366">
        <v>73.94</v>
      </c>
      <c r="EX111" s="366">
        <v>290.3</v>
      </c>
      <c r="EY111" s="366">
        <v>290.3</v>
      </c>
      <c r="EZ111" s="366">
        <v>220.98</v>
      </c>
      <c r="FA111" s="366">
        <v>195.67</v>
      </c>
      <c r="FB111" s="366">
        <v>177.66</v>
      </c>
      <c r="FC111" s="366">
        <v>248.51</v>
      </c>
      <c r="FD111" s="366">
        <v>81.64</v>
      </c>
      <c r="FE111" s="366">
        <v>76.849999999999994</v>
      </c>
      <c r="FF111" s="366">
        <v>52.03</v>
      </c>
      <c r="FG111" s="366">
        <v>436.54</v>
      </c>
      <c r="FH111" s="366">
        <v>436.54</v>
      </c>
      <c r="FI111" s="366">
        <v>293.93</v>
      </c>
      <c r="FJ111" s="366">
        <v>299.72000000000003</v>
      </c>
      <c r="FK111" s="366">
        <v>341.3</v>
      </c>
      <c r="FL111" s="366">
        <v>339.49</v>
      </c>
      <c r="FM111" s="366">
        <v>232.16</v>
      </c>
      <c r="FN111" s="366">
        <v>343.81</v>
      </c>
      <c r="FO111" s="366">
        <v>335.25</v>
      </c>
      <c r="FP111" s="366">
        <v>280.86</v>
      </c>
      <c r="FQ111" s="366">
        <v>339.12</v>
      </c>
      <c r="FR111" s="366">
        <v>222.38</v>
      </c>
      <c r="FS111" s="366">
        <v>52.74</v>
      </c>
      <c r="FT111" s="366">
        <v>432.86</v>
      </c>
      <c r="FU111" s="366">
        <v>42.04</v>
      </c>
      <c r="FV111" s="366">
        <v>668.58</v>
      </c>
      <c r="FW111" s="366">
        <v>668.58</v>
      </c>
      <c r="FX111" s="366">
        <v>668.58</v>
      </c>
      <c r="FY111" s="366">
        <v>144.81</v>
      </c>
      <c r="FZ111" s="366">
        <v>66.760000000000005</v>
      </c>
      <c r="GA111" s="366">
        <v>271.95999999999998</v>
      </c>
      <c r="GB111" s="366">
        <v>91.21</v>
      </c>
      <c r="GC111" s="366">
        <v>384.21</v>
      </c>
      <c r="GD111" s="366">
        <v>213.04</v>
      </c>
      <c r="GE111" s="366">
        <v>305.14999999999998</v>
      </c>
      <c r="GF111" s="366">
        <v>55.57</v>
      </c>
      <c r="GG111" s="366">
        <v>55.57</v>
      </c>
      <c r="GH111" s="366">
        <v>320.41000000000003</v>
      </c>
      <c r="GI111" s="366">
        <v>232.32</v>
      </c>
      <c r="GJ111" s="366">
        <v>232.16</v>
      </c>
      <c r="GK111" s="366">
        <v>337.85</v>
      </c>
      <c r="GL111" s="366">
        <v>59.35</v>
      </c>
      <c r="GM111" s="366">
        <v>59.35</v>
      </c>
      <c r="GN111" s="366">
        <v>59.35</v>
      </c>
      <c r="GO111" s="366">
        <v>197.6</v>
      </c>
      <c r="GP111" s="366">
        <v>277.37</v>
      </c>
      <c r="GQ111" s="366">
        <v>383.56</v>
      </c>
      <c r="GR111" s="366">
        <v>260.39</v>
      </c>
      <c r="GS111" s="366">
        <v>126.93</v>
      </c>
      <c r="GT111" s="366">
        <v>326.14999999999998</v>
      </c>
      <c r="GU111" s="366">
        <v>148.24</v>
      </c>
      <c r="GV111" s="366">
        <v>509.47</v>
      </c>
      <c r="GW111" s="366">
        <v>35.33</v>
      </c>
      <c r="GX111" s="366">
        <v>322.72000000000003</v>
      </c>
      <c r="GY111" s="366">
        <v>50.12</v>
      </c>
      <c r="GZ111" s="366">
        <v>81.36</v>
      </c>
      <c r="HA111" s="366">
        <v>340.66</v>
      </c>
      <c r="HB111" s="366">
        <v>340.66</v>
      </c>
      <c r="HC111" s="366">
        <v>340.66</v>
      </c>
      <c r="HD111" s="366">
        <v>346.18</v>
      </c>
      <c r="HE111" s="366">
        <v>192.35</v>
      </c>
      <c r="HF111" s="366">
        <v>148.63999999999999</v>
      </c>
      <c r="HG111" s="366">
        <v>276.29000000000002</v>
      </c>
      <c r="HH111" s="366">
        <v>276.29000000000002</v>
      </c>
      <c r="HI111" s="366">
        <v>276.29000000000002</v>
      </c>
      <c r="HJ111" s="366">
        <v>34.700000000000003</v>
      </c>
      <c r="HK111" s="366">
        <v>283.51</v>
      </c>
      <c r="HL111" s="366">
        <v>189.83</v>
      </c>
      <c r="HM111" s="366">
        <v>229.44</v>
      </c>
      <c r="HN111" s="366">
        <v>232.16</v>
      </c>
      <c r="HO111" s="366">
        <v>637.88</v>
      </c>
      <c r="HP111" s="366">
        <v>82.08</v>
      </c>
      <c r="HQ111" s="366">
        <v>668.58</v>
      </c>
      <c r="HR111" s="366">
        <v>489.89</v>
      </c>
      <c r="HS111" s="366">
        <v>228.41</v>
      </c>
      <c r="HT111" s="366">
        <v>110.73</v>
      </c>
      <c r="HU111" s="366">
        <v>77.98</v>
      </c>
      <c r="HV111" s="366">
        <v>96.3</v>
      </c>
    </row>
    <row r="112" spans="1:230">
      <c r="A112" s="366" t="s">
        <v>133</v>
      </c>
      <c r="B112" s="366">
        <v>1067.05</v>
      </c>
      <c r="C112" s="366">
        <v>200.56</v>
      </c>
      <c r="D112" s="366">
        <v>396.65</v>
      </c>
      <c r="E112" s="366">
        <v>396.65</v>
      </c>
      <c r="F112" s="366">
        <v>1130.95</v>
      </c>
      <c r="G112" s="366">
        <v>867.46</v>
      </c>
      <c r="H112" s="366">
        <v>440.27</v>
      </c>
      <c r="I112" s="366">
        <v>576.78</v>
      </c>
      <c r="J112" s="366">
        <v>464.05</v>
      </c>
      <c r="K112" s="366">
        <v>464.05</v>
      </c>
      <c r="L112" s="366">
        <v>378.74</v>
      </c>
      <c r="M112" s="366">
        <v>226.18</v>
      </c>
      <c r="N112" s="366">
        <v>78.239999999999995</v>
      </c>
      <c r="O112" s="366">
        <v>541.61</v>
      </c>
      <c r="P112" s="366">
        <v>541.61</v>
      </c>
      <c r="Q112" s="366">
        <v>541.61</v>
      </c>
      <c r="R112" s="366">
        <v>541.61</v>
      </c>
      <c r="S112" s="366">
        <v>541.61</v>
      </c>
      <c r="T112" s="366">
        <v>651.28</v>
      </c>
      <c r="U112" s="366">
        <v>975.5</v>
      </c>
      <c r="V112" s="366">
        <v>549.95000000000005</v>
      </c>
      <c r="W112" s="366">
        <v>677.64</v>
      </c>
      <c r="X112" s="366">
        <v>677.64</v>
      </c>
      <c r="Y112" s="366">
        <v>677.64</v>
      </c>
      <c r="Z112" s="366">
        <v>263.08</v>
      </c>
      <c r="AA112" s="366">
        <v>861.63</v>
      </c>
      <c r="AB112" s="366">
        <v>711.02</v>
      </c>
      <c r="AC112" s="366">
        <v>713.48</v>
      </c>
      <c r="AD112" s="366">
        <v>713.48</v>
      </c>
      <c r="AE112" s="366">
        <v>447.55</v>
      </c>
      <c r="AF112" s="366">
        <v>881.2</v>
      </c>
      <c r="AG112" s="366">
        <v>679.16</v>
      </c>
      <c r="AH112" s="366">
        <v>530.73</v>
      </c>
      <c r="AI112" s="366">
        <v>530.73</v>
      </c>
      <c r="AJ112" s="366">
        <v>530.73</v>
      </c>
      <c r="AK112" s="366">
        <v>245.84</v>
      </c>
      <c r="AL112" s="366">
        <v>245.84</v>
      </c>
      <c r="AM112" s="366">
        <v>713.74</v>
      </c>
      <c r="AN112" s="366">
        <v>500.78</v>
      </c>
      <c r="AO112" s="366">
        <v>884.07</v>
      </c>
      <c r="AP112" s="366">
        <v>640</v>
      </c>
      <c r="AQ112" s="366">
        <v>1087.49</v>
      </c>
      <c r="AR112" s="366">
        <v>526.82000000000005</v>
      </c>
      <c r="AS112" s="366">
        <v>384.63</v>
      </c>
      <c r="AT112" s="366">
        <v>384.63</v>
      </c>
      <c r="AU112" s="366">
        <v>464.81</v>
      </c>
      <c r="AV112" s="366">
        <v>1006.55</v>
      </c>
      <c r="AW112" s="366">
        <v>508.37</v>
      </c>
      <c r="AX112" s="366">
        <v>597.38</v>
      </c>
      <c r="AY112" s="366">
        <v>43.69</v>
      </c>
      <c r="AZ112" s="366">
        <v>249.74</v>
      </c>
      <c r="BA112" s="366">
        <v>927.08</v>
      </c>
      <c r="BB112" s="366">
        <v>39.64</v>
      </c>
      <c r="BC112" s="366">
        <v>869.14</v>
      </c>
      <c r="BD112" s="366">
        <v>778.91</v>
      </c>
      <c r="BE112" s="366">
        <v>554.01</v>
      </c>
      <c r="BF112" s="366">
        <v>707.99</v>
      </c>
      <c r="BG112" s="366">
        <v>259.60000000000002</v>
      </c>
      <c r="BH112" s="366">
        <v>541.61</v>
      </c>
      <c r="BI112" s="366">
        <v>526.85</v>
      </c>
      <c r="BJ112" s="366">
        <v>352.37</v>
      </c>
      <c r="BK112" s="366">
        <v>394.2</v>
      </c>
      <c r="BL112" s="366">
        <v>403.65</v>
      </c>
      <c r="BM112" s="366">
        <v>412.86</v>
      </c>
      <c r="BN112" s="366">
        <v>901.82</v>
      </c>
      <c r="BO112" s="366">
        <v>436.4</v>
      </c>
      <c r="BP112" s="366">
        <v>402.26</v>
      </c>
      <c r="BQ112" s="366">
        <v>556.08000000000004</v>
      </c>
      <c r="BR112" s="366">
        <v>556.08000000000004</v>
      </c>
      <c r="BS112" s="366">
        <v>224.37</v>
      </c>
      <c r="BT112" s="366">
        <v>511.28</v>
      </c>
      <c r="BU112" s="366">
        <v>691.52</v>
      </c>
      <c r="BV112" s="366">
        <v>711.14</v>
      </c>
      <c r="BW112" s="366">
        <v>524.1</v>
      </c>
      <c r="BX112" s="366">
        <v>283.27999999999997</v>
      </c>
      <c r="BY112" s="366">
        <v>577.42999999999995</v>
      </c>
      <c r="BZ112" s="366">
        <v>577.42999999999995</v>
      </c>
      <c r="CA112" s="366">
        <v>540.30999999999995</v>
      </c>
      <c r="CB112" s="366">
        <v>293.51</v>
      </c>
      <c r="CC112" s="366">
        <v>568.54999999999995</v>
      </c>
      <c r="CD112" s="366">
        <v>570.95000000000005</v>
      </c>
      <c r="CE112" s="366">
        <v>377.43</v>
      </c>
      <c r="CF112" s="366">
        <v>879.93</v>
      </c>
      <c r="CG112" s="366">
        <v>879.93</v>
      </c>
      <c r="CH112" s="366">
        <v>571.08000000000004</v>
      </c>
      <c r="CI112" s="366">
        <v>484.57</v>
      </c>
      <c r="CJ112" s="366">
        <v>890.88</v>
      </c>
      <c r="CK112" s="366">
        <v>582.52</v>
      </c>
      <c r="CL112" s="366">
        <v>478.6</v>
      </c>
      <c r="CM112" s="366">
        <v>815.42</v>
      </c>
      <c r="CN112" s="366">
        <v>368.04</v>
      </c>
      <c r="CO112" s="366">
        <v>525.42999999999995</v>
      </c>
      <c r="CP112" s="366">
        <v>549.39</v>
      </c>
      <c r="CQ112" s="366">
        <v>549.39</v>
      </c>
      <c r="CR112" s="366">
        <v>477.83</v>
      </c>
      <c r="CS112" s="366">
        <v>477.83</v>
      </c>
      <c r="CT112" s="366">
        <v>487.27</v>
      </c>
      <c r="CU112" s="366">
        <v>479.4</v>
      </c>
      <c r="CV112" s="366">
        <v>482</v>
      </c>
      <c r="CW112" s="366">
        <v>549.95000000000005</v>
      </c>
      <c r="CX112" s="366">
        <v>587.62</v>
      </c>
      <c r="CY112" s="366">
        <v>861.84</v>
      </c>
      <c r="CZ112" s="366">
        <v>883.08</v>
      </c>
      <c r="DA112" s="366">
        <v>140.19</v>
      </c>
      <c r="DB112" s="366">
        <v>323.95999999999998</v>
      </c>
      <c r="DC112" s="366">
        <v>323.95999999999998</v>
      </c>
      <c r="DD112" s="366">
        <v>664.8</v>
      </c>
      <c r="DE112" s="366">
        <v>62.56</v>
      </c>
      <c r="DF112" s="366">
        <v>1115.4100000000001</v>
      </c>
      <c r="DG112" s="366">
        <v>514.22</v>
      </c>
      <c r="DH112" s="366">
        <v>0</v>
      </c>
      <c r="DI112" s="366">
        <v>745.75</v>
      </c>
      <c r="DJ112" s="366">
        <v>899.28</v>
      </c>
      <c r="DK112" s="366">
        <v>320.86</v>
      </c>
      <c r="DL112" s="366">
        <v>697.52</v>
      </c>
      <c r="DM112" s="366">
        <v>212.98</v>
      </c>
      <c r="DN112" s="366">
        <v>760.51</v>
      </c>
      <c r="DO112" s="366">
        <v>298.86</v>
      </c>
      <c r="DP112" s="366">
        <v>626.49</v>
      </c>
      <c r="DQ112" s="366">
        <v>535.44000000000005</v>
      </c>
      <c r="DR112" s="366">
        <v>0</v>
      </c>
      <c r="DS112" s="366">
        <v>503.3</v>
      </c>
      <c r="DT112" s="366">
        <v>491.59</v>
      </c>
      <c r="DU112" s="366">
        <v>170.53</v>
      </c>
      <c r="DV112" s="366">
        <v>237.24</v>
      </c>
      <c r="DW112" s="366">
        <v>368.21</v>
      </c>
      <c r="DX112" s="366">
        <v>510.42</v>
      </c>
      <c r="DY112" s="366">
        <v>583.80999999999995</v>
      </c>
      <c r="DZ112" s="366">
        <v>674.47</v>
      </c>
      <c r="EA112" s="366">
        <v>509.1</v>
      </c>
      <c r="EB112" s="366">
        <v>577.80999999999995</v>
      </c>
      <c r="EC112" s="366">
        <v>422.09</v>
      </c>
      <c r="ED112" s="366">
        <v>775.52</v>
      </c>
      <c r="EE112" s="366">
        <v>786.31</v>
      </c>
      <c r="EF112" s="366">
        <v>633.72</v>
      </c>
      <c r="EG112" s="366">
        <v>508.37</v>
      </c>
      <c r="EH112" s="366">
        <v>508.37</v>
      </c>
      <c r="EI112" s="366">
        <v>554.6</v>
      </c>
      <c r="EJ112" s="366">
        <v>546.41999999999996</v>
      </c>
      <c r="EK112" s="366">
        <v>433.03</v>
      </c>
      <c r="EL112" s="366">
        <v>433.03</v>
      </c>
      <c r="EM112" s="366">
        <v>430.08</v>
      </c>
      <c r="EN112" s="366">
        <v>430.08</v>
      </c>
      <c r="EO112" s="366">
        <v>713.74</v>
      </c>
      <c r="EP112" s="366">
        <v>636.6</v>
      </c>
      <c r="EQ112" s="366">
        <v>496.76</v>
      </c>
      <c r="ER112" s="366">
        <v>945.54</v>
      </c>
      <c r="ES112" s="366">
        <v>200.66</v>
      </c>
      <c r="ET112" s="366">
        <v>574.04999999999995</v>
      </c>
      <c r="EU112" s="366">
        <v>1067.05</v>
      </c>
      <c r="EV112" s="366">
        <v>677.64</v>
      </c>
      <c r="EW112" s="366">
        <v>555.52</v>
      </c>
      <c r="EX112" s="366">
        <v>334.44</v>
      </c>
      <c r="EY112" s="366">
        <v>334.44</v>
      </c>
      <c r="EZ112" s="366">
        <v>532.36</v>
      </c>
      <c r="FA112" s="366">
        <v>451.9</v>
      </c>
      <c r="FB112" s="366">
        <v>336.56</v>
      </c>
      <c r="FC112" s="366">
        <v>530.55999999999995</v>
      </c>
      <c r="FD112" s="366">
        <v>466.8</v>
      </c>
      <c r="FE112" s="366">
        <v>558.42999999999995</v>
      </c>
      <c r="FF112" s="366">
        <v>533.61</v>
      </c>
      <c r="FG112" s="366">
        <v>918.12</v>
      </c>
      <c r="FH112" s="366">
        <v>918.12</v>
      </c>
      <c r="FI112" s="366">
        <v>658.51</v>
      </c>
      <c r="FJ112" s="366">
        <v>664.3</v>
      </c>
      <c r="FK112" s="366">
        <v>228.4</v>
      </c>
      <c r="FL112" s="366">
        <v>226.59</v>
      </c>
      <c r="FM112" s="366">
        <v>713.74</v>
      </c>
      <c r="FN112" s="366">
        <v>708.39</v>
      </c>
      <c r="FO112" s="366">
        <v>517.47</v>
      </c>
      <c r="FP112" s="366">
        <v>562.91</v>
      </c>
      <c r="FQ112" s="366">
        <v>521.34</v>
      </c>
      <c r="FR112" s="366">
        <v>396.08</v>
      </c>
      <c r="FS112" s="366">
        <v>463.68</v>
      </c>
      <c r="FT112" s="366">
        <v>914.44</v>
      </c>
      <c r="FU112" s="366">
        <v>472.18</v>
      </c>
      <c r="FV112" s="366">
        <v>1130.95</v>
      </c>
      <c r="FW112" s="366">
        <v>1130.95</v>
      </c>
      <c r="FX112" s="366">
        <v>1130.95</v>
      </c>
      <c r="FY112" s="366">
        <v>460.15</v>
      </c>
      <c r="FZ112" s="366">
        <v>548.34</v>
      </c>
      <c r="GA112" s="366">
        <v>554.01</v>
      </c>
      <c r="GB112" s="366">
        <v>502.15</v>
      </c>
      <c r="GC112" s="366">
        <v>775.52</v>
      </c>
      <c r="GD112" s="366">
        <v>301.18</v>
      </c>
      <c r="GE112" s="366">
        <v>487.37</v>
      </c>
      <c r="GF112" s="366">
        <v>458.65</v>
      </c>
      <c r="GG112" s="366">
        <v>458.65</v>
      </c>
      <c r="GH112" s="366">
        <v>602.46</v>
      </c>
      <c r="GI112" s="366">
        <v>713.9</v>
      </c>
      <c r="GJ112" s="366">
        <v>713.74</v>
      </c>
      <c r="GK112" s="366">
        <v>224.95</v>
      </c>
      <c r="GL112" s="366">
        <v>540.92999999999995</v>
      </c>
      <c r="GM112" s="366">
        <v>540.92999999999995</v>
      </c>
      <c r="GN112" s="366">
        <v>540.92999999999995</v>
      </c>
      <c r="GO112" s="366">
        <v>679.18</v>
      </c>
      <c r="GP112" s="366">
        <v>559.41999999999996</v>
      </c>
      <c r="GQ112" s="366">
        <v>427.7</v>
      </c>
      <c r="GR112" s="366">
        <v>741.97</v>
      </c>
      <c r="GS112" s="366">
        <v>608.51</v>
      </c>
      <c r="GT112" s="366">
        <v>508.37</v>
      </c>
      <c r="GU112" s="366">
        <v>465.72</v>
      </c>
      <c r="GV112" s="366">
        <v>553.61</v>
      </c>
      <c r="GW112" s="366">
        <v>516.91</v>
      </c>
      <c r="GX112" s="366">
        <v>504.94</v>
      </c>
      <c r="GY112" s="366">
        <v>531.70000000000005</v>
      </c>
      <c r="GZ112" s="366">
        <v>466.52</v>
      </c>
      <c r="HA112" s="366">
        <v>522.88</v>
      </c>
      <c r="HB112" s="366">
        <v>522.88</v>
      </c>
      <c r="HC112" s="366">
        <v>522.88</v>
      </c>
      <c r="HD112" s="366">
        <v>710.76</v>
      </c>
      <c r="HE112" s="366">
        <v>423.93</v>
      </c>
      <c r="HF112" s="366">
        <v>420.8</v>
      </c>
      <c r="HG112" s="366">
        <v>360.94</v>
      </c>
      <c r="HH112" s="366">
        <v>360.94</v>
      </c>
      <c r="HI112" s="366">
        <v>360.94</v>
      </c>
      <c r="HJ112" s="366">
        <v>479.52</v>
      </c>
      <c r="HK112" s="366">
        <v>580.86</v>
      </c>
      <c r="HL112" s="366">
        <v>574.99</v>
      </c>
      <c r="HM112" s="366">
        <v>711.02</v>
      </c>
      <c r="HN112" s="366">
        <v>713.74</v>
      </c>
      <c r="HO112" s="366">
        <v>1035.21</v>
      </c>
      <c r="HP112" s="366">
        <v>467.24</v>
      </c>
      <c r="HQ112" s="366">
        <v>1130.95</v>
      </c>
      <c r="HR112" s="366">
        <v>881.2</v>
      </c>
      <c r="HS112" s="366">
        <v>709.99</v>
      </c>
      <c r="HT112" s="366">
        <v>592.30999999999995</v>
      </c>
      <c r="HU112" s="366">
        <v>559.55999999999995</v>
      </c>
      <c r="HV112" s="366">
        <v>577.88</v>
      </c>
    </row>
    <row r="113" spans="1:230">
      <c r="A113" s="366" t="s">
        <v>134</v>
      </c>
      <c r="B113" s="366">
        <v>321.3</v>
      </c>
      <c r="C113" s="366">
        <v>545.19000000000005</v>
      </c>
      <c r="D113" s="366">
        <v>349.1</v>
      </c>
      <c r="E113" s="366">
        <v>349.1</v>
      </c>
      <c r="F113" s="366">
        <v>385.2</v>
      </c>
      <c r="G113" s="366">
        <v>121.71</v>
      </c>
      <c r="H113" s="366">
        <v>305.48</v>
      </c>
      <c r="I113" s="366">
        <v>259.24</v>
      </c>
      <c r="J113" s="366">
        <v>281.7</v>
      </c>
      <c r="K113" s="366">
        <v>281.7</v>
      </c>
      <c r="L113" s="366">
        <v>367.01</v>
      </c>
      <c r="M113" s="366">
        <v>570.61</v>
      </c>
      <c r="N113" s="366">
        <v>667.51</v>
      </c>
      <c r="O113" s="366">
        <v>510.89</v>
      </c>
      <c r="P113" s="366">
        <v>510.89</v>
      </c>
      <c r="Q113" s="366">
        <v>510.89</v>
      </c>
      <c r="R113" s="366">
        <v>510.89</v>
      </c>
      <c r="S113" s="366">
        <v>510.89</v>
      </c>
      <c r="T113" s="366">
        <v>184.74</v>
      </c>
      <c r="U113" s="366">
        <v>229.75</v>
      </c>
      <c r="V113" s="366">
        <v>600.28</v>
      </c>
      <c r="W113" s="366">
        <v>170.41</v>
      </c>
      <c r="X113" s="366">
        <v>170.41</v>
      </c>
      <c r="Y113" s="366">
        <v>170.41</v>
      </c>
      <c r="Z113" s="366">
        <v>638.02</v>
      </c>
      <c r="AA113" s="366">
        <v>115.88</v>
      </c>
      <c r="AB113" s="366">
        <v>154.07</v>
      </c>
      <c r="AC113" s="366">
        <v>122.54</v>
      </c>
      <c r="AD113" s="366">
        <v>122.54</v>
      </c>
      <c r="AE113" s="366">
        <v>400</v>
      </c>
      <c r="AF113" s="366">
        <v>135.44999999999999</v>
      </c>
      <c r="AG113" s="366">
        <v>201.93</v>
      </c>
      <c r="AH113" s="366">
        <v>305.29000000000002</v>
      </c>
      <c r="AI113" s="366">
        <v>305.29000000000002</v>
      </c>
      <c r="AJ113" s="366">
        <v>305.29000000000002</v>
      </c>
      <c r="AK113" s="366">
        <v>660.22</v>
      </c>
      <c r="AL113" s="366">
        <v>660.22</v>
      </c>
      <c r="AM113" s="366">
        <v>156.79</v>
      </c>
      <c r="AN113" s="366">
        <v>470.06</v>
      </c>
      <c r="AO113" s="366">
        <v>138.32</v>
      </c>
      <c r="AP113" s="366">
        <v>203.86</v>
      </c>
      <c r="AQ113" s="366">
        <v>341.74</v>
      </c>
      <c r="AR113" s="366">
        <v>321.44</v>
      </c>
      <c r="AS113" s="366">
        <v>442.46</v>
      </c>
      <c r="AT113" s="366">
        <v>442.46</v>
      </c>
      <c r="AU113" s="366">
        <v>515.14</v>
      </c>
      <c r="AV113" s="366">
        <v>260.8</v>
      </c>
      <c r="AW113" s="366">
        <v>244.24</v>
      </c>
      <c r="AX113" s="366">
        <v>246.9</v>
      </c>
      <c r="AY113" s="366">
        <v>703.22</v>
      </c>
      <c r="AZ113" s="366">
        <v>513.80999999999995</v>
      </c>
      <c r="BA113" s="366">
        <v>314.93</v>
      </c>
      <c r="BB113" s="366">
        <v>706.11</v>
      </c>
      <c r="BC113" s="366">
        <v>234.03</v>
      </c>
      <c r="BD113" s="366">
        <v>187.97</v>
      </c>
      <c r="BE113" s="366">
        <v>604.34</v>
      </c>
      <c r="BF113" s="366">
        <v>151.04</v>
      </c>
      <c r="BG113" s="366">
        <v>645.57000000000005</v>
      </c>
      <c r="BH113" s="366">
        <v>510.89</v>
      </c>
      <c r="BI113" s="366">
        <v>321.47000000000003</v>
      </c>
      <c r="BJ113" s="366">
        <v>583.69000000000005</v>
      </c>
      <c r="BK113" s="366">
        <v>581.59</v>
      </c>
      <c r="BL113" s="366">
        <v>356.1</v>
      </c>
      <c r="BM113" s="366">
        <v>332.89</v>
      </c>
      <c r="BN113" s="366">
        <v>156.07</v>
      </c>
      <c r="BO113" s="366">
        <v>623.79</v>
      </c>
      <c r="BP113" s="366">
        <v>589.65</v>
      </c>
      <c r="BQ113" s="366">
        <v>279.94</v>
      </c>
      <c r="BR113" s="366">
        <v>279.94</v>
      </c>
      <c r="BS113" s="366">
        <v>521.38</v>
      </c>
      <c r="BT113" s="366">
        <v>313.39</v>
      </c>
      <c r="BU113" s="366">
        <v>144.5</v>
      </c>
      <c r="BV113" s="366">
        <v>154.19</v>
      </c>
      <c r="BW113" s="366">
        <v>574.42999999999995</v>
      </c>
      <c r="BX113" s="366">
        <v>462.47</v>
      </c>
      <c r="BY113" s="366">
        <v>627.76</v>
      </c>
      <c r="BZ113" s="366">
        <v>627.76</v>
      </c>
      <c r="CA113" s="366">
        <v>205.44</v>
      </c>
      <c r="CB113" s="366">
        <v>480.9</v>
      </c>
      <c r="CC113" s="366">
        <v>275.73</v>
      </c>
      <c r="CD113" s="366">
        <v>289.20999999999998</v>
      </c>
      <c r="CE113" s="366">
        <v>564.82000000000005</v>
      </c>
      <c r="CF113" s="366">
        <v>134.18</v>
      </c>
      <c r="CG113" s="366">
        <v>134.18</v>
      </c>
      <c r="CH113" s="366">
        <v>264.94</v>
      </c>
      <c r="CI113" s="366">
        <v>384.09</v>
      </c>
      <c r="CJ113" s="366">
        <v>145.13</v>
      </c>
      <c r="CK113" s="366">
        <v>632.85</v>
      </c>
      <c r="CL113" s="366">
        <v>528.92999999999995</v>
      </c>
      <c r="CM113" s="366">
        <v>224.48</v>
      </c>
      <c r="CN113" s="366">
        <v>533.05999999999995</v>
      </c>
      <c r="CO113" s="366">
        <v>320.05</v>
      </c>
      <c r="CP113" s="366">
        <v>286.63</v>
      </c>
      <c r="CQ113" s="366">
        <v>286.63</v>
      </c>
      <c r="CR113" s="366">
        <v>271.37</v>
      </c>
      <c r="CS113" s="366">
        <v>271.37</v>
      </c>
      <c r="CT113" s="366">
        <v>261.93</v>
      </c>
      <c r="CU113" s="366">
        <v>269.8</v>
      </c>
      <c r="CV113" s="366">
        <v>263.75</v>
      </c>
      <c r="CW113" s="366">
        <v>600.28</v>
      </c>
      <c r="CX113" s="366">
        <v>263.44</v>
      </c>
      <c r="CY113" s="366">
        <v>249.69</v>
      </c>
      <c r="CZ113" s="366">
        <v>220.09</v>
      </c>
      <c r="DA113" s="366">
        <v>605.55999999999995</v>
      </c>
      <c r="DB113" s="366">
        <v>579.66999999999996</v>
      </c>
      <c r="DC113" s="366">
        <v>579.66999999999996</v>
      </c>
      <c r="DD113" s="366">
        <v>82.26</v>
      </c>
      <c r="DE113" s="366">
        <v>683.19</v>
      </c>
      <c r="DF113" s="366">
        <v>369.66</v>
      </c>
      <c r="DG113" s="366">
        <v>354.44</v>
      </c>
      <c r="DH113" s="366">
        <v>745.75</v>
      </c>
      <c r="DI113" s="366">
        <v>0</v>
      </c>
      <c r="DJ113" s="366">
        <v>203.89</v>
      </c>
      <c r="DK113" s="366">
        <v>424.89</v>
      </c>
      <c r="DL113" s="366">
        <v>140.16999999999999</v>
      </c>
      <c r="DM113" s="366">
        <v>532.77</v>
      </c>
      <c r="DN113" s="366">
        <v>46.57</v>
      </c>
      <c r="DO113" s="366">
        <v>451.46</v>
      </c>
      <c r="DP113" s="366">
        <v>119.26</v>
      </c>
      <c r="DQ113" s="366">
        <v>585.77</v>
      </c>
      <c r="DR113" s="366">
        <v>745.75</v>
      </c>
      <c r="DS113" s="366">
        <v>320.95</v>
      </c>
      <c r="DT113" s="366">
        <v>309.24</v>
      </c>
      <c r="DU113" s="366">
        <v>635.9</v>
      </c>
      <c r="DV113" s="366">
        <v>663.86</v>
      </c>
      <c r="DW113" s="366">
        <v>426.04</v>
      </c>
      <c r="DX113" s="366">
        <v>560.75</v>
      </c>
      <c r="DY113" s="366">
        <v>634.14</v>
      </c>
      <c r="DZ113" s="366">
        <v>71.28</v>
      </c>
      <c r="EA113" s="366">
        <v>303.72000000000003</v>
      </c>
      <c r="EB113" s="366">
        <v>628.14</v>
      </c>
      <c r="EC113" s="366">
        <v>323.66000000000003</v>
      </c>
      <c r="ED113" s="366">
        <v>29.77</v>
      </c>
      <c r="EE113" s="366">
        <v>40.56</v>
      </c>
      <c r="EF113" s="366">
        <v>210.14</v>
      </c>
      <c r="EG113" s="366">
        <v>244.24</v>
      </c>
      <c r="EH113" s="366">
        <v>244.24</v>
      </c>
      <c r="EI113" s="366">
        <v>289.68</v>
      </c>
      <c r="EJ113" s="366">
        <v>733.81</v>
      </c>
      <c r="EK113" s="366">
        <v>436.77</v>
      </c>
      <c r="EL113" s="366">
        <v>436.77</v>
      </c>
      <c r="EM113" s="366">
        <v>530.88</v>
      </c>
      <c r="EN113" s="366">
        <v>530.88</v>
      </c>
      <c r="EO113" s="366">
        <v>156.79</v>
      </c>
      <c r="EP113" s="366">
        <v>207.68</v>
      </c>
      <c r="EQ113" s="366">
        <v>252.44</v>
      </c>
      <c r="ER113" s="366">
        <v>199.79</v>
      </c>
      <c r="ES113" s="366">
        <v>545.09</v>
      </c>
      <c r="ET113" s="366">
        <v>261.97000000000003</v>
      </c>
      <c r="EU113" s="366">
        <v>321.3</v>
      </c>
      <c r="EV113" s="366">
        <v>170.41</v>
      </c>
      <c r="EW113" s="366">
        <v>289.06</v>
      </c>
      <c r="EX113" s="366">
        <v>521.83000000000004</v>
      </c>
      <c r="EY113" s="366">
        <v>521.83000000000004</v>
      </c>
      <c r="EZ113" s="366">
        <v>575.41999999999996</v>
      </c>
      <c r="FA113" s="366">
        <v>528.04999999999995</v>
      </c>
      <c r="FB113" s="366">
        <v>409.19</v>
      </c>
      <c r="FC113" s="366">
        <v>580.89</v>
      </c>
      <c r="FD113" s="366">
        <v>436.08</v>
      </c>
      <c r="FE113" s="366">
        <v>293.51</v>
      </c>
      <c r="FF113" s="366">
        <v>371.63</v>
      </c>
      <c r="FG113" s="366">
        <v>305.97000000000003</v>
      </c>
      <c r="FH113" s="366">
        <v>305.97000000000003</v>
      </c>
      <c r="FI113" s="366">
        <v>181.28</v>
      </c>
      <c r="FJ113" s="366">
        <v>187.07</v>
      </c>
      <c r="FK113" s="366">
        <v>572.83000000000004</v>
      </c>
      <c r="FL113" s="366">
        <v>571.02</v>
      </c>
      <c r="FM113" s="366">
        <v>156.79</v>
      </c>
      <c r="FN113" s="366">
        <v>201.16</v>
      </c>
      <c r="FO113" s="366">
        <v>312.08999999999997</v>
      </c>
      <c r="FP113" s="366">
        <v>613.24</v>
      </c>
      <c r="FQ113" s="366">
        <v>315.95999999999998</v>
      </c>
      <c r="FR113" s="366">
        <v>384.35</v>
      </c>
      <c r="FS113" s="366">
        <v>372.34</v>
      </c>
      <c r="FT113" s="366">
        <v>188.73</v>
      </c>
      <c r="FU113" s="366">
        <v>396.48</v>
      </c>
      <c r="FV113" s="366">
        <v>385.2</v>
      </c>
      <c r="FW113" s="366">
        <v>385.2</v>
      </c>
      <c r="FX113" s="366">
        <v>385.2</v>
      </c>
      <c r="FY113" s="366">
        <v>477.19</v>
      </c>
      <c r="FZ113" s="366">
        <v>316.38</v>
      </c>
      <c r="GA113" s="366">
        <v>604.34</v>
      </c>
      <c r="GB113" s="366">
        <v>410.81</v>
      </c>
      <c r="GC113" s="366">
        <v>29.77</v>
      </c>
      <c r="GD113" s="366">
        <v>444.57</v>
      </c>
      <c r="GE113" s="366">
        <v>261.83</v>
      </c>
      <c r="GF113" s="366">
        <v>410.01</v>
      </c>
      <c r="GG113" s="366">
        <v>410.01</v>
      </c>
      <c r="GH113" s="366">
        <v>652.79</v>
      </c>
      <c r="GI113" s="366">
        <v>156.94999999999999</v>
      </c>
      <c r="GJ113" s="366">
        <v>156.79</v>
      </c>
      <c r="GK113" s="366">
        <v>569.38</v>
      </c>
      <c r="GL113" s="366">
        <v>303.35000000000002</v>
      </c>
      <c r="GM113" s="366">
        <v>303.35000000000002</v>
      </c>
      <c r="GN113" s="366">
        <v>303.35000000000002</v>
      </c>
      <c r="GO113" s="366">
        <v>164.68</v>
      </c>
      <c r="GP113" s="366">
        <v>609.75</v>
      </c>
      <c r="GQ113" s="366">
        <v>615.09</v>
      </c>
      <c r="GR113" s="366">
        <v>94.05</v>
      </c>
      <c r="GS113" s="366">
        <v>227.51</v>
      </c>
      <c r="GT113" s="366">
        <v>244.24</v>
      </c>
      <c r="GU113" s="366">
        <v>418.17</v>
      </c>
      <c r="GV113" s="366">
        <v>741</v>
      </c>
      <c r="GW113" s="366">
        <v>327.81</v>
      </c>
      <c r="GX113" s="366">
        <v>240.81</v>
      </c>
      <c r="GY113" s="366">
        <v>304.32</v>
      </c>
      <c r="GZ113" s="366">
        <v>435.8</v>
      </c>
      <c r="HA113" s="366">
        <v>317.5</v>
      </c>
      <c r="HB113" s="366">
        <v>317.5</v>
      </c>
      <c r="HC113" s="366">
        <v>317.5</v>
      </c>
      <c r="HD113" s="366">
        <v>34.99</v>
      </c>
      <c r="HE113" s="366">
        <v>524.73</v>
      </c>
      <c r="HF113" s="366">
        <v>481.02</v>
      </c>
      <c r="HG113" s="366">
        <v>608.66999999999996</v>
      </c>
      <c r="HH113" s="366">
        <v>608.66999999999996</v>
      </c>
      <c r="HI113" s="366">
        <v>608.66999999999996</v>
      </c>
      <c r="HJ113" s="366">
        <v>389.14</v>
      </c>
      <c r="HK113" s="366">
        <v>170.86</v>
      </c>
      <c r="HL113" s="366">
        <v>544.27</v>
      </c>
      <c r="HM113" s="366">
        <v>154.07</v>
      </c>
      <c r="HN113" s="366">
        <v>156.79</v>
      </c>
      <c r="HO113" s="366">
        <v>289.45999999999998</v>
      </c>
      <c r="HP113" s="366">
        <v>436.52</v>
      </c>
      <c r="HQ113" s="366">
        <v>385.2</v>
      </c>
      <c r="HR113" s="366">
        <v>135.44999999999999</v>
      </c>
      <c r="HS113" s="366">
        <v>153.04</v>
      </c>
      <c r="HT113" s="366">
        <v>256.74</v>
      </c>
      <c r="HU113" s="366">
        <v>283.42</v>
      </c>
      <c r="HV113" s="366">
        <v>307.89</v>
      </c>
    </row>
    <row r="114" spans="1:230">
      <c r="A114" s="366" t="s">
        <v>135</v>
      </c>
      <c r="B114" s="366">
        <v>270.22000000000003</v>
      </c>
      <c r="C114" s="366">
        <v>698.72</v>
      </c>
      <c r="D114" s="366">
        <v>552.99</v>
      </c>
      <c r="E114" s="366">
        <v>552.99</v>
      </c>
      <c r="F114" s="366">
        <v>334.12</v>
      </c>
      <c r="G114" s="366">
        <v>82.18</v>
      </c>
      <c r="H114" s="366">
        <v>509.37</v>
      </c>
      <c r="I114" s="366">
        <v>322.5</v>
      </c>
      <c r="J114" s="366">
        <v>485.59</v>
      </c>
      <c r="K114" s="366">
        <v>485.59</v>
      </c>
      <c r="L114" s="366">
        <v>570.9</v>
      </c>
      <c r="M114" s="366">
        <v>724.14</v>
      </c>
      <c r="N114" s="366">
        <v>821.04</v>
      </c>
      <c r="O114" s="366">
        <v>574.15</v>
      </c>
      <c r="P114" s="366">
        <v>574.15</v>
      </c>
      <c r="Q114" s="366">
        <v>574.15</v>
      </c>
      <c r="R114" s="366">
        <v>574.15</v>
      </c>
      <c r="S114" s="366">
        <v>574.15</v>
      </c>
      <c r="T114" s="366">
        <v>248</v>
      </c>
      <c r="U114" s="366">
        <v>201.88</v>
      </c>
      <c r="V114" s="366">
        <v>663.54</v>
      </c>
      <c r="W114" s="366">
        <v>374.3</v>
      </c>
      <c r="X114" s="366">
        <v>374.3</v>
      </c>
      <c r="Y114" s="366">
        <v>374.3</v>
      </c>
      <c r="Z114" s="366">
        <v>701.28</v>
      </c>
      <c r="AA114" s="366">
        <v>88.01</v>
      </c>
      <c r="AB114" s="366">
        <v>217.33</v>
      </c>
      <c r="AC114" s="366">
        <v>185.8</v>
      </c>
      <c r="AD114" s="366">
        <v>185.8</v>
      </c>
      <c r="AE114" s="366">
        <v>548.59</v>
      </c>
      <c r="AF114" s="366">
        <v>107.58</v>
      </c>
      <c r="AG114" s="366">
        <v>405.82</v>
      </c>
      <c r="AH114" s="366">
        <v>368.55</v>
      </c>
      <c r="AI114" s="366">
        <v>368.55</v>
      </c>
      <c r="AJ114" s="366">
        <v>368.55</v>
      </c>
      <c r="AK114" s="366">
        <v>723.48</v>
      </c>
      <c r="AL114" s="366">
        <v>723.48</v>
      </c>
      <c r="AM114" s="366">
        <v>220.05</v>
      </c>
      <c r="AN114" s="366">
        <v>533.32000000000005</v>
      </c>
      <c r="AO114" s="366">
        <v>65.569999999999993</v>
      </c>
      <c r="AP114" s="366">
        <v>267.12</v>
      </c>
      <c r="AQ114" s="366">
        <v>290.66000000000003</v>
      </c>
      <c r="AR114" s="366">
        <v>525.33000000000004</v>
      </c>
      <c r="AS114" s="366">
        <v>514.65</v>
      </c>
      <c r="AT114" s="366">
        <v>514.65</v>
      </c>
      <c r="AU114" s="366">
        <v>578.4</v>
      </c>
      <c r="AV114" s="366">
        <v>232.93</v>
      </c>
      <c r="AW114" s="366">
        <v>448.13</v>
      </c>
      <c r="AX114" s="366">
        <v>310.16000000000003</v>
      </c>
      <c r="AY114" s="366">
        <v>856.75</v>
      </c>
      <c r="AZ114" s="366">
        <v>667.34</v>
      </c>
      <c r="BA114" s="366">
        <v>111.04</v>
      </c>
      <c r="BB114" s="366">
        <v>859.64</v>
      </c>
      <c r="BC114" s="366">
        <v>30.14</v>
      </c>
      <c r="BD114" s="366">
        <v>120.37</v>
      </c>
      <c r="BE114" s="366">
        <v>667.6</v>
      </c>
      <c r="BF114" s="366">
        <v>214.3</v>
      </c>
      <c r="BG114" s="366">
        <v>708.83</v>
      </c>
      <c r="BH114" s="366">
        <v>574.15</v>
      </c>
      <c r="BI114" s="366">
        <v>525.36</v>
      </c>
      <c r="BJ114" s="366">
        <v>646.95000000000005</v>
      </c>
      <c r="BK114" s="366">
        <v>735.12</v>
      </c>
      <c r="BL114" s="366">
        <v>559.99</v>
      </c>
      <c r="BM114" s="366">
        <v>536.78</v>
      </c>
      <c r="BN114" s="366">
        <v>128.19999999999999</v>
      </c>
      <c r="BO114" s="366">
        <v>777.32</v>
      </c>
      <c r="BP114" s="366">
        <v>743.18</v>
      </c>
      <c r="BQ114" s="366">
        <v>343.2</v>
      </c>
      <c r="BR114" s="366">
        <v>343.2</v>
      </c>
      <c r="BS114" s="366">
        <v>674.91</v>
      </c>
      <c r="BT114" s="366">
        <v>517.28</v>
      </c>
      <c r="BU114" s="366">
        <v>207.76</v>
      </c>
      <c r="BV114" s="366">
        <v>217.45</v>
      </c>
      <c r="BW114" s="366">
        <v>637.69000000000005</v>
      </c>
      <c r="BX114" s="366">
        <v>616</v>
      </c>
      <c r="BY114" s="366">
        <v>691.02</v>
      </c>
      <c r="BZ114" s="366">
        <v>691.02</v>
      </c>
      <c r="CA114" s="366">
        <v>409.33</v>
      </c>
      <c r="CB114" s="366">
        <v>634.42999999999995</v>
      </c>
      <c r="CC114" s="366">
        <v>338.99</v>
      </c>
      <c r="CD114" s="366">
        <v>352.47</v>
      </c>
      <c r="CE114" s="366">
        <v>718.35</v>
      </c>
      <c r="CF114" s="366">
        <v>106.31</v>
      </c>
      <c r="CG114" s="366">
        <v>106.31</v>
      </c>
      <c r="CH114" s="366">
        <v>328.2</v>
      </c>
      <c r="CI114" s="366">
        <v>447.35</v>
      </c>
      <c r="CJ114" s="366">
        <v>117.26</v>
      </c>
      <c r="CK114" s="366">
        <v>696.11</v>
      </c>
      <c r="CL114" s="366">
        <v>592.19000000000005</v>
      </c>
      <c r="CM114" s="366">
        <v>83.86</v>
      </c>
      <c r="CN114" s="366">
        <v>596.32000000000005</v>
      </c>
      <c r="CO114" s="366">
        <v>523.94000000000005</v>
      </c>
      <c r="CP114" s="366">
        <v>349.89</v>
      </c>
      <c r="CQ114" s="366">
        <v>349.89</v>
      </c>
      <c r="CR114" s="366">
        <v>475.26</v>
      </c>
      <c r="CS114" s="366">
        <v>475.26</v>
      </c>
      <c r="CT114" s="366">
        <v>465.82</v>
      </c>
      <c r="CU114" s="366">
        <v>473.69</v>
      </c>
      <c r="CV114" s="366">
        <v>467.64</v>
      </c>
      <c r="CW114" s="366">
        <v>663.54</v>
      </c>
      <c r="CX114" s="366">
        <v>326.7</v>
      </c>
      <c r="CY114" s="366">
        <v>45.8</v>
      </c>
      <c r="CZ114" s="366">
        <v>16.2</v>
      </c>
      <c r="DA114" s="366">
        <v>759.09</v>
      </c>
      <c r="DB114" s="366">
        <v>642.92999999999995</v>
      </c>
      <c r="DC114" s="366">
        <v>642.92999999999995</v>
      </c>
      <c r="DD114" s="366">
        <v>286.14999999999998</v>
      </c>
      <c r="DE114" s="366">
        <v>836.72</v>
      </c>
      <c r="DF114" s="366">
        <v>318.58</v>
      </c>
      <c r="DG114" s="366">
        <v>417.7</v>
      </c>
      <c r="DH114" s="366">
        <v>899.28</v>
      </c>
      <c r="DI114" s="366">
        <v>203.89</v>
      </c>
      <c r="DJ114" s="366">
        <v>0</v>
      </c>
      <c r="DK114" s="366">
        <v>578.41999999999996</v>
      </c>
      <c r="DL114" s="366">
        <v>203.43</v>
      </c>
      <c r="DM114" s="366">
        <v>686.3</v>
      </c>
      <c r="DN114" s="366">
        <v>190.92</v>
      </c>
      <c r="DO114" s="366">
        <v>604.99</v>
      </c>
      <c r="DP114" s="366">
        <v>323.14999999999998</v>
      </c>
      <c r="DQ114" s="366">
        <v>649.03</v>
      </c>
      <c r="DR114" s="366">
        <v>899.28</v>
      </c>
      <c r="DS114" s="366">
        <v>524.84</v>
      </c>
      <c r="DT114" s="366">
        <v>513.13</v>
      </c>
      <c r="DU114" s="366">
        <v>789.43</v>
      </c>
      <c r="DV114" s="366">
        <v>727.12</v>
      </c>
      <c r="DW114" s="366">
        <v>531.07000000000005</v>
      </c>
      <c r="DX114" s="366">
        <v>624.01</v>
      </c>
      <c r="DY114" s="366">
        <v>697.4</v>
      </c>
      <c r="DZ114" s="366">
        <v>275.17</v>
      </c>
      <c r="EA114" s="366">
        <v>507.61</v>
      </c>
      <c r="EB114" s="366">
        <v>691.4</v>
      </c>
      <c r="EC114" s="366">
        <v>527.54999999999995</v>
      </c>
      <c r="ED114" s="366">
        <v>174.12</v>
      </c>
      <c r="EE114" s="366">
        <v>164.24</v>
      </c>
      <c r="EF114" s="366">
        <v>273.39999999999998</v>
      </c>
      <c r="EG114" s="366">
        <v>448.13</v>
      </c>
      <c r="EH114" s="366">
        <v>448.13</v>
      </c>
      <c r="EI114" s="366">
        <v>352.94</v>
      </c>
      <c r="EJ114" s="366">
        <v>887.34</v>
      </c>
      <c r="EK114" s="366">
        <v>500.03</v>
      </c>
      <c r="EL114" s="366">
        <v>500.03</v>
      </c>
      <c r="EM114" s="366">
        <v>594.14</v>
      </c>
      <c r="EN114" s="366">
        <v>594.14</v>
      </c>
      <c r="EO114" s="366">
        <v>220.05</v>
      </c>
      <c r="EP114" s="366">
        <v>270.94</v>
      </c>
      <c r="EQ114" s="366">
        <v>456.33</v>
      </c>
      <c r="ER114" s="366">
        <v>171.92</v>
      </c>
      <c r="ES114" s="366">
        <v>698.62</v>
      </c>
      <c r="ET114" s="366">
        <v>325.23</v>
      </c>
      <c r="EU114" s="366">
        <v>270.22000000000003</v>
      </c>
      <c r="EV114" s="366">
        <v>374.3</v>
      </c>
      <c r="EW114" s="366">
        <v>352.32</v>
      </c>
      <c r="EX114" s="366">
        <v>675.36</v>
      </c>
      <c r="EY114" s="366">
        <v>675.36</v>
      </c>
      <c r="EZ114" s="366">
        <v>638.67999999999995</v>
      </c>
      <c r="FA114" s="366">
        <v>591.30999999999995</v>
      </c>
      <c r="FB114" s="366">
        <v>562.72</v>
      </c>
      <c r="FC114" s="366">
        <v>644.15</v>
      </c>
      <c r="FD114" s="366">
        <v>499.34</v>
      </c>
      <c r="FE114" s="366">
        <v>356.77</v>
      </c>
      <c r="FF114" s="366">
        <v>434.89</v>
      </c>
      <c r="FG114" s="366">
        <v>102.08</v>
      </c>
      <c r="FH114" s="366">
        <v>102.08</v>
      </c>
      <c r="FI114" s="366">
        <v>385.17</v>
      </c>
      <c r="FJ114" s="366">
        <v>390.96</v>
      </c>
      <c r="FK114" s="366">
        <v>726.36</v>
      </c>
      <c r="FL114" s="366">
        <v>724.55</v>
      </c>
      <c r="FM114" s="366">
        <v>220.05</v>
      </c>
      <c r="FN114" s="366">
        <v>405.05</v>
      </c>
      <c r="FO114" s="366">
        <v>515.98</v>
      </c>
      <c r="FP114" s="366">
        <v>676.5</v>
      </c>
      <c r="FQ114" s="366">
        <v>519.85</v>
      </c>
      <c r="FR114" s="366">
        <v>588.24</v>
      </c>
      <c r="FS114" s="366">
        <v>435.6</v>
      </c>
      <c r="FT114" s="366">
        <v>15.16</v>
      </c>
      <c r="FU114" s="366">
        <v>459.74</v>
      </c>
      <c r="FV114" s="366">
        <v>334.12</v>
      </c>
      <c r="FW114" s="366">
        <v>334.12</v>
      </c>
      <c r="FX114" s="366">
        <v>334.12</v>
      </c>
      <c r="FY114" s="366">
        <v>540.45000000000005</v>
      </c>
      <c r="FZ114" s="366">
        <v>379.64</v>
      </c>
      <c r="GA114" s="366">
        <v>667.6</v>
      </c>
      <c r="GB114" s="366">
        <v>474.07</v>
      </c>
      <c r="GC114" s="366">
        <v>174.12</v>
      </c>
      <c r="GD114" s="366">
        <v>598.1</v>
      </c>
      <c r="GE114" s="366">
        <v>465.72</v>
      </c>
      <c r="GF114" s="366">
        <v>473.27</v>
      </c>
      <c r="GG114" s="366">
        <v>473.27</v>
      </c>
      <c r="GH114" s="366">
        <v>716.05</v>
      </c>
      <c r="GI114" s="366">
        <v>220.21</v>
      </c>
      <c r="GJ114" s="366">
        <v>220.05</v>
      </c>
      <c r="GK114" s="366">
        <v>722.91</v>
      </c>
      <c r="GL114" s="366">
        <v>366.61</v>
      </c>
      <c r="GM114" s="366">
        <v>366.61</v>
      </c>
      <c r="GN114" s="366">
        <v>366.61</v>
      </c>
      <c r="GO114" s="366">
        <v>227.94</v>
      </c>
      <c r="GP114" s="366">
        <v>673.01</v>
      </c>
      <c r="GQ114" s="366">
        <v>768.62</v>
      </c>
      <c r="GR114" s="366">
        <v>214.29</v>
      </c>
      <c r="GS114" s="366">
        <v>290.77</v>
      </c>
      <c r="GT114" s="366">
        <v>448.13</v>
      </c>
      <c r="GU114" s="366">
        <v>533.29999999999995</v>
      </c>
      <c r="GV114" s="366">
        <v>894.53</v>
      </c>
      <c r="GW114" s="366">
        <v>391.07</v>
      </c>
      <c r="GX114" s="366">
        <v>444.7</v>
      </c>
      <c r="GY114" s="366">
        <v>367.58</v>
      </c>
      <c r="GZ114" s="366">
        <v>499.06</v>
      </c>
      <c r="HA114" s="366">
        <v>521.39</v>
      </c>
      <c r="HB114" s="366">
        <v>521.39</v>
      </c>
      <c r="HC114" s="366">
        <v>521.39</v>
      </c>
      <c r="HD114" s="366">
        <v>238.88</v>
      </c>
      <c r="HE114" s="366">
        <v>587.99</v>
      </c>
      <c r="HF114" s="366">
        <v>544.28</v>
      </c>
      <c r="HG114" s="366">
        <v>671.93</v>
      </c>
      <c r="HH114" s="366">
        <v>671.93</v>
      </c>
      <c r="HI114" s="366">
        <v>671.93</v>
      </c>
      <c r="HJ114" s="366">
        <v>452.4</v>
      </c>
      <c r="HK114" s="366">
        <v>374.75</v>
      </c>
      <c r="HL114" s="366">
        <v>607.53</v>
      </c>
      <c r="HM114" s="366">
        <v>217.33</v>
      </c>
      <c r="HN114" s="366">
        <v>220.05</v>
      </c>
      <c r="HO114" s="366">
        <v>261.58999999999997</v>
      </c>
      <c r="HP114" s="366">
        <v>499.78</v>
      </c>
      <c r="HQ114" s="366">
        <v>334.12</v>
      </c>
      <c r="HR114" s="366">
        <v>107.58</v>
      </c>
      <c r="HS114" s="366">
        <v>216.3</v>
      </c>
      <c r="HT114" s="366">
        <v>320</v>
      </c>
      <c r="HU114" s="366">
        <v>346.68</v>
      </c>
      <c r="HV114" s="366">
        <v>371.15</v>
      </c>
    </row>
    <row r="115" spans="1:230">
      <c r="A115" s="366" t="s">
        <v>136</v>
      </c>
      <c r="B115" s="366">
        <v>746.19</v>
      </c>
      <c r="C115" s="366">
        <v>120.3</v>
      </c>
      <c r="D115" s="366">
        <v>75.790000000000006</v>
      </c>
      <c r="E115" s="366">
        <v>75.790000000000006</v>
      </c>
      <c r="F115" s="366">
        <v>810.09</v>
      </c>
      <c r="G115" s="366">
        <v>546.6</v>
      </c>
      <c r="H115" s="366">
        <v>119.41</v>
      </c>
      <c r="I115" s="366">
        <v>255.92</v>
      </c>
      <c r="J115" s="366">
        <v>143.19</v>
      </c>
      <c r="K115" s="366">
        <v>143.19</v>
      </c>
      <c r="L115" s="366">
        <v>57.88</v>
      </c>
      <c r="M115" s="366">
        <v>145.72</v>
      </c>
      <c r="N115" s="366">
        <v>242.62</v>
      </c>
      <c r="O115" s="366">
        <v>220.75</v>
      </c>
      <c r="P115" s="366">
        <v>220.75</v>
      </c>
      <c r="Q115" s="366">
        <v>220.75</v>
      </c>
      <c r="R115" s="366">
        <v>220.75</v>
      </c>
      <c r="S115" s="366">
        <v>220.75</v>
      </c>
      <c r="T115" s="366">
        <v>330.42</v>
      </c>
      <c r="U115" s="366">
        <v>654.64</v>
      </c>
      <c r="V115" s="366">
        <v>275.68</v>
      </c>
      <c r="W115" s="366">
        <v>356.78</v>
      </c>
      <c r="X115" s="366">
        <v>356.78</v>
      </c>
      <c r="Y115" s="366">
        <v>356.78</v>
      </c>
      <c r="Z115" s="366">
        <v>303.56</v>
      </c>
      <c r="AA115" s="366">
        <v>540.77</v>
      </c>
      <c r="AB115" s="366">
        <v>390.16</v>
      </c>
      <c r="AC115" s="366">
        <v>392.62</v>
      </c>
      <c r="AD115" s="366">
        <v>392.62</v>
      </c>
      <c r="AE115" s="366">
        <v>126.69</v>
      </c>
      <c r="AF115" s="366">
        <v>560.34</v>
      </c>
      <c r="AG115" s="366">
        <v>358.3</v>
      </c>
      <c r="AH115" s="366">
        <v>209.87</v>
      </c>
      <c r="AI115" s="366">
        <v>209.87</v>
      </c>
      <c r="AJ115" s="366">
        <v>209.87</v>
      </c>
      <c r="AK115" s="366">
        <v>286.32</v>
      </c>
      <c r="AL115" s="366">
        <v>286.32</v>
      </c>
      <c r="AM115" s="366">
        <v>392.88</v>
      </c>
      <c r="AN115" s="366">
        <v>179.92</v>
      </c>
      <c r="AO115" s="366">
        <v>563.21</v>
      </c>
      <c r="AP115" s="366">
        <v>319.14</v>
      </c>
      <c r="AQ115" s="366">
        <v>766.63</v>
      </c>
      <c r="AR115" s="366">
        <v>205.96</v>
      </c>
      <c r="AS115" s="366">
        <v>63.77</v>
      </c>
      <c r="AT115" s="366">
        <v>63.77</v>
      </c>
      <c r="AU115" s="366">
        <v>190.54</v>
      </c>
      <c r="AV115" s="366">
        <v>685.69</v>
      </c>
      <c r="AW115" s="366">
        <v>187.51</v>
      </c>
      <c r="AX115" s="366">
        <v>276.52</v>
      </c>
      <c r="AY115" s="366">
        <v>278.33</v>
      </c>
      <c r="AZ115" s="366">
        <v>88.92</v>
      </c>
      <c r="BA115" s="366">
        <v>606.22</v>
      </c>
      <c r="BB115" s="366">
        <v>281.22000000000003</v>
      </c>
      <c r="BC115" s="366">
        <v>548.28</v>
      </c>
      <c r="BD115" s="366">
        <v>458.05</v>
      </c>
      <c r="BE115" s="366">
        <v>279.74</v>
      </c>
      <c r="BF115" s="366">
        <v>387.13</v>
      </c>
      <c r="BG115" s="366">
        <v>300.08</v>
      </c>
      <c r="BH115" s="366">
        <v>220.75</v>
      </c>
      <c r="BI115" s="366">
        <v>205.99</v>
      </c>
      <c r="BJ115" s="366">
        <v>259.08999999999997</v>
      </c>
      <c r="BK115" s="366">
        <v>156.69999999999999</v>
      </c>
      <c r="BL115" s="366">
        <v>82.79</v>
      </c>
      <c r="BM115" s="366">
        <v>92</v>
      </c>
      <c r="BN115" s="366">
        <v>580.96</v>
      </c>
      <c r="BO115" s="366">
        <v>198.9</v>
      </c>
      <c r="BP115" s="366">
        <v>164.76</v>
      </c>
      <c r="BQ115" s="366">
        <v>235.22</v>
      </c>
      <c r="BR115" s="366">
        <v>235.22</v>
      </c>
      <c r="BS115" s="366">
        <v>96.49</v>
      </c>
      <c r="BT115" s="366">
        <v>190.42</v>
      </c>
      <c r="BU115" s="366">
        <v>370.66</v>
      </c>
      <c r="BV115" s="366">
        <v>390.28</v>
      </c>
      <c r="BW115" s="366">
        <v>249.83</v>
      </c>
      <c r="BX115" s="366">
        <v>37.58</v>
      </c>
      <c r="BY115" s="366">
        <v>303.16000000000003</v>
      </c>
      <c r="BZ115" s="366">
        <v>303.16000000000003</v>
      </c>
      <c r="CA115" s="366">
        <v>219.45</v>
      </c>
      <c r="CB115" s="366">
        <v>56.01</v>
      </c>
      <c r="CC115" s="366">
        <v>247.69</v>
      </c>
      <c r="CD115" s="366">
        <v>250.09</v>
      </c>
      <c r="CE115" s="366">
        <v>139.93</v>
      </c>
      <c r="CF115" s="366">
        <v>559.07000000000005</v>
      </c>
      <c r="CG115" s="366">
        <v>559.07000000000005</v>
      </c>
      <c r="CH115" s="366">
        <v>250.22</v>
      </c>
      <c r="CI115" s="366">
        <v>163.71</v>
      </c>
      <c r="CJ115" s="366">
        <v>570.02</v>
      </c>
      <c r="CK115" s="366">
        <v>308.25</v>
      </c>
      <c r="CL115" s="366">
        <v>204.33</v>
      </c>
      <c r="CM115" s="366">
        <v>494.56</v>
      </c>
      <c r="CN115" s="366">
        <v>208.46</v>
      </c>
      <c r="CO115" s="366">
        <v>204.57</v>
      </c>
      <c r="CP115" s="366">
        <v>228.53</v>
      </c>
      <c r="CQ115" s="366">
        <v>228.53</v>
      </c>
      <c r="CR115" s="366">
        <v>156.97</v>
      </c>
      <c r="CS115" s="366">
        <v>156.97</v>
      </c>
      <c r="CT115" s="366">
        <v>166.41</v>
      </c>
      <c r="CU115" s="366">
        <v>158.54</v>
      </c>
      <c r="CV115" s="366">
        <v>161.13999999999999</v>
      </c>
      <c r="CW115" s="366">
        <v>275.68</v>
      </c>
      <c r="CX115" s="366">
        <v>266.76</v>
      </c>
      <c r="CY115" s="366">
        <v>540.98</v>
      </c>
      <c r="CZ115" s="366">
        <v>562.22</v>
      </c>
      <c r="DA115" s="366">
        <v>180.67</v>
      </c>
      <c r="DB115" s="366">
        <v>255.07</v>
      </c>
      <c r="DC115" s="366">
        <v>255.07</v>
      </c>
      <c r="DD115" s="366">
        <v>343.94</v>
      </c>
      <c r="DE115" s="366">
        <v>258.3</v>
      </c>
      <c r="DF115" s="366">
        <v>794.55</v>
      </c>
      <c r="DG115" s="366">
        <v>193.36</v>
      </c>
      <c r="DH115" s="366">
        <v>320.86</v>
      </c>
      <c r="DI115" s="366">
        <v>424.89</v>
      </c>
      <c r="DJ115" s="366">
        <v>578.41999999999996</v>
      </c>
      <c r="DK115" s="366">
        <v>0</v>
      </c>
      <c r="DL115" s="366">
        <v>376.66</v>
      </c>
      <c r="DM115" s="366">
        <v>107.88</v>
      </c>
      <c r="DN115" s="366">
        <v>439.65</v>
      </c>
      <c r="DO115" s="366">
        <v>61.36</v>
      </c>
      <c r="DP115" s="366">
        <v>305.63</v>
      </c>
      <c r="DQ115" s="366">
        <v>261.17</v>
      </c>
      <c r="DR115" s="366">
        <v>320.86</v>
      </c>
      <c r="DS115" s="366">
        <v>182.44</v>
      </c>
      <c r="DT115" s="366">
        <v>170.73</v>
      </c>
      <c r="DU115" s="366">
        <v>211.01</v>
      </c>
      <c r="DV115" s="366">
        <v>277.72000000000003</v>
      </c>
      <c r="DW115" s="366">
        <v>47.35</v>
      </c>
      <c r="DX115" s="366">
        <v>236.15</v>
      </c>
      <c r="DY115" s="366">
        <v>309.54000000000002</v>
      </c>
      <c r="DZ115" s="366">
        <v>353.61</v>
      </c>
      <c r="EA115" s="366">
        <v>188.24</v>
      </c>
      <c r="EB115" s="366">
        <v>303.54000000000002</v>
      </c>
      <c r="EC115" s="366">
        <v>101.23</v>
      </c>
      <c r="ED115" s="366">
        <v>454.66</v>
      </c>
      <c r="EE115" s="366">
        <v>465.45</v>
      </c>
      <c r="EF115" s="366">
        <v>312.86</v>
      </c>
      <c r="EG115" s="366">
        <v>187.51</v>
      </c>
      <c r="EH115" s="366">
        <v>187.51</v>
      </c>
      <c r="EI115" s="366">
        <v>233.74</v>
      </c>
      <c r="EJ115" s="366">
        <v>308.92</v>
      </c>
      <c r="EK115" s="366">
        <v>112.17</v>
      </c>
      <c r="EL115" s="366">
        <v>112.17</v>
      </c>
      <c r="EM115" s="366">
        <v>206.28</v>
      </c>
      <c r="EN115" s="366">
        <v>206.28</v>
      </c>
      <c r="EO115" s="366">
        <v>392.88</v>
      </c>
      <c r="EP115" s="366">
        <v>315.74</v>
      </c>
      <c r="EQ115" s="366">
        <v>175.9</v>
      </c>
      <c r="ER115" s="366">
        <v>624.67999999999995</v>
      </c>
      <c r="ES115" s="366">
        <v>120.2</v>
      </c>
      <c r="ET115" s="366">
        <v>253.19</v>
      </c>
      <c r="EU115" s="366">
        <v>746.19</v>
      </c>
      <c r="EV115" s="366">
        <v>356.78</v>
      </c>
      <c r="EW115" s="366">
        <v>234.66</v>
      </c>
      <c r="EX115" s="366">
        <v>96.94</v>
      </c>
      <c r="EY115" s="366">
        <v>96.94</v>
      </c>
      <c r="EZ115" s="366">
        <v>258.08999999999997</v>
      </c>
      <c r="FA115" s="366">
        <v>203.45</v>
      </c>
      <c r="FB115" s="366">
        <v>15.7</v>
      </c>
      <c r="FC115" s="366">
        <v>256.29000000000002</v>
      </c>
      <c r="FD115" s="366">
        <v>145.94</v>
      </c>
      <c r="FE115" s="366">
        <v>237.57</v>
      </c>
      <c r="FF115" s="366">
        <v>212.75</v>
      </c>
      <c r="FG115" s="366">
        <v>597.26</v>
      </c>
      <c r="FH115" s="366">
        <v>597.26</v>
      </c>
      <c r="FI115" s="366">
        <v>337.65</v>
      </c>
      <c r="FJ115" s="366">
        <v>343.44</v>
      </c>
      <c r="FK115" s="366">
        <v>147.94</v>
      </c>
      <c r="FL115" s="366">
        <v>146.13</v>
      </c>
      <c r="FM115" s="366">
        <v>392.88</v>
      </c>
      <c r="FN115" s="366">
        <v>387.53</v>
      </c>
      <c r="FO115" s="366">
        <v>196.61</v>
      </c>
      <c r="FP115" s="366">
        <v>288.64</v>
      </c>
      <c r="FQ115" s="366">
        <v>200.48</v>
      </c>
      <c r="FR115" s="366">
        <v>75.22</v>
      </c>
      <c r="FS115" s="366">
        <v>142.82</v>
      </c>
      <c r="FT115" s="366">
        <v>593.58000000000004</v>
      </c>
      <c r="FU115" s="366">
        <v>151.32</v>
      </c>
      <c r="FV115" s="366">
        <v>810.09</v>
      </c>
      <c r="FW115" s="366">
        <v>810.09</v>
      </c>
      <c r="FX115" s="366">
        <v>810.09</v>
      </c>
      <c r="FY115" s="366">
        <v>152.59</v>
      </c>
      <c r="FZ115" s="366">
        <v>227.48</v>
      </c>
      <c r="GA115" s="366">
        <v>279.74</v>
      </c>
      <c r="GB115" s="366">
        <v>181.29</v>
      </c>
      <c r="GC115" s="366">
        <v>454.66</v>
      </c>
      <c r="GD115" s="366">
        <v>19.68</v>
      </c>
      <c r="GE115" s="366">
        <v>166.51</v>
      </c>
      <c r="GF115" s="366">
        <v>137.79</v>
      </c>
      <c r="GG115" s="366">
        <v>137.79</v>
      </c>
      <c r="GH115" s="366">
        <v>328.19</v>
      </c>
      <c r="GI115" s="366">
        <v>393.04</v>
      </c>
      <c r="GJ115" s="366">
        <v>392.88</v>
      </c>
      <c r="GK115" s="366">
        <v>144.49</v>
      </c>
      <c r="GL115" s="366">
        <v>220.07</v>
      </c>
      <c r="GM115" s="366">
        <v>220.07</v>
      </c>
      <c r="GN115" s="366">
        <v>220.07</v>
      </c>
      <c r="GO115" s="366">
        <v>358.32</v>
      </c>
      <c r="GP115" s="366">
        <v>285.14999999999998</v>
      </c>
      <c r="GQ115" s="366">
        <v>190.2</v>
      </c>
      <c r="GR115" s="366">
        <v>421.11</v>
      </c>
      <c r="GS115" s="366">
        <v>287.64999999999998</v>
      </c>
      <c r="GT115" s="366">
        <v>187.51</v>
      </c>
      <c r="GU115" s="366">
        <v>144.86000000000001</v>
      </c>
      <c r="GV115" s="366">
        <v>316.11</v>
      </c>
      <c r="GW115" s="366">
        <v>196.05</v>
      </c>
      <c r="GX115" s="366">
        <v>184.08</v>
      </c>
      <c r="GY115" s="366">
        <v>210.84</v>
      </c>
      <c r="GZ115" s="366">
        <v>145.66</v>
      </c>
      <c r="HA115" s="366">
        <v>202.02</v>
      </c>
      <c r="HB115" s="366">
        <v>202.02</v>
      </c>
      <c r="HC115" s="366">
        <v>202.02</v>
      </c>
      <c r="HD115" s="366">
        <v>389.9</v>
      </c>
      <c r="HE115" s="366">
        <v>200.13</v>
      </c>
      <c r="HF115" s="366">
        <v>156.41999999999999</v>
      </c>
      <c r="HG115" s="366">
        <v>284.07</v>
      </c>
      <c r="HH115" s="366">
        <v>284.07</v>
      </c>
      <c r="HI115" s="366">
        <v>284.07</v>
      </c>
      <c r="HJ115" s="366">
        <v>158.66</v>
      </c>
      <c r="HK115" s="366">
        <v>260</v>
      </c>
      <c r="HL115" s="366">
        <v>254.13</v>
      </c>
      <c r="HM115" s="366">
        <v>390.16</v>
      </c>
      <c r="HN115" s="366">
        <v>392.88</v>
      </c>
      <c r="HO115" s="366">
        <v>714.35</v>
      </c>
      <c r="HP115" s="366">
        <v>146.38</v>
      </c>
      <c r="HQ115" s="366">
        <v>810.09</v>
      </c>
      <c r="HR115" s="366">
        <v>560.34</v>
      </c>
      <c r="HS115" s="366">
        <v>389.13</v>
      </c>
      <c r="HT115" s="366">
        <v>271.45</v>
      </c>
      <c r="HU115" s="366">
        <v>238.7</v>
      </c>
      <c r="HV115" s="366">
        <v>257.02</v>
      </c>
    </row>
    <row r="116" spans="1:230">
      <c r="A116" s="366" t="s">
        <v>137</v>
      </c>
      <c r="B116" s="366">
        <v>390.41</v>
      </c>
      <c r="C116" s="366">
        <v>496.96</v>
      </c>
      <c r="D116" s="366">
        <v>379.58</v>
      </c>
      <c r="E116" s="366">
        <v>379.58</v>
      </c>
      <c r="F116" s="366">
        <v>454.31</v>
      </c>
      <c r="G116" s="366">
        <v>261.88</v>
      </c>
      <c r="H116" s="366">
        <v>335.96</v>
      </c>
      <c r="I116" s="366">
        <v>120.74</v>
      </c>
      <c r="J116" s="366">
        <v>312.18</v>
      </c>
      <c r="K116" s="366">
        <v>312.18</v>
      </c>
      <c r="L116" s="366">
        <v>388.34</v>
      </c>
      <c r="M116" s="366">
        <v>522.38</v>
      </c>
      <c r="N116" s="366">
        <v>619.28</v>
      </c>
      <c r="O116" s="366">
        <v>372.39</v>
      </c>
      <c r="P116" s="366">
        <v>372.39</v>
      </c>
      <c r="Q116" s="366">
        <v>372.39</v>
      </c>
      <c r="R116" s="366">
        <v>372.39</v>
      </c>
      <c r="S116" s="366">
        <v>372.39</v>
      </c>
      <c r="T116" s="366">
        <v>46.24</v>
      </c>
      <c r="U116" s="366">
        <v>369.92</v>
      </c>
      <c r="V116" s="366">
        <v>461.78</v>
      </c>
      <c r="W116" s="366">
        <v>230.89</v>
      </c>
      <c r="X116" s="366">
        <v>230.89</v>
      </c>
      <c r="Y116" s="366">
        <v>230.89</v>
      </c>
      <c r="Z116" s="366">
        <v>499.52</v>
      </c>
      <c r="AA116" s="366">
        <v>256.05</v>
      </c>
      <c r="AB116" s="366">
        <v>25.5</v>
      </c>
      <c r="AC116" s="366">
        <v>17.63</v>
      </c>
      <c r="AD116" s="366">
        <v>17.63</v>
      </c>
      <c r="AE116" s="366">
        <v>346.83</v>
      </c>
      <c r="AF116" s="366">
        <v>275.62</v>
      </c>
      <c r="AG116" s="366">
        <v>232.41</v>
      </c>
      <c r="AH116" s="366">
        <v>166.79</v>
      </c>
      <c r="AI116" s="366">
        <v>166.79</v>
      </c>
      <c r="AJ116" s="366">
        <v>166.79</v>
      </c>
      <c r="AK116" s="366">
        <v>521.72</v>
      </c>
      <c r="AL116" s="366">
        <v>521.72</v>
      </c>
      <c r="AM116" s="366">
        <v>28.22</v>
      </c>
      <c r="AN116" s="366">
        <v>331.56</v>
      </c>
      <c r="AO116" s="366">
        <v>269</v>
      </c>
      <c r="AP116" s="366">
        <v>63.69</v>
      </c>
      <c r="AQ116" s="366">
        <v>410.85</v>
      </c>
      <c r="AR116" s="366">
        <v>351.92</v>
      </c>
      <c r="AS116" s="366">
        <v>312.89</v>
      </c>
      <c r="AT116" s="366">
        <v>312.89</v>
      </c>
      <c r="AU116" s="366">
        <v>376.64</v>
      </c>
      <c r="AV116" s="366">
        <v>400.97</v>
      </c>
      <c r="AW116" s="366">
        <v>274.72000000000003</v>
      </c>
      <c r="AX116" s="366">
        <v>108.4</v>
      </c>
      <c r="AY116" s="366">
        <v>654.99</v>
      </c>
      <c r="AZ116" s="366">
        <v>465.58</v>
      </c>
      <c r="BA116" s="366">
        <v>231.23</v>
      </c>
      <c r="BB116" s="366">
        <v>657.88</v>
      </c>
      <c r="BC116" s="366">
        <v>173.29</v>
      </c>
      <c r="BD116" s="366">
        <v>83.06</v>
      </c>
      <c r="BE116" s="366">
        <v>465.84</v>
      </c>
      <c r="BF116" s="366">
        <v>22.47</v>
      </c>
      <c r="BG116" s="366">
        <v>507.07</v>
      </c>
      <c r="BH116" s="366">
        <v>372.39</v>
      </c>
      <c r="BI116" s="366">
        <v>351.95</v>
      </c>
      <c r="BJ116" s="366">
        <v>445.19</v>
      </c>
      <c r="BK116" s="366">
        <v>533.36</v>
      </c>
      <c r="BL116" s="366">
        <v>386.58</v>
      </c>
      <c r="BM116" s="366">
        <v>363.37</v>
      </c>
      <c r="BN116" s="366">
        <v>296.24</v>
      </c>
      <c r="BO116" s="366">
        <v>575.55999999999995</v>
      </c>
      <c r="BP116" s="366">
        <v>541.41999999999996</v>
      </c>
      <c r="BQ116" s="366">
        <v>141.44</v>
      </c>
      <c r="BR116" s="366">
        <v>141.44</v>
      </c>
      <c r="BS116" s="366">
        <v>473.15</v>
      </c>
      <c r="BT116" s="366">
        <v>343.87</v>
      </c>
      <c r="BU116" s="366">
        <v>6</v>
      </c>
      <c r="BV116" s="366">
        <v>25.62</v>
      </c>
      <c r="BW116" s="366">
        <v>435.93</v>
      </c>
      <c r="BX116" s="366">
        <v>414.24</v>
      </c>
      <c r="BY116" s="366">
        <v>489.26</v>
      </c>
      <c r="BZ116" s="366">
        <v>489.26</v>
      </c>
      <c r="CA116" s="366">
        <v>235.92</v>
      </c>
      <c r="CB116" s="366">
        <v>432.67</v>
      </c>
      <c r="CC116" s="366">
        <v>137.22999999999999</v>
      </c>
      <c r="CD116" s="366">
        <v>150.71</v>
      </c>
      <c r="CE116" s="366">
        <v>516.59</v>
      </c>
      <c r="CF116" s="366">
        <v>274.35000000000002</v>
      </c>
      <c r="CG116" s="366">
        <v>274.35000000000002</v>
      </c>
      <c r="CH116" s="366">
        <v>126.44</v>
      </c>
      <c r="CI116" s="366">
        <v>245.59</v>
      </c>
      <c r="CJ116" s="366">
        <v>285.3</v>
      </c>
      <c r="CK116" s="366">
        <v>494.35</v>
      </c>
      <c r="CL116" s="366">
        <v>390.43</v>
      </c>
      <c r="CM116" s="366">
        <v>119.57</v>
      </c>
      <c r="CN116" s="366">
        <v>394.56</v>
      </c>
      <c r="CO116" s="366">
        <v>350.53</v>
      </c>
      <c r="CP116" s="366">
        <v>148.13</v>
      </c>
      <c r="CQ116" s="366">
        <v>148.13</v>
      </c>
      <c r="CR116" s="366">
        <v>301.85000000000002</v>
      </c>
      <c r="CS116" s="366">
        <v>301.85000000000002</v>
      </c>
      <c r="CT116" s="366">
        <v>292.41000000000003</v>
      </c>
      <c r="CU116" s="366">
        <v>300.27999999999997</v>
      </c>
      <c r="CV116" s="366">
        <v>294.23</v>
      </c>
      <c r="CW116" s="366">
        <v>461.78</v>
      </c>
      <c r="CX116" s="366">
        <v>124.94</v>
      </c>
      <c r="CY116" s="366">
        <v>165.99</v>
      </c>
      <c r="CZ116" s="366">
        <v>187.23</v>
      </c>
      <c r="DA116" s="366">
        <v>557.33000000000004</v>
      </c>
      <c r="DB116" s="366">
        <v>441.17</v>
      </c>
      <c r="DC116" s="366">
        <v>441.17</v>
      </c>
      <c r="DD116" s="366">
        <v>189.49</v>
      </c>
      <c r="DE116" s="366">
        <v>634.96</v>
      </c>
      <c r="DF116" s="366">
        <v>438.77</v>
      </c>
      <c r="DG116" s="366">
        <v>215.94</v>
      </c>
      <c r="DH116" s="366">
        <v>697.52</v>
      </c>
      <c r="DI116" s="366">
        <v>140.16999999999999</v>
      </c>
      <c r="DJ116" s="366">
        <v>203.43</v>
      </c>
      <c r="DK116" s="366">
        <v>376.66</v>
      </c>
      <c r="DL116" s="366">
        <v>0</v>
      </c>
      <c r="DM116" s="366">
        <v>484.54</v>
      </c>
      <c r="DN116" s="366">
        <v>154.93</v>
      </c>
      <c r="DO116" s="366">
        <v>403.23</v>
      </c>
      <c r="DP116" s="366">
        <v>179.74</v>
      </c>
      <c r="DQ116" s="366">
        <v>447.27</v>
      </c>
      <c r="DR116" s="366">
        <v>697.52</v>
      </c>
      <c r="DS116" s="366">
        <v>351.43</v>
      </c>
      <c r="DT116" s="366">
        <v>339.72</v>
      </c>
      <c r="DU116" s="366">
        <v>587.66999999999996</v>
      </c>
      <c r="DV116" s="366">
        <v>525.36</v>
      </c>
      <c r="DW116" s="366">
        <v>329.31</v>
      </c>
      <c r="DX116" s="366">
        <v>422.25</v>
      </c>
      <c r="DY116" s="366">
        <v>495.64</v>
      </c>
      <c r="DZ116" s="366">
        <v>178.51</v>
      </c>
      <c r="EA116" s="366">
        <v>334.2</v>
      </c>
      <c r="EB116" s="366">
        <v>489.64</v>
      </c>
      <c r="EC116" s="366">
        <v>354.14</v>
      </c>
      <c r="ED116" s="366">
        <v>169.94</v>
      </c>
      <c r="EE116" s="366">
        <v>180.73</v>
      </c>
      <c r="EF116" s="366">
        <v>69.97</v>
      </c>
      <c r="EG116" s="366">
        <v>274.72000000000003</v>
      </c>
      <c r="EH116" s="366">
        <v>274.72000000000003</v>
      </c>
      <c r="EI116" s="366">
        <v>151.18</v>
      </c>
      <c r="EJ116" s="366">
        <v>685.58</v>
      </c>
      <c r="EK116" s="366">
        <v>298.27</v>
      </c>
      <c r="EL116" s="366">
        <v>298.27</v>
      </c>
      <c r="EM116" s="366">
        <v>392.38</v>
      </c>
      <c r="EN116" s="366">
        <v>392.38</v>
      </c>
      <c r="EO116" s="366">
        <v>28.22</v>
      </c>
      <c r="EP116" s="366">
        <v>69.180000000000007</v>
      </c>
      <c r="EQ116" s="366">
        <v>282.92</v>
      </c>
      <c r="ER116" s="366">
        <v>339.96</v>
      </c>
      <c r="ES116" s="366">
        <v>496.86</v>
      </c>
      <c r="ET116" s="366">
        <v>123.47</v>
      </c>
      <c r="EU116" s="366">
        <v>390.41</v>
      </c>
      <c r="EV116" s="366">
        <v>230.89</v>
      </c>
      <c r="EW116" s="366">
        <v>150.56</v>
      </c>
      <c r="EX116" s="366">
        <v>473.6</v>
      </c>
      <c r="EY116" s="366">
        <v>473.6</v>
      </c>
      <c r="EZ116" s="366">
        <v>436.92</v>
      </c>
      <c r="FA116" s="366">
        <v>389.55</v>
      </c>
      <c r="FB116" s="366">
        <v>360.96</v>
      </c>
      <c r="FC116" s="366">
        <v>442.39</v>
      </c>
      <c r="FD116" s="366">
        <v>297.58</v>
      </c>
      <c r="FE116" s="366">
        <v>155.01</v>
      </c>
      <c r="FF116" s="366">
        <v>233.13</v>
      </c>
      <c r="FG116" s="366">
        <v>222.27</v>
      </c>
      <c r="FH116" s="366">
        <v>222.27</v>
      </c>
      <c r="FI116" s="366">
        <v>211.76</v>
      </c>
      <c r="FJ116" s="366">
        <v>217.55</v>
      </c>
      <c r="FK116" s="366">
        <v>524.6</v>
      </c>
      <c r="FL116" s="366">
        <v>522.79</v>
      </c>
      <c r="FM116" s="366">
        <v>28.22</v>
      </c>
      <c r="FN116" s="366">
        <v>261.64</v>
      </c>
      <c r="FO116" s="366">
        <v>342.57</v>
      </c>
      <c r="FP116" s="366">
        <v>474.74</v>
      </c>
      <c r="FQ116" s="366">
        <v>346.44</v>
      </c>
      <c r="FR116" s="366">
        <v>405.68</v>
      </c>
      <c r="FS116" s="366">
        <v>233.84</v>
      </c>
      <c r="FT116" s="366">
        <v>218.59</v>
      </c>
      <c r="FU116" s="366">
        <v>257.98</v>
      </c>
      <c r="FV116" s="366">
        <v>454.31</v>
      </c>
      <c r="FW116" s="366">
        <v>454.31</v>
      </c>
      <c r="FX116" s="366">
        <v>454.31</v>
      </c>
      <c r="FY116" s="366">
        <v>338.69</v>
      </c>
      <c r="FZ116" s="366">
        <v>177.88</v>
      </c>
      <c r="GA116" s="366">
        <v>465.84</v>
      </c>
      <c r="GB116" s="366">
        <v>272.31</v>
      </c>
      <c r="GC116" s="366">
        <v>169.94</v>
      </c>
      <c r="GD116" s="366">
        <v>396.34</v>
      </c>
      <c r="GE116" s="366">
        <v>292.31</v>
      </c>
      <c r="GF116" s="366">
        <v>271.51</v>
      </c>
      <c r="GG116" s="366">
        <v>271.51</v>
      </c>
      <c r="GH116" s="366">
        <v>514.29</v>
      </c>
      <c r="GI116" s="366">
        <v>28.38</v>
      </c>
      <c r="GJ116" s="366">
        <v>28.22</v>
      </c>
      <c r="GK116" s="366">
        <v>521.15</v>
      </c>
      <c r="GL116" s="366">
        <v>164.85</v>
      </c>
      <c r="GM116" s="366">
        <v>164.85</v>
      </c>
      <c r="GN116" s="366">
        <v>164.85</v>
      </c>
      <c r="GO116" s="366">
        <v>24.51</v>
      </c>
      <c r="GP116" s="366">
        <v>471.25</v>
      </c>
      <c r="GQ116" s="366">
        <v>566.86</v>
      </c>
      <c r="GR116" s="366">
        <v>46.12</v>
      </c>
      <c r="GS116" s="366">
        <v>89.01</v>
      </c>
      <c r="GT116" s="366">
        <v>274.72000000000003</v>
      </c>
      <c r="GU116" s="366">
        <v>331.54</v>
      </c>
      <c r="GV116" s="366">
        <v>692.77</v>
      </c>
      <c r="GW116" s="366">
        <v>189.31</v>
      </c>
      <c r="GX116" s="366">
        <v>271.29000000000002</v>
      </c>
      <c r="GY116" s="366">
        <v>165.82</v>
      </c>
      <c r="GZ116" s="366">
        <v>297.3</v>
      </c>
      <c r="HA116" s="366">
        <v>347.98</v>
      </c>
      <c r="HB116" s="366">
        <v>347.98</v>
      </c>
      <c r="HC116" s="366">
        <v>347.98</v>
      </c>
      <c r="HD116" s="366">
        <v>142.22</v>
      </c>
      <c r="HE116" s="366">
        <v>386.23</v>
      </c>
      <c r="HF116" s="366">
        <v>342.52</v>
      </c>
      <c r="HG116" s="366">
        <v>470.17</v>
      </c>
      <c r="HH116" s="366">
        <v>470.17</v>
      </c>
      <c r="HI116" s="366">
        <v>470.17</v>
      </c>
      <c r="HJ116" s="366">
        <v>250.64</v>
      </c>
      <c r="HK116" s="366">
        <v>201.34</v>
      </c>
      <c r="HL116" s="366">
        <v>405.77</v>
      </c>
      <c r="HM116" s="366">
        <v>25.5</v>
      </c>
      <c r="HN116" s="366">
        <v>28.22</v>
      </c>
      <c r="HO116" s="366">
        <v>423.61</v>
      </c>
      <c r="HP116" s="366">
        <v>298.02</v>
      </c>
      <c r="HQ116" s="366">
        <v>454.31</v>
      </c>
      <c r="HR116" s="366">
        <v>275.62</v>
      </c>
      <c r="HS116" s="366">
        <v>24.47</v>
      </c>
      <c r="HT116" s="366">
        <v>116.57</v>
      </c>
      <c r="HU116" s="366">
        <v>144.91999999999999</v>
      </c>
      <c r="HV116" s="366">
        <v>169.39</v>
      </c>
    </row>
    <row r="117" spans="1:230">
      <c r="A117" s="366" t="s">
        <v>138</v>
      </c>
      <c r="B117" s="366">
        <v>854.07</v>
      </c>
      <c r="C117" s="366">
        <v>12.42</v>
      </c>
      <c r="D117" s="366">
        <v>183.67</v>
      </c>
      <c r="E117" s="366">
        <v>183.67</v>
      </c>
      <c r="F117" s="366">
        <v>917.97</v>
      </c>
      <c r="G117" s="366">
        <v>654.48</v>
      </c>
      <c r="H117" s="366">
        <v>227.29</v>
      </c>
      <c r="I117" s="366">
        <v>363.8</v>
      </c>
      <c r="J117" s="366">
        <v>251.07</v>
      </c>
      <c r="K117" s="366">
        <v>251.07</v>
      </c>
      <c r="L117" s="366">
        <v>165.76</v>
      </c>
      <c r="M117" s="366">
        <v>37.840000000000003</v>
      </c>
      <c r="N117" s="366">
        <v>134.74</v>
      </c>
      <c r="O117" s="366">
        <v>328.63</v>
      </c>
      <c r="P117" s="366">
        <v>328.63</v>
      </c>
      <c r="Q117" s="366">
        <v>328.63</v>
      </c>
      <c r="R117" s="366">
        <v>328.63</v>
      </c>
      <c r="S117" s="366">
        <v>328.63</v>
      </c>
      <c r="T117" s="366">
        <v>438.3</v>
      </c>
      <c r="U117" s="366">
        <v>762.52</v>
      </c>
      <c r="V117" s="366">
        <v>383.56</v>
      </c>
      <c r="W117" s="366">
        <v>464.66</v>
      </c>
      <c r="X117" s="366">
        <v>464.66</v>
      </c>
      <c r="Y117" s="366">
        <v>464.66</v>
      </c>
      <c r="Z117" s="366">
        <v>195.68</v>
      </c>
      <c r="AA117" s="366">
        <v>648.65</v>
      </c>
      <c r="AB117" s="366">
        <v>498.04</v>
      </c>
      <c r="AC117" s="366">
        <v>500.5</v>
      </c>
      <c r="AD117" s="366">
        <v>500.5</v>
      </c>
      <c r="AE117" s="366">
        <v>234.57</v>
      </c>
      <c r="AF117" s="366">
        <v>668.22</v>
      </c>
      <c r="AG117" s="366">
        <v>466.18</v>
      </c>
      <c r="AH117" s="366">
        <v>317.75</v>
      </c>
      <c r="AI117" s="366">
        <v>317.75</v>
      </c>
      <c r="AJ117" s="366">
        <v>317.75</v>
      </c>
      <c r="AK117" s="366">
        <v>178.44</v>
      </c>
      <c r="AL117" s="366">
        <v>178.44</v>
      </c>
      <c r="AM117" s="366">
        <v>500.76</v>
      </c>
      <c r="AN117" s="366">
        <v>287.8</v>
      </c>
      <c r="AO117" s="366">
        <v>671.09</v>
      </c>
      <c r="AP117" s="366">
        <v>427.02</v>
      </c>
      <c r="AQ117" s="366">
        <v>874.51</v>
      </c>
      <c r="AR117" s="366">
        <v>313.83999999999997</v>
      </c>
      <c r="AS117" s="366">
        <v>171.65</v>
      </c>
      <c r="AT117" s="366">
        <v>171.65</v>
      </c>
      <c r="AU117" s="366">
        <v>298.42</v>
      </c>
      <c r="AV117" s="366">
        <v>793.57</v>
      </c>
      <c r="AW117" s="366">
        <v>295.39</v>
      </c>
      <c r="AX117" s="366">
        <v>384.4</v>
      </c>
      <c r="AY117" s="366">
        <v>170.45</v>
      </c>
      <c r="AZ117" s="366">
        <v>36.76</v>
      </c>
      <c r="BA117" s="366">
        <v>714.1</v>
      </c>
      <c r="BB117" s="366">
        <v>173.34</v>
      </c>
      <c r="BC117" s="366">
        <v>656.16</v>
      </c>
      <c r="BD117" s="366">
        <v>565.92999999999995</v>
      </c>
      <c r="BE117" s="366">
        <v>387.62</v>
      </c>
      <c r="BF117" s="366">
        <v>495.01</v>
      </c>
      <c r="BG117" s="366">
        <v>192.2</v>
      </c>
      <c r="BH117" s="366">
        <v>328.63</v>
      </c>
      <c r="BI117" s="366">
        <v>313.87</v>
      </c>
      <c r="BJ117" s="366">
        <v>284.97000000000003</v>
      </c>
      <c r="BK117" s="366">
        <v>181.22</v>
      </c>
      <c r="BL117" s="366">
        <v>190.67</v>
      </c>
      <c r="BM117" s="366">
        <v>199.88</v>
      </c>
      <c r="BN117" s="366">
        <v>688.84</v>
      </c>
      <c r="BO117" s="366">
        <v>223.42</v>
      </c>
      <c r="BP117" s="366">
        <v>189.28</v>
      </c>
      <c r="BQ117" s="366">
        <v>343.1</v>
      </c>
      <c r="BR117" s="366">
        <v>343.1</v>
      </c>
      <c r="BS117" s="366">
        <v>11.39</v>
      </c>
      <c r="BT117" s="366">
        <v>298.3</v>
      </c>
      <c r="BU117" s="366">
        <v>478.54</v>
      </c>
      <c r="BV117" s="366">
        <v>498.16</v>
      </c>
      <c r="BW117" s="366">
        <v>357.71</v>
      </c>
      <c r="BX117" s="366">
        <v>70.3</v>
      </c>
      <c r="BY117" s="366">
        <v>411.04</v>
      </c>
      <c r="BZ117" s="366">
        <v>411.04</v>
      </c>
      <c r="CA117" s="366">
        <v>327.33</v>
      </c>
      <c r="CB117" s="366">
        <v>80.53</v>
      </c>
      <c r="CC117" s="366">
        <v>355.57</v>
      </c>
      <c r="CD117" s="366">
        <v>357.97</v>
      </c>
      <c r="CE117" s="366">
        <v>164.45</v>
      </c>
      <c r="CF117" s="366">
        <v>666.95</v>
      </c>
      <c r="CG117" s="366">
        <v>666.95</v>
      </c>
      <c r="CH117" s="366">
        <v>358.1</v>
      </c>
      <c r="CI117" s="366">
        <v>271.58999999999997</v>
      </c>
      <c r="CJ117" s="366">
        <v>677.9</v>
      </c>
      <c r="CK117" s="366">
        <v>416.13</v>
      </c>
      <c r="CL117" s="366">
        <v>312.20999999999998</v>
      </c>
      <c r="CM117" s="366">
        <v>602.44000000000005</v>
      </c>
      <c r="CN117" s="366">
        <v>300.64</v>
      </c>
      <c r="CO117" s="366">
        <v>312.45</v>
      </c>
      <c r="CP117" s="366">
        <v>336.41</v>
      </c>
      <c r="CQ117" s="366">
        <v>336.41</v>
      </c>
      <c r="CR117" s="366">
        <v>264.85000000000002</v>
      </c>
      <c r="CS117" s="366">
        <v>264.85000000000002</v>
      </c>
      <c r="CT117" s="366">
        <v>274.29000000000002</v>
      </c>
      <c r="CU117" s="366">
        <v>266.42</v>
      </c>
      <c r="CV117" s="366">
        <v>269.02</v>
      </c>
      <c r="CW117" s="366">
        <v>383.56</v>
      </c>
      <c r="CX117" s="366">
        <v>374.64</v>
      </c>
      <c r="CY117" s="366">
        <v>648.86</v>
      </c>
      <c r="CZ117" s="366">
        <v>670.1</v>
      </c>
      <c r="DA117" s="366">
        <v>72.790000000000006</v>
      </c>
      <c r="DB117" s="366">
        <v>256.56</v>
      </c>
      <c r="DC117" s="366">
        <v>256.56</v>
      </c>
      <c r="DD117" s="366">
        <v>451.82</v>
      </c>
      <c r="DE117" s="366">
        <v>150.41999999999999</v>
      </c>
      <c r="DF117" s="366">
        <v>902.43</v>
      </c>
      <c r="DG117" s="366">
        <v>301.24</v>
      </c>
      <c r="DH117" s="366">
        <v>212.98</v>
      </c>
      <c r="DI117" s="366">
        <v>532.77</v>
      </c>
      <c r="DJ117" s="366">
        <v>686.3</v>
      </c>
      <c r="DK117" s="366">
        <v>107.88</v>
      </c>
      <c r="DL117" s="366">
        <v>484.54</v>
      </c>
      <c r="DM117" s="366">
        <v>0</v>
      </c>
      <c r="DN117" s="366">
        <v>547.53</v>
      </c>
      <c r="DO117" s="366">
        <v>85.88</v>
      </c>
      <c r="DP117" s="366">
        <v>413.51</v>
      </c>
      <c r="DQ117" s="366">
        <v>369.05</v>
      </c>
      <c r="DR117" s="366">
        <v>212.98</v>
      </c>
      <c r="DS117" s="366">
        <v>290.32</v>
      </c>
      <c r="DT117" s="366">
        <v>278.61</v>
      </c>
      <c r="DU117" s="366">
        <v>103.13</v>
      </c>
      <c r="DV117" s="366">
        <v>169.84</v>
      </c>
      <c r="DW117" s="366">
        <v>155.22999999999999</v>
      </c>
      <c r="DX117" s="366">
        <v>344.03</v>
      </c>
      <c r="DY117" s="366">
        <v>417.42</v>
      </c>
      <c r="DZ117" s="366">
        <v>461.49</v>
      </c>
      <c r="EA117" s="366">
        <v>296.12</v>
      </c>
      <c r="EB117" s="366">
        <v>411.42</v>
      </c>
      <c r="EC117" s="366">
        <v>209.11</v>
      </c>
      <c r="ED117" s="366">
        <v>562.54</v>
      </c>
      <c r="EE117" s="366">
        <v>573.33000000000004</v>
      </c>
      <c r="EF117" s="366">
        <v>420.74</v>
      </c>
      <c r="EG117" s="366">
        <v>295.39</v>
      </c>
      <c r="EH117" s="366">
        <v>295.39</v>
      </c>
      <c r="EI117" s="366">
        <v>341.62</v>
      </c>
      <c r="EJ117" s="366">
        <v>333.44</v>
      </c>
      <c r="EK117" s="366">
        <v>220.05</v>
      </c>
      <c r="EL117" s="366">
        <v>220.05</v>
      </c>
      <c r="EM117" s="366">
        <v>314.16000000000003</v>
      </c>
      <c r="EN117" s="366">
        <v>314.16000000000003</v>
      </c>
      <c r="EO117" s="366">
        <v>500.76</v>
      </c>
      <c r="EP117" s="366">
        <v>423.62</v>
      </c>
      <c r="EQ117" s="366">
        <v>283.77999999999997</v>
      </c>
      <c r="ER117" s="366">
        <v>732.56</v>
      </c>
      <c r="ES117" s="366">
        <v>12.32</v>
      </c>
      <c r="ET117" s="366">
        <v>361.07</v>
      </c>
      <c r="EU117" s="366">
        <v>854.07</v>
      </c>
      <c r="EV117" s="366">
        <v>464.66</v>
      </c>
      <c r="EW117" s="366">
        <v>342.54</v>
      </c>
      <c r="EX117" s="366">
        <v>121.46</v>
      </c>
      <c r="EY117" s="366">
        <v>121.46</v>
      </c>
      <c r="EZ117" s="366">
        <v>365.97</v>
      </c>
      <c r="FA117" s="366">
        <v>311.33</v>
      </c>
      <c r="FB117" s="366">
        <v>123.58</v>
      </c>
      <c r="FC117" s="366">
        <v>364.17</v>
      </c>
      <c r="FD117" s="366">
        <v>253.82</v>
      </c>
      <c r="FE117" s="366">
        <v>345.45</v>
      </c>
      <c r="FF117" s="366">
        <v>320.63</v>
      </c>
      <c r="FG117" s="366">
        <v>705.14</v>
      </c>
      <c r="FH117" s="366">
        <v>705.14</v>
      </c>
      <c r="FI117" s="366">
        <v>445.53</v>
      </c>
      <c r="FJ117" s="366">
        <v>451.32</v>
      </c>
      <c r="FK117" s="366">
        <v>40.06</v>
      </c>
      <c r="FL117" s="366">
        <v>38.25</v>
      </c>
      <c r="FM117" s="366">
        <v>500.76</v>
      </c>
      <c r="FN117" s="366">
        <v>495.41</v>
      </c>
      <c r="FO117" s="366">
        <v>304.49</v>
      </c>
      <c r="FP117" s="366">
        <v>396.52</v>
      </c>
      <c r="FQ117" s="366">
        <v>308.36</v>
      </c>
      <c r="FR117" s="366">
        <v>183.1</v>
      </c>
      <c r="FS117" s="366">
        <v>250.7</v>
      </c>
      <c r="FT117" s="366">
        <v>701.46</v>
      </c>
      <c r="FU117" s="366">
        <v>259.2</v>
      </c>
      <c r="FV117" s="366">
        <v>917.97</v>
      </c>
      <c r="FW117" s="366">
        <v>917.97</v>
      </c>
      <c r="FX117" s="366">
        <v>917.97</v>
      </c>
      <c r="FY117" s="366">
        <v>260.47000000000003</v>
      </c>
      <c r="FZ117" s="366">
        <v>335.36</v>
      </c>
      <c r="GA117" s="366">
        <v>387.62</v>
      </c>
      <c r="GB117" s="366">
        <v>289.17</v>
      </c>
      <c r="GC117" s="366">
        <v>562.54</v>
      </c>
      <c r="GD117" s="366">
        <v>88.2</v>
      </c>
      <c r="GE117" s="366">
        <v>274.39</v>
      </c>
      <c r="GF117" s="366">
        <v>245.67</v>
      </c>
      <c r="GG117" s="366">
        <v>245.67</v>
      </c>
      <c r="GH117" s="366">
        <v>436.07</v>
      </c>
      <c r="GI117" s="366">
        <v>500.92</v>
      </c>
      <c r="GJ117" s="366">
        <v>500.76</v>
      </c>
      <c r="GK117" s="366">
        <v>36.61</v>
      </c>
      <c r="GL117" s="366">
        <v>327.95</v>
      </c>
      <c r="GM117" s="366">
        <v>327.95</v>
      </c>
      <c r="GN117" s="366">
        <v>327.95</v>
      </c>
      <c r="GO117" s="366">
        <v>466.2</v>
      </c>
      <c r="GP117" s="366">
        <v>393.03</v>
      </c>
      <c r="GQ117" s="366">
        <v>214.72</v>
      </c>
      <c r="GR117" s="366">
        <v>528.99</v>
      </c>
      <c r="GS117" s="366">
        <v>395.53</v>
      </c>
      <c r="GT117" s="366">
        <v>295.39</v>
      </c>
      <c r="GU117" s="366">
        <v>252.74</v>
      </c>
      <c r="GV117" s="366">
        <v>340.63</v>
      </c>
      <c r="GW117" s="366">
        <v>303.93</v>
      </c>
      <c r="GX117" s="366">
        <v>291.95999999999998</v>
      </c>
      <c r="GY117" s="366">
        <v>318.72000000000003</v>
      </c>
      <c r="GZ117" s="366">
        <v>253.54</v>
      </c>
      <c r="HA117" s="366">
        <v>309.89999999999998</v>
      </c>
      <c r="HB117" s="366">
        <v>309.89999999999998</v>
      </c>
      <c r="HC117" s="366">
        <v>309.89999999999998</v>
      </c>
      <c r="HD117" s="366">
        <v>497.78</v>
      </c>
      <c r="HE117" s="366">
        <v>308.01</v>
      </c>
      <c r="HF117" s="366">
        <v>264.3</v>
      </c>
      <c r="HG117" s="366">
        <v>293.54000000000002</v>
      </c>
      <c r="HH117" s="366">
        <v>293.54000000000002</v>
      </c>
      <c r="HI117" s="366">
        <v>293.54000000000002</v>
      </c>
      <c r="HJ117" s="366">
        <v>266.54000000000002</v>
      </c>
      <c r="HK117" s="366">
        <v>367.88</v>
      </c>
      <c r="HL117" s="366">
        <v>362.01</v>
      </c>
      <c r="HM117" s="366">
        <v>498.04</v>
      </c>
      <c r="HN117" s="366">
        <v>500.76</v>
      </c>
      <c r="HO117" s="366">
        <v>822.23</v>
      </c>
      <c r="HP117" s="366">
        <v>254.26</v>
      </c>
      <c r="HQ117" s="366">
        <v>917.97</v>
      </c>
      <c r="HR117" s="366">
        <v>668.22</v>
      </c>
      <c r="HS117" s="366">
        <v>497.01</v>
      </c>
      <c r="HT117" s="366">
        <v>379.33</v>
      </c>
      <c r="HU117" s="366">
        <v>346.58</v>
      </c>
      <c r="HV117" s="366">
        <v>364.9</v>
      </c>
    </row>
    <row r="118" spans="1:230">
      <c r="A118" s="366" t="s">
        <v>139</v>
      </c>
      <c r="B118" s="366">
        <v>308.33</v>
      </c>
      <c r="C118" s="366">
        <v>559.95000000000005</v>
      </c>
      <c r="D118" s="366">
        <v>363.86</v>
      </c>
      <c r="E118" s="366">
        <v>363.86</v>
      </c>
      <c r="F118" s="366">
        <v>372.23</v>
      </c>
      <c r="G118" s="366">
        <v>108.74</v>
      </c>
      <c r="H118" s="366">
        <v>320.24</v>
      </c>
      <c r="I118" s="366">
        <v>274</v>
      </c>
      <c r="J118" s="366">
        <v>296.45999999999998</v>
      </c>
      <c r="K118" s="366">
        <v>296.45999999999998</v>
      </c>
      <c r="L118" s="366">
        <v>381.77</v>
      </c>
      <c r="M118" s="366">
        <v>585.37</v>
      </c>
      <c r="N118" s="366">
        <v>682.27</v>
      </c>
      <c r="O118" s="366">
        <v>525.65</v>
      </c>
      <c r="P118" s="366">
        <v>525.65</v>
      </c>
      <c r="Q118" s="366">
        <v>525.65</v>
      </c>
      <c r="R118" s="366">
        <v>525.65</v>
      </c>
      <c r="S118" s="366">
        <v>525.65</v>
      </c>
      <c r="T118" s="366">
        <v>199.5</v>
      </c>
      <c r="U118" s="366">
        <v>216.78</v>
      </c>
      <c r="V118" s="366">
        <v>615.04</v>
      </c>
      <c r="W118" s="366">
        <v>185.17</v>
      </c>
      <c r="X118" s="366">
        <v>185.17</v>
      </c>
      <c r="Y118" s="366">
        <v>185.17</v>
      </c>
      <c r="Z118" s="366">
        <v>652.78</v>
      </c>
      <c r="AA118" s="366">
        <v>102.91</v>
      </c>
      <c r="AB118" s="366">
        <v>168.83</v>
      </c>
      <c r="AC118" s="366">
        <v>137.30000000000001</v>
      </c>
      <c r="AD118" s="366">
        <v>137.30000000000001</v>
      </c>
      <c r="AE118" s="366">
        <v>414.76</v>
      </c>
      <c r="AF118" s="366">
        <v>122.48</v>
      </c>
      <c r="AG118" s="366">
        <v>216.69</v>
      </c>
      <c r="AH118" s="366">
        <v>320.05</v>
      </c>
      <c r="AI118" s="366">
        <v>320.05</v>
      </c>
      <c r="AJ118" s="366">
        <v>320.05</v>
      </c>
      <c r="AK118" s="366">
        <v>674.98</v>
      </c>
      <c r="AL118" s="366">
        <v>674.98</v>
      </c>
      <c r="AM118" s="366">
        <v>171.55</v>
      </c>
      <c r="AN118" s="366">
        <v>484.82</v>
      </c>
      <c r="AO118" s="366">
        <v>125.35</v>
      </c>
      <c r="AP118" s="366">
        <v>218.62</v>
      </c>
      <c r="AQ118" s="366">
        <v>328.77</v>
      </c>
      <c r="AR118" s="366">
        <v>336.2</v>
      </c>
      <c r="AS118" s="366">
        <v>457.22</v>
      </c>
      <c r="AT118" s="366">
        <v>457.22</v>
      </c>
      <c r="AU118" s="366">
        <v>529.9</v>
      </c>
      <c r="AV118" s="366">
        <v>247.83</v>
      </c>
      <c r="AW118" s="366">
        <v>259</v>
      </c>
      <c r="AX118" s="366">
        <v>261.66000000000003</v>
      </c>
      <c r="AY118" s="366">
        <v>717.98</v>
      </c>
      <c r="AZ118" s="366">
        <v>528.57000000000005</v>
      </c>
      <c r="BA118" s="366">
        <v>301.95999999999998</v>
      </c>
      <c r="BB118" s="366">
        <v>720.87</v>
      </c>
      <c r="BC118" s="366">
        <v>221.06</v>
      </c>
      <c r="BD118" s="366">
        <v>202.73</v>
      </c>
      <c r="BE118" s="366">
        <v>619.1</v>
      </c>
      <c r="BF118" s="366">
        <v>165.8</v>
      </c>
      <c r="BG118" s="366">
        <v>660.33</v>
      </c>
      <c r="BH118" s="366">
        <v>525.65</v>
      </c>
      <c r="BI118" s="366">
        <v>336.23</v>
      </c>
      <c r="BJ118" s="366">
        <v>598.45000000000005</v>
      </c>
      <c r="BK118" s="366">
        <v>596.35</v>
      </c>
      <c r="BL118" s="366">
        <v>370.86</v>
      </c>
      <c r="BM118" s="366">
        <v>347.65</v>
      </c>
      <c r="BN118" s="366">
        <v>143.1</v>
      </c>
      <c r="BO118" s="366">
        <v>638.54999999999995</v>
      </c>
      <c r="BP118" s="366">
        <v>604.41</v>
      </c>
      <c r="BQ118" s="366">
        <v>294.7</v>
      </c>
      <c r="BR118" s="366">
        <v>294.7</v>
      </c>
      <c r="BS118" s="366">
        <v>536.14</v>
      </c>
      <c r="BT118" s="366">
        <v>328.15</v>
      </c>
      <c r="BU118" s="366">
        <v>159.26</v>
      </c>
      <c r="BV118" s="366">
        <v>168.95</v>
      </c>
      <c r="BW118" s="366">
        <v>589.19000000000005</v>
      </c>
      <c r="BX118" s="366">
        <v>477.23</v>
      </c>
      <c r="BY118" s="366">
        <v>642.52</v>
      </c>
      <c r="BZ118" s="366">
        <v>642.52</v>
      </c>
      <c r="CA118" s="366">
        <v>220.2</v>
      </c>
      <c r="CB118" s="366">
        <v>495.66</v>
      </c>
      <c r="CC118" s="366">
        <v>290.49</v>
      </c>
      <c r="CD118" s="366">
        <v>303.97000000000003</v>
      </c>
      <c r="CE118" s="366">
        <v>579.58000000000004</v>
      </c>
      <c r="CF118" s="366">
        <v>121.21</v>
      </c>
      <c r="CG118" s="366">
        <v>121.21</v>
      </c>
      <c r="CH118" s="366">
        <v>279.7</v>
      </c>
      <c r="CI118" s="366">
        <v>398.85</v>
      </c>
      <c r="CJ118" s="366">
        <v>132.16</v>
      </c>
      <c r="CK118" s="366">
        <v>647.61</v>
      </c>
      <c r="CL118" s="366">
        <v>543.69000000000005</v>
      </c>
      <c r="CM118" s="366">
        <v>239.24</v>
      </c>
      <c r="CN118" s="366">
        <v>547.82000000000005</v>
      </c>
      <c r="CO118" s="366">
        <v>334.81</v>
      </c>
      <c r="CP118" s="366">
        <v>301.39</v>
      </c>
      <c r="CQ118" s="366">
        <v>301.39</v>
      </c>
      <c r="CR118" s="366">
        <v>286.13</v>
      </c>
      <c r="CS118" s="366">
        <v>286.13</v>
      </c>
      <c r="CT118" s="366">
        <v>276.69</v>
      </c>
      <c r="CU118" s="366">
        <v>284.56</v>
      </c>
      <c r="CV118" s="366">
        <v>278.51</v>
      </c>
      <c r="CW118" s="366">
        <v>615.04</v>
      </c>
      <c r="CX118" s="366">
        <v>278.2</v>
      </c>
      <c r="CY118" s="366">
        <v>236.72</v>
      </c>
      <c r="CZ118" s="366">
        <v>207.12</v>
      </c>
      <c r="DA118" s="366">
        <v>620.32000000000005</v>
      </c>
      <c r="DB118" s="366">
        <v>594.42999999999995</v>
      </c>
      <c r="DC118" s="366">
        <v>594.42999999999995</v>
      </c>
      <c r="DD118" s="366">
        <v>97.02</v>
      </c>
      <c r="DE118" s="366">
        <v>697.95</v>
      </c>
      <c r="DF118" s="366">
        <v>356.69</v>
      </c>
      <c r="DG118" s="366">
        <v>369.2</v>
      </c>
      <c r="DH118" s="366">
        <v>760.51</v>
      </c>
      <c r="DI118" s="366">
        <v>46.57</v>
      </c>
      <c r="DJ118" s="366">
        <v>190.92</v>
      </c>
      <c r="DK118" s="366">
        <v>439.65</v>
      </c>
      <c r="DL118" s="366">
        <v>154.93</v>
      </c>
      <c r="DM118" s="366">
        <v>547.53</v>
      </c>
      <c r="DN118" s="366">
        <v>0</v>
      </c>
      <c r="DO118" s="366">
        <v>466.22</v>
      </c>
      <c r="DP118" s="366">
        <v>134.02000000000001</v>
      </c>
      <c r="DQ118" s="366">
        <v>600.53</v>
      </c>
      <c r="DR118" s="366">
        <v>760.51</v>
      </c>
      <c r="DS118" s="366">
        <v>335.71</v>
      </c>
      <c r="DT118" s="366">
        <v>324</v>
      </c>
      <c r="DU118" s="366">
        <v>650.66</v>
      </c>
      <c r="DV118" s="366">
        <v>678.62</v>
      </c>
      <c r="DW118" s="366">
        <v>440.8</v>
      </c>
      <c r="DX118" s="366">
        <v>575.51</v>
      </c>
      <c r="DY118" s="366">
        <v>648.9</v>
      </c>
      <c r="DZ118" s="366">
        <v>86.04</v>
      </c>
      <c r="EA118" s="366">
        <v>318.48</v>
      </c>
      <c r="EB118" s="366">
        <v>642.9</v>
      </c>
      <c r="EC118" s="366">
        <v>338.42</v>
      </c>
      <c r="ED118" s="366">
        <v>16.8</v>
      </c>
      <c r="EE118" s="366">
        <v>27.59</v>
      </c>
      <c r="EF118" s="366">
        <v>224.9</v>
      </c>
      <c r="EG118" s="366">
        <v>259</v>
      </c>
      <c r="EH118" s="366">
        <v>259</v>
      </c>
      <c r="EI118" s="366">
        <v>304.44</v>
      </c>
      <c r="EJ118" s="366">
        <v>748.57</v>
      </c>
      <c r="EK118" s="366">
        <v>451.53</v>
      </c>
      <c r="EL118" s="366">
        <v>451.53</v>
      </c>
      <c r="EM118" s="366">
        <v>545.64</v>
      </c>
      <c r="EN118" s="366">
        <v>545.64</v>
      </c>
      <c r="EO118" s="366">
        <v>171.55</v>
      </c>
      <c r="EP118" s="366">
        <v>222.44</v>
      </c>
      <c r="EQ118" s="366">
        <v>267.2</v>
      </c>
      <c r="ER118" s="366">
        <v>186.82</v>
      </c>
      <c r="ES118" s="366">
        <v>559.85</v>
      </c>
      <c r="ET118" s="366">
        <v>276.73</v>
      </c>
      <c r="EU118" s="366">
        <v>308.33</v>
      </c>
      <c r="EV118" s="366">
        <v>185.17</v>
      </c>
      <c r="EW118" s="366">
        <v>303.82</v>
      </c>
      <c r="EX118" s="366">
        <v>536.59</v>
      </c>
      <c r="EY118" s="366">
        <v>536.59</v>
      </c>
      <c r="EZ118" s="366">
        <v>590.17999999999995</v>
      </c>
      <c r="FA118" s="366">
        <v>542.80999999999995</v>
      </c>
      <c r="FB118" s="366">
        <v>423.95</v>
      </c>
      <c r="FC118" s="366">
        <v>595.65</v>
      </c>
      <c r="FD118" s="366">
        <v>450.84</v>
      </c>
      <c r="FE118" s="366">
        <v>308.27</v>
      </c>
      <c r="FF118" s="366">
        <v>386.39</v>
      </c>
      <c r="FG118" s="366">
        <v>293</v>
      </c>
      <c r="FH118" s="366">
        <v>293</v>
      </c>
      <c r="FI118" s="366">
        <v>196.04</v>
      </c>
      <c r="FJ118" s="366">
        <v>201.83</v>
      </c>
      <c r="FK118" s="366">
        <v>587.59</v>
      </c>
      <c r="FL118" s="366">
        <v>585.78</v>
      </c>
      <c r="FM118" s="366">
        <v>171.55</v>
      </c>
      <c r="FN118" s="366">
        <v>215.92</v>
      </c>
      <c r="FO118" s="366">
        <v>326.85000000000002</v>
      </c>
      <c r="FP118" s="366">
        <v>628</v>
      </c>
      <c r="FQ118" s="366">
        <v>330.72</v>
      </c>
      <c r="FR118" s="366">
        <v>399.11</v>
      </c>
      <c r="FS118" s="366">
        <v>387.1</v>
      </c>
      <c r="FT118" s="366">
        <v>175.76</v>
      </c>
      <c r="FU118" s="366">
        <v>411.24</v>
      </c>
      <c r="FV118" s="366">
        <v>372.23</v>
      </c>
      <c r="FW118" s="366">
        <v>372.23</v>
      </c>
      <c r="FX118" s="366">
        <v>372.23</v>
      </c>
      <c r="FY118" s="366">
        <v>491.95</v>
      </c>
      <c r="FZ118" s="366">
        <v>331.14</v>
      </c>
      <c r="GA118" s="366">
        <v>619.1</v>
      </c>
      <c r="GB118" s="366">
        <v>425.57</v>
      </c>
      <c r="GC118" s="366">
        <v>16.8</v>
      </c>
      <c r="GD118" s="366">
        <v>459.33</v>
      </c>
      <c r="GE118" s="366">
        <v>276.58999999999997</v>
      </c>
      <c r="GF118" s="366">
        <v>424.77</v>
      </c>
      <c r="GG118" s="366">
        <v>424.77</v>
      </c>
      <c r="GH118" s="366">
        <v>667.55</v>
      </c>
      <c r="GI118" s="366">
        <v>171.71</v>
      </c>
      <c r="GJ118" s="366">
        <v>171.55</v>
      </c>
      <c r="GK118" s="366">
        <v>584.14</v>
      </c>
      <c r="GL118" s="366">
        <v>318.11</v>
      </c>
      <c r="GM118" s="366">
        <v>318.11</v>
      </c>
      <c r="GN118" s="366">
        <v>318.11</v>
      </c>
      <c r="GO118" s="366">
        <v>179.44</v>
      </c>
      <c r="GP118" s="366">
        <v>624.51</v>
      </c>
      <c r="GQ118" s="366">
        <v>629.85</v>
      </c>
      <c r="GR118" s="366">
        <v>108.81</v>
      </c>
      <c r="GS118" s="366">
        <v>242.27</v>
      </c>
      <c r="GT118" s="366">
        <v>259</v>
      </c>
      <c r="GU118" s="366">
        <v>432.93</v>
      </c>
      <c r="GV118" s="366">
        <v>755.76</v>
      </c>
      <c r="GW118" s="366">
        <v>342.57</v>
      </c>
      <c r="GX118" s="366">
        <v>255.57</v>
      </c>
      <c r="GY118" s="366">
        <v>319.08</v>
      </c>
      <c r="GZ118" s="366">
        <v>450.56</v>
      </c>
      <c r="HA118" s="366">
        <v>332.26</v>
      </c>
      <c r="HB118" s="366">
        <v>332.26</v>
      </c>
      <c r="HC118" s="366">
        <v>332.26</v>
      </c>
      <c r="HD118" s="366">
        <v>49.75</v>
      </c>
      <c r="HE118" s="366">
        <v>539.49</v>
      </c>
      <c r="HF118" s="366">
        <v>495.78</v>
      </c>
      <c r="HG118" s="366">
        <v>623.42999999999995</v>
      </c>
      <c r="HH118" s="366">
        <v>623.42999999999995</v>
      </c>
      <c r="HI118" s="366">
        <v>623.42999999999995</v>
      </c>
      <c r="HJ118" s="366">
        <v>403.9</v>
      </c>
      <c r="HK118" s="366">
        <v>185.62</v>
      </c>
      <c r="HL118" s="366">
        <v>559.03</v>
      </c>
      <c r="HM118" s="366">
        <v>168.83</v>
      </c>
      <c r="HN118" s="366">
        <v>171.55</v>
      </c>
      <c r="HO118" s="366">
        <v>276.49</v>
      </c>
      <c r="HP118" s="366">
        <v>451.28</v>
      </c>
      <c r="HQ118" s="366">
        <v>372.23</v>
      </c>
      <c r="HR118" s="366">
        <v>122.48</v>
      </c>
      <c r="HS118" s="366">
        <v>167.8</v>
      </c>
      <c r="HT118" s="366">
        <v>271.5</v>
      </c>
      <c r="HU118" s="366">
        <v>298.18</v>
      </c>
      <c r="HV118" s="366">
        <v>322.64999999999998</v>
      </c>
    </row>
    <row r="119" spans="1:230">
      <c r="A119" s="366" t="s">
        <v>140</v>
      </c>
      <c r="B119" s="366">
        <v>772.76</v>
      </c>
      <c r="C119" s="366">
        <v>98.3</v>
      </c>
      <c r="D119" s="366">
        <v>102.36</v>
      </c>
      <c r="E119" s="366">
        <v>102.36</v>
      </c>
      <c r="F119" s="366">
        <v>836.66</v>
      </c>
      <c r="G119" s="366">
        <v>573.16999999999996</v>
      </c>
      <c r="H119" s="366">
        <v>145.97999999999999</v>
      </c>
      <c r="I119" s="366">
        <v>282.49</v>
      </c>
      <c r="J119" s="366">
        <v>169.76</v>
      </c>
      <c r="K119" s="366">
        <v>169.76</v>
      </c>
      <c r="L119" s="366">
        <v>84.45</v>
      </c>
      <c r="M119" s="366">
        <v>123.72</v>
      </c>
      <c r="N119" s="366">
        <v>220.62</v>
      </c>
      <c r="O119" s="366">
        <v>247.32</v>
      </c>
      <c r="P119" s="366">
        <v>247.32</v>
      </c>
      <c r="Q119" s="366">
        <v>247.32</v>
      </c>
      <c r="R119" s="366">
        <v>247.32</v>
      </c>
      <c r="S119" s="366">
        <v>247.32</v>
      </c>
      <c r="T119" s="366">
        <v>356.99</v>
      </c>
      <c r="U119" s="366">
        <v>681.21</v>
      </c>
      <c r="V119" s="366">
        <v>302.25</v>
      </c>
      <c r="W119" s="366">
        <v>383.35</v>
      </c>
      <c r="X119" s="366">
        <v>383.35</v>
      </c>
      <c r="Y119" s="366">
        <v>383.35</v>
      </c>
      <c r="Z119" s="366">
        <v>281.56</v>
      </c>
      <c r="AA119" s="366">
        <v>567.34</v>
      </c>
      <c r="AB119" s="366">
        <v>416.73</v>
      </c>
      <c r="AC119" s="366">
        <v>419.19</v>
      </c>
      <c r="AD119" s="366">
        <v>419.19</v>
      </c>
      <c r="AE119" s="366">
        <v>153.26</v>
      </c>
      <c r="AF119" s="366">
        <v>586.91</v>
      </c>
      <c r="AG119" s="366">
        <v>384.87</v>
      </c>
      <c r="AH119" s="366">
        <v>236.44</v>
      </c>
      <c r="AI119" s="366">
        <v>236.44</v>
      </c>
      <c r="AJ119" s="366">
        <v>236.44</v>
      </c>
      <c r="AK119" s="366">
        <v>264.32</v>
      </c>
      <c r="AL119" s="366">
        <v>264.32</v>
      </c>
      <c r="AM119" s="366">
        <v>419.45</v>
      </c>
      <c r="AN119" s="366">
        <v>206.49</v>
      </c>
      <c r="AO119" s="366">
        <v>589.78</v>
      </c>
      <c r="AP119" s="366">
        <v>345.71</v>
      </c>
      <c r="AQ119" s="366">
        <v>793.2</v>
      </c>
      <c r="AR119" s="366">
        <v>232.53</v>
      </c>
      <c r="AS119" s="366">
        <v>90.34</v>
      </c>
      <c r="AT119" s="366">
        <v>90.34</v>
      </c>
      <c r="AU119" s="366">
        <v>217.11</v>
      </c>
      <c r="AV119" s="366">
        <v>712.26</v>
      </c>
      <c r="AW119" s="366">
        <v>214.08</v>
      </c>
      <c r="AX119" s="366">
        <v>303.08999999999997</v>
      </c>
      <c r="AY119" s="366">
        <v>256.33</v>
      </c>
      <c r="AZ119" s="366">
        <v>66.92</v>
      </c>
      <c r="BA119" s="366">
        <v>632.79</v>
      </c>
      <c r="BB119" s="366">
        <v>259.22000000000003</v>
      </c>
      <c r="BC119" s="366">
        <v>574.85</v>
      </c>
      <c r="BD119" s="366">
        <v>484.62</v>
      </c>
      <c r="BE119" s="366">
        <v>306.31</v>
      </c>
      <c r="BF119" s="366">
        <v>413.7</v>
      </c>
      <c r="BG119" s="366">
        <v>278.08</v>
      </c>
      <c r="BH119" s="366">
        <v>247.32</v>
      </c>
      <c r="BI119" s="366">
        <v>232.56</v>
      </c>
      <c r="BJ119" s="366">
        <v>285.66000000000003</v>
      </c>
      <c r="BK119" s="366">
        <v>134.69999999999999</v>
      </c>
      <c r="BL119" s="366">
        <v>109.36</v>
      </c>
      <c r="BM119" s="366">
        <v>118.57</v>
      </c>
      <c r="BN119" s="366">
        <v>607.53</v>
      </c>
      <c r="BO119" s="366">
        <v>176.9</v>
      </c>
      <c r="BP119" s="366">
        <v>142.76</v>
      </c>
      <c r="BQ119" s="366">
        <v>261.79000000000002</v>
      </c>
      <c r="BR119" s="366">
        <v>261.79000000000002</v>
      </c>
      <c r="BS119" s="366">
        <v>74.489999999999995</v>
      </c>
      <c r="BT119" s="366">
        <v>216.99</v>
      </c>
      <c r="BU119" s="366">
        <v>397.23</v>
      </c>
      <c r="BV119" s="366">
        <v>416.85</v>
      </c>
      <c r="BW119" s="366">
        <v>276.39999999999998</v>
      </c>
      <c r="BX119" s="366">
        <v>23.78</v>
      </c>
      <c r="BY119" s="366">
        <v>329.73</v>
      </c>
      <c r="BZ119" s="366">
        <v>329.73</v>
      </c>
      <c r="CA119" s="366">
        <v>246.02</v>
      </c>
      <c r="CB119" s="366">
        <v>34.01</v>
      </c>
      <c r="CC119" s="366">
        <v>274.26</v>
      </c>
      <c r="CD119" s="366">
        <v>276.66000000000003</v>
      </c>
      <c r="CE119" s="366">
        <v>117.93</v>
      </c>
      <c r="CF119" s="366">
        <v>585.64</v>
      </c>
      <c r="CG119" s="366">
        <v>585.64</v>
      </c>
      <c r="CH119" s="366">
        <v>276.79000000000002</v>
      </c>
      <c r="CI119" s="366">
        <v>190.28</v>
      </c>
      <c r="CJ119" s="366">
        <v>596.59</v>
      </c>
      <c r="CK119" s="366">
        <v>334.82</v>
      </c>
      <c r="CL119" s="366">
        <v>230.9</v>
      </c>
      <c r="CM119" s="366">
        <v>521.13</v>
      </c>
      <c r="CN119" s="366">
        <v>235.03</v>
      </c>
      <c r="CO119" s="366">
        <v>231.14</v>
      </c>
      <c r="CP119" s="366">
        <v>255.1</v>
      </c>
      <c r="CQ119" s="366">
        <v>255.1</v>
      </c>
      <c r="CR119" s="366">
        <v>183.54</v>
      </c>
      <c r="CS119" s="366">
        <v>183.54</v>
      </c>
      <c r="CT119" s="366">
        <v>192.98</v>
      </c>
      <c r="CU119" s="366">
        <v>185.11</v>
      </c>
      <c r="CV119" s="366">
        <v>187.71</v>
      </c>
      <c r="CW119" s="366">
        <v>302.25</v>
      </c>
      <c r="CX119" s="366">
        <v>293.33</v>
      </c>
      <c r="CY119" s="366">
        <v>567.54999999999995</v>
      </c>
      <c r="CZ119" s="366">
        <v>588.79</v>
      </c>
      <c r="DA119" s="366">
        <v>158.66999999999999</v>
      </c>
      <c r="DB119" s="366">
        <v>281.64</v>
      </c>
      <c r="DC119" s="366">
        <v>281.64</v>
      </c>
      <c r="DD119" s="366">
        <v>370.51</v>
      </c>
      <c r="DE119" s="366">
        <v>236.3</v>
      </c>
      <c r="DF119" s="366">
        <v>821.12</v>
      </c>
      <c r="DG119" s="366">
        <v>219.93</v>
      </c>
      <c r="DH119" s="366">
        <v>298.86</v>
      </c>
      <c r="DI119" s="366">
        <v>451.46</v>
      </c>
      <c r="DJ119" s="366">
        <v>604.99</v>
      </c>
      <c r="DK119" s="366">
        <v>61.36</v>
      </c>
      <c r="DL119" s="366">
        <v>403.23</v>
      </c>
      <c r="DM119" s="366">
        <v>85.88</v>
      </c>
      <c r="DN119" s="366">
        <v>466.22</v>
      </c>
      <c r="DO119" s="366">
        <v>0</v>
      </c>
      <c r="DP119" s="366">
        <v>332.2</v>
      </c>
      <c r="DQ119" s="366">
        <v>287.74</v>
      </c>
      <c r="DR119" s="366">
        <v>298.86</v>
      </c>
      <c r="DS119" s="366">
        <v>209.01</v>
      </c>
      <c r="DT119" s="366">
        <v>197.3</v>
      </c>
      <c r="DU119" s="366">
        <v>189.01</v>
      </c>
      <c r="DV119" s="366">
        <v>255.72</v>
      </c>
      <c r="DW119" s="366">
        <v>73.92</v>
      </c>
      <c r="DX119" s="366">
        <v>262.72000000000003</v>
      </c>
      <c r="DY119" s="366">
        <v>336.11</v>
      </c>
      <c r="DZ119" s="366">
        <v>380.18</v>
      </c>
      <c r="EA119" s="366">
        <v>214.81</v>
      </c>
      <c r="EB119" s="366">
        <v>330.11</v>
      </c>
      <c r="EC119" s="366">
        <v>127.8</v>
      </c>
      <c r="ED119" s="366">
        <v>481.23</v>
      </c>
      <c r="EE119" s="366">
        <v>492.02</v>
      </c>
      <c r="EF119" s="366">
        <v>339.43</v>
      </c>
      <c r="EG119" s="366">
        <v>214.08</v>
      </c>
      <c r="EH119" s="366">
        <v>214.08</v>
      </c>
      <c r="EI119" s="366">
        <v>260.31</v>
      </c>
      <c r="EJ119" s="366">
        <v>286.92</v>
      </c>
      <c r="EK119" s="366">
        <v>138.74</v>
      </c>
      <c r="EL119" s="366">
        <v>138.74</v>
      </c>
      <c r="EM119" s="366">
        <v>232.85</v>
      </c>
      <c r="EN119" s="366">
        <v>232.85</v>
      </c>
      <c r="EO119" s="366">
        <v>419.45</v>
      </c>
      <c r="EP119" s="366">
        <v>342.31</v>
      </c>
      <c r="EQ119" s="366">
        <v>202.47</v>
      </c>
      <c r="ER119" s="366">
        <v>651.25</v>
      </c>
      <c r="ES119" s="366">
        <v>98.2</v>
      </c>
      <c r="ET119" s="366">
        <v>279.76</v>
      </c>
      <c r="EU119" s="366">
        <v>772.76</v>
      </c>
      <c r="EV119" s="366">
        <v>383.35</v>
      </c>
      <c r="EW119" s="366">
        <v>261.23</v>
      </c>
      <c r="EX119" s="366">
        <v>74.94</v>
      </c>
      <c r="EY119" s="366">
        <v>74.94</v>
      </c>
      <c r="EZ119" s="366">
        <v>284.66000000000003</v>
      </c>
      <c r="FA119" s="366">
        <v>230.02</v>
      </c>
      <c r="FB119" s="366">
        <v>54.09</v>
      </c>
      <c r="FC119" s="366">
        <v>282.86</v>
      </c>
      <c r="FD119" s="366">
        <v>172.51</v>
      </c>
      <c r="FE119" s="366">
        <v>264.14</v>
      </c>
      <c r="FF119" s="366">
        <v>239.32</v>
      </c>
      <c r="FG119" s="366">
        <v>623.83000000000004</v>
      </c>
      <c r="FH119" s="366">
        <v>623.83000000000004</v>
      </c>
      <c r="FI119" s="366">
        <v>364.22</v>
      </c>
      <c r="FJ119" s="366">
        <v>370.01</v>
      </c>
      <c r="FK119" s="366">
        <v>125.94</v>
      </c>
      <c r="FL119" s="366">
        <v>124.13</v>
      </c>
      <c r="FM119" s="366">
        <v>419.45</v>
      </c>
      <c r="FN119" s="366">
        <v>414.1</v>
      </c>
      <c r="FO119" s="366">
        <v>223.18</v>
      </c>
      <c r="FP119" s="366">
        <v>315.20999999999998</v>
      </c>
      <c r="FQ119" s="366">
        <v>227.05</v>
      </c>
      <c r="FR119" s="366">
        <v>101.79</v>
      </c>
      <c r="FS119" s="366">
        <v>169.39</v>
      </c>
      <c r="FT119" s="366">
        <v>620.15</v>
      </c>
      <c r="FU119" s="366">
        <v>177.89</v>
      </c>
      <c r="FV119" s="366">
        <v>836.66</v>
      </c>
      <c r="FW119" s="366">
        <v>836.66</v>
      </c>
      <c r="FX119" s="366">
        <v>836.66</v>
      </c>
      <c r="FY119" s="366">
        <v>179.16</v>
      </c>
      <c r="FZ119" s="366">
        <v>254.05</v>
      </c>
      <c r="GA119" s="366">
        <v>306.31</v>
      </c>
      <c r="GB119" s="366">
        <v>207.86</v>
      </c>
      <c r="GC119" s="366">
        <v>481.23</v>
      </c>
      <c r="GD119" s="366">
        <v>41.68</v>
      </c>
      <c r="GE119" s="366">
        <v>193.08</v>
      </c>
      <c r="GF119" s="366">
        <v>164.36</v>
      </c>
      <c r="GG119" s="366">
        <v>164.36</v>
      </c>
      <c r="GH119" s="366">
        <v>354.76</v>
      </c>
      <c r="GI119" s="366">
        <v>419.61</v>
      </c>
      <c r="GJ119" s="366">
        <v>419.45</v>
      </c>
      <c r="GK119" s="366">
        <v>122.49</v>
      </c>
      <c r="GL119" s="366">
        <v>246.64</v>
      </c>
      <c r="GM119" s="366">
        <v>246.64</v>
      </c>
      <c r="GN119" s="366">
        <v>246.64</v>
      </c>
      <c r="GO119" s="366">
        <v>384.89</v>
      </c>
      <c r="GP119" s="366">
        <v>311.72000000000003</v>
      </c>
      <c r="GQ119" s="366">
        <v>168.2</v>
      </c>
      <c r="GR119" s="366">
        <v>447.68</v>
      </c>
      <c r="GS119" s="366">
        <v>314.22000000000003</v>
      </c>
      <c r="GT119" s="366">
        <v>214.08</v>
      </c>
      <c r="GU119" s="366">
        <v>171.43</v>
      </c>
      <c r="GV119" s="366">
        <v>294.11</v>
      </c>
      <c r="GW119" s="366">
        <v>222.62</v>
      </c>
      <c r="GX119" s="366">
        <v>210.65</v>
      </c>
      <c r="GY119" s="366">
        <v>237.41</v>
      </c>
      <c r="GZ119" s="366">
        <v>172.23</v>
      </c>
      <c r="HA119" s="366">
        <v>228.59</v>
      </c>
      <c r="HB119" s="366">
        <v>228.59</v>
      </c>
      <c r="HC119" s="366">
        <v>228.59</v>
      </c>
      <c r="HD119" s="366">
        <v>416.47</v>
      </c>
      <c r="HE119" s="366">
        <v>226.7</v>
      </c>
      <c r="HF119" s="366">
        <v>182.99</v>
      </c>
      <c r="HG119" s="366">
        <v>310.64</v>
      </c>
      <c r="HH119" s="366">
        <v>310.64</v>
      </c>
      <c r="HI119" s="366">
        <v>310.64</v>
      </c>
      <c r="HJ119" s="366">
        <v>185.23</v>
      </c>
      <c r="HK119" s="366">
        <v>286.57</v>
      </c>
      <c r="HL119" s="366">
        <v>280.7</v>
      </c>
      <c r="HM119" s="366">
        <v>416.73</v>
      </c>
      <c r="HN119" s="366">
        <v>419.45</v>
      </c>
      <c r="HO119" s="366">
        <v>740.92</v>
      </c>
      <c r="HP119" s="366">
        <v>172.95</v>
      </c>
      <c r="HQ119" s="366">
        <v>836.66</v>
      </c>
      <c r="HR119" s="366">
        <v>586.91</v>
      </c>
      <c r="HS119" s="366">
        <v>415.7</v>
      </c>
      <c r="HT119" s="366">
        <v>298.02</v>
      </c>
      <c r="HU119" s="366">
        <v>265.27</v>
      </c>
      <c r="HV119" s="366">
        <v>283.58999999999997</v>
      </c>
    </row>
    <row r="120" spans="1:230">
      <c r="A120" s="366" t="s">
        <v>141</v>
      </c>
      <c r="B120" s="366">
        <v>440.56</v>
      </c>
      <c r="C120" s="366">
        <v>425.93</v>
      </c>
      <c r="D120" s="366">
        <v>229.84</v>
      </c>
      <c r="E120" s="366">
        <v>229.84</v>
      </c>
      <c r="F120" s="366">
        <v>504.46</v>
      </c>
      <c r="G120" s="366">
        <v>240.97</v>
      </c>
      <c r="H120" s="366">
        <v>186.22</v>
      </c>
      <c r="I120" s="366">
        <v>166.71</v>
      </c>
      <c r="J120" s="366">
        <v>162.44</v>
      </c>
      <c r="K120" s="366">
        <v>162.44</v>
      </c>
      <c r="L120" s="366">
        <v>247.75</v>
      </c>
      <c r="M120" s="366">
        <v>451.35</v>
      </c>
      <c r="N120" s="366">
        <v>548.25</v>
      </c>
      <c r="O120" s="366">
        <v>418.36</v>
      </c>
      <c r="P120" s="366">
        <v>418.36</v>
      </c>
      <c r="Q120" s="366">
        <v>418.36</v>
      </c>
      <c r="R120" s="366">
        <v>418.36</v>
      </c>
      <c r="S120" s="366">
        <v>418.36</v>
      </c>
      <c r="T120" s="366">
        <v>177.75</v>
      </c>
      <c r="U120" s="366">
        <v>349.01</v>
      </c>
      <c r="V120" s="366">
        <v>507.75</v>
      </c>
      <c r="W120" s="366">
        <v>51.15</v>
      </c>
      <c r="X120" s="366">
        <v>51.15</v>
      </c>
      <c r="Y120" s="366">
        <v>51.15</v>
      </c>
      <c r="Z120" s="366">
        <v>545.49</v>
      </c>
      <c r="AA120" s="366">
        <v>235.14</v>
      </c>
      <c r="AB120" s="366">
        <v>205.24</v>
      </c>
      <c r="AC120" s="366">
        <v>197.37</v>
      </c>
      <c r="AD120" s="366">
        <v>197.37</v>
      </c>
      <c r="AE120" s="366">
        <v>280.74</v>
      </c>
      <c r="AF120" s="366">
        <v>254.71</v>
      </c>
      <c r="AG120" s="366">
        <v>82.67</v>
      </c>
      <c r="AH120" s="366">
        <v>212.76</v>
      </c>
      <c r="AI120" s="366">
        <v>212.76</v>
      </c>
      <c r="AJ120" s="366">
        <v>212.76</v>
      </c>
      <c r="AK120" s="366">
        <v>567.69000000000005</v>
      </c>
      <c r="AL120" s="366">
        <v>567.69000000000005</v>
      </c>
      <c r="AM120" s="366">
        <v>207.96</v>
      </c>
      <c r="AN120" s="366">
        <v>377.53</v>
      </c>
      <c r="AO120" s="366">
        <v>257.58</v>
      </c>
      <c r="AP120" s="366">
        <v>116.05</v>
      </c>
      <c r="AQ120" s="366">
        <v>461</v>
      </c>
      <c r="AR120" s="366">
        <v>202.18</v>
      </c>
      <c r="AS120" s="366">
        <v>323.2</v>
      </c>
      <c r="AT120" s="366">
        <v>323.2</v>
      </c>
      <c r="AU120" s="366">
        <v>422.61</v>
      </c>
      <c r="AV120" s="366">
        <v>380.06</v>
      </c>
      <c r="AW120" s="366">
        <v>124.98</v>
      </c>
      <c r="AX120" s="366">
        <v>247.89</v>
      </c>
      <c r="AY120" s="366">
        <v>583.96</v>
      </c>
      <c r="AZ120" s="366">
        <v>394.55</v>
      </c>
      <c r="BA120" s="366">
        <v>410.97</v>
      </c>
      <c r="BB120" s="366">
        <v>586.85</v>
      </c>
      <c r="BC120" s="366">
        <v>353.03</v>
      </c>
      <c r="BD120" s="366">
        <v>262.8</v>
      </c>
      <c r="BE120" s="366">
        <v>511.81</v>
      </c>
      <c r="BF120" s="366">
        <v>202.21</v>
      </c>
      <c r="BG120" s="366">
        <v>553.04</v>
      </c>
      <c r="BH120" s="366">
        <v>418.36</v>
      </c>
      <c r="BI120" s="366">
        <v>202.21</v>
      </c>
      <c r="BJ120" s="366">
        <v>491.16</v>
      </c>
      <c r="BK120" s="366">
        <v>462.33</v>
      </c>
      <c r="BL120" s="366">
        <v>236.84</v>
      </c>
      <c r="BM120" s="366">
        <v>213.63</v>
      </c>
      <c r="BN120" s="366">
        <v>275.33</v>
      </c>
      <c r="BO120" s="366">
        <v>504.53</v>
      </c>
      <c r="BP120" s="366">
        <v>470.39</v>
      </c>
      <c r="BQ120" s="366">
        <v>187.41</v>
      </c>
      <c r="BR120" s="366">
        <v>187.41</v>
      </c>
      <c r="BS120" s="366">
        <v>402.12</v>
      </c>
      <c r="BT120" s="366">
        <v>194.13</v>
      </c>
      <c r="BU120" s="366">
        <v>185.74</v>
      </c>
      <c r="BV120" s="366">
        <v>205.36</v>
      </c>
      <c r="BW120" s="366">
        <v>481.9</v>
      </c>
      <c r="BX120" s="366">
        <v>343.21</v>
      </c>
      <c r="BY120" s="366">
        <v>535.23</v>
      </c>
      <c r="BZ120" s="366">
        <v>535.23</v>
      </c>
      <c r="CA120" s="366">
        <v>86.18</v>
      </c>
      <c r="CB120" s="366">
        <v>361.64</v>
      </c>
      <c r="CC120" s="366">
        <v>219.06</v>
      </c>
      <c r="CD120" s="366">
        <v>232.54</v>
      </c>
      <c r="CE120" s="366">
        <v>445.56</v>
      </c>
      <c r="CF120" s="366">
        <v>253.44</v>
      </c>
      <c r="CG120" s="366">
        <v>253.44</v>
      </c>
      <c r="CH120" s="366">
        <v>172.41</v>
      </c>
      <c r="CI120" s="366">
        <v>291.56</v>
      </c>
      <c r="CJ120" s="366">
        <v>264.39</v>
      </c>
      <c r="CK120" s="366">
        <v>540.32000000000005</v>
      </c>
      <c r="CL120" s="366">
        <v>436.4</v>
      </c>
      <c r="CM120" s="366">
        <v>299.31</v>
      </c>
      <c r="CN120" s="366">
        <v>440.53</v>
      </c>
      <c r="CO120" s="366">
        <v>200.79</v>
      </c>
      <c r="CP120" s="366">
        <v>194.1</v>
      </c>
      <c r="CQ120" s="366">
        <v>194.1</v>
      </c>
      <c r="CR120" s="366">
        <v>152.11000000000001</v>
      </c>
      <c r="CS120" s="366">
        <v>152.11000000000001</v>
      </c>
      <c r="CT120" s="366">
        <v>142.66999999999999</v>
      </c>
      <c r="CU120" s="366">
        <v>150.54</v>
      </c>
      <c r="CV120" s="366">
        <v>144.49</v>
      </c>
      <c r="CW120" s="366">
        <v>507.75</v>
      </c>
      <c r="CX120" s="366">
        <v>238.13</v>
      </c>
      <c r="CY120" s="366">
        <v>345.73</v>
      </c>
      <c r="CZ120" s="366">
        <v>339.35</v>
      </c>
      <c r="DA120" s="366">
        <v>486.3</v>
      </c>
      <c r="DB120" s="366">
        <v>487.14</v>
      </c>
      <c r="DC120" s="366">
        <v>487.14</v>
      </c>
      <c r="DD120" s="366">
        <v>38.31</v>
      </c>
      <c r="DE120" s="366">
        <v>563.92999999999995</v>
      </c>
      <c r="DF120" s="366">
        <v>488.92</v>
      </c>
      <c r="DG120" s="366">
        <v>261.91000000000003</v>
      </c>
      <c r="DH120" s="366">
        <v>626.49</v>
      </c>
      <c r="DI120" s="366">
        <v>119.26</v>
      </c>
      <c r="DJ120" s="366">
        <v>323.14999999999998</v>
      </c>
      <c r="DK120" s="366">
        <v>305.63</v>
      </c>
      <c r="DL120" s="366">
        <v>179.74</v>
      </c>
      <c r="DM120" s="366">
        <v>413.51</v>
      </c>
      <c r="DN120" s="366">
        <v>134.02000000000001</v>
      </c>
      <c r="DO120" s="366">
        <v>332.2</v>
      </c>
      <c r="DP120" s="366">
        <v>0</v>
      </c>
      <c r="DQ120" s="366">
        <v>493.24</v>
      </c>
      <c r="DR120" s="366">
        <v>626.49</v>
      </c>
      <c r="DS120" s="366">
        <v>201.69</v>
      </c>
      <c r="DT120" s="366">
        <v>189.98</v>
      </c>
      <c r="DU120" s="366">
        <v>516.64</v>
      </c>
      <c r="DV120" s="366">
        <v>571.33000000000004</v>
      </c>
      <c r="DW120" s="366">
        <v>306.77999999999997</v>
      </c>
      <c r="DX120" s="366">
        <v>468.22</v>
      </c>
      <c r="DY120" s="366">
        <v>541.61</v>
      </c>
      <c r="DZ120" s="366">
        <v>47.98</v>
      </c>
      <c r="EA120" s="366">
        <v>184.46</v>
      </c>
      <c r="EB120" s="366">
        <v>535.61</v>
      </c>
      <c r="EC120" s="366">
        <v>204.4</v>
      </c>
      <c r="ED120" s="366">
        <v>149.03</v>
      </c>
      <c r="EE120" s="366">
        <v>159.82</v>
      </c>
      <c r="EF120" s="366">
        <v>109.77</v>
      </c>
      <c r="EG120" s="366">
        <v>124.98</v>
      </c>
      <c r="EH120" s="366">
        <v>124.98</v>
      </c>
      <c r="EI120" s="366">
        <v>233.01</v>
      </c>
      <c r="EJ120" s="366">
        <v>614.54999999999995</v>
      </c>
      <c r="EK120" s="366">
        <v>344.24</v>
      </c>
      <c r="EL120" s="366">
        <v>344.24</v>
      </c>
      <c r="EM120" s="366">
        <v>438.35</v>
      </c>
      <c r="EN120" s="366">
        <v>438.35</v>
      </c>
      <c r="EO120" s="366">
        <v>207.96</v>
      </c>
      <c r="EP120" s="366">
        <v>248.92</v>
      </c>
      <c r="EQ120" s="366">
        <v>133.18</v>
      </c>
      <c r="ER120" s="366">
        <v>319.05</v>
      </c>
      <c r="ES120" s="366">
        <v>425.83</v>
      </c>
      <c r="ET120" s="366">
        <v>169.44</v>
      </c>
      <c r="EU120" s="366">
        <v>440.56</v>
      </c>
      <c r="EV120" s="366">
        <v>51.15</v>
      </c>
      <c r="EW120" s="366">
        <v>232.39</v>
      </c>
      <c r="EX120" s="366">
        <v>402.57</v>
      </c>
      <c r="EY120" s="366">
        <v>402.57</v>
      </c>
      <c r="EZ120" s="366">
        <v>482.89</v>
      </c>
      <c r="FA120" s="366">
        <v>435.52</v>
      </c>
      <c r="FB120" s="366">
        <v>289.93</v>
      </c>
      <c r="FC120" s="366">
        <v>488.36</v>
      </c>
      <c r="FD120" s="366">
        <v>343.55</v>
      </c>
      <c r="FE120" s="366">
        <v>236.84</v>
      </c>
      <c r="FF120" s="366">
        <v>279.10000000000002</v>
      </c>
      <c r="FG120" s="366">
        <v>402.01</v>
      </c>
      <c r="FH120" s="366">
        <v>402.01</v>
      </c>
      <c r="FI120" s="366">
        <v>62.02</v>
      </c>
      <c r="FJ120" s="366">
        <v>67.81</v>
      </c>
      <c r="FK120" s="366">
        <v>453.57</v>
      </c>
      <c r="FL120" s="366">
        <v>451.76</v>
      </c>
      <c r="FM120" s="366">
        <v>207.96</v>
      </c>
      <c r="FN120" s="366">
        <v>81.900000000000006</v>
      </c>
      <c r="FO120" s="366">
        <v>192.83</v>
      </c>
      <c r="FP120" s="366">
        <v>520.71</v>
      </c>
      <c r="FQ120" s="366">
        <v>196.7</v>
      </c>
      <c r="FR120" s="366">
        <v>265.08999999999997</v>
      </c>
      <c r="FS120" s="366">
        <v>279.81</v>
      </c>
      <c r="FT120" s="366">
        <v>307.99</v>
      </c>
      <c r="FU120" s="366">
        <v>303.95</v>
      </c>
      <c r="FV120" s="366">
        <v>504.46</v>
      </c>
      <c r="FW120" s="366">
        <v>504.46</v>
      </c>
      <c r="FX120" s="366">
        <v>504.46</v>
      </c>
      <c r="FY120" s="366">
        <v>384.66</v>
      </c>
      <c r="FZ120" s="366">
        <v>259.70999999999998</v>
      </c>
      <c r="GA120" s="366">
        <v>511.81</v>
      </c>
      <c r="GB120" s="366">
        <v>318.27999999999997</v>
      </c>
      <c r="GC120" s="366">
        <v>149.03</v>
      </c>
      <c r="GD120" s="366">
        <v>325.31</v>
      </c>
      <c r="GE120" s="366">
        <v>142.57</v>
      </c>
      <c r="GF120" s="366">
        <v>317.48</v>
      </c>
      <c r="GG120" s="366">
        <v>317.48</v>
      </c>
      <c r="GH120" s="366">
        <v>560.26</v>
      </c>
      <c r="GI120" s="366">
        <v>208.12</v>
      </c>
      <c r="GJ120" s="366">
        <v>207.96</v>
      </c>
      <c r="GK120" s="366">
        <v>450.12</v>
      </c>
      <c r="GL120" s="366">
        <v>246.68</v>
      </c>
      <c r="GM120" s="366">
        <v>246.68</v>
      </c>
      <c r="GN120" s="366">
        <v>246.68</v>
      </c>
      <c r="GO120" s="366">
        <v>155.22999999999999</v>
      </c>
      <c r="GP120" s="366">
        <v>517.22</v>
      </c>
      <c r="GQ120" s="366">
        <v>495.83</v>
      </c>
      <c r="GR120" s="366">
        <v>180.37</v>
      </c>
      <c r="GS120" s="366">
        <v>134.97999999999999</v>
      </c>
      <c r="GT120" s="366">
        <v>124.98</v>
      </c>
      <c r="GU120" s="366">
        <v>298.91000000000003</v>
      </c>
      <c r="GV120" s="366">
        <v>621.74</v>
      </c>
      <c r="GW120" s="366">
        <v>262.39999999999998</v>
      </c>
      <c r="GX120" s="366">
        <v>121.55</v>
      </c>
      <c r="GY120" s="366">
        <v>211.79</v>
      </c>
      <c r="GZ120" s="366">
        <v>343.27</v>
      </c>
      <c r="HA120" s="366">
        <v>198.24</v>
      </c>
      <c r="HB120" s="366">
        <v>198.24</v>
      </c>
      <c r="HC120" s="366">
        <v>198.24</v>
      </c>
      <c r="HD120" s="366">
        <v>84.27</v>
      </c>
      <c r="HE120" s="366">
        <v>432.2</v>
      </c>
      <c r="HF120" s="366">
        <v>388.49</v>
      </c>
      <c r="HG120" s="366">
        <v>516.14</v>
      </c>
      <c r="HH120" s="366">
        <v>516.14</v>
      </c>
      <c r="HI120" s="366">
        <v>516.14</v>
      </c>
      <c r="HJ120" s="366">
        <v>296.61</v>
      </c>
      <c r="HK120" s="366">
        <v>51.6</v>
      </c>
      <c r="HL120" s="366">
        <v>451.74</v>
      </c>
      <c r="HM120" s="366">
        <v>205.24</v>
      </c>
      <c r="HN120" s="366">
        <v>207.96</v>
      </c>
      <c r="HO120" s="366">
        <v>408.72</v>
      </c>
      <c r="HP120" s="366">
        <v>343.99</v>
      </c>
      <c r="HQ120" s="366">
        <v>504.46</v>
      </c>
      <c r="HR120" s="366">
        <v>254.71</v>
      </c>
      <c r="HS120" s="366">
        <v>204.21</v>
      </c>
      <c r="HT120" s="366">
        <v>156.37</v>
      </c>
      <c r="HU120" s="366">
        <v>190.89</v>
      </c>
      <c r="HV120" s="366">
        <v>251.22</v>
      </c>
    </row>
    <row r="121" spans="1:230">
      <c r="A121" s="366" t="s">
        <v>142</v>
      </c>
      <c r="B121" s="366">
        <v>836.01</v>
      </c>
      <c r="C121" s="366">
        <v>381.47</v>
      </c>
      <c r="D121" s="366">
        <v>282.24</v>
      </c>
      <c r="E121" s="366">
        <v>282.24</v>
      </c>
      <c r="F121" s="366">
        <v>899.91</v>
      </c>
      <c r="G121" s="366">
        <v>707.48</v>
      </c>
      <c r="H121" s="366">
        <v>325.86</v>
      </c>
      <c r="I121" s="366">
        <v>326.52999999999997</v>
      </c>
      <c r="J121" s="366">
        <v>349.64</v>
      </c>
      <c r="K121" s="366">
        <v>349.64</v>
      </c>
      <c r="L121" s="366">
        <v>272.85000000000002</v>
      </c>
      <c r="M121" s="366">
        <v>406.89</v>
      </c>
      <c r="N121" s="366">
        <v>457.2</v>
      </c>
      <c r="O121" s="366">
        <v>187.39</v>
      </c>
      <c r="P121" s="366">
        <v>187.39</v>
      </c>
      <c r="Q121" s="366">
        <v>187.39</v>
      </c>
      <c r="R121" s="366">
        <v>187.39</v>
      </c>
      <c r="S121" s="366">
        <v>187.39</v>
      </c>
      <c r="T121" s="366">
        <v>401.03</v>
      </c>
      <c r="U121" s="366">
        <v>815.52</v>
      </c>
      <c r="V121" s="366">
        <v>35.43</v>
      </c>
      <c r="W121" s="366">
        <v>544.39</v>
      </c>
      <c r="X121" s="366">
        <v>544.39</v>
      </c>
      <c r="Y121" s="366">
        <v>544.39</v>
      </c>
      <c r="Z121" s="366">
        <v>272.36</v>
      </c>
      <c r="AA121" s="366">
        <v>701.65</v>
      </c>
      <c r="AB121" s="366">
        <v>460.77</v>
      </c>
      <c r="AC121" s="366">
        <v>463.23</v>
      </c>
      <c r="AD121" s="366">
        <v>463.23</v>
      </c>
      <c r="AE121" s="366">
        <v>231.34</v>
      </c>
      <c r="AF121" s="366">
        <v>721.22</v>
      </c>
      <c r="AG121" s="366">
        <v>545.91</v>
      </c>
      <c r="AH121" s="366">
        <v>280.48</v>
      </c>
      <c r="AI121" s="366">
        <v>280.48</v>
      </c>
      <c r="AJ121" s="366">
        <v>280.48</v>
      </c>
      <c r="AK121" s="366">
        <v>294.56</v>
      </c>
      <c r="AL121" s="366">
        <v>294.56</v>
      </c>
      <c r="AM121" s="366">
        <v>463.49</v>
      </c>
      <c r="AN121" s="366">
        <v>228.22</v>
      </c>
      <c r="AO121" s="366">
        <v>714.6</v>
      </c>
      <c r="AP121" s="366">
        <v>389.75</v>
      </c>
      <c r="AQ121" s="366">
        <v>856.45</v>
      </c>
      <c r="AR121" s="366">
        <v>412.41</v>
      </c>
      <c r="AS121" s="366">
        <v>197.4</v>
      </c>
      <c r="AT121" s="366">
        <v>197.4</v>
      </c>
      <c r="AU121" s="366">
        <v>70.63</v>
      </c>
      <c r="AV121" s="366">
        <v>846.57</v>
      </c>
      <c r="AW121" s="366">
        <v>393.96</v>
      </c>
      <c r="AX121" s="366">
        <v>347.13</v>
      </c>
      <c r="AY121" s="366">
        <v>492.91</v>
      </c>
      <c r="AZ121" s="366">
        <v>350.09</v>
      </c>
      <c r="BA121" s="366">
        <v>676.83</v>
      </c>
      <c r="BB121" s="366">
        <v>495.8</v>
      </c>
      <c r="BC121" s="366">
        <v>618.89</v>
      </c>
      <c r="BD121" s="366">
        <v>528.66</v>
      </c>
      <c r="BE121" s="366">
        <v>39.49</v>
      </c>
      <c r="BF121" s="366">
        <v>457.74</v>
      </c>
      <c r="BG121" s="366">
        <v>279.91000000000003</v>
      </c>
      <c r="BH121" s="366">
        <v>187.39</v>
      </c>
      <c r="BI121" s="366">
        <v>412.44</v>
      </c>
      <c r="BJ121" s="366">
        <v>218.03</v>
      </c>
      <c r="BK121" s="366">
        <v>417.87</v>
      </c>
      <c r="BL121" s="366">
        <v>275.24</v>
      </c>
      <c r="BM121" s="366">
        <v>298.45</v>
      </c>
      <c r="BN121" s="366">
        <v>741.84</v>
      </c>
      <c r="BO121" s="366">
        <v>460.07</v>
      </c>
      <c r="BP121" s="366">
        <v>425.93</v>
      </c>
      <c r="BQ121" s="366">
        <v>305.83</v>
      </c>
      <c r="BR121" s="366">
        <v>305.83</v>
      </c>
      <c r="BS121" s="366">
        <v>357.66</v>
      </c>
      <c r="BT121" s="366">
        <v>396.87</v>
      </c>
      <c r="BU121" s="366">
        <v>441.27</v>
      </c>
      <c r="BV121" s="366">
        <v>460.89</v>
      </c>
      <c r="BW121" s="366">
        <v>38.700000000000003</v>
      </c>
      <c r="BX121" s="366">
        <v>298.75</v>
      </c>
      <c r="BY121" s="366">
        <v>62.91</v>
      </c>
      <c r="BZ121" s="366">
        <v>62.91</v>
      </c>
      <c r="CA121" s="366">
        <v>425.9</v>
      </c>
      <c r="CB121" s="366">
        <v>317.18</v>
      </c>
      <c r="CC121" s="366">
        <v>318.3</v>
      </c>
      <c r="CD121" s="366">
        <v>320.7</v>
      </c>
      <c r="CE121" s="366">
        <v>401.1</v>
      </c>
      <c r="CF121" s="366">
        <v>719.95</v>
      </c>
      <c r="CG121" s="366">
        <v>719.95</v>
      </c>
      <c r="CH121" s="366">
        <v>320.83</v>
      </c>
      <c r="CI121" s="366">
        <v>223.74</v>
      </c>
      <c r="CJ121" s="366">
        <v>730.9</v>
      </c>
      <c r="CK121" s="366">
        <v>68</v>
      </c>
      <c r="CL121" s="366">
        <v>84.42</v>
      </c>
      <c r="CM121" s="366">
        <v>565.16999999999996</v>
      </c>
      <c r="CN121" s="366">
        <v>167.4</v>
      </c>
      <c r="CO121" s="366">
        <v>411.02</v>
      </c>
      <c r="CP121" s="366">
        <v>299.14</v>
      </c>
      <c r="CQ121" s="366">
        <v>299.14</v>
      </c>
      <c r="CR121" s="366">
        <v>363.42</v>
      </c>
      <c r="CS121" s="366">
        <v>363.42</v>
      </c>
      <c r="CT121" s="366">
        <v>372.86</v>
      </c>
      <c r="CU121" s="366">
        <v>364.99</v>
      </c>
      <c r="CV121" s="366">
        <v>367.59</v>
      </c>
      <c r="CW121" s="366">
        <v>35.43</v>
      </c>
      <c r="CX121" s="366">
        <v>337.37</v>
      </c>
      <c r="CY121" s="366">
        <v>611.59</v>
      </c>
      <c r="CZ121" s="366">
        <v>632.83000000000004</v>
      </c>
      <c r="DA121" s="366">
        <v>395.25</v>
      </c>
      <c r="DB121" s="366">
        <v>214.01</v>
      </c>
      <c r="DC121" s="366">
        <v>214.01</v>
      </c>
      <c r="DD121" s="366">
        <v>531.54999999999995</v>
      </c>
      <c r="DE121" s="366">
        <v>472.88</v>
      </c>
      <c r="DF121" s="366">
        <v>884.37</v>
      </c>
      <c r="DG121" s="366">
        <v>253.39</v>
      </c>
      <c r="DH121" s="366">
        <v>535.44000000000005</v>
      </c>
      <c r="DI121" s="366">
        <v>585.77</v>
      </c>
      <c r="DJ121" s="366">
        <v>649.03</v>
      </c>
      <c r="DK121" s="366">
        <v>261.17</v>
      </c>
      <c r="DL121" s="366">
        <v>447.27</v>
      </c>
      <c r="DM121" s="366">
        <v>369.05</v>
      </c>
      <c r="DN121" s="366">
        <v>600.53</v>
      </c>
      <c r="DO121" s="366">
        <v>287.74</v>
      </c>
      <c r="DP121" s="366">
        <v>493.24</v>
      </c>
      <c r="DQ121" s="366">
        <v>0</v>
      </c>
      <c r="DR121" s="366">
        <v>535.44000000000005</v>
      </c>
      <c r="DS121" s="366">
        <v>388.89</v>
      </c>
      <c r="DT121" s="366">
        <v>377.18</v>
      </c>
      <c r="DU121" s="366">
        <v>364.91</v>
      </c>
      <c r="DV121" s="366">
        <v>298.2</v>
      </c>
      <c r="DW121" s="366">
        <v>213.82</v>
      </c>
      <c r="DX121" s="366">
        <v>25.02</v>
      </c>
      <c r="DY121" s="366">
        <v>69.290000000000006</v>
      </c>
      <c r="DZ121" s="366">
        <v>541.22</v>
      </c>
      <c r="EA121" s="366">
        <v>394.69</v>
      </c>
      <c r="EB121" s="366">
        <v>63.29</v>
      </c>
      <c r="EC121" s="366">
        <v>307.68</v>
      </c>
      <c r="ED121" s="366">
        <v>615.54</v>
      </c>
      <c r="EE121" s="366">
        <v>626.33000000000004</v>
      </c>
      <c r="EF121" s="366">
        <v>383.47</v>
      </c>
      <c r="EG121" s="366">
        <v>393.96</v>
      </c>
      <c r="EH121" s="366">
        <v>393.96</v>
      </c>
      <c r="EI121" s="366">
        <v>304.35000000000002</v>
      </c>
      <c r="EJ121" s="366">
        <v>570.09</v>
      </c>
      <c r="EK121" s="366">
        <v>182.78</v>
      </c>
      <c r="EL121" s="366">
        <v>182.78</v>
      </c>
      <c r="EM121" s="366">
        <v>117.66</v>
      </c>
      <c r="EN121" s="366">
        <v>117.66</v>
      </c>
      <c r="EO121" s="366">
        <v>463.49</v>
      </c>
      <c r="EP121" s="366">
        <v>386.35</v>
      </c>
      <c r="EQ121" s="366">
        <v>382.35</v>
      </c>
      <c r="ER121" s="366">
        <v>785.56</v>
      </c>
      <c r="ES121" s="366">
        <v>381.37</v>
      </c>
      <c r="ET121" s="366">
        <v>323.8</v>
      </c>
      <c r="EU121" s="366">
        <v>836.01</v>
      </c>
      <c r="EV121" s="366">
        <v>544.39</v>
      </c>
      <c r="EW121" s="366">
        <v>305.27</v>
      </c>
      <c r="EX121" s="366">
        <v>358.11</v>
      </c>
      <c r="EY121" s="366">
        <v>358.11</v>
      </c>
      <c r="EZ121" s="366">
        <v>138.18</v>
      </c>
      <c r="FA121" s="366">
        <v>83.54</v>
      </c>
      <c r="FB121" s="366">
        <v>245.47</v>
      </c>
      <c r="FC121" s="366">
        <v>45.16</v>
      </c>
      <c r="FD121" s="366">
        <v>210.91</v>
      </c>
      <c r="FE121" s="366">
        <v>308.18</v>
      </c>
      <c r="FF121" s="366">
        <v>283.36</v>
      </c>
      <c r="FG121" s="366">
        <v>667.87</v>
      </c>
      <c r="FH121" s="366">
        <v>667.87</v>
      </c>
      <c r="FI121" s="366">
        <v>525.26</v>
      </c>
      <c r="FJ121" s="366">
        <v>531.04999999999995</v>
      </c>
      <c r="FK121" s="366">
        <v>409.11</v>
      </c>
      <c r="FL121" s="366">
        <v>407.3</v>
      </c>
      <c r="FM121" s="366">
        <v>463.49</v>
      </c>
      <c r="FN121" s="366">
        <v>575.14</v>
      </c>
      <c r="FO121" s="366">
        <v>403.06</v>
      </c>
      <c r="FP121" s="366">
        <v>48.39</v>
      </c>
      <c r="FQ121" s="366">
        <v>406.93</v>
      </c>
      <c r="FR121" s="366">
        <v>290.19</v>
      </c>
      <c r="FS121" s="366">
        <v>213.43</v>
      </c>
      <c r="FT121" s="366">
        <v>664.19</v>
      </c>
      <c r="FU121" s="366">
        <v>211.35</v>
      </c>
      <c r="FV121" s="366">
        <v>899.91</v>
      </c>
      <c r="FW121" s="366">
        <v>899.91</v>
      </c>
      <c r="FX121" s="366">
        <v>899.91</v>
      </c>
      <c r="FY121" s="366">
        <v>108.58</v>
      </c>
      <c r="FZ121" s="366">
        <v>298.08999999999997</v>
      </c>
      <c r="GA121" s="366">
        <v>39.49</v>
      </c>
      <c r="GB121" s="366">
        <v>251.9</v>
      </c>
      <c r="GC121" s="366">
        <v>615.54</v>
      </c>
      <c r="GD121" s="366">
        <v>280.85000000000002</v>
      </c>
      <c r="GE121" s="366">
        <v>372.96</v>
      </c>
      <c r="GF121" s="366">
        <v>197.82</v>
      </c>
      <c r="GG121" s="366">
        <v>197.82</v>
      </c>
      <c r="GH121" s="366">
        <v>87.94</v>
      </c>
      <c r="GI121" s="366">
        <v>463.65</v>
      </c>
      <c r="GJ121" s="366">
        <v>463.49</v>
      </c>
      <c r="GK121" s="366">
        <v>405.66</v>
      </c>
      <c r="GL121" s="366">
        <v>290.68</v>
      </c>
      <c r="GM121" s="366">
        <v>290.68</v>
      </c>
      <c r="GN121" s="366">
        <v>290.68</v>
      </c>
      <c r="GO121" s="366">
        <v>428.93</v>
      </c>
      <c r="GP121" s="366">
        <v>44.9</v>
      </c>
      <c r="GQ121" s="366">
        <v>451.37</v>
      </c>
      <c r="GR121" s="366">
        <v>491.72</v>
      </c>
      <c r="GS121" s="366">
        <v>358.26</v>
      </c>
      <c r="GT121" s="366">
        <v>393.96</v>
      </c>
      <c r="GU121" s="366">
        <v>216.05</v>
      </c>
      <c r="GV121" s="366">
        <v>577.28</v>
      </c>
      <c r="GW121" s="366">
        <v>266.66000000000003</v>
      </c>
      <c r="GX121" s="366">
        <v>390.53</v>
      </c>
      <c r="GY121" s="366">
        <v>281.45</v>
      </c>
      <c r="GZ121" s="366">
        <v>210.63</v>
      </c>
      <c r="HA121" s="366">
        <v>408.47</v>
      </c>
      <c r="HB121" s="366">
        <v>408.47</v>
      </c>
      <c r="HC121" s="366">
        <v>408.47</v>
      </c>
      <c r="HD121" s="366">
        <v>577.51</v>
      </c>
      <c r="HE121" s="366">
        <v>111.51</v>
      </c>
      <c r="HF121" s="366">
        <v>148.65</v>
      </c>
      <c r="HG121" s="366">
        <v>243.01</v>
      </c>
      <c r="HH121" s="366">
        <v>243.01</v>
      </c>
      <c r="HI121" s="366">
        <v>243.01</v>
      </c>
      <c r="HJ121" s="366">
        <v>218.69</v>
      </c>
      <c r="HK121" s="366">
        <v>466.45</v>
      </c>
      <c r="HL121" s="366">
        <v>154.01</v>
      </c>
      <c r="HM121" s="366">
        <v>460.77</v>
      </c>
      <c r="HN121" s="366">
        <v>463.49</v>
      </c>
      <c r="HO121" s="366">
        <v>869.21</v>
      </c>
      <c r="HP121" s="366">
        <v>211.35</v>
      </c>
      <c r="HQ121" s="366">
        <v>899.91</v>
      </c>
      <c r="HR121" s="366">
        <v>721.22</v>
      </c>
      <c r="HS121" s="366">
        <v>459.74</v>
      </c>
      <c r="HT121" s="366">
        <v>342.06</v>
      </c>
      <c r="HU121" s="366">
        <v>309.31</v>
      </c>
      <c r="HV121" s="366">
        <v>327.63</v>
      </c>
    </row>
    <row r="122" spans="1:230">
      <c r="A122" s="366" t="s">
        <v>143</v>
      </c>
      <c r="B122" s="366">
        <v>1067.05</v>
      </c>
      <c r="C122" s="366">
        <v>200.56</v>
      </c>
      <c r="D122" s="366">
        <v>396.65</v>
      </c>
      <c r="E122" s="366">
        <v>396.65</v>
      </c>
      <c r="F122" s="366">
        <v>1130.95</v>
      </c>
      <c r="G122" s="366">
        <v>867.46</v>
      </c>
      <c r="H122" s="366">
        <v>440.27</v>
      </c>
      <c r="I122" s="366">
        <v>576.78</v>
      </c>
      <c r="J122" s="366">
        <v>464.05</v>
      </c>
      <c r="K122" s="366">
        <v>464.05</v>
      </c>
      <c r="L122" s="366">
        <v>378.74</v>
      </c>
      <c r="M122" s="366">
        <v>226.18</v>
      </c>
      <c r="N122" s="366">
        <v>78.239999999999995</v>
      </c>
      <c r="O122" s="366">
        <v>541.61</v>
      </c>
      <c r="P122" s="366">
        <v>541.61</v>
      </c>
      <c r="Q122" s="366">
        <v>541.61</v>
      </c>
      <c r="R122" s="366">
        <v>541.61</v>
      </c>
      <c r="S122" s="366">
        <v>541.61</v>
      </c>
      <c r="T122" s="366">
        <v>651.28</v>
      </c>
      <c r="U122" s="366">
        <v>975.5</v>
      </c>
      <c r="V122" s="366">
        <v>549.95000000000005</v>
      </c>
      <c r="W122" s="366">
        <v>677.64</v>
      </c>
      <c r="X122" s="366">
        <v>677.64</v>
      </c>
      <c r="Y122" s="366">
        <v>677.64</v>
      </c>
      <c r="Z122" s="366">
        <v>263.08</v>
      </c>
      <c r="AA122" s="366">
        <v>861.63</v>
      </c>
      <c r="AB122" s="366">
        <v>711.02</v>
      </c>
      <c r="AC122" s="366">
        <v>713.48</v>
      </c>
      <c r="AD122" s="366">
        <v>713.48</v>
      </c>
      <c r="AE122" s="366">
        <v>447.55</v>
      </c>
      <c r="AF122" s="366">
        <v>881.2</v>
      </c>
      <c r="AG122" s="366">
        <v>679.16</v>
      </c>
      <c r="AH122" s="366">
        <v>530.73</v>
      </c>
      <c r="AI122" s="366">
        <v>530.73</v>
      </c>
      <c r="AJ122" s="366">
        <v>530.73</v>
      </c>
      <c r="AK122" s="366">
        <v>245.84</v>
      </c>
      <c r="AL122" s="366">
        <v>245.84</v>
      </c>
      <c r="AM122" s="366">
        <v>713.74</v>
      </c>
      <c r="AN122" s="366">
        <v>500.78</v>
      </c>
      <c r="AO122" s="366">
        <v>884.07</v>
      </c>
      <c r="AP122" s="366">
        <v>640</v>
      </c>
      <c r="AQ122" s="366">
        <v>1087.49</v>
      </c>
      <c r="AR122" s="366">
        <v>526.82000000000005</v>
      </c>
      <c r="AS122" s="366">
        <v>384.63</v>
      </c>
      <c r="AT122" s="366">
        <v>384.63</v>
      </c>
      <c r="AU122" s="366">
        <v>464.81</v>
      </c>
      <c r="AV122" s="366">
        <v>1006.55</v>
      </c>
      <c r="AW122" s="366">
        <v>508.37</v>
      </c>
      <c r="AX122" s="366">
        <v>597.38</v>
      </c>
      <c r="AY122" s="366">
        <v>43.69</v>
      </c>
      <c r="AZ122" s="366">
        <v>249.74</v>
      </c>
      <c r="BA122" s="366">
        <v>927.08</v>
      </c>
      <c r="BB122" s="366">
        <v>39.64</v>
      </c>
      <c r="BC122" s="366">
        <v>869.14</v>
      </c>
      <c r="BD122" s="366">
        <v>778.91</v>
      </c>
      <c r="BE122" s="366">
        <v>554.01</v>
      </c>
      <c r="BF122" s="366">
        <v>707.99</v>
      </c>
      <c r="BG122" s="366">
        <v>259.60000000000002</v>
      </c>
      <c r="BH122" s="366">
        <v>541.61</v>
      </c>
      <c r="BI122" s="366">
        <v>526.85</v>
      </c>
      <c r="BJ122" s="366">
        <v>352.37</v>
      </c>
      <c r="BK122" s="366">
        <v>394.2</v>
      </c>
      <c r="BL122" s="366">
        <v>403.65</v>
      </c>
      <c r="BM122" s="366">
        <v>412.86</v>
      </c>
      <c r="BN122" s="366">
        <v>901.82</v>
      </c>
      <c r="BO122" s="366">
        <v>436.4</v>
      </c>
      <c r="BP122" s="366">
        <v>402.26</v>
      </c>
      <c r="BQ122" s="366">
        <v>556.08000000000004</v>
      </c>
      <c r="BR122" s="366">
        <v>556.08000000000004</v>
      </c>
      <c r="BS122" s="366">
        <v>224.37</v>
      </c>
      <c r="BT122" s="366">
        <v>511.28</v>
      </c>
      <c r="BU122" s="366">
        <v>691.52</v>
      </c>
      <c r="BV122" s="366">
        <v>711.14</v>
      </c>
      <c r="BW122" s="366">
        <v>524.1</v>
      </c>
      <c r="BX122" s="366">
        <v>283.27999999999997</v>
      </c>
      <c r="BY122" s="366">
        <v>577.42999999999995</v>
      </c>
      <c r="BZ122" s="366">
        <v>577.42999999999995</v>
      </c>
      <c r="CA122" s="366">
        <v>540.30999999999995</v>
      </c>
      <c r="CB122" s="366">
        <v>293.51</v>
      </c>
      <c r="CC122" s="366">
        <v>568.54999999999995</v>
      </c>
      <c r="CD122" s="366">
        <v>570.95000000000005</v>
      </c>
      <c r="CE122" s="366">
        <v>377.43</v>
      </c>
      <c r="CF122" s="366">
        <v>879.93</v>
      </c>
      <c r="CG122" s="366">
        <v>879.93</v>
      </c>
      <c r="CH122" s="366">
        <v>571.08000000000004</v>
      </c>
      <c r="CI122" s="366">
        <v>484.57</v>
      </c>
      <c r="CJ122" s="366">
        <v>890.88</v>
      </c>
      <c r="CK122" s="366">
        <v>582.52</v>
      </c>
      <c r="CL122" s="366">
        <v>478.6</v>
      </c>
      <c r="CM122" s="366">
        <v>815.42</v>
      </c>
      <c r="CN122" s="366">
        <v>368.04</v>
      </c>
      <c r="CO122" s="366">
        <v>525.42999999999995</v>
      </c>
      <c r="CP122" s="366">
        <v>549.39</v>
      </c>
      <c r="CQ122" s="366">
        <v>549.39</v>
      </c>
      <c r="CR122" s="366">
        <v>477.83</v>
      </c>
      <c r="CS122" s="366">
        <v>477.83</v>
      </c>
      <c r="CT122" s="366">
        <v>487.27</v>
      </c>
      <c r="CU122" s="366">
        <v>479.4</v>
      </c>
      <c r="CV122" s="366">
        <v>482</v>
      </c>
      <c r="CW122" s="366">
        <v>549.95000000000005</v>
      </c>
      <c r="CX122" s="366">
        <v>587.62</v>
      </c>
      <c r="CY122" s="366">
        <v>861.84</v>
      </c>
      <c r="CZ122" s="366">
        <v>883.08</v>
      </c>
      <c r="DA122" s="366">
        <v>140.19</v>
      </c>
      <c r="DB122" s="366">
        <v>323.95999999999998</v>
      </c>
      <c r="DC122" s="366">
        <v>323.95999999999998</v>
      </c>
      <c r="DD122" s="366">
        <v>664.8</v>
      </c>
      <c r="DE122" s="366">
        <v>62.56</v>
      </c>
      <c r="DF122" s="366">
        <v>1115.4100000000001</v>
      </c>
      <c r="DG122" s="366">
        <v>514.22</v>
      </c>
      <c r="DH122" s="366">
        <v>0</v>
      </c>
      <c r="DI122" s="366">
        <v>745.75</v>
      </c>
      <c r="DJ122" s="366">
        <v>899.28</v>
      </c>
      <c r="DK122" s="366">
        <v>320.86</v>
      </c>
      <c r="DL122" s="366">
        <v>697.52</v>
      </c>
      <c r="DM122" s="366">
        <v>212.98</v>
      </c>
      <c r="DN122" s="366">
        <v>760.51</v>
      </c>
      <c r="DO122" s="366">
        <v>298.86</v>
      </c>
      <c r="DP122" s="366">
        <v>626.49</v>
      </c>
      <c r="DQ122" s="366">
        <v>535.44000000000005</v>
      </c>
      <c r="DR122" s="366">
        <v>0</v>
      </c>
      <c r="DS122" s="366">
        <v>503.3</v>
      </c>
      <c r="DT122" s="366">
        <v>491.59</v>
      </c>
      <c r="DU122" s="366">
        <v>170.53</v>
      </c>
      <c r="DV122" s="366">
        <v>237.24</v>
      </c>
      <c r="DW122" s="366">
        <v>368.21</v>
      </c>
      <c r="DX122" s="366">
        <v>510.42</v>
      </c>
      <c r="DY122" s="366">
        <v>583.80999999999995</v>
      </c>
      <c r="DZ122" s="366">
        <v>674.47</v>
      </c>
      <c r="EA122" s="366">
        <v>509.1</v>
      </c>
      <c r="EB122" s="366">
        <v>577.80999999999995</v>
      </c>
      <c r="EC122" s="366">
        <v>422.09</v>
      </c>
      <c r="ED122" s="366">
        <v>775.52</v>
      </c>
      <c r="EE122" s="366">
        <v>786.31</v>
      </c>
      <c r="EF122" s="366">
        <v>633.72</v>
      </c>
      <c r="EG122" s="366">
        <v>508.37</v>
      </c>
      <c r="EH122" s="366">
        <v>508.37</v>
      </c>
      <c r="EI122" s="366">
        <v>554.6</v>
      </c>
      <c r="EJ122" s="366">
        <v>546.41999999999996</v>
      </c>
      <c r="EK122" s="366">
        <v>433.03</v>
      </c>
      <c r="EL122" s="366">
        <v>433.03</v>
      </c>
      <c r="EM122" s="366">
        <v>430.08</v>
      </c>
      <c r="EN122" s="366">
        <v>430.08</v>
      </c>
      <c r="EO122" s="366">
        <v>713.74</v>
      </c>
      <c r="EP122" s="366">
        <v>636.6</v>
      </c>
      <c r="EQ122" s="366">
        <v>496.76</v>
      </c>
      <c r="ER122" s="366">
        <v>945.54</v>
      </c>
      <c r="ES122" s="366">
        <v>200.66</v>
      </c>
      <c r="ET122" s="366">
        <v>574.04999999999995</v>
      </c>
      <c r="EU122" s="366">
        <v>1067.05</v>
      </c>
      <c r="EV122" s="366">
        <v>677.64</v>
      </c>
      <c r="EW122" s="366">
        <v>555.52</v>
      </c>
      <c r="EX122" s="366">
        <v>334.44</v>
      </c>
      <c r="EY122" s="366">
        <v>334.44</v>
      </c>
      <c r="EZ122" s="366">
        <v>532.36</v>
      </c>
      <c r="FA122" s="366">
        <v>451.9</v>
      </c>
      <c r="FB122" s="366">
        <v>336.56</v>
      </c>
      <c r="FC122" s="366">
        <v>530.55999999999995</v>
      </c>
      <c r="FD122" s="366">
        <v>466.8</v>
      </c>
      <c r="FE122" s="366">
        <v>558.42999999999995</v>
      </c>
      <c r="FF122" s="366">
        <v>533.61</v>
      </c>
      <c r="FG122" s="366">
        <v>918.12</v>
      </c>
      <c r="FH122" s="366">
        <v>918.12</v>
      </c>
      <c r="FI122" s="366">
        <v>658.51</v>
      </c>
      <c r="FJ122" s="366">
        <v>664.3</v>
      </c>
      <c r="FK122" s="366">
        <v>228.4</v>
      </c>
      <c r="FL122" s="366">
        <v>226.59</v>
      </c>
      <c r="FM122" s="366">
        <v>713.74</v>
      </c>
      <c r="FN122" s="366">
        <v>708.39</v>
      </c>
      <c r="FO122" s="366">
        <v>517.47</v>
      </c>
      <c r="FP122" s="366">
        <v>562.91</v>
      </c>
      <c r="FQ122" s="366">
        <v>521.34</v>
      </c>
      <c r="FR122" s="366">
        <v>396.08</v>
      </c>
      <c r="FS122" s="366">
        <v>463.68</v>
      </c>
      <c r="FT122" s="366">
        <v>914.44</v>
      </c>
      <c r="FU122" s="366">
        <v>472.18</v>
      </c>
      <c r="FV122" s="366">
        <v>1130.95</v>
      </c>
      <c r="FW122" s="366">
        <v>1130.95</v>
      </c>
      <c r="FX122" s="366">
        <v>1130.95</v>
      </c>
      <c r="FY122" s="366">
        <v>460.15</v>
      </c>
      <c r="FZ122" s="366">
        <v>548.34</v>
      </c>
      <c r="GA122" s="366">
        <v>554.01</v>
      </c>
      <c r="GB122" s="366">
        <v>502.15</v>
      </c>
      <c r="GC122" s="366">
        <v>775.52</v>
      </c>
      <c r="GD122" s="366">
        <v>301.18</v>
      </c>
      <c r="GE122" s="366">
        <v>487.37</v>
      </c>
      <c r="GF122" s="366">
        <v>458.65</v>
      </c>
      <c r="GG122" s="366">
        <v>458.65</v>
      </c>
      <c r="GH122" s="366">
        <v>602.46</v>
      </c>
      <c r="GI122" s="366">
        <v>713.9</v>
      </c>
      <c r="GJ122" s="366">
        <v>713.74</v>
      </c>
      <c r="GK122" s="366">
        <v>224.95</v>
      </c>
      <c r="GL122" s="366">
        <v>540.92999999999995</v>
      </c>
      <c r="GM122" s="366">
        <v>540.92999999999995</v>
      </c>
      <c r="GN122" s="366">
        <v>540.92999999999995</v>
      </c>
      <c r="GO122" s="366">
        <v>679.18</v>
      </c>
      <c r="GP122" s="366">
        <v>559.41999999999996</v>
      </c>
      <c r="GQ122" s="366">
        <v>427.7</v>
      </c>
      <c r="GR122" s="366">
        <v>741.97</v>
      </c>
      <c r="GS122" s="366">
        <v>608.51</v>
      </c>
      <c r="GT122" s="366">
        <v>508.37</v>
      </c>
      <c r="GU122" s="366">
        <v>465.72</v>
      </c>
      <c r="GV122" s="366">
        <v>553.61</v>
      </c>
      <c r="GW122" s="366">
        <v>516.91</v>
      </c>
      <c r="GX122" s="366">
        <v>504.94</v>
      </c>
      <c r="GY122" s="366">
        <v>531.70000000000005</v>
      </c>
      <c r="GZ122" s="366">
        <v>466.52</v>
      </c>
      <c r="HA122" s="366">
        <v>522.88</v>
      </c>
      <c r="HB122" s="366">
        <v>522.88</v>
      </c>
      <c r="HC122" s="366">
        <v>522.88</v>
      </c>
      <c r="HD122" s="366">
        <v>710.76</v>
      </c>
      <c r="HE122" s="366">
        <v>423.93</v>
      </c>
      <c r="HF122" s="366">
        <v>420.8</v>
      </c>
      <c r="HG122" s="366">
        <v>360.94</v>
      </c>
      <c r="HH122" s="366">
        <v>360.94</v>
      </c>
      <c r="HI122" s="366">
        <v>360.94</v>
      </c>
      <c r="HJ122" s="366">
        <v>479.52</v>
      </c>
      <c r="HK122" s="366">
        <v>580.86</v>
      </c>
      <c r="HL122" s="366">
        <v>574.99</v>
      </c>
      <c r="HM122" s="366">
        <v>711.02</v>
      </c>
      <c r="HN122" s="366">
        <v>713.74</v>
      </c>
      <c r="HO122" s="366">
        <v>1035.21</v>
      </c>
      <c r="HP122" s="366">
        <v>467.24</v>
      </c>
      <c r="HQ122" s="366">
        <v>1130.95</v>
      </c>
      <c r="HR122" s="366">
        <v>881.2</v>
      </c>
      <c r="HS122" s="366">
        <v>709.99</v>
      </c>
      <c r="HT122" s="366">
        <v>592.30999999999995</v>
      </c>
      <c r="HU122" s="366">
        <v>559.55999999999995</v>
      </c>
      <c r="HV122" s="366">
        <v>577.88</v>
      </c>
    </row>
    <row r="123" spans="1:230">
      <c r="A123" s="366" t="s">
        <v>144</v>
      </c>
      <c r="B123" s="366">
        <v>642.25</v>
      </c>
      <c r="C123" s="366">
        <v>302.74</v>
      </c>
      <c r="D123" s="366">
        <v>106.65</v>
      </c>
      <c r="E123" s="366">
        <v>106.65</v>
      </c>
      <c r="F123" s="366">
        <v>706.15</v>
      </c>
      <c r="G123" s="366">
        <v>442.66</v>
      </c>
      <c r="H123" s="366">
        <v>63.03</v>
      </c>
      <c r="I123" s="366">
        <v>338.4</v>
      </c>
      <c r="J123" s="366">
        <v>39.25</v>
      </c>
      <c r="K123" s="366">
        <v>39.25</v>
      </c>
      <c r="L123" s="366">
        <v>124.56</v>
      </c>
      <c r="M123" s="366">
        <v>328.16</v>
      </c>
      <c r="N123" s="366">
        <v>425.06</v>
      </c>
      <c r="O123" s="366">
        <v>348.47</v>
      </c>
      <c r="P123" s="366">
        <v>348.47</v>
      </c>
      <c r="Q123" s="366">
        <v>348.47</v>
      </c>
      <c r="R123" s="366">
        <v>348.47</v>
      </c>
      <c r="S123" s="366">
        <v>348.47</v>
      </c>
      <c r="T123" s="366">
        <v>349.44</v>
      </c>
      <c r="U123" s="366">
        <v>550.70000000000005</v>
      </c>
      <c r="V123" s="366">
        <v>403.4</v>
      </c>
      <c r="W123" s="366">
        <v>252.84</v>
      </c>
      <c r="X123" s="366">
        <v>252.84</v>
      </c>
      <c r="Y123" s="366">
        <v>252.84</v>
      </c>
      <c r="Z123" s="366">
        <v>441.14</v>
      </c>
      <c r="AA123" s="366">
        <v>436.83</v>
      </c>
      <c r="AB123" s="366">
        <v>376.93</v>
      </c>
      <c r="AC123" s="366">
        <v>369.06</v>
      </c>
      <c r="AD123" s="366">
        <v>369.06</v>
      </c>
      <c r="AE123" s="366">
        <v>157.55000000000001</v>
      </c>
      <c r="AF123" s="366">
        <v>456.4</v>
      </c>
      <c r="AG123" s="366">
        <v>254.36</v>
      </c>
      <c r="AH123" s="366">
        <v>337.59</v>
      </c>
      <c r="AI123" s="366">
        <v>337.59</v>
      </c>
      <c r="AJ123" s="366">
        <v>337.59</v>
      </c>
      <c r="AK123" s="366">
        <v>463.34</v>
      </c>
      <c r="AL123" s="366">
        <v>463.34</v>
      </c>
      <c r="AM123" s="366">
        <v>379.65</v>
      </c>
      <c r="AN123" s="366">
        <v>307.64</v>
      </c>
      <c r="AO123" s="366">
        <v>459.27</v>
      </c>
      <c r="AP123" s="366">
        <v>287.74</v>
      </c>
      <c r="AQ123" s="366">
        <v>662.69</v>
      </c>
      <c r="AR123" s="366">
        <v>48.19</v>
      </c>
      <c r="AS123" s="366">
        <v>200.01</v>
      </c>
      <c r="AT123" s="366">
        <v>200.01</v>
      </c>
      <c r="AU123" s="366">
        <v>318.26</v>
      </c>
      <c r="AV123" s="366">
        <v>581.75</v>
      </c>
      <c r="AW123" s="366">
        <v>83.57</v>
      </c>
      <c r="AX123" s="366">
        <v>404.24</v>
      </c>
      <c r="AY123" s="366">
        <v>460.77</v>
      </c>
      <c r="AZ123" s="366">
        <v>271.36</v>
      </c>
      <c r="BA123" s="366">
        <v>582.66</v>
      </c>
      <c r="BB123" s="366">
        <v>463.66</v>
      </c>
      <c r="BC123" s="366">
        <v>524.72</v>
      </c>
      <c r="BD123" s="366">
        <v>434.49</v>
      </c>
      <c r="BE123" s="366">
        <v>407.46</v>
      </c>
      <c r="BF123" s="366">
        <v>373.9</v>
      </c>
      <c r="BG123" s="366">
        <v>448.69</v>
      </c>
      <c r="BH123" s="366">
        <v>348.47</v>
      </c>
      <c r="BI123" s="366">
        <v>48.22</v>
      </c>
      <c r="BJ123" s="366">
        <v>386.81</v>
      </c>
      <c r="BK123" s="366">
        <v>339.14</v>
      </c>
      <c r="BL123" s="366">
        <v>113.65</v>
      </c>
      <c r="BM123" s="366">
        <v>90.44</v>
      </c>
      <c r="BN123" s="366">
        <v>477.02</v>
      </c>
      <c r="BO123" s="366">
        <v>381.34</v>
      </c>
      <c r="BP123" s="366">
        <v>347.2</v>
      </c>
      <c r="BQ123" s="366">
        <v>359.1</v>
      </c>
      <c r="BR123" s="366">
        <v>359.1</v>
      </c>
      <c r="BS123" s="366">
        <v>278.93</v>
      </c>
      <c r="BT123" s="366">
        <v>20.8</v>
      </c>
      <c r="BU123" s="366">
        <v>357.43</v>
      </c>
      <c r="BV123" s="366">
        <v>377.05</v>
      </c>
      <c r="BW123" s="366">
        <v>377.55</v>
      </c>
      <c r="BX123" s="366">
        <v>220.02</v>
      </c>
      <c r="BY123" s="366">
        <v>430.88</v>
      </c>
      <c r="BZ123" s="366">
        <v>430.88</v>
      </c>
      <c r="CA123" s="366">
        <v>115.51</v>
      </c>
      <c r="CB123" s="366">
        <v>238.45</v>
      </c>
      <c r="CC123" s="366">
        <v>375.41</v>
      </c>
      <c r="CD123" s="366">
        <v>377.81</v>
      </c>
      <c r="CE123" s="366">
        <v>322.37</v>
      </c>
      <c r="CF123" s="366">
        <v>455.13</v>
      </c>
      <c r="CG123" s="366">
        <v>455.13</v>
      </c>
      <c r="CH123" s="366">
        <v>344.1</v>
      </c>
      <c r="CI123" s="366">
        <v>291.43</v>
      </c>
      <c r="CJ123" s="366">
        <v>466.08</v>
      </c>
      <c r="CK123" s="366">
        <v>435.97</v>
      </c>
      <c r="CL123" s="366">
        <v>332.05</v>
      </c>
      <c r="CM123" s="366">
        <v>471</v>
      </c>
      <c r="CN123" s="366">
        <v>336.18</v>
      </c>
      <c r="CO123" s="366">
        <v>46.8</v>
      </c>
      <c r="CP123" s="366">
        <v>356.25</v>
      </c>
      <c r="CQ123" s="366">
        <v>356.25</v>
      </c>
      <c r="CR123" s="366">
        <v>53.03</v>
      </c>
      <c r="CS123" s="366">
        <v>53.03</v>
      </c>
      <c r="CT123" s="366">
        <v>62.47</v>
      </c>
      <c r="CU123" s="366">
        <v>54.6</v>
      </c>
      <c r="CV123" s="366">
        <v>57.2</v>
      </c>
      <c r="CW123" s="366">
        <v>403.4</v>
      </c>
      <c r="CX123" s="366">
        <v>394.48</v>
      </c>
      <c r="CY123" s="366">
        <v>517.41999999999996</v>
      </c>
      <c r="CZ123" s="366">
        <v>538.66</v>
      </c>
      <c r="DA123" s="366">
        <v>363.11</v>
      </c>
      <c r="DB123" s="366">
        <v>382.79</v>
      </c>
      <c r="DC123" s="366">
        <v>382.79</v>
      </c>
      <c r="DD123" s="366">
        <v>240</v>
      </c>
      <c r="DE123" s="366">
        <v>440.74</v>
      </c>
      <c r="DF123" s="366">
        <v>690.61</v>
      </c>
      <c r="DG123" s="366">
        <v>321.08</v>
      </c>
      <c r="DH123" s="366">
        <v>503.3</v>
      </c>
      <c r="DI123" s="366">
        <v>320.95</v>
      </c>
      <c r="DJ123" s="366">
        <v>524.84</v>
      </c>
      <c r="DK123" s="366">
        <v>182.44</v>
      </c>
      <c r="DL123" s="366">
        <v>351.43</v>
      </c>
      <c r="DM123" s="366">
        <v>290.32</v>
      </c>
      <c r="DN123" s="366">
        <v>335.71</v>
      </c>
      <c r="DO123" s="366">
        <v>209.01</v>
      </c>
      <c r="DP123" s="366">
        <v>201.69</v>
      </c>
      <c r="DQ123" s="366">
        <v>388.89</v>
      </c>
      <c r="DR123" s="366">
        <v>503.3</v>
      </c>
      <c r="DS123" s="366">
        <v>0</v>
      </c>
      <c r="DT123" s="366">
        <v>11.71</v>
      </c>
      <c r="DU123" s="366">
        <v>393.45</v>
      </c>
      <c r="DV123" s="366">
        <v>460.16</v>
      </c>
      <c r="DW123" s="366">
        <v>183.59</v>
      </c>
      <c r="DX123" s="366">
        <v>363.87</v>
      </c>
      <c r="DY123" s="366">
        <v>437.26</v>
      </c>
      <c r="DZ123" s="366">
        <v>249.67</v>
      </c>
      <c r="EA123" s="366">
        <v>30.47</v>
      </c>
      <c r="EB123" s="366">
        <v>431.26</v>
      </c>
      <c r="EC123" s="366">
        <v>81.209999999999994</v>
      </c>
      <c r="ED123" s="366">
        <v>350.72</v>
      </c>
      <c r="EE123" s="366">
        <v>361.51</v>
      </c>
      <c r="EF123" s="366">
        <v>281.45999999999998</v>
      </c>
      <c r="EG123" s="366">
        <v>83.57</v>
      </c>
      <c r="EH123" s="366">
        <v>83.57</v>
      </c>
      <c r="EI123" s="366">
        <v>361.46</v>
      </c>
      <c r="EJ123" s="366">
        <v>491.36</v>
      </c>
      <c r="EK123" s="366">
        <v>239.89</v>
      </c>
      <c r="EL123" s="366">
        <v>239.89</v>
      </c>
      <c r="EM123" s="366">
        <v>334</v>
      </c>
      <c r="EN123" s="366">
        <v>334</v>
      </c>
      <c r="EO123" s="366">
        <v>379.65</v>
      </c>
      <c r="EP123" s="366">
        <v>420.61</v>
      </c>
      <c r="EQ123" s="366">
        <v>71.959999999999994</v>
      </c>
      <c r="ER123" s="366">
        <v>520.74</v>
      </c>
      <c r="ES123" s="366">
        <v>302.64</v>
      </c>
      <c r="ET123" s="366">
        <v>341.13</v>
      </c>
      <c r="EU123" s="366">
        <v>642.25</v>
      </c>
      <c r="EV123" s="366">
        <v>252.84</v>
      </c>
      <c r="EW123" s="366">
        <v>362.38</v>
      </c>
      <c r="EX123" s="366">
        <v>279.38</v>
      </c>
      <c r="EY123" s="366">
        <v>279.38</v>
      </c>
      <c r="EZ123" s="366">
        <v>385.81</v>
      </c>
      <c r="FA123" s="366">
        <v>331.17</v>
      </c>
      <c r="FB123" s="366">
        <v>166.74</v>
      </c>
      <c r="FC123" s="366">
        <v>384.01</v>
      </c>
      <c r="FD123" s="366">
        <v>273.66000000000003</v>
      </c>
      <c r="FE123" s="366">
        <v>365.29</v>
      </c>
      <c r="FF123" s="366">
        <v>340.47</v>
      </c>
      <c r="FG123" s="366">
        <v>573.70000000000005</v>
      </c>
      <c r="FH123" s="366">
        <v>573.70000000000005</v>
      </c>
      <c r="FI123" s="366">
        <v>233.71</v>
      </c>
      <c r="FJ123" s="366">
        <v>239.5</v>
      </c>
      <c r="FK123" s="366">
        <v>330.38</v>
      </c>
      <c r="FL123" s="366">
        <v>328.57</v>
      </c>
      <c r="FM123" s="366">
        <v>379.65</v>
      </c>
      <c r="FN123" s="366">
        <v>283.58999999999997</v>
      </c>
      <c r="FO123" s="366">
        <v>38.840000000000003</v>
      </c>
      <c r="FP123" s="366">
        <v>416.36</v>
      </c>
      <c r="FQ123" s="366">
        <v>42.71</v>
      </c>
      <c r="FR123" s="366">
        <v>141.9</v>
      </c>
      <c r="FS123" s="366">
        <v>270.54000000000002</v>
      </c>
      <c r="FT123" s="366">
        <v>509.68</v>
      </c>
      <c r="FU123" s="366">
        <v>279.04000000000002</v>
      </c>
      <c r="FV123" s="366">
        <v>706.15</v>
      </c>
      <c r="FW123" s="366">
        <v>706.15</v>
      </c>
      <c r="FX123" s="366">
        <v>706.15</v>
      </c>
      <c r="FY123" s="366">
        <v>280.31</v>
      </c>
      <c r="FZ123" s="366">
        <v>355.2</v>
      </c>
      <c r="GA123" s="366">
        <v>407.46</v>
      </c>
      <c r="GB123" s="366">
        <v>309.01</v>
      </c>
      <c r="GC123" s="366">
        <v>350.72</v>
      </c>
      <c r="GD123" s="366">
        <v>202.12</v>
      </c>
      <c r="GE123" s="366">
        <v>62.57</v>
      </c>
      <c r="GF123" s="366">
        <v>265.51</v>
      </c>
      <c r="GG123" s="366">
        <v>265.51</v>
      </c>
      <c r="GH123" s="366">
        <v>455.91</v>
      </c>
      <c r="GI123" s="366">
        <v>379.81</v>
      </c>
      <c r="GJ123" s="366">
        <v>379.65</v>
      </c>
      <c r="GK123" s="366">
        <v>326.93</v>
      </c>
      <c r="GL123" s="366">
        <v>347.79</v>
      </c>
      <c r="GM123" s="366">
        <v>347.79</v>
      </c>
      <c r="GN123" s="366">
        <v>347.79</v>
      </c>
      <c r="GO123" s="366">
        <v>326.92</v>
      </c>
      <c r="GP123" s="366">
        <v>412.87</v>
      </c>
      <c r="GQ123" s="366">
        <v>372.64</v>
      </c>
      <c r="GR123" s="366">
        <v>382.06</v>
      </c>
      <c r="GS123" s="366">
        <v>306.67</v>
      </c>
      <c r="GT123" s="366">
        <v>83.57</v>
      </c>
      <c r="GU123" s="366">
        <v>175.72</v>
      </c>
      <c r="GV123" s="366">
        <v>498.55</v>
      </c>
      <c r="GW123" s="366">
        <v>323.77</v>
      </c>
      <c r="GX123" s="366">
        <v>80.14</v>
      </c>
      <c r="GY123" s="366">
        <v>338.56</v>
      </c>
      <c r="GZ123" s="366">
        <v>273.38</v>
      </c>
      <c r="HA123" s="366">
        <v>44.25</v>
      </c>
      <c r="HB123" s="366">
        <v>44.25</v>
      </c>
      <c r="HC123" s="366">
        <v>44.25</v>
      </c>
      <c r="HD123" s="366">
        <v>285.95999999999998</v>
      </c>
      <c r="HE123" s="366">
        <v>327.85</v>
      </c>
      <c r="HF123" s="366">
        <v>284.14</v>
      </c>
      <c r="HG123" s="366">
        <v>411.79</v>
      </c>
      <c r="HH123" s="366">
        <v>411.79</v>
      </c>
      <c r="HI123" s="366">
        <v>411.79</v>
      </c>
      <c r="HJ123" s="366">
        <v>286.38</v>
      </c>
      <c r="HK123" s="366">
        <v>156.06</v>
      </c>
      <c r="HL123" s="366">
        <v>381.85</v>
      </c>
      <c r="HM123" s="366">
        <v>376.93</v>
      </c>
      <c r="HN123" s="366">
        <v>379.65</v>
      </c>
      <c r="HO123" s="366">
        <v>610.41</v>
      </c>
      <c r="HP123" s="366">
        <v>274.10000000000002</v>
      </c>
      <c r="HQ123" s="366">
        <v>706.15</v>
      </c>
      <c r="HR123" s="366">
        <v>456.4</v>
      </c>
      <c r="HS123" s="366">
        <v>375.9</v>
      </c>
      <c r="HT123" s="366">
        <v>328.06</v>
      </c>
      <c r="HU123" s="366">
        <v>362.58</v>
      </c>
      <c r="HV123" s="366">
        <v>384.74</v>
      </c>
    </row>
    <row r="124" spans="1:230">
      <c r="A124" s="366" t="s">
        <v>145</v>
      </c>
      <c r="B124" s="366">
        <v>630.54</v>
      </c>
      <c r="C124" s="366">
        <v>291.02999999999997</v>
      </c>
      <c r="D124" s="366">
        <v>94.94</v>
      </c>
      <c r="E124" s="366">
        <v>94.94</v>
      </c>
      <c r="F124" s="366">
        <v>694.44</v>
      </c>
      <c r="G124" s="366">
        <v>430.95</v>
      </c>
      <c r="H124" s="366">
        <v>51.32</v>
      </c>
      <c r="I124" s="366">
        <v>326.69</v>
      </c>
      <c r="J124" s="366">
        <v>27.54</v>
      </c>
      <c r="K124" s="366">
        <v>27.54</v>
      </c>
      <c r="L124" s="366">
        <v>112.85</v>
      </c>
      <c r="M124" s="366">
        <v>316.45</v>
      </c>
      <c r="N124" s="366">
        <v>413.35</v>
      </c>
      <c r="O124" s="366">
        <v>336.76</v>
      </c>
      <c r="P124" s="366">
        <v>336.76</v>
      </c>
      <c r="Q124" s="366">
        <v>336.76</v>
      </c>
      <c r="R124" s="366">
        <v>336.76</v>
      </c>
      <c r="S124" s="366">
        <v>336.76</v>
      </c>
      <c r="T124" s="366">
        <v>337.73</v>
      </c>
      <c r="U124" s="366">
        <v>538.99</v>
      </c>
      <c r="V124" s="366">
        <v>391.69</v>
      </c>
      <c r="W124" s="366">
        <v>241.13</v>
      </c>
      <c r="X124" s="366">
        <v>241.13</v>
      </c>
      <c r="Y124" s="366">
        <v>241.13</v>
      </c>
      <c r="Z124" s="366">
        <v>429.43</v>
      </c>
      <c r="AA124" s="366">
        <v>425.12</v>
      </c>
      <c r="AB124" s="366">
        <v>365.22</v>
      </c>
      <c r="AC124" s="366">
        <v>357.35</v>
      </c>
      <c r="AD124" s="366">
        <v>357.35</v>
      </c>
      <c r="AE124" s="366">
        <v>145.84</v>
      </c>
      <c r="AF124" s="366">
        <v>444.69</v>
      </c>
      <c r="AG124" s="366">
        <v>242.65</v>
      </c>
      <c r="AH124" s="366">
        <v>325.88</v>
      </c>
      <c r="AI124" s="366">
        <v>325.88</v>
      </c>
      <c r="AJ124" s="366">
        <v>325.88</v>
      </c>
      <c r="AK124" s="366">
        <v>451.63</v>
      </c>
      <c r="AL124" s="366">
        <v>451.63</v>
      </c>
      <c r="AM124" s="366">
        <v>367.94</v>
      </c>
      <c r="AN124" s="366">
        <v>295.93</v>
      </c>
      <c r="AO124" s="366">
        <v>447.56</v>
      </c>
      <c r="AP124" s="366">
        <v>276.02999999999997</v>
      </c>
      <c r="AQ124" s="366">
        <v>650.98</v>
      </c>
      <c r="AR124" s="366">
        <v>47.08</v>
      </c>
      <c r="AS124" s="366">
        <v>188.3</v>
      </c>
      <c r="AT124" s="366">
        <v>188.3</v>
      </c>
      <c r="AU124" s="366">
        <v>306.55</v>
      </c>
      <c r="AV124" s="366">
        <v>570.04</v>
      </c>
      <c r="AW124" s="366">
        <v>71.86</v>
      </c>
      <c r="AX124" s="366">
        <v>392.53</v>
      </c>
      <c r="AY124" s="366">
        <v>449.06</v>
      </c>
      <c r="AZ124" s="366">
        <v>259.64999999999998</v>
      </c>
      <c r="BA124" s="366">
        <v>570.95000000000005</v>
      </c>
      <c r="BB124" s="366">
        <v>451.95</v>
      </c>
      <c r="BC124" s="366">
        <v>513.01</v>
      </c>
      <c r="BD124" s="366">
        <v>422.78</v>
      </c>
      <c r="BE124" s="366">
        <v>395.75</v>
      </c>
      <c r="BF124" s="366">
        <v>362.19</v>
      </c>
      <c r="BG124" s="366">
        <v>436.98</v>
      </c>
      <c r="BH124" s="366">
        <v>336.76</v>
      </c>
      <c r="BI124" s="366">
        <v>47.11</v>
      </c>
      <c r="BJ124" s="366">
        <v>375.1</v>
      </c>
      <c r="BK124" s="366">
        <v>327.43</v>
      </c>
      <c r="BL124" s="366">
        <v>101.94</v>
      </c>
      <c r="BM124" s="366">
        <v>78.73</v>
      </c>
      <c r="BN124" s="366">
        <v>465.31</v>
      </c>
      <c r="BO124" s="366">
        <v>369.63</v>
      </c>
      <c r="BP124" s="366">
        <v>335.49</v>
      </c>
      <c r="BQ124" s="366">
        <v>347.39</v>
      </c>
      <c r="BR124" s="366">
        <v>347.39</v>
      </c>
      <c r="BS124" s="366">
        <v>267.22000000000003</v>
      </c>
      <c r="BT124" s="366">
        <v>19.690000000000001</v>
      </c>
      <c r="BU124" s="366">
        <v>345.72</v>
      </c>
      <c r="BV124" s="366">
        <v>365.34</v>
      </c>
      <c r="BW124" s="366">
        <v>365.84</v>
      </c>
      <c r="BX124" s="366">
        <v>208.31</v>
      </c>
      <c r="BY124" s="366">
        <v>419.17</v>
      </c>
      <c r="BZ124" s="366">
        <v>419.17</v>
      </c>
      <c r="CA124" s="366">
        <v>103.8</v>
      </c>
      <c r="CB124" s="366">
        <v>226.74</v>
      </c>
      <c r="CC124" s="366">
        <v>363.7</v>
      </c>
      <c r="CD124" s="366">
        <v>366.1</v>
      </c>
      <c r="CE124" s="366">
        <v>310.66000000000003</v>
      </c>
      <c r="CF124" s="366">
        <v>443.42</v>
      </c>
      <c r="CG124" s="366">
        <v>443.42</v>
      </c>
      <c r="CH124" s="366">
        <v>332.39</v>
      </c>
      <c r="CI124" s="366">
        <v>279.72000000000003</v>
      </c>
      <c r="CJ124" s="366">
        <v>454.37</v>
      </c>
      <c r="CK124" s="366">
        <v>424.26</v>
      </c>
      <c r="CL124" s="366">
        <v>320.33999999999997</v>
      </c>
      <c r="CM124" s="366">
        <v>459.29</v>
      </c>
      <c r="CN124" s="366">
        <v>324.47000000000003</v>
      </c>
      <c r="CO124" s="366">
        <v>45.69</v>
      </c>
      <c r="CP124" s="366">
        <v>344.54</v>
      </c>
      <c r="CQ124" s="366">
        <v>344.54</v>
      </c>
      <c r="CR124" s="366">
        <v>41.32</v>
      </c>
      <c r="CS124" s="366">
        <v>41.32</v>
      </c>
      <c r="CT124" s="366">
        <v>50.76</v>
      </c>
      <c r="CU124" s="366">
        <v>42.89</v>
      </c>
      <c r="CV124" s="366">
        <v>45.49</v>
      </c>
      <c r="CW124" s="366">
        <v>391.69</v>
      </c>
      <c r="CX124" s="366">
        <v>382.77</v>
      </c>
      <c r="CY124" s="366">
        <v>505.71</v>
      </c>
      <c r="CZ124" s="366">
        <v>526.95000000000005</v>
      </c>
      <c r="DA124" s="366">
        <v>351.4</v>
      </c>
      <c r="DB124" s="366">
        <v>371.08</v>
      </c>
      <c r="DC124" s="366">
        <v>371.08</v>
      </c>
      <c r="DD124" s="366">
        <v>228.29</v>
      </c>
      <c r="DE124" s="366">
        <v>429.03</v>
      </c>
      <c r="DF124" s="366">
        <v>678.9</v>
      </c>
      <c r="DG124" s="366">
        <v>309.37</v>
      </c>
      <c r="DH124" s="366">
        <v>491.59</v>
      </c>
      <c r="DI124" s="366">
        <v>309.24</v>
      </c>
      <c r="DJ124" s="366">
        <v>513.13</v>
      </c>
      <c r="DK124" s="366">
        <v>170.73</v>
      </c>
      <c r="DL124" s="366">
        <v>339.72</v>
      </c>
      <c r="DM124" s="366">
        <v>278.61</v>
      </c>
      <c r="DN124" s="366">
        <v>324</v>
      </c>
      <c r="DO124" s="366">
        <v>197.3</v>
      </c>
      <c r="DP124" s="366">
        <v>189.98</v>
      </c>
      <c r="DQ124" s="366">
        <v>377.18</v>
      </c>
      <c r="DR124" s="366">
        <v>491.59</v>
      </c>
      <c r="DS124" s="366">
        <v>11.71</v>
      </c>
      <c r="DT124" s="366">
        <v>0</v>
      </c>
      <c r="DU124" s="366">
        <v>381.74</v>
      </c>
      <c r="DV124" s="366">
        <v>448.45</v>
      </c>
      <c r="DW124" s="366">
        <v>171.88</v>
      </c>
      <c r="DX124" s="366">
        <v>352.16</v>
      </c>
      <c r="DY124" s="366">
        <v>425.55</v>
      </c>
      <c r="DZ124" s="366">
        <v>237.96</v>
      </c>
      <c r="EA124" s="366">
        <v>29.36</v>
      </c>
      <c r="EB124" s="366">
        <v>419.55</v>
      </c>
      <c r="EC124" s="366">
        <v>69.5</v>
      </c>
      <c r="ED124" s="366">
        <v>339.01</v>
      </c>
      <c r="EE124" s="366">
        <v>349.8</v>
      </c>
      <c r="EF124" s="366">
        <v>269.75</v>
      </c>
      <c r="EG124" s="366">
        <v>71.86</v>
      </c>
      <c r="EH124" s="366">
        <v>71.86</v>
      </c>
      <c r="EI124" s="366">
        <v>349.75</v>
      </c>
      <c r="EJ124" s="366">
        <v>479.65</v>
      </c>
      <c r="EK124" s="366">
        <v>228.18</v>
      </c>
      <c r="EL124" s="366">
        <v>228.18</v>
      </c>
      <c r="EM124" s="366">
        <v>322.29000000000002</v>
      </c>
      <c r="EN124" s="366">
        <v>322.29000000000002</v>
      </c>
      <c r="EO124" s="366">
        <v>367.94</v>
      </c>
      <c r="EP124" s="366">
        <v>408.9</v>
      </c>
      <c r="EQ124" s="366">
        <v>60.25</v>
      </c>
      <c r="ER124" s="366">
        <v>509.03</v>
      </c>
      <c r="ES124" s="366">
        <v>290.93</v>
      </c>
      <c r="ET124" s="366">
        <v>329.42</v>
      </c>
      <c r="EU124" s="366">
        <v>630.54</v>
      </c>
      <c r="EV124" s="366">
        <v>241.13</v>
      </c>
      <c r="EW124" s="366">
        <v>350.67</v>
      </c>
      <c r="EX124" s="366">
        <v>267.67</v>
      </c>
      <c r="EY124" s="366">
        <v>267.67</v>
      </c>
      <c r="EZ124" s="366">
        <v>374.1</v>
      </c>
      <c r="FA124" s="366">
        <v>319.45999999999998</v>
      </c>
      <c r="FB124" s="366">
        <v>155.03</v>
      </c>
      <c r="FC124" s="366">
        <v>372.3</v>
      </c>
      <c r="FD124" s="366">
        <v>261.95</v>
      </c>
      <c r="FE124" s="366">
        <v>353.58</v>
      </c>
      <c r="FF124" s="366">
        <v>328.76</v>
      </c>
      <c r="FG124" s="366">
        <v>561.99</v>
      </c>
      <c r="FH124" s="366">
        <v>561.99</v>
      </c>
      <c r="FI124" s="366">
        <v>222</v>
      </c>
      <c r="FJ124" s="366">
        <v>227.79</v>
      </c>
      <c r="FK124" s="366">
        <v>318.67</v>
      </c>
      <c r="FL124" s="366">
        <v>316.86</v>
      </c>
      <c r="FM124" s="366">
        <v>367.94</v>
      </c>
      <c r="FN124" s="366">
        <v>271.88</v>
      </c>
      <c r="FO124" s="366">
        <v>37.729999999999997</v>
      </c>
      <c r="FP124" s="366">
        <v>404.65</v>
      </c>
      <c r="FQ124" s="366">
        <v>41.6</v>
      </c>
      <c r="FR124" s="366">
        <v>130.19</v>
      </c>
      <c r="FS124" s="366">
        <v>258.83</v>
      </c>
      <c r="FT124" s="366">
        <v>497.97</v>
      </c>
      <c r="FU124" s="366">
        <v>267.33</v>
      </c>
      <c r="FV124" s="366">
        <v>694.44</v>
      </c>
      <c r="FW124" s="366">
        <v>694.44</v>
      </c>
      <c r="FX124" s="366">
        <v>694.44</v>
      </c>
      <c r="FY124" s="366">
        <v>268.60000000000002</v>
      </c>
      <c r="FZ124" s="366">
        <v>343.49</v>
      </c>
      <c r="GA124" s="366">
        <v>395.75</v>
      </c>
      <c r="GB124" s="366">
        <v>297.3</v>
      </c>
      <c r="GC124" s="366">
        <v>339.01</v>
      </c>
      <c r="GD124" s="366">
        <v>190.41</v>
      </c>
      <c r="GE124" s="366">
        <v>50.86</v>
      </c>
      <c r="GF124" s="366">
        <v>253.8</v>
      </c>
      <c r="GG124" s="366">
        <v>253.8</v>
      </c>
      <c r="GH124" s="366">
        <v>444.2</v>
      </c>
      <c r="GI124" s="366">
        <v>368.1</v>
      </c>
      <c r="GJ124" s="366">
        <v>367.94</v>
      </c>
      <c r="GK124" s="366">
        <v>315.22000000000003</v>
      </c>
      <c r="GL124" s="366">
        <v>336.08</v>
      </c>
      <c r="GM124" s="366">
        <v>336.08</v>
      </c>
      <c r="GN124" s="366">
        <v>336.08</v>
      </c>
      <c r="GO124" s="366">
        <v>315.20999999999998</v>
      </c>
      <c r="GP124" s="366">
        <v>401.16</v>
      </c>
      <c r="GQ124" s="366">
        <v>360.93</v>
      </c>
      <c r="GR124" s="366">
        <v>370.35</v>
      </c>
      <c r="GS124" s="366">
        <v>294.95999999999998</v>
      </c>
      <c r="GT124" s="366">
        <v>71.86</v>
      </c>
      <c r="GU124" s="366">
        <v>164.01</v>
      </c>
      <c r="GV124" s="366">
        <v>486.84</v>
      </c>
      <c r="GW124" s="366">
        <v>312.06</v>
      </c>
      <c r="GX124" s="366">
        <v>68.430000000000007</v>
      </c>
      <c r="GY124" s="366">
        <v>326.85000000000002</v>
      </c>
      <c r="GZ124" s="366">
        <v>261.67</v>
      </c>
      <c r="HA124" s="366">
        <v>43.14</v>
      </c>
      <c r="HB124" s="366">
        <v>43.14</v>
      </c>
      <c r="HC124" s="366">
        <v>43.14</v>
      </c>
      <c r="HD124" s="366">
        <v>274.25</v>
      </c>
      <c r="HE124" s="366">
        <v>316.14</v>
      </c>
      <c r="HF124" s="366">
        <v>272.43</v>
      </c>
      <c r="HG124" s="366">
        <v>400.08</v>
      </c>
      <c r="HH124" s="366">
        <v>400.08</v>
      </c>
      <c r="HI124" s="366">
        <v>400.08</v>
      </c>
      <c r="HJ124" s="366">
        <v>274.67</v>
      </c>
      <c r="HK124" s="366">
        <v>144.35</v>
      </c>
      <c r="HL124" s="366">
        <v>370.14</v>
      </c>
      <c r="HM124" s="366">
        <v>365.22</v>
      </c>
      <c r="HN124" s="366">
        <v>367.94</v>
      </c>
      <c r="HO124" s="366">
        <v>598.70000000000005</v>
      </c>
      <c r="HP124" s="366">
        <v>262.39</v>
      </c>
      <c r="HQ124" s="366">
        <v>694.44</v>
      </c>
      <c r="HR124" s="366">
        <v>444.69</v>
      </c>
      <c r="HS124" s="366">
        <v>364.19</v>
      </c>
      <c r="HT124" s="366">
        <v>316.35000000000002</v>
      </c>
      <c r="HU124" s="366">
        <v>350.87</v>
      </c>
      <c r="HV124" s="366">
        <v>373.03</v>
      </c>
    </row>
    <row r="125" spans="1:230">
      <c r="A125" s="366" t="s">
        <v>146</v>
      </c>
      <c r="B125" s="366">
        <v>957.2</v>
      </c>
      <c r="C125" s="366">
        <v>90.71</v>
      </c>
      <c r="D125" s="366">
        <v>286.8</v>
      </c>
      <c r="E125" s="366">
        <v>286.8</v>
      </c>
      <c r="F125" s="366">
        <v>1021.1</v>
      </c>
      <c r="G125" s="366">
        <v>757.61</v>
      </c>
      <c r="H125" s="366">
        <v>330.42</v>
      </c>
      <c r="I125" s="366">
        <v>466.93</v>
      </c>
      <c r="J125" s="366">
        <v>354.2</v>
      </c>
      <c r="K125" s="366">
        <v>354.2</v>
      </c>
      <c r="L125" s="366">
        <v>268.89</v>
      </c>
      <c r="M125" s="366">
        <v>116.33</v>
      </c>
      <c r="N125" s="366">
        <v>92.29</v>
      </c>
      <c r="O125" s="366">
        <v>426.36</v>
      </c>
      <c r="P125" s="366">
        <v>426.36</v>
      </c>
      <c r="Q125" s="366">
        <v>426.36</v>
      </c>
      <c r="R125" s="366">
        <v>426.36</v>
      </c>
      <c r="S125" s="366">
        <v>426.36</v>
      </c>
      <c r="T125" s="366">
        <v>541.42999999999995</v>
      </c>
      <c r="U125" s="366">
        <v>865.65</v>
      </c>
      <c r="V125" s="366">
        <v>379.42</v>
      </c>
      <c r="W125" s="366">
        <v>567.79</v>
      </c>
      <c r="X125" s="366">
        <v>567.79</v>
      </c>
      <c r="Y125" s="366">
        <v>567.79</v>
      </c>
      <c r="Z125" s="366">
        <v>92.55</v>
      </c>
      <c r="AA125" s="366">
        <v>751.78</v>
      </c>
      <c r="AB125" s="366">
        <v>601.16999999999996</v>
      </c>
      <c r="AC125" s="366">
        <v>603.63</v>
      </c>
      <c r="AD125" s="366">
        <v>603.63</v>
      </c>
      <c r="AE125" s="366">
        <v>337.7</v>
      </c>
      <c r="AF125" s="366">
        <v>771.35</v>
      </c>
      <c r="AG125" s="366">
        <v>569.30999999999995</v>
      </c>
      <c r="AH125" s="366">
        <v>420.88</v>
      </c>
      <c r="AI125" s="366">
        <v>420.88</v>
      </c>
      <c r="AJ125" s="366">
        <v>420.88</v>
      </c>
      <c r="AK125" s="366">
        <v>75.31</v>
      </c>
      <c r="AL125" s="366">
        <v>75.31</v>
      </c>
      <c r="AM125" s="366">
        <v>603.89</v>
      </c>
      <c r="AN125" s="366">
        <v>389.69</v>
      </c>
      <c r="AO125" s="366">
        <v>774.22</v>
      </c>
      <c r="AP125" s="366">
        <v>530.15</v>
      </c>
      <c r="AQ125" s="366">
        <v>977.64</v>
      </c>
      <c r="AR125" s="366">
        <v>416.97</v>
      </c>
      <c r="AS125" s="366">
        <v>274.77999999999997</v>
      </c>
      <c r="AT125" s="366">
        <v>274.77999999999997</v>
      </c>
      <c r="AU125" s="366">
        <v>294.27999999999997</v>
      </c>
      <c r="AV125" s="366">
        <v>896.7</v>
      </c>
      <c r="AW125" s="366">
        <v>398.52</v>
      </c>
      <c r="AX125" s="366">
        <v>487.53</v>
      </c>
      <c r="AY125" s="366">
        <v>128</v>
      </c>
      <c r="AZ125" s="366">
        <v>139.88999999999999</v>
      </c>
      <c r="BA125" s="366">
        <v>817.23</v>
      </c>
      <c r="BB125" s="366">
        <v>130.88999999999999</v>
      </c>
      <c r="BC125" s="366">
        <v>759.29</v>
      </c>
      <c r="BD125" s="366">
        <v>669.06</v>
      </c>
      <c r="BE125" s="366">
        <v>383.48</v>
      </c>
      <c r="BF125" s="366">
        <v>598.14</v>
      </c>
      <c r="BG125" s="366">
        <v>89.07</v>
      </c>
      <c r="BH125" s="366">
        <v>426.36</v>
      </c>
      <c r="BI125" s="366">
        <v>417</v>
      </c>
      <c r="BJ125" s="366">
        <v>181.84</v>
      </c>
      <c r="BK125" s="366">
        <v>284.35000000000002</v>
      </c>
      <c r="BL125" s="366">
        <v>293.8</v>
      </c>
      <c r="BM125" s="366">
        <v>303.01</v>
      </c>
      <c r="BN125" s="366">
        <v>791.97</v>
      </c>
      <c r="BO125" s="366">
        <v>326.55</v>
      </c>
      <c r="BP125" s="366">
        <v>292.41000000000003</v>
      </c>
      <c r="BQ125" s="366">
        <v>446.23</v>
      </c>
      <c r="BR125" s="366">
        <v>446.23</v>
      </c>
      <c r="BS125" s="366">
        <v>114.52</v>
      </c>
      <c r="BT125" s="366">
        <v>401.43</v>
      </c>
      <c r="BU125" s="366">
        <v>581.66999999999996</v>
      </c>
      <c r="BV125" s="366">
        <v>601.29</v>
      </c>
      <c r="BW125" s="366">
        <v>353.57</v>
      </c>
      <c r="BX125" s="366">
        <v>173.43</v>
      </c>
      <c r="BY125" s="366">
        <v>406.9</v>
      </c>
      <c r="BZ125" s="366">
        <v>406.9</v>
      </c>
      <c r="CA125" s="366">
        <v>430.46</v>
      </c>
      <c r="CB125" s="366">
        <v>183.66</v>
      </c>
      <c r="CC125" s="366">
        <v>458.7</v>
      </c>
      <c r="CD125" s="366">
        <v>461.1</v>
      </c>
      <c r="CE125" s="366">
        <v>267.58</v>
      </c>
      <c r="CF125" s="366">
        <v>770.08</v>
      </c>
      <c r="CG125" s="366">
        <v>770.08</v>
      </c>
      <c r="CH125" s="366">
        <v>461.23</v>
      </c>
      <c r="CI125" s="366">
        <v>368.54</v>
      </c>
      <c r="CJ125" s="366">
        <v>781.03</v>
      </c>
      <c r="CK125" s="366">
        <v>411.99</v>
      </c>
      <c r="CL125" s="366">
        <v>308.07</v>
      </c>
      <c r="CM125" s="366">
        <v>705.57</v>
      </c>
      <c r="CN125" s="366">
        <v>197.51</v>
      </c>
      <c r="CO125" s="366">
        <v>415.58</v>
      </c>
      <c r="CP125" s="366">
        <v>439.54</v>
      </c>
      <c r="CQ125" s="366">
        <v>439.54</v>
      </c>
      <c r="CR125" s="366">
        <v>367.98</v>
      </c>
      <c r="CS125" s="366">
        <v>367.98</v>
      </c>
      <c r="CT125" s="366">
        <v>377.42</v>
      </c>
      <c r="CU125" s="366">
        <v>369.55</v>
      </c>
      <c r="CV125" s="366">
        <v>372.15</v>
      </c>
      <c r="CW125" s="366">
        <v>379.42</v>
      </c>
      <c r="CX125" s="366">
        <v>477.77</v>
      </c>
      <c r="CY125" s="366">
        <v>751.99</v>
      </c>
      <c r="CZ125" s="366">
        <v>773.23</v>
      </c>
      <c r="DA125" s="366">
        <v>30.34</v>
      </c>
      <c r="DB125" s="366">
        <v>153.43</v>
      </c>
      <c r="DC125" s="366">
        <v>153.43</v>
      </c>
      <c r="DD125" s="366">
        <v>554.95000000000005</v>
      </c>
      <c r="DE125" s="366">
        <v>107.97</v>
      </c>
      <c r="DF125" s="366">
        <v>1005.56</v>
      </c>
      <c r="DG125" s="366">
        <v>398.19</v>
      </c>
      <c r="DH125" s="366">
        <v>170.53</v>
      </c>
      <c r="DI125" s="366">
        <v>635.9</v>
      </c>
      <c r="DJ125" s="366">
        <v>789.43</v>
      </c>
      <c r="DK125" s="366">
        <v>211.01</v>
      </c>
      <c r="DL125" s="366">
        <v>587.66999999999996</v>
      </c>
      <c r="DM125" s="366">
        <v>103.13</v>
      </c>
      <c r="DN125" s="366">
        <v>650.66</v>
      </c>
      <c r="DO125" s="366">
        <v>189.01</v>
      </c>
      <c r="DP125" s="366">
        <v>516.64</v>
      </c>
      <c r="DQ125" s="366">
        <v>364.91</v>
      </c>
      <c r="DR125" s="366">
        <v>170.53</v>
      </c>
      <c r="DS125" s="366">
        <v>393.45</v>
      </c>
      <c r="DT125" s="366">
        <v>381.74</v>
      </c>
      <c r="DU125" s="366">
        <v>0</v>
      </c>
      <c r="DV125" s="366">
        <v>66.709999999999994</v>
      </c>
      <c r="DW125" s="366">
        <v>258.36</v>
      </c>
      <c r="DX125" s="366">
        <v>339.89</v>
      </c>
      <c r="DY125" s="366">
        <v>413.28</v>
      </c>
      <c r="DZ125" s="366">
        <v>564.62</v>
      </c>
      <c r="EA125" s="366">
        <v>399.25</v>
      </c>
      <c r="EB125" s="366">
        <v>407.28</v>
      </c>
      <c r="EC125" s="366">
        <v>312.24</v>
      </c>
      <c r="ED125" s="366">
        <v>665.67</v>
      </c>
      <c r="EE125" s="366">
        <v>676.46</v>
      </c>
      <c r="EF125" s="366">
        <v>523.87</v>
      </c>
      <c r="EG125" s="366">
        <v>398.52</v>
      </c>
      <c r="EH125" s="366">
        <v>398.52</v>
      </c>
      <c r="EI125" s="366">
        <v>444.75</v>
      </c>
      <c r="EJ125" s="366">
        <v>436.57</v>
      </c>
      <c r="EK125" s="366">
        <v>323.18</v>
      </c>
      <c r="EL125" s="366">
        <v>323.18</v>
      </c>
      <c r="EM125" s="366">
        <v>259.55</v>
      </c>
      <c r="EN125" s="366">
        <v>259.55</v>
      </c>
      <c r="EO125" s="366">
        <v>603.89</v>
      </c>
      <c r="EP125" s="366">
        <v>526.75</v>
      </c>
      <c r="EQ125" s="366">
        <v>386.91</v>
      </c>
      <c r="ER125" s="366">
        <v>835.69</v>
      </c>
      <c r="ES125" s="366">
        <v>90.81</v>
      </c>
      <c r="ET125" s="366">
        <v>464.2</v>
      </c>
      <c r="EU125" s="366">
        <v>957.2</v>
      </c>
      <c r="EV125" s="366">
        <v>567.79</v>
      </c>
      <c r="EW125" s="366">
        <v>445.67</v>
      </c>
      <c r="EX125" s="366">
        <v>224.59</v>
      </c>
      <c r="EY125" s="366">
        <v>224.59</v>
      </c>
      <c r="EZ125" s="366">
        <v>361.83</v>
      </c>
      <c r="FA125" s="366">
        <v>281.37</v>
      </c>
      <c r="FB125" s="366">
        <v>226.71</v>
      </c>
      <c r="FC125" s="366">
        <v>360.03</v>
      </c>
      <c r="FD125" s="366">
        <v>355.71</v>
      </c>
      <c r="FE125" s="366">
        <v>448.58</v>
      </c>
      <c r="FF125" s="366">
        <v>423.76</v>
      </c>
      <c r="FG125" s="366">
        <v>808.27</v>
      </c>
      <c r="FH125" s="366">
        <v>808.27</v>
      </c>
      <c r="FI125" s="366">
        <v>548.66</v>
      </c>
      <c r="FJ125" s="366">
        <v>554.45000000000005</v>
      </c>
      <c r="FK125" s="366">
        <v>118.55</v>
      </c>
      <c r="FL125" s="366">
        <v>116.74</v>
      </c>
      <c r="FM125" s="366">
        <v>603.89</v>
      </c>
      <c r="FN125" s="366">
        <v>598.54</v>
      </c>
      <c r="FO125" s="366">
        <v>407.62</v>
      </c>
      <c r="FP125" s="366">
        <v>392.38</v>
      </c>
      <c r="FQ125" s="366">
        <v>411.49</v>
      </c>
      <c r="FR125" s="366">
        <v>286.23</v>
      </c>
      <c r="FS125" s="366">
        <v>353.83</v>
      </c>
      <c r="FT125" s="366">
        <v>804.59</v>
      </c>
      <c r="FU125" s="366">
        <v>356.15</v>
      </c>
      <c r="FV125" s="366">
        <v>1021.1</v>
      </c>
      <c r="FW125" s="366">
        <v>1021.1</v>
      </c>
      <c r="FX125" s="366">
        <v>1021.1</v>
      </c>
      <c r="FY125" s="366">
        <v>289.62</v>
      </c>
      <c r="FZ125" s="366">
        <v>438.49</v>
      </c>
      <c r="GA125" s="366">
        <v>383.48</v>
      </c>
      <c r="GB125" s="366">
        <v>392.3</v>
      </c>
      <c r="GC125" s="366">
        <v>665.67</v>
      </c>
      <c r="GD125" s="366">
        <v>191.33</v>
      </c>
      <c r="GE125" s="366">
        <v>377.52</v>
      </c>
      <c r="GF125" s="366">
        <v>342.62</v>
      </c>
      <c r="GG125" s="366">
        <v>342.62</v>
      </c>
      <c r="GH125" s="366">
        <v>431.93</v>
      </c>
      <c r="GI125" s="366">
        <v>604.04999999999995</v>
      </c>
      <c r="GJ125" s="366">
        <v>603.89</v>
      </c>
      <c r="GK125" s="366">
        <v>115.1</v>
      </c>
      <c r="GL125" s="366">
        <v>431.08</v>
      </c>
      <c r="GM125" s="366">
        <v>431.08</v>
      </c>
      <c r="GN125" s="366">
        <v>431.08</v>
      </c>
      <c r="GO125" s="366">
        <v>569.33000000000004</v>
      </c>
      <c r="GP125" s="366">
        <v>388.89</v>
      </c>
      <c r="GQ125" s="366">
        <v>317.85000000000002</v>
      </c>
      <c r="GR125" s="366">
        <v>632.12</v>
      </c>
      <c r="GS125" s="366">
        <v>498.66</v>
      </c>
      <c r="GT125" s="366">
        <v>398.52</v>
      </c>
      <c r="GU125" s="366">
        <v>355.87</v>
      </c>
      <c r="GV125" s="366">
        <v>443.76</v>
      </c>
      <c r="GW125" s="366">
        <v>407.06</v>
      </c>
      <c r="GX125" s="366">
        <v>395.09</v>
      </c>
      <c r="GY125" s="366">
        <v>421.85</v>
      </c>
      <c r="GZ125" s="366">
        <v>355.43</v>
      </c>
      <c r="HA125" s="366">
        <v>413.03</v>
      </c>
      <c r="HB125" s="366">
        <v>413.03</v>
      </c>
      <c r="HC125" s="366">
        <v>413.03</v>
      </c>
      <c r="HD125" s="366">
        <v>600.91</v>
      </c>
      <c r="HE125" s="366">
        <v>253.4</v>
      </c>
      <c r="HF125" s="366">
        <v>250.27</v>
      </c>
      <c r="HG125" s="366">
        <v>190.41</v>
      </c>
      <c r="HH125" s="366">
        <v>190.41</v>
      </c>
      <c r="HI125" s="366">
        <v>190.41</v>
      </c>
      <c r="HJ125" s="366">
        <v>363.49</v>
      </c>
      <c r="HK125" s="366">
        <v>471.01</v>
      </c>
      <c r="HL125" s="366">
        <v>459.74</v>
      </c>
      <c r="HM125" s="366">
        <v>601.16999999999996</v>
      </c>
      <c r="HN125" s="366">
        <v>603.89</v>
      </c>
      <c r="HO125" s="366">
        <v>925.36</v>
      </c>
      <c r="HP125" s="366">
        <v>356.15</v>
      </c>
      <c r="HQ125" s="366">
        <v>1021.1</v>
      </c>
      <c r="HR125" s="366">
        <v>771.35</v>
      </c>
      <c r="HS125" s="366">
        <v>600.14</v>
      </c>
      <c r="HT125" s="366">
        <v>482.46</v>
      </c>
      <c r="HU125" s="366">
        <v>449.71</v>
      </c>
      <c r="HV125" s="366">
        <v>468.03</v>
      </c>
    </row>
    <row r="126" spans="1:230">
      <c r="A126" s="366" t="s">
        <v>147</v>
      </c>
      <c r="B126" s="366">
        <v>914.1</v>
      </c>
      <c r="C126" s="366">
        <v>157.41999999999999</v>
      </c>
      <c r="D126" s="366">
        <v>353.51</v>
      </c>
      <c r="E126" s="366">
        <v>353.51</v>
      </c>
      <c r="F126" s="366">
        <v>978</v>
      </c>
      <c r="G126" s="366">
        <v>785.57</v>
      </c>
      <c r="H126" s="366">
        <v>397.13</v>
      </c>
      <c r="I126" s="366">
        <v>404.62</v>
      </c>
      <c r="J126" s="366">
        <v>420.91</v>
      </c>
      <c r="K126" s="366">
        <v>420.91</v>
      </c>
      <c r="L126" s="366">
        <v>335.6</v>
      </c>
      <c r="M126" s="366">
        <v>183.04</v>
      </c>
      <c r="N126" s="366">
        <v>159</v>
      </c>
      <c r="O126" s="366">
        <v>359.65</v>
      </c>
      <c r="P126" s="366">
        <v>359.65</v>
      </c>
      <c r="Q126" s="366">
        <v>359.65</v>
      </c>
      <c r="R126" s="366">
        <v>359.65</v>
      </c>
      <c r="S126" s="366">
        <v>359.65</v>
      </c>
      <c r="T126" s="366">
        <v>479.12</v>
      </c>
      <c r="U126" s="366">
        <v>893.61</v>
      </c>
      <c r="V126" s="366">
        <v>312.70999999999998</v>
      </c>
      <c r="W126" s="366">
        <v>622.48</v>
      </c>
      <c r="X126" s="366">
        <v>622.48</v>
      </c>
      <c r="Y126" s="366">
        <v>622.48</v>
      </c>
      <c r="Z126" s="366">
        <v>25.84</v>
      </c>
      <c r="AA126" s="366">
        <v>779.74</v>
      </c>
      <c r="AB126" s="366">
        <v>538.86</v>
      </c>
      <c r="AC126" s="366">
        <v>541.32000000000005</v>
      </c>
      <c r="AD126" s="366">
        <v>541.32000000000005</v>
      </c>
      <c r="AE126" s="366">
        <v>309.43</v>
      </c>
      <c r="AF126" s="366">
        <v>799.31000000000097</v>
      </c>
      <c r="AG126" s="366">
        <v>624</v>
      </c>
      <c r="AH126" s="366">
        <v>358.57</v>
      </c>
      <c r="AI126" s="366">
        <v>358.57</v>
      </c>
      <c r="AJ126" s="366">
        <v>358.57</v>
      </c>
      <c r="AK126" s="366">
        <v>8.6</v>
      </c>
      <c r="AL126" s="366">
        <v>8.6</v>
      </c>
      <c r="AM126" s="366">
        <v>541.58000000000004</v>
      </c>
      <c r="AN126" s="366">
        <v>322.98</v>
      </c>
      <c r="AO126" s="366">
        <v>792.69</v>
      </c>
      <c r="AP126" s="366">
        <v>467.84</v>
      </c>
      <c r="AQ126" s="366">
        <v>934.54000000000099</v>
      </c>
      <c r="AR126" s="366">
        <v>483.68</v>
      </c>
      <c r="AS126" s="366">
        <v>275.49</v>
      </c>
      <c r="AT126" s="366">
        <v>275.49</v>
      </c>
      <c r="AU126" s="366">
        <v>227.57</v>
      </c>
      <c r="AV126" s="366">
        <v>924.66</v>
      </c>
      <c r="AW126" s="366">
        <v>465.23</v>
      </c>
      <c r="AX126" s="366">
        <v>425.22</v>
      </c>
      <c r="AY126" s="366">
        <v>194.71</v>
      </c>
      <c r="AZ126" s="366">
        <v>206.6</v>
      </c>
      <c r="BA126" s="366">
        <v>754.92</v>
      </c>
      <c r="BB126" s="366">
        <v>197.6</v>
      </c>
      <c r="BC126" s="366">
        <v>696.98</v>
      </c>
      <c r="BD126" s="366">
        <v>606.75</v>
      </c>
      <c r="BE126" s="366">
        <v>316.77</v>
      </c>
      <c r="BF126" s="366">
        <v>535.83000000000004</v>
      </c>
      <c r="BG126" s="366">
        <v>22.36</v>
      </c>
      <c r="BH126" s="366">
        <v>359.65</v>
      </c>
      <c r="BI126" s="366">
        <v>483.71</v>
      </c>
      <c r="BJ126" s="366">
        <v>115.13</v>
      </c>
      <c r="BK126" s="366">
        <v>351.06</v>
      </c>
      <c r="BL126" s="366">
        <v>353.33</v>
      </c>
      <c r="BM126" s="366">
        <v>369.72</v>
      </c>
      <c r="BN126" s="366">
        <v>819.93</v>
      </c>
      <c r="BO126" s="366">
        <v>393.26</v>
      </c>
      <c r="BP126" s="366">
        <v>359.12</v>
      </c>
      <c r="BQ126" s="366">
        <v>383.92</v>
      </c>
      <c r="BR126" s="366">
        <v>383.92</v>
      </c>
      <c r="BS126" s="366">
        <v>181.23</v>
      </c>
      <c r="BT126" s="366">
        <v>468.14</v>
      </c>
      <c r="BU126" s="366">
        <v>519.36</v>
      </c>
      <c r="BV126" s="366">
        <v>538.98</v>
      </c>
      <c r="BW126" s="366">
        <v>286.86</v>
      </c>
      <c r="BX126" s="366">
        <v>240.14</v>
      </c>
      <c r="BY126" s="366">
        <v>340.19</v>
      </c>
      <c r="BZ126" s="366">
        <v>340.19</v>
      </c>
      <c r="CA126" s="366">
        <v>497.17</v>
      </c>
      <c r="CB126" s="366">
        <v>250.37</v>
      </c>
      <c r="CC126" s="366">
        <v>396.39</v>
      </c>
      <c r="CD126" s="366">
        <v>398.79</v>
      </c>
      <c r="CE126" s="366">
        <v>334.29</v>
      </c>
      <c r="CF126" s="366">
        <v>798.04</v>
      </c>
      <c r="CG126" s="366">
        <v>798.04</v>
      </c>
      <c r="CH126" s="366">
        <v>398.92</v>
      </c>
      <c r="CI126" s="366">
        <v>301.83</v>
      </c>
      <c r="CJ126" s="366">
        <v>808.99</v>
      </c>
      <c r="CK126" s="366">
        <v>345.28</v>
      </c>
      <c r="CL126" s="366">
        <v>241.36</v>
      </c>
      <c r="CM126" s="366">
        <v>643.26</v>
      </c>
      <c r="CN126" s="366">
        <v>130.80000000000001</v>
      </c>
      <c r="CO126" s="366">
        <v>482.29</v>
      </c>
      <c r="CP126" s="366">
        <v>377.23</v>
      </c>
      <c r="CQ126" s="366">
        <v>377.23</v>
      </c>
      <c r="CR126" s="366">
        <v>434.69</v>
      </c>
      <c r="CS126" s="366">
        <v>434.69</v>
      </c>
      <c r="CT126" s="366">
        <v>444.13</v>
      </c>
      <c r="CU126" s="366">
        <v>436.26</v>
      </c>
      <c r="CV126" s="366">
        <v>438.86</v>
      </c>
      <c r="CW126" s="366">
        <v>312.70999999999998</v>
      </c>
      <c r="CX126" s="366">
        <v>415.46</v>
      </c>
      <c r="CY126" s="366">
        <v>689.68</v>
      </c>
      <c r="CZ126" s="366">
        <v>710.92</v>
      </c>
      <c r="DA126" s="366">
        <v>97.05</v>
      </c>
      <c r="DB126" s="366">
        <v>86.72</v>
      </c>
      <c r="DC126" s="366">
        <v>86.72</v>
      </c>
      <c r="DD126" s="366">
        <v>609.64</v>
      </c>
      <c r="DE126" s="366">
        <v>174.68</v>
      </c>
      <c r="DF126" s="366">
        <v>962.46</v>
      </c>
      <c r="DG126" s="366">
        <v>331.48</v>
      </c>
      <c r="DH126" s="366">
        <v>237.24</v>
      </c>
      <c r="DI126" s="366">
        <v>663.86</v>
      </c>
      <c r="DJ126" s="366">
        <v>727.12</v>
      </c>
      <c r="DK126" s="366">
        <v>277.72000000000003</v>
      </c>
      <c r="DL126" s="366">
        <v>525.36</v>
      </c>
      <c r="DM126" s="366">
        <v>169.84</v>
      </c>
      <c r="DN126" s="366">
        <v>678.62</v>
      </c>
      <c r="DO126" s="366">
        <v>255.72</v>
      </c>
      <c r="DP126" s="366">
        <v>571.33000000000004</v>
      </c>
      <c r="DQ126" s="366">
        <v>298.2</v>
      </c>
      <c r="DR126" s="366">
        <v>237.24</v>
      </c>
      <c r="DS126" s="366">
        <v>460.16</v>
      </c>
      <c r="DT126" s="366">
        <v>448.45</v>
      </c>
      <c r="DU126" s="366">
        <v>66.709999999999994</v>
      </c>
      <c r="DV126" s="366">
        <v>0</v>
      </c>
      <c r="DW126" s="366">
        <v>291.91000000000003</v>
      </c>
      <c r="DX126" s="366">
        <v>273.18</v>
      </c>
      <c r="DY126" s="366">
        <v>346.57</v>
      </c>
      <c r="DZ126" s="366">
        <v>619.30999999999995</v>
      </c>
      <c r="EA126" s="366">
        <v>465.96</v>
      </c>
      <c r="EB126" s="366">
        <v>340.57</v>
      </c>
      <c r="EC126" s="366">
        <v>378.95</v>
      </c>
      <c r="ED126" s="366">
        <v>693.63</v>
      </c>
      <c r="EE126" s="366">
        <v>704.42</v>
      </c>
      <c r="EF126" s="366">
        <v>461.56</v>
      </c>
      <c r="EG126" s="366">
        <v>465.23</v>
      </c>
      <c r="EH126" s="366">
        <v>465.23</v>
      </c>
      <c r="EI126" s="366">
        <v>382.44</v>
      </c>
      <c r="EJ126" s="366">
        <v>503.28</v>
      </c>
      <c r="EK126" s="366">
        <v>260.87</v>
      </c>
      <c r="EL126" s="366">
        <v>260.87</v>
      </c>
      <c r="EM126" s="366">
        <v>192.84</v>
      </c>
      <c r="EN126" s="366">
        <v>192.84</v>
      </c>
      <c r="EO126" s="366">
        <v>541.58000000000004</v>
      </c>
      <c r="EP126" s="366">
        <v>464.44</v>
      </c>
      <c r="EQ126" s="366">
        <v>453.62</v>
      </c>
      <c r="ER126" s="366">
        <v>863.65</v>
      </c>
      <c r="ES126" s="366">
        <v>157.52000000000001</v>
      </c>
      <c r="ET126" s="366">
        <v>401.89</v>
      </c>
      <c r="EU126" s="366">
        <v>914.1</v>
      </c>
      <c r="EV126" s="366">
        <v>622.48</v>
      </c>
      <c r="EW126" s="366">
        <v>383.36</v>
      </c>
      <c r="EX126" s="366">
        <v>291.3</v>
      </c>
      <c r="EY126" s="366">
        <v>291.3</v>
      </c>
      <c r="EZ126" s="366">
        <v>295.12</v>
      </c>
      <c r="FA126" s="366">
        <v>214.66</v>
      </c>
      <c r="FB126" s="366">
        <v>293.42</v>
      </c>
      <c r="FC126" s="366">
        <v>293.32</v>
      </c>
      <c r="FD126" s="366">
        <v>289</v>
      </c>
      <c r="FE126" s="366">
        <v>386.27</v>
      </c>
      <c r="FF126" s="366">
        <v>361.45</v>
      </c>
      <c r="FG126" s="366">
        <v>745.96</v>
      </c>
      <c r="FH126" s="366">
        <v>745.96</v>
      </c>
      <c r="FI126" s="366">
        <v>603.35</v>
      </c>
      <c r="FJ126" s="366">
        <v>609.14</v>
      </c>
      <c r="FK126" s="366">
        <v>185.26</v>
      </c>
      <c r="FL126" s="366">
        <v>183.45</v>
      </c>
      <c r="FM126" s="366">
        <v>541.58000000000004</v>
      </c>
      <c r="FN126" s="366">
        <v>653.23</v>
      </c>
      <c r="FO126" s="366">
        <v>474.33</v>
      </c>
      <c r="FP126" s="366">
        <v>325.67</v>
      </c>
      <c r="FQ126" s="366">
        <v>478.2</v>
      </c>
      <c r="FR126" s="366">
        <v>352.94</v>
      </c>
      <c r="FS126" s="366">
        <v>291.52</v>
      </c>
      <c r="FT126" s="366">
        <v>742.28</v>
      </c>
      <c r="FU126" s="366">
        <v>289.44</v>
      </c>
      <c r="FV126" s="366">
        <v>978</v>
      </c>
      <c r="FW126" s="366">
        <v>978</v>
      </c>
      <c r="FX126" s="366">
        <v>978</v>
      </c>
      <c r="FY126" s="366">
        <v>222.91</v>
      </c>
      <c r="FZ126" s="366">
        <v>376.18</v>
      </c>
      <c r="GA126" s="366">
        <v>316.77</v>
      </c>
      <c r="GB126" s="366">
        <v>329.99</v>
      </c>
      <c r="GC126" s="366">
        <v>693.63</v>
      </c>
      <c r="GD126" s="366">
        <v>258.04000000000002</v>
      </c>
      <c r="GE126" s="366">
        <v>444.23</v>
      </c>
      <c r="GF126" s="366">
        <v>275.91000000000003</v>
      </c>
      <c r="GG126" s="366">
        <v>275.91000000000003</v>
      </c>
      <c r="GH126" s="366">
        <v>365.22</v>
      </c>
      <c r="GI126" s="366">
        <v>541.74</v>
      </c>
      <c r="GJ126" s="366">
        <v>541.58000000000004</v>
      </c>
      <c r="GK126" s="366">
        <v>181.81</v>
      </c>
      <c r="GL126" s="366">
        <v>368.77</v>
      </c>
      <c r="GM126" s="366">
        <v>368.77</v>
      </c>
      <c r="GN126" s="366">
        <v>368.77</v>
      </c>
      <c r="GO126" s="366">
        <v>507.02</v>
      </c>
      <c r="GP126" s="366">
        <v>322.18</v>
      </c>
      <c r="GQ126" s="366">
        <v>384.56</v>
      </c>
      <c r="GR126" s="366">
        <v>569.80999999999995</v>
      </c>
      <c r="GS126" s="366">
        <v>436.35</v>
      </c>
      <c r="GT126" s="366">
        <v>465.23</v>
      </c>
      <c r="GU126" s="366">
        <v>294.14</v>
      </c>
      <c r="GV126" s="366">
        <v>510.47</v>
      </c>
      <c r="GW126" s="366">
        <v>344.75</v>
      </c>
      <c r="GX126" s="366">
        <v>461.8</v>
      </c>
      <c r="GY126" s="366">
        <v>359.54</v>
      </c>
      <c r="GZ126" s="366">
        <v>288.72000000000003</v>
      </c>
      <c r="HA126" s="366">
        <v>479.74</v>
      </c>
      <c r="HB126" s="366">
        <v>479.74</v>
      </c>
      <c r="HC126" s="366">
        <v>479.74</v>
      </c>
      <c r="HD126" s="366">
        <v>655.6</v>
      </c>
      <c r="HE126" s="366">
        <v>186.69</v>
      </c>
      <c r="HF126" s="366">
        <v>183.56</v>
      </c>
      <c r="HG126" s="366">
        <v>123.7</v>
      </c>
      <c r="HH126" s="366">
        <v>123.7</v>
      </c>
      <c r="HI126" s="366">
        <v>123.7</v>
      </c>
      <c r="HJ126" s="366">
        <v>296.77999999999997</v>
      </c>
      <c r="HK126" s="366">
        <v>537.72</v>
      </c>
      <c r="HL126" s="366">
        <v>393.03</v>
      </c>
      <c r="HM126" s="366">
        <v>538.86</v>
      </c>
      <c r="HN126" s="366">
        <v>541.58000000000004</v>
      </c>
      <c r="HO126" s="366">
        <v>947.3</v>
      </c>
      <c r="HP126" s="366">
        <v>289.44</v>
      </c>
      <c r="HQ126" s="366">
        <v>978</v>
      </c>
      <c r="HR126" s="366">
        <v>799.31000000000097</v>
      </c>
      <c r="HS126" s="366">
        <v>537.83000000000004</v>
      </c>
      <c r="HT126" s="366">
        <v>420.15</v>
      </c>
      <c r="HU126" s="366">
        <v>387.4</v>
      </c>
      <c r="HV126" s="366">
        <v>405.72</v>
      </c>
    </row>
    <row r="127" spans="1:230">
      <c r="A127" s="366" t="s">
        <v>148</v>
      </c>
      <c r="B127" s="366">
        <v>718.05</v>
      </c>
      <c r="C127" s="366">
        <v>167.65</v>
      </c>
      <c r="D127" s="366">
        <v>76.94</v>
      </c>
      <c r="E127" s="366">
        <v>76.94</v>
      </c>
      <c r="F127" s="366">
        <v>781.95</v>
      </c>
      <c r="G127" s="366">
        <v>547.75</v>
      </c>
      <c r="H127" s="366">
        <v>120.56</v>
      </c>
      <c r="I127" s="366">
        <v>208.57</v>
      </c>
      <c r="J127" s="366">
        <v>144.34</v>
      </c>
      <c r="K127" s="366">
        <v>144.34</v>
      </c>
      <c r="L127" s="366">
        <v>59.03</v>
      </c>
      <c r="M127" s="366">
        <v>193.07</v>
      </c>
      <c r="N127" s="366">
        <v>289.97000000000003</v>
      </c>
      <c r="O127" s="366">
        <v>173.4</v>
      </c>
      <c r="P127" s="366">
        <v>173.4</v>
      </c>
      <c r="Q127" s="366">
        <v>173.4</v>
      </c>
      <c r="R127" s="366">
        <v>173.4</v>
      </c>
      <c r="S127" s="366">
        <v>173.4</v>
      </c>
      <c r="T127" s="366">
        <v>283.07</v>
      </c>
      <c r="U127" s="366">
        <v>655.79</v>
      </c>
      <c r="V127" s="366">
        <v>228.33</v>
      </c>
      <c r="W127" s="366">
        <v>357.93</v>
      </c>
      <c r="X127" s="366">
        <v>357.93</v>
      </c>
      <c r="Y127" s="366">
        <v>357.93</v>
      </c>
      <c r="Z127" s="366">
        <v>266.07</v>
      </c>
      <c r="AA127" s="366">
        <v>541.91999999999996</v>
      </c>
      <c r="AB127" s="366">
        <v>342.81</v>
      </c>
      <c r="AC127" s="366">
        <v>345.27</v>
      </c>
      <c r="AD127" s="366">
        <v>345.27</v>
      </c>
      <c r="AE127" s="366">
        <v>113.38</v>
      </c>
      <c r="AF127" s="366">
        <v>561.49</v>
      </c>
      <c r="AG127" s="366">
        <v>359.45</v>
      </c>
      <c r="AH127" s="366">
        <v>162.52000000000001</v>
      </c>
      <c r="AI127" s="366">
        <v>162.52000000000001</v>
      </c>
      <c r="AJ127" s="366">
        <v>162.52000000000001</v>
      </c>
      <c r="AK127" s="366">
        <v>288.27</v>
      </c>
      <c r="AL127" s="366">
        <v>288.27</v>
      </c>
      <c r="AM127" s="366">
        <v>345.53</v>
      </c>
      <c r="AN127" s="366">
        <v>132.57</v>
      </c>
      <c r="AO127" s="366">
        <v>564.36</v>
      </c>
      <c r="AP127" s="366">
        <v>271.79000000000002</v>
      </c>
      <c r="AQ127" s="366">
        <v>738.49</v>
      </c>
      <c r="AR127" s="366">
        <v>207.11</v>
      </c>
      <c r="AS127" s="366">
        <v>16.420000000000002</v>
      </c>
      <c r="AT127" s="366">
        <v>16.420000000000002</v>
      </c>
      <c r="AU127" s="366">
        <v>143.19</v>
      </c>
      <c r="AV127" s="366">
        <v>686.84</v>
      </c>
      <c r="AW127" s="366">
        <v>188.66</v>
      </c>
      <c r="AX127" s="366">
        <v>229.17</v>
      </c>
      <c r="AY127" s="366">
        <v>325.68</v>
      </c>
      <c r="AZ127" s="366">
        <v>136.27000000000001</v>
      </c>
      <c r="BA127" s="366">
        <v>558.87</v>
      </c>
      <c r="BB127" s="366">
        <v>328.57</v>
      </c>
      <c r="BC127" s="366">
        <v>500.93</v>
      </c>
      <c r="BD127" s="366">
        <v>410.7</v>
      </c>
      <c r="BE127" s="366">
        <v>232.39</v>
      </c>
      <c r="BF127" s="366">
        <v>339.78</v>
      </c>
      <c r="BG127" s="366">
        <v>273.62</v>
      </c>
      <c r="BH127" s="366">
        <v>173.4</v>
      </c>
      <c r="BI127" s="366">
        <v>207.14</v>
      </c>
      <c r="BJ127" s="366">
        <v>211.74</v>
      </c>
      <c r="BK127" s="366">
        <v>204.05</v>
      </c>
      <c r="BL127" s="366">
        <v>83.94</v>
      </c>
      <c r="BM127" s="366">
        <v>93.15</v>
      </c>
      <c r="BN127" s="366">
        <v>582.11</v>
      </c>
      <c r="BO127" s="366">
        <v>246.25</v>
      </c>
      <c r="BP127" s="366">
        <v>212.11</v>
      </c>
      <c r="BQ127" s="366">
        <v>187.87</v>
      </c>
      <c r="BR127" s="366">
        <v>187.87</v>
      </c>
      <c r="BS127" s="366">
        <v>143.84</v>
      </c>
      <c r="BT127" s="366">
        <v>191.57</v>
      </c>
      <c r="BU127" s="366">
        <v>323.31</v>
      </c>
      <c r="BV127" s="366">
        <v>342.93</v>
      </c>
      <c r="BW127" s="366">
        <v>202.48</v>
      </c>
      <c r="BX127" s="366">
        <v>84.93</v>
      </c>
      <c r="BY127" s="366">
        <v>255.81</v>
      </c>
      <c r="BZ127" s="366">
        <v>255.81</v>
      </c>
      <c r="CA127" s="366">
        <v>220.6</v>
      </c>
      <c r="CB127" s="366">
        <v>103.36</v>
      </c>
      <c r="CC127" s="366">
        <v>200.34</v>
      </c>
      <c r="CD127" s="366">
        <v>202.74</v>
      </c>
      <c r="CE127" s="366">
        <v>187.28</v>
      </c>
      <c r="CF127" s="366">
        <v>560.22</v>
      </c>
      <c r="CG127" s="366">
        <v>560.22</v>
      </c>
      <c r="CH127" s="366">
        <v>202.87</v>
      </c>
      <c r="CI127" s="366">
        <v>116.36</v>
      </c>
      <c r="CJ127" s="366">
        <v>571.16999999999996</v>
      </c>
      <c r="CK127" s="366">
        <v>260.89999999999998</v>
      </c>
      <c r="CL127" s="366">
        <v>156.97999999999999</v>
      </c>
      <c r="CM127" s="366">
        <v>447.21</v>
      </c>
      <c r="CN127" s="366">
        <v>161.11000000000001</v>
      </c>
      <c r="CO127" s="366">
        <v>205.72</v>
      </c>
      <c r="CP127" s="366">
        <v>181.18</v>
      </c>
      <c r="CQ127" s="366">
        <v>181.18</v>
      </c>
      <c r="CR127" s="366">
        <v>158.12</v>
      </c>
      <c r="CS127" s="366">
        <v>158.12</v>
      </c>
      <c r="CT127" s="366">
        <v>167.56</v>
      </c>
      <c r="CU127" s="366">
        <v>159.69</v>
      </c>
      <c r="CV127" s="366">
        <v>162.29</v>
      </c>
      <c r="CW127" s="366">
        <v>228.33</v>
      </c>
      <c r="CX127" s="366">
        <v>219.41</v>
      </c>
      <c r="CY127" s="366">
        <v>493.63</v>
      </c>
      <c r="CZ127" s="366">
        <v>514.87</v>
      </c>
      <c r="DA127" s="366">
        <v>228.02</v>
      </c>
      <c r="DB127" s="366">
        <v>207.72</v>
      </c>
      <c r="DC127" s="366">
        <v>207.72</v>
      </c>
      <c r="DD127" s="366">
        <v>345.09</v>
      </c>
      <c r="DE127" s="366">
        <v>305.64999999999998</v>
      </c>
      <c r="DF127" s="366">
        <v>766.41</v>
      </c>
      <c r="DG127" s="366">
        <v>146.01</v>
      </c>
      <c r="DH127" s="366">
        <v>368.21</v>
      </c>
      <c r="DI127" s="366">
        <v>426.04</v>
      </c>
      <c r="DJ127" s="366">
        <v>531.07000000000005</v>
      </c>
      <c r="DK127" s="366">
        <v>47.35</v>
      </c>
      <c r="DL127" s="366">
        <v>329.31</v>
      </c>
      <c r="DM127" s="366">
        <v>155.22999999999999</v>
      </c>
      <c r="DN127" s="366">
        <v>440.8</v>
      </c>
      <c r="DO127" s="366">
        <v>73.92</v>
      </c>
      <c r="DP127" s="366">
        <v>306.77999999999997</v>
      </c>
      <c r="DQ127" s="366">
        <v>213.82</v>
      </c>
      <c r="DR127" s="366">
        <v>368.21</v>
      </c>
      <c r="DS127" s="366">
        <v>183.59</v>
      </c>
      <c r="DT127" s="366">
        <v>171.88</v>
      </c>
      <c r="DU127" s="366">
        <v>258.36</v>
      </c>
      <c r="DV127" s="366">
        <v>291.91000000000003</v>
      </c>
      <c r="DW127" s="366">
        <v>0</v>
      </c>
      <c r="DX127" s="366">
        <v>188.8</v>
      </c>
      <c r="DY127" s="366">
        <v>262.19</v>
      </c>
      <c r="DZ127" s="366">
        <v>354.76</v>
      </c>
      <c r="EA127" s="366">
        <v>189.39</v>
      </c>
      <c r="EB127" s="366">
        <v>256.19</v>
      </c>
      <c r="EC127" s="366">
        <v>102.38</v>
      </c>
      <c r="ED127" s="366">
        <v>455.81</v>
      </c>
      <c r="EE127" s="366">
        <v>466.6</v>
      </c>
      <c r="EF127" s="366">
        <v>265.51</v>
      </c>
      <c r="EG127" s="366">
        <v>188.66</v>
      </c>
      <c r="EH127" s="366">
        <v>188.66</v>
      </c>
      <c r="EI127" s="366">
        <v>186.39</v>
      </c>
      <c r="EJ127" s="366">
        <v>356.27</v>
      </c>
      <c r="EK127" s="366">
        <v>64.819999999999993</v>
      </c>
      <c r="EL127" s="366">
        <v>64.819999999999993</v>
      </c>
      <c r="EM127" s="366">
        <v>158.93</v>
      </c>
      <c r="EN127" s="366">
        <v>158.93</v>
      </c>
      <c r="EO127" s="366">
        <v>345.53</v>
      </c>
      <c r="EP127" s="366">
        <v>268.39</v>
      </c>
      <c r="EQ127" s="366">
        <v>177.05</v>
      </c>
      <c r="ER127" s="366">
        <v>625.83000000000004</v>
      </c>
      <c r="ES127" s="366">
        <v>167.55</v>
      </c>
      <c r="ET127" s="366">
        <v>205.84</v>
      </c>
      <c r="EU127" s="366">
        <v>718.05</v>
      </c>
      <c r="EV127" s="366">
        <v>357.93</v>
      </c>
      <c r="EW127" s="366">
        <v>187.31</v>
      </c>
      <c r="EX127" s="366">
        <v>144.29</v>
      </c>
      <c r="EY127" s="366">
        <v>144.29</v>
      </c>
      <c r="EZ127" s="366">
        <v>210.74</v>
      </c>
      <c r="FA127" s="366">
        <v>156.1</v>
      </c>
      <c r="FB127" s="366">
        <v>31.65</v>
      </c>
      <c r="FC127" s="366">
        <v>208.94</v>
      </c>
      <c r="FD127" s="366">
        <v>98.59</v>
      </c>
      <c r="FE127" s="366">
        <v>190.22</v>
      </c>
      <c r="FF127" s="366">
        <v>165.4</v>
      </c>
      <c r="FG127" s="366">
        <v>549.91</v>
      </c>
      <c r="FH127" s="366">
        <v>549.91</v>
      </c>
      <c r="FI127" s="366">
        <v>338.8</v>
      </c>
      <c r="FJ127" s="366">
        <v>344.59</v>
      </c>
      <c r="FK127" s="366">
        <v>195.29</v>
      </c>
      <c r="FL127" s="366">
        <v>193.48</v>
      </c>
      <c r="FM127" s="366">
        <v>345.53</v>
      </c>
      <c r="FN127" s="366">
        <v>388.68</v>
      </c>
      <c r="FO127" s="366">
        <v>197.76</v>
      </c>
      <c r="FP127" s="366">
        <v>241.29</v>
      </c>
      <c r="FQ127" s="366">
        <v>201.63</v>
      </c>
      <c r="FR127" s="366">
        <v>76.37</v>
      </c>
      <c r="FS127" s="366">
        <v>95.47</v>
      </c>
      <c r="FT127" s="366">
        <v>546.23</v>
      </c>
      <c r="FU127" s="366">
        <v>103.97</v>
      </c>
      <c r="FV127" s="366">
        <v>781.95</v>
      </c>
      <c r="FW127" s="366">
        <v>781.95</v>
      </c>
      <c r="FX127" s="366">
        <v>781.95</v>
      </c>
      <c r="FY127" s="366">
        <v>105.24</v>
      </c>
      <c r="FZ127" s="366">
        <v>180.13</v>
      </c>
      <c r="GA127" s="366">
        <v>232.39</v>
      </c>
      <c r="GB127" s="366">
        <v>133.94</v>
      </c>
      <c r="GC127" s="366">
        <v>455.81</v>
      </c>
      <c r="GD127" s="366">
        <v>67.03</v>
      </c>
      <c r="GE127" s="366">
        <v>167.66</v>
      </c>
      <c r="GF127" s="366">
        <v>90.44</v>
      </c>
      <c r="GG127" s="366">
        <v>90.44</v>
      </c>
      <c r="GH127" s="366">
        <v>280.83999999999997</v>
      </c>
      <c r="GI127" s="366">
        <v>345.69</v>
      </c>
      <c r="GJ127" s="366">
        <v>345.53</v>
      </c>
      <c r="GK127" s="366">
        <v>191.84</v>
      </c>
      <c r="GL127" s="366">
        <v>172.72</v>
      </c>
      <c r="GM127" s="366">
        <v>172.72</v>
      </c>
      <c r="GN127" s="366">
        <v>172.72</v>
      </c>
      <c r="GO127" s="366">
        <v>310.97000000000003</v>
      </c>
      <c r="GP127" s="366">
        <v>237.8</v>
      </c>
      <c r="GQ127" s="366">
        <v>237.55</v>
      </c>
      <c r="GR127" s="366">
        <v>373.76</v>
      </c>
      <c r="GS127" s="366">
        <v>240.3</v>
      </c>
      <c r="GT127" s="366">
        <v>188.66</v>
      </c>
      <c r="GU127" s="366">
        <v>98.09</v>
      </c>
      <c r="GV127" s="366">
        <v>363.46</v>
      </c>
      <c r="GW127" s="366">
        <v>148.69999999999999</v>
      </c>
      <c r="GX127" s="366">
        <v>185.23</v>
      </c>
      <c r="GY127" s="366">
        <v>163.49</v>
      </c>
      <c r="GZ127" s="366">
        <v>98.31</v>
      </c>
      <c r="HA127" s="366">
        <v>203.17</v>
      </c>
      <c r="HB127" s="366">
        <v>203.17</v>
      </c>
      <c r="HC127" s="366">
        <v>203.17</v>
      </c>
      <c r="HD127" s="366">
        <v>391.05</v>
      </c>
      <c r="HE127" s="366">
        <v>152.78</v>
      </c>
      <c r="HF127" s="366">
        <v>109.07</v>
      </c>
      <c r="HG127" s="366">
        <v>236.72</v>
      </c>
      <c r="HH127" s="366">
        <v>236.72</v>
      </c>
      <c r="HI127" s="366">
        <v>236.72</v>
      </c>
      <c r="HJ127" s="366">
        <v>111.31</v>
      </c>
      <c r="HK127" s="366">
        <v>261.14999999999998</v>
      </c>
      <c r="HL127" s="366">
        <v>206.78</v>
      </c>
      <c r="HM127" s="366">
        <v>342.81</v>
      </c>
      <c r="HN127" s="366">
        <v>345.53</v>
      </c>
      <c r="HO127" s="366">
        <v>715.5</v>
      </c>
      <c r="HP127" s="366">
        <v>99.03</v>
      </c>
      <c r="HQ127" s="366">
        <v>781.95</v>
      </c>
      <c r="HR127" s="366">
        <v>561.49</v>
      </c>
      <c r="HS127" s="366">
        <v>341.78</v>
      </c>
      <c r="HT127" s="366">
        <v>224.1</v>
      </c>
      <c r="HU127" s="366">
        <v>191.35</v>
      </c>
      <c r="HV127" s="366">
        <v>209.67</v>
      </c>
    </row>
    <row r="128" spans="1:230">
      <c r="A128" s="366" t="s">
        <v>149</v>
      </c>
      <c r="B128" s="366">
        <v>810.99</v>
      </c>
      <c r="C128" s="366">
        <v>356.45</v>
      </c>
      <c r="D128" s="366">
        <v>257.22000000000003</v>
      </c>
      <c r="E128" s="366">
        <v>257.22000000000003</v>
      </c>
      <c r="F128" s="366">
        <v>874.89</v>
      </c>
      <c r="G128" s="366">
        <v>682.46</v>
      </c>
      <c r="H128" s="366">
        <v>300.83999999999997</v>
      </c>
      <c r="I128" s="366">
        <v>301.51</v>
      </c>
      <c r="J128" s="366">
        <v>324.62</v>
      </c>
      <c r="K128" s="366">
        <v>324.62</v>
      </c>
      <c r="L128" s="366">
        <v>247.83</v>
      </c>
      <c r="M128" s="366">
        <v>381.87</v>
      </c>
      <c r="N128" s="366">
        <v>432.18</v>
      </c>
      <c r="O128" s="366">
        <v>177.69</v>
      </c>
      <c r="P128" s="366">
        <v>177.69</v>
      </c>
      <c r="Q128" s="366">
        <v>177.69</v>
      </c>
      <c r="R128" s="366">
        <v>177.69</v>
      </c>
      <c r="S128" s="366">
        <v>177.69</v>
      </c>
      <c r="T128" s="366">
        <v>376.01</v>
      </c>
      <c r="U128" s="366">
        <v>790.5</v>
      </c>
      <c r="V128" s="366">
        <v>39.53</v>
      </c>
      <c r="W128" s="366">
        <v>519.37</v>
      </c>
      <c r="X128" s="366">
        <v>519.37</v>
      </c>
      <c r="Y128" s="366">
        <v>519.37</v>
      </c>
      <c r="Z128" s="366">
        <v>247.34</v>
      </c>
      <c r="AA128" s="366">
        <v>676.63</v>
      </c>
      <c r="AB128" s="366">
        <v>435.75</v>
      </c>
      <c r="AC128" s="366">
        <v>438.21</v>
      </c>
      <c r="AD128" s="366">
        <v>438.21</v>
      </c>
      <c r="AE128" s="366">
        <v>206.32</v>
      </c>
      <c r="AF128" s="366">
        <v>696.2</v>
      </c>
      <c r="AG128" s="366">
        <v>520.89</v>
      </c>
      <c r="AH128" s="366">
        <v>255.46</v>
      </c>
      <c r="AI128" s="366">
        <v>255.46</v>
      </c>
      <c r="AJ128" s="366">
        <v>255.46</v>
      </c>
      <c r="AK128" s="366">
        <v>269.54000000000002</v>
      </c>
      <c r="AL128" s="366">
        <v>269.54000000000002</v>
      </c>
      <c r="AM128" s="366">
        <v>438.47</v>
      </c>
      <c r="AN128" s="366">
        <v>218.52</v>
      </c>
      <c r="AO128" s="366">
        <v>689.58</v>
      </c>
      <c r="AP128" s="366">
        <v>364.73</v>
      </c>
      <c r="AQ128" s="366">
        <v>831.43</v>
      </c>
      <c r="AR128" s="366">
        <v>387.39</v>
      </c>
      <c r="AS128" s="366">
        <v>172.38</v>
      </c>
      <c r="AT128" s="366">
        <v>172.38</v>
      </c>
      <c r="AU128" s="366">
        <v>45.61</v>
      </c>
      <c r="AV128" s="366">
        <v>821.55</v>
      </c>
      <c r="AW128" s="366">
        <v>368.94</v>
      </c>
      <c r="AX128" s="366">
        <v>322.11</v>
      </c>
      <c r="AY128" s="366">
        <v>467.89</v>
      </c>
      <c r="AZ128" s="366">
        <v>325.07</v>
      </c>
      <c r="BA128" s="366">
        <v>651.80999999999995</v>
      </c>
      <c r="BB128" s="366">
        <v>470.78</v>
      </c>
      <c r="BC128" s="366">
        <v>593.87</v>
      </c>
      <c r="BD128" s="366">
        <v>503.64</v>
      </c>
      <c r="BE128" s="366">
        <v>43.59</v>
      </c>
      <c r="BF128" s="366">
        <v>432.72</v>
      </c>
      <c r="BG128" s="366">
        <v>254.89</v>
      </c>
      <c r="BH128" s="366">
        <v>177.69</v>
      </c>
      <c r="BI128" s="366">
        <v>387.42</v>
      </c>
      <c r="BJ128" s="366">
        <v>193.01</v>
      </c>
      <c r="BK128" s="366">
        <v>392.85</v>
      </c>
      <c r="BL128" s="366">
        <v>250.22</v>
      </c>
      <c r="BM128" s="366">
        <v>273.43</v>
      </c>
      <c r="BN128" s="366">
        <v>716.82</v>
      </c>
      <c r="BO128" s="366">
        <v>435.05</v>
      </c>
      <c r="BP128" s="366">
        <v>400.91</v>
      </c>
      <c r="BQ128" s="366">
        <v>280.81</v>
      </c>
      <c r="BR128" s="366">
        <v>280.81</v>
      </c>
      <c r="BS128" s="366">
        <v>332.64</v>
      </c>
      <c r="BT128" s="366">
        <v>371.85</v>
      </c>
      <c r="BU128" s="366">
        <v>416.25</v>
      </c>
      <c r="BV128" s="366">
        <v>435.87</v>
      </c>
      <c r="BW128" s="366">
        <v>13.68</v>
      </c>
      <c r="BX128" s="366">
        <v>273.73</v>
      </c>
      <c r="BY128" s="366">
        <v>67.010000000000005</v>
      </c>
      <c r="BZ128" s="366">
        <v>67.010000000000005</v>
      </c>
      <c r="CA128" s="366">
        <v>400.88</v>
      </c>
      <c r="CB128" s="366">
        <v>292.16000000000003</v>
      </c>
      <c r="CC128" s="366">
        <v>293.27999999999997</v>
      </c>
      <c r="CD128" s="366">
        <v>295.68</v>
      </c>
      <c r="CE128" s="366">
        <v>376.08</v>
      </c>
      <c r="CF128" s="366">
        <v>694.93</v>
      </c>
      <c r="CG128" s="366">
        <v>694.93</v>
      </c>
      <c r="CH128" s="366">
        <v>295.81</v>
      </c>
      <c r="CI128" s="366">
        <v>198.72</v>
      </c>
      <c r="CJ128" s="366">
        <v>705.88</v>
      </c>
      <c r="CK128" s="366">
        <v>72.099999999999994</v>
      </c>
      <c r="CL128" s="366">
        <v>59.4</v>
      </c>
      <c r="CM128" s="366">
        <v>540.15</v>
      </c>
      <c r="CN128" s="366">
        <v>142.38</v>
      </c>
      <c r="CO128" s="366">
        <v>386</v>
      </c>
      <c r="CP128" s="366">
        <v>274.12</v>
      </c>
      <c r="CQ128" s="366">
        <v>274.12</v>
      </c>
      <c r="CR128" s="366">
        <v>338.4</v>
      </c>
      <c r="CS128" s="366">
        <v>338.4</v>
      </c>
      <c r="CT128" s="366">
        <v>347.84</v>
      </c>
      <c r="CU128" s="366">
        <v>339.97</v>
      </c>
      <c r="CV128" s="366">
        <v>342.57</v>
      </c>
      <c r="CW128" s="366">
        <v>39.53</v>
      </c>
      <c r="CX128" s="366">
        <v>312.35000000000002</v>
      </c>
      <c r="CY128" s="366">
        <v>586.57000000000005</v>
      </c>
      <c r="CZ128" s="366">
        <v>607.80999999999995</v>
      </c>
      <c r="DA128" s="366">
        <v>370.23</v>
      </c>
      <c r="DB128" s="366">
        <v>188.99</v>
      </c>
      <c r="DC128" s="366">
        <v>188.99</v>
      </c>
      <c r="DD128" s="366">
        <v>506.53</v>
      </c>
      <c r="DE128" s="366">
        <v>447.86</v>
      </c>
      <c r="DF128" s="366">
        <v>859.35</v>
      </c>
      <c r="DG128" s="366">
        <v>228.37</v>
      </c>
      <c r="DH128" s="366">
        <v>510.42</v>
      </c>
      <c r="DI128" s="366">
        <v>560.75</v>
      </c>
      <c r="DJ128" s="366">
        <v>624.01</v>
      </c>
      <c r="DK128" s="366">
        <v>236.15</v>
      </c>
      <c r="DL128" s="366">
        <v>422.25</v>
      </c>
      <c r="DM128" s="366">
        <v>344.03</v>
      </c>
      <c r="DN128" s="366">
        <v>575.51</v>
      </c>
      <c r="DO128" s="366">
        <v>262.72000000000003</v>
      </c>
      <c r="DP128" s="366">
        <v>468.22</v>
      </c>
      <c r="DQ128" s="366">
        <v>25.02</v>
      </c>
      <c r="DR128" s="366">
        <v>510.42</v>
      </c>
      <c r="DS128" s="366">
        <v>363.87</v>
      </c>
      <c r="DT128" s="366">
        <v>352.16</v>
      </c>
      <c r="DU128" s="366">
        <v>339.89</v>
      </c>
      <c r="DV128" s="366">
        <v>273.18</v>
      </c>
      <c r="DW128" s="366">
        <v>188.8</v>
      </c>
      <c r="DX128" s="366">
        <v>0</v>
      </c>
      <c r="DY128" s="366">
        <v>73.39</v>
      </c>
      <c r="DZ128" s="366">
        <v>516.20000000000005</v>
      </c>
      <c r="EA128" s="366">
        <v>369.67</v>
      </c>
      <c r="EB128" s="366">
        <v>67.39</v>
      </c>
      <c r="EC128" s="366">
        <v>282.66000000000003</v>
      </c>
      <c r="ED128" s="366">
        <v>590.52</v>
      </c>
      <c r="EE128" s="366">
        <v>601.30999999999995</v>
      </c>
      <c r="EF128" s="366">
        <v>358.45</v>
      </c>
      <c r="EG128" s="366">
        <v>368.94</v>
      </c>
      <c r="EH128" s="366">
        <v>368.94</v>
      </c>
      <c r="EI128" s="366">
        <v>279.33</v>
      </c>
      <c r="EJ128" s="366">
        <v>545.07000000000005</v>
      </c>
      <c r="EK128" s="366">
        <v>157.76</v>
      </c>
      <c r="EL128" s="366">
        <v>157.76</v>
      </c>
      <c r="EM128" s="366">
        <v>92.64</v>
      </c>
      <c r="EN128" s="366">
        <v>92.64</v>
      </c>
      <c r="EO128" s="366">
        <v>438.47</v>
      </c>
      <c r="EP128" s="366">
        <v>361.33</v>
      </c>
      <c r="EQ128" s="366">
        <v>357.33</v>
      </c>
      <c r="ER128" s="366">
        <v>760.54</v>
      </c>
      <c r="ES128" s="366">
        <v>356.35</v>
      </c>
      <c r="ET128" s="366">
        <v>298.77999999999997</v>
      </c>
      <c r="EU128" s="366">
        <v>810.99</v>
      </c>
      <c r="EV128" s="366">
        <v>519.37</v>
      </c>
      <c r="EW128" s="366">
        <v>280.25</v>
      </c>
      <c r="EX128" s="366">
        <v>333.09</v>
      </c>
      <c r="EY128" s="366">
        <v>333.09</v>
      </c>
      <c r="EZ128" s="366">
        <v>113.16</v>
      </c>
      <c r="FA128" s="366">
        <v>58.52</v>
      </c>
      <c r="FB128" s="366">
        <v>220.45</v>
      </c>
      <c r="FC128" s="366">
        <v>20.14</v>
      </c>
      <c r="FD128" s="366">
        <v>185.89</v>
      </c>
      <c r="FE128" s="366">
        <v>283.16000000000003</v>
      </c>
      <c r="FF128" s="366">
        <v>258.33999999999997</v>
      </c>
      <c r="FG128" s="366">
        <v>642.85</v>
      </c>
      <c r="FH128" s="366">
        <v>642.85</v>
      </c>
      <c r="FI128" s="366">
        <v>500.24</v>
      </c>
      <c r="FJ128" s="366">
        <v>506.03</v>
      </c>
      <c r="FK128" s="366">
        <v>384.09</v>
      </c>
      <c r="FL128" s="366">
        <v>382.28</v>
      </c>
      <c r="FM128" s="366">
        <v>438.47</v>
      </c>
      <c r="FN128" s="366">
        <v>550.12</v>
      </c>
      <c r="FO128" s="366">
        <v>378.04</v>
      </c>
      <c r="FP128" s="366">
        <v>52.49</v>
      </c>
      <c r="FQ128" s="366">
        <v>381.91</v>
      </c>
      <c r="FR128" s="366">
        <v>265.17</v>
      </c>
      <c r="FS128" s="366">
        <v>188.41</v>
      </c>
      <c r="FT128" s="366">
        <v>639.16999999999996</v>
      </c>
      <c r="FU128" s="366">
        <v>186.33</v>
      </c>
      <c r="FV128" s="366">
        <v>874.89</v>
      </c>
      <c r="FW128" s="366">
        <v>874.89</v>
      </c>
      <c r="FX128" s="366">
        <v>874.89</v>
      </c>
      <c r="FY128" s="366">
        <v>83.56</v>
      </c>
      <c r="FZ128" s="366">
        <v>273.07</v>
      </c>
      <c r="GA128" s="366">
        <v>43.59</v>
      </c>
      <c r="GB128" s="366">
        <v>226.88</v>
      </c>
      <c r="GC128" s="366">
        <v>590.52</v>
      </c>
      <c r="GD128" s="366">
        <v>255.83</v>
      </c>
      <c r="GE128" s="366">
        <v>347.94</v>
      </c>
      <c r="GF128" s="366">
        <v>172.8</v>
      </c>
      <c r="GG128" s="366">
        <v>172.8</v>
      </c>
      <c r="GH128" s="366">
        <v>92.04</v>
      </c>
      <c r="GI128" s="366">
        <v>438.63</v>
      </c>
      <c r="GJ128" s="366">
        <v>438.47</v>
      </c>
      <c r="GK128" s="366">
        <v>380.64</v>
      </c>
      <c r="GL128" s="366">
        <v>265.66000000000003</v>
      </c>
      <c r="GM128" s="366">
        <v>265.66000000000003</v>
      </c>
      <c r="GN128" s="366">
        <v>265.66000000000003</v>
      </c>
      <c r="GO128" s="366">
        <v>403.91</v>
      </c>
      <c r="GP128" s="366">
        <v>49</v>
      </c>
      <c r="GQ128" s="366">
        <v>426.35</v>
      </c>
      <c r="GR128" s="366">
        <v>466.7</v>
      </c>
      <c r="GS128" s="366">
        <v>333.24</v>
      </c>
      <c r="GT128" s="366">
        <v>368.94</v>
      </c>
      <c r="GU128" s="366">
        <v>191.03</v>
      </c>
      <c r="GV128" s="366">
        <v>552.26</v>
      </c>
      <c r="GW128" s="366">
        <v>241.64</v>
      </c>
      <c r="GX128" s="366">
        <v>365.51</v>
      </c>
      <c r="GY128" s="366">
        <v>256.43</v>
      </c>
      <c r="GZ128" s="366">
        <v>185.61</v>
      </c>
      <c r="HA128" s="366">
        <v>383.45</v>
      </c>
      <c r="HB128" s="366">
        <v>383.45</v>
      </c>
      <c r="HC128" s="366">
        <v>383.45</v>
      </c>
      <c r="HD128" s="366">
        <v>552.49</v>
      </c>
      <c r="HE128" s="366">
        <v>86.49</v>
      </c>
      <c r="HF128" s="366">
        <v>123.63</v>
      </c>
      <c r="HG128" s="366">
        <v>217.99</v>
      </c>
      <c r="HH128" s="366">
        <v>217.99</v>
      </c>
      <c r="HI128" s="366">
        <v>217.99</v>
      </c>
      <c r="HJ128" s="366">
        <v>193.67</v>
      </c>
      <c r="HK128" s="366">
        <v>441.43</v>
      </c>
      <c r="HL128" s="366">
        <v>158.11000000000001</v>
      </c>
      <c r="HM128" s="366">
        <v>435.75</v>
      </c>
      <c r="HN128" s="366">
        <v>438.47</v>
      </c>
      <c r="HO128" s="366">
        <v>844.19</v>
      </c>
      <c r="HP128" s="366">
        <v>186.33</v>
      </c>
      <c r="HQ128" s="366">
        <v>874.89</v>
      </c>
      <c r="HR128" s="366">
        <v>696.2</v>
      </c>
      <c r="HS128" s="366">
        <v>434.72</v>
      </c>
      <c r="HT128" s="366">
        <v>317.04000000000002</v>
      </c>
      <c r="HU128" s="366">
        <v>284.29000000000002</v>
      </c>
      <c r="HV128" s="366">
        <v>302.61</v>
      </c>
    </row>
    <row r="129" spans="1:230">
      <c r="A129" s="366" t="s">
        <v>150</v>
      </c>
      <c r="B129" s="366">
        <v>884.38</v>
      </c>
      <c r="C129" s="366">
        <v>429.84</v>
      </c>
      <c r="D129" s="366">
        <v>330.61</v>
      </c>
      <c r="E129" s="366">
        <v>330.61</v>
      </c>
      <c r="F129" s="366">
        <v>948.28</v>
      </c>
      <c r="G129" s="366">
        <v>755.85</v>
      </c>
      <c r="H129" s="366">
        <v>374.23</v>
      </c>
      <c r="I129" s="366">
        <v>374.9</v>
      </c>
      <c r="J129" s="366">
        <v>398.01</v>
      </c>
      <c r="K129" s="366">
        <v>398.01</v>
      </c>
      <c r="L129" s="366">
        <v>321.22000000000003</v>
      </c>
      <c r="M129" s="366">
        <v>455.26</v>
      </c>
      <c r="N129" s="366">
        <v>505.57</v>
      </c>
      <c r="O129" s="366">
        <v>218.19</v>
      </c>
      <c r="P129" s="366">
        <v>218.19</v>
      </c>
      <c r="Q129" s="366">
        <v>218.19</v>
      </c>
      <c r="R129" s="366">
        <v>218.19</v>
      </c>
      <c r="S129" s="366">
        <v>218.19</v>
      </c>
      <c r="T129" s="366">
        <v>449.4</v>
      </c>
      <c r="U129" s="366">
        <v>863.89</v>
      </c>
      <c r="V129" s="366">
        <v>33.86</v>
      </c>
      <c r="W129" s="366">
        <v>592.76</v>
      </c>
      <c r="X129" s="366">
        <v>592.76</v>
      </c>
      <c r="Y129" s="366">
        <v>592.76</v>
      </c>
      <c r="Z129" s="366">
        <v>320.73</v>
      </c>
      <c r="AA129" s="366">
        <v>750.02</v>
      </c>
      <c r="AB129" s="366">
        <v>509.14</v>
      </c>
      <c r="AC129" s="366">
        <v>511.6</v>
      </c>
      <c r="AD129" s="366">
        <v>511.6</v>
      </c>
      <c r="AE129" s="366">
        <v>279.70999999999998</v>
      </c>
      <c r="AF129" s="366">
        <v>769.59</v>
      </c>
      <c r="AG129" s="366">
        <v>594.28</v>
      </c>
      <c r="AH129" s="366">
        <v>328.85</v>
      </c>
      <c r="AI129" s="366">
        <v>328.85</v>
      </c>
      <c r="AJ129" s="366">
        <v>328.85</v>
      </c>
      <c r="AK129" s="366">
        <v>342.93</v>
      </c>
      <c r="AL129" s="366">
        <v>342.93</v>
      </c>
      <c r="AM129" s="366">
        <v>511.86</v>
      </c>
      <c r="AN129" s="366">
        <v>259.02</v>
      </c>
      <c r="AO129" s="366">
        <v>762.97</v>
      </c>
      <c r="AP129" s="366">
        <v>438.12</v>
      </c>
      <c r="AQ129" s="366">
        <v>904.82</v>
      </c>
      <c r="AR129" s="366">
        <v>460.78</v>
      </c>
      <c r="AS129" s="366">
        <v>245.77</v>
      </c>
      <c r="AT129" s="366">
        <v>245.77</v>
      </c>
      <c r="AU129" s="366">
        <v>119</v>
      </c>
      <c r="AV129" s="366">
        <v>894.94</v>
      </c>
      <c r="AW129" s="366">
        <v>442.33</v>
      </c>
      <c r="AX129" s="366">
        <v>395.5</v>
      </c>
      <c r="AY129" s="366">
        <v>541.28</v>
      </c>
      <c r="AZ129" s="366">
        <v>398.46</v>
      </c>
      <c r="BA129" s="366">
        <v>725.2</v>
      </c>
      <c r="BB129" s="366">
        <v>544.16999999999996</v>
      </c>
      <c r="BC129" s="366">
        <v>667.26</v>
      </c>
      <c r="BD129" s="366">
        <v>577.03</v>
      </c>
      <c r="BE129" s="366">
        <v>29.8</v>
      </c>
      <c r="BF129" s="366">
        <v>506.11</v>
      </c>
      <c r="BG129" s="366">
        <v>328.28</v>
      </c>
      <c r="BH129" s="366">
        <v>218.19</v>
      </c>
      <c r="BI129" s="366">
        <v>460.81</v>
      </c>
      <c r="BJ129" s="366">
        <v>266.39999999999998</v>
      </c>
      <c r="BK129" s="366">
        <v>466.24</v>
      </c>
      <c r="BL129" s="366">
        <v>323.61</v>
      </c>
      <c r="BM129" s="366">
        <v>346.82</v>
      </c>
      <c r="BN129" s="366">
        <v>790.21</v>
      </c>
      <c r="BO129" s="366">
        <v>508.44</v>
      </c>
      <c r="BP129" s="366">
        <v>474.3</v>
      </c>
      <c r="BQ129" s="366">
        <v>354.2</v>
      </c>
      <c r="BR129" s="366">
        <v>354.2</v>
      </c>
      <c r="BS129" s="366">
        <v>406.03</v>
      </c>
      <c r="BT129" s="366">
        <v>445.24</v>
      </c>
      <c r="BU129" s="366">
        <v>489.64</v>
      </c>
      <c r="BV129" s="366">
        <v>509.26</v>
      </c>
      <c r="BW129" s="366">
        <v>87.07</v>
      </c>
      <c r="BX129" s="366">
        <v>347.12</v>
      </c>
      <c r="BY129" s="366">
        <v>35.42</v>
      </c>
      <c r="BZ129" s="366">
        <v>35.42</v>
      </c>
      <c r="CA129" s="366">
        <v>474.27</v>
      </c>
      <c r="CB129" s="366">
        <v>365.55</v>
      </c>
      <c r="CC129" s="366">
        <v>366.67</v>
      </c>
      <c r="CD129" s="366">
        <v>369.07</v>
      </c>
      <c r="CE129" s="366">
        <v>449.47</v>
      </c>
      <c r="CF129" s="366">
        <v>768.32</v>
      </c>
      <c r="CG129" s="366">
        <v>768.32</v>
      </c>
      <c r="CH129" s="366">
        <v>369.2</v>
      </c>
      <c r="CI129" s="366">
        <v>272.11</v>
      </c>
      <c r="CJ129" s="366">
        <v>779.27</v>
      </c>
      <c r="CK129" s="366">
        <v>1.29</v>
      </c>
      <c r="CL129" s="366">
        <v>132.79</v>
      </c>
      <c r="CM129" s="366">
        <v>613.54</v>
      </c>
      <c r="CN129" s="366">
        <v>215.77</v>
      </c>
      <c r="CO129" s="366">
        <v>459.39</v>
      </c>
      <c r="CP129" s="366">
        <v>347.51</v>
      </c>
      <c r="CQ129" s="366">
        <v>347.51</v>
      </c>
      <c r="CR129" s="366">
        <v>411.79</v>
      </c>
      <c r="CS129" s="366">
        <v>411.79</v>
      </c>
      <c r="CT129" s="366">
        <v>421.23</v>
      </c>
      <c r="CU129" s="366">
        <v>413.36</v>
      </c>
      <c r="CV129" s="366">
        <v>415.96</v>
      </c>
      <c r="CW129" s="366">
        <v>33.86</v>
      </c>
      <c r="CX129" s="366">
        <v>385.74</v>
      </c>
      <c r="CY129" s="366">
        <v>659.96</v>
      </c>
      <c r="CZ129" s="366">
        <v>681.2</v>
      </c>
      <c r="DA129" s="366">
        <v>443.62</v>
      </c>
      <c r="DB129" s="366">
        <v>262.38</v>
      </c>
      <c r="DC129" s="366">
        <v>262.38</v>
      </c>
      <c r="DD129" s="366">
        <v>579.91999999999996</v>
      </c>
      <c r="DE129" s="366">
        <v>521.25</v>
      </c>
      <c r="DF129" s="366">
        <v>932.74</v>
      </c>
      <c r="DG129" s="366">
        <v>301.76</v>
      </c>
      <c r="DH129" s="366">
        <v>583.80999999999995</v>
      </c>
      <c r="DI129" s="366">
        <v>634.14</v>
      </c>
      <c r="DJ129" s="366">
        <v>697.4</v>
      </c>
      <c r="DK129" s="366">
        <v>309.54000000000002</v>
      </c>
      <c r="DL129" s="366">
        <v>495.64</v>
      </c>
      <c r="DM129" s="366">
        <v>417.42</v>
      </c>
      <c r="DN129" s="366">
        <v>648.9</v>
      </c>
      <c r="DO129" s="366">
        <v>336.11</v>
      </c>
      <c r="DP129" s="366">
        <v>541.61</v>
      </c>
      <c r="DQ129" s="366">
        <v>69.290000000000006</v>
      </c>
      <c r="DR129" s="366">
        <v>583.80999999999995</v>
      </c>
      <c r="DS129" s="366">
        <v>437.26</v>
      </c>
      <c r="DT129" s="366">
        <v>425.55</v>
      </c>
      <c r="DU129" s="366">
        <v>413.28</v>
      </c>
      <c r="DV129" s="366">
        <v>346.57</v>
      </c>
      <c r="DW129" s="366">
        <v>262.19</v>
      </c>
      <c r="DX129" s="366">
        <v>73.39</v>
      </c>
      <c r="DY129" s="366">
        <v>0</v>
      </c>
      <c r="DZ129" s="366">
        <v>589.59</v>
      </c>
      <c r="EA129" s="366">
        <v>443.06</v>
      </c>
      <c r="EB129" s="366">
        <v>6</v>
      </c>
      <c r="EC129" s="366">
        <v>356.05</v>
      </c>
      <c r="ED129" s="366">
        <v>663.91</v>
      </c>
      <c r="EE129" s="366">
        <v>674.7</v>
      </c>
      <c r="EF129" s="366">
        <v>431.84</v>
      </c>
      <c r="EG129" s="366">
        <v>442.33</v>
      </c>
      <c r="EH129" s="366">
        <v>442.33</v>
      </c>
      <c r="EI129" s="366">
        <v>352.72</v>
      </c>
      <c r="EJ129" s="366">
        <v>618.46</v>
      </c>
      <c r="EK129" s="366">
        <v>231.15</v>
      </c>
      <c r="EL129" s="366">
        <v>231.15</v>
      </c>
      <c r="EM129" s="366">
        <v>166.03</v>
      </c>
      <c r="EN129" s="366">
        <v>166.03</v>
      </c>
      <c r="EO129" s="366">
        <v>511.86</v>
      </c>
      <c r="EP129" s="366">
        <v>434.72</v>
      </c>
      <c r="EQ129" s="366">
        <v>430.72</v>
      </c>
      <c r="ER129" s="366">
        <v>833.93</v>
      </c>
      <c r="ES129" s="366">
        <v>429.74</v>
      </c>
      <c r="ET129" s="366">
        <v>372.17</v>
      </c>
      <c r="EU129" s="366">
        <v>884.38</v>
      </c>
      <c r="EV129" s="366">
        <v>592.76</v>
      </c>
      <c r="EW129" s="366">
        <v>353.64</v>
      </c>
      <c r="EX129" s="366">
        <v>406.48</v>
      </c>
      <c r="EY129" s="366">
        <v>406.48</v>
      </c>
      <c r="EZ129" s="366">
        <v>186.55</v>
      </c>
      <c r="FA129" s="366">
        <v>131.91</v>
      </c>
      <c r="FB129" s="366">
        <v>293.83999999999997</v>
      </c>
      <c r="FC129" s="366">
        <v>93.53</v>
      </c>
      <c r="FD129" s="366">
        <v>259.27999999999997</v>
      </c>
      <c r="FE129" s="366">
        <v>356.55</v>
      </c>
      <c r="FF129" s="366">
        <v>331.73</v>
      </c>
      <c r="FG129" s="366">
        <v>716.24</v>
      </c>
      <c r="FH129" s="366">
        <v>716.24</v>
      </c>
      <c r="FI129" s="366">
        <v>573.63</v>
      </c>
      <c r="FJ129" s="366">
        <v>579.41999999999996</v>
      </c>
      <c r="FK129" s="366">
        <v>457.48</v>
      </c>
      <c r="FL129" s="366">
        <v>455.67</v>
      </c>
      <c r="FM129" s="366">
        <v>511.86</v>
      </c>
      <c r="FN129" s="366">
        <v>623.51</v>
      </c>
      <c r="FO129" s="366">
        <v>451.43</v>
      </c>
      <c r="FP129" s="366">
        <v>20.9</v>
      </c>
      <c r="FQ129" s="366">
        <v>455.3</v>
      </c>
      <c r="FR129" s="366">
        <v>338.56</v>
      </c>
      <c r="FS129" s="366">
        <v>261.8</v>
      </c>
      <c r="FT129" s="366">
        <v>712.56</v>
      </c>
      <c r="FU129" s="366">
        <v>259.72000000000003</v>
      </c>
      <c r="FV129" s="366">
        <v>948.28</v>
      </c>
      <c r="FW129" s="366">
        <v>948.28</v>
      </c>
      <c r="FX129" s="366">
        <v>948.28</v>
      </c>
      <c r="FY129" s="366">
        <v>156.94999999999999</v>
      </c>
      <c r="FZ129" s="366">
        <v>346.46</v>
      </c>
      <c r="GA129" s="366">
        <v>29.8</v>
      </c>
      <c r="GB129" s="366">
        <v>300.27</v>
      </c>
      <c r="GC129" s="366">
        <v>663.91</v>
      </c>
      <c r="GD129" s="366">
        <v>329.22</v>
      </c>
      <c r="GE129" s="366">
        <v>421.33</v>
      </c>
      <c r="GF129" s="366">
        <v>246.19</v>
      </c>
      <c r="GG129" s="366">
        <v>246.19</v>
      </c>
      <c r="GH129" s="366">
        <v>60.45</v>
      </c>
      <c r="GI129" s="366">
        <v>512.02</v>
      </c>
      <c r="GJ129" s="366">
        <v>511.86</v>
      </c>
      <c r="GK129" s="366">
        <v>454.03</v>
      </c>
      <c r="GL129" s="366">
        <v>339.05</v>
      </c>
      <c r="GM129" s="366">
        <v>339.05</v>
      </c>
      <c r="GN129" s="366">
        <v>339.05</v>
      </c>
      <c r="GO129" s="366">
        <v>477.3</v>
      </c>
      <c r="GP129" s="366">
        <v>24.39</v>
      </c>
      <c r="GQ129" s="366">
        <v>499.74</v>
      </c>
      <c r="GR129" s="366">
        <v>540.09</v>
      </c>
      <c r="GS129" s="366">
        <v>406.63</v>
      </c>
      <c r="GT129" s="366">
        <v>442.33</v>
      </c>
      <c r="GU129" s="366">
        <v>264.42</v>
      </c>
      <c r="GV129" s="366">
        <v>625.65</v>
      </c>
      <c r="GW129" s="366">
        <v>315.02999999999997</v>
      </c>
      <c r="GX129" s="366">
        <v>438.9</v>
      </c>
      <c r="GY129" s="366">
        <v>329.82</v>
      </c>
      <c r="GZ129" s="366">
        <v>259</v>
      </c>
      <c r="HA129" s="366">
        <v>456.84</v>
      </c>
      <c r="HB129" s="366">
        <v>456.84</v>
      </c>
      <c r="HC129" s="366">
        <v>456.84</v>
      </c>
      <c r="HD129" s="366">
        <v>625.88</v>
      </c>
      <c r="HE129" s="366">
        <v>159.88</v>
      </c>
      <c r="HF129" s="366">
        <v>197.02</v>
      </c>
      <c r="HG129" s="366">
        <v>291.38</v>
      </c>
      <c r="HH129" s="366">
        <v>291.38</v>
      </c>
      <c r="HI129" s="366">
        <v>291.38</v>
      </c>
      <c r="HJ129" s="366">
        <v>267.06</v>
      </c>
      <c r="HK129" s="366">
        <v>514.82000000000005</v>
      </c>
      <c r="HL129" s="366">
        <v>184.81</v>
      </c>
      <c r="HM129" s="366">
        <v>509.14</v>
      </c>
      <c r="HN129" s="366">
        <v>511.86</v>
      </c>
      <c r="HO129" s="366">
        <v>917.58</v>
      </c>
      <c r="HP129" s="366">
        <v>259.72000000000003</v>
      </c>
      <c r="HQ129" s="366">
        <v>948.28</v>
      </c>
      <c r="HR129" s="366">
        <v>769.59</v>
      </c>
      <c r="HS129" s="366">
        <v>508.11</v>
      </c>
      <c r="HT129" s="366">
        <v>390.43</v>
      </c>
      <c r="HU129" s="366">
        <v>357.68</v>
      </c>
      <c r="HV129" s="366">
        <v>376</v>
      </c>
    </row>
    <row r="130" spans="1:230">
      <c r="A130" s="366" t="s">
        <v>151</v>
      </c>
      <c r="B130" s="366">
        <v>392.58</v>
      </c>
      <c r="C130" s="366">
        <v>473.91</v>
      </c>
      <c r="D130" s="366">
        <v>277.82</v>
      </c>
      <c r="E130" s="366">
        <v>277.82</v>
      </c>
      <c r="F130" s="366">
        <v>456.48</v>
      </c>
      <c r="G130" s="366">
        <v>192.99</v>
      </c>
      <c r="H130" s="366">
        <v>234.2</v>
      </c>
      <c r="I130" s="366">
        <v>214.69</v>
      </c>
      <c r="J130" s="366">
        <v>210.42</v>
      </c>
      <c r="K130" s="366">
        <v>210.42</v>
      </c>
      <c r="L130" s="366">
        <v>295.73</v>
      </c>
      <c r="M130" s="366">
        <v>499.33</v>
      </c>
      <c r="N130" s="366">
        <v>596.23</v>
      </c>
      <c r="O130" s="366">
        <v>466.34</v>
      </c>
      <c r="P130" s="366">
        <v>466.34</v>
      </c>
      <c r="Q130" s="366">
        <v>466.34</v>
      </c>
      <c r="R130" s="366">
        <v>466.34</v>
      </c>
      <c r="S130" s="366">
        <v>466.34</v>
      </c>
      <c r="T130" s="366">
        <v>223.08</v>
      </c>
      <c r="U130" s="366">
        <v>301.02999999999997</v>
      </c>
      <c r="V130" s="366">
        <v>555.73</v>
      </c>
      <c r="W130" s="366">
        <v>99.13</v>
      </c>
      <c r="X130" s="366">
        <v>99.13</v>
      </c>
      <c r="Y130" s="366">
        <v>99.13</v>
      </c>
      <c r="Z130" s="366">
        <v>593.47</v>
      </c>
      <c r="AA130" s="366">
        <v>187.16</v>
      </c>
      <c r="AB130" s="366">
        <v>192.41</v>
      </c>
      <c r="AC130" s="366">
        <v>160.88</v>
      </c>
      <c r="AD130" s="366">
        <v>160.88</v>
      </c>
      <c r="AE130" s="366">
        <v>328.72</v>
      </c>
      <c r="AF130" s="366">
        <v>206.73</v>
      </c>
      <c r="AG130" s="366">
        <v>130.65</v>
      </c>
      <c r="AH130" s="366">
        <v>260.74</v>
      </c>
      <c r="AI130" s="366">
        <v>260.74</v>
      </c>
      <c r="AJ130" s="366">
        <v>260.74</v>
      </c>
      <c r="AK130" s="366">
        <v>615.66999999999996</v>
      </c>
      <c r="AL130" s="366">
        <v>615.66999999999996</v>
      </c>
      <c r="AM130" s="366">
        <v>195.13</v>
      </c>
      <c r="AN130" s="366">
        <v>425.51</v>
      </c>
      <c r="AO130" s="366">
        <v>209.6</v>
      </c>
      <c r="AP130" s="366">
        <v>164.03</v>
      </c>
      <c r="AQ130" s="366">
        <v>413.02</v>
      </c>
      <c r="AR130" s="366">
        <v>250.16</v>
      </c>
      <c r="AS130" s="366">
        <v>371.18</v>
      </c>
      <c r="AT130" s="366">
        <v>371.18</v>
      </c>
      <c r="AU130" s="366">
        <v>470.59</v>
      </c>
      <c r="AV130" s="366">
        <v>332.08</v>
      </c>
      <c r="AW130" s="366">
        <v>172.96</v>
      </c>
      <c r="AX130" s="366">
        <v>285.24</v>
      </c>
      <c r="AY130" s="366">
        <v>631.94000000000005</v>
      </c>
      <c r="AZ130" s="366">
        <v>442.53</v>
      </c>
      <c r="BA130" s="366">
        <v>374.48</v>
      </c>
      <c r="BB130" s="366">
        <v>634.83000000000004</v>
      </c>
      <c r="BC130" s="366">
        <v>305.31</v>
      </c>
      <c r="BD130" s="366">
        <v>226.31</v>
      </c>
      <c r="BE130" s="366">
        <v>559.79</v>
      </c>
      <c r="BF130" s="366">
        <v>189.38</v>
      </c>
      <c r="BG130" s="366">
        <v>601.02</v>
      </c>
      <c r="BH130" s="366">
        <v>466.34</v>
      </c>
      <c r="BI130" s="366">
        <v>250.19</v>
      </c>
      <c r="BJ130" s="366">
        <v>539.14</v>
      </c>
      <c r="BK130" s="366">
        <v>510.31</v>
      </c>
      <c r="BL130" s="366">
        <v>284.82</v>
      </c>
      <c r="BM130" s="366">
        <v>261.61</v>
      </c>
      <c r="BN130" s="366">
        <v>227.35</v>
      </c>
      <c r="BO130" s="366">
        <v>552.51</v>
      </c>
      <c r="BP130" s="366">
        <v>518.37</v>
      </c>
      <c r="BQ130" s="366">
        <v>235.39</v>
      </c>
      <c r="BR130" s="366">
        <v>235.39</v>
      </c>
      <c r="BS130" s="366">
        <v>450.1</v>
      </c>
      <c r="BT130" s="366">
        <v>242.11</v>
      </c>
      <c r="BU130" s="366">
        <v>182.84</v>
      </c>
      <c r="BV130" s="366">
        <v>192.53</v>
      </c>
      <c r="BW130" s="366">
        <v>529.88</v>
      </c>
      <c r="BX130" s="366">
        <v>391.19</v>
      </c>
      <c r="BY130" s="366">
        <v>583.21</v>
      </c>
      <c r="BZ130" s="366">
        <v>583.21</v>
      </c>
      <c r="CA130" s="366">
        <v>134.16</v>
      </c>
      <c r="CB130" s="366">
        <v>409.62</v>
      </c>
      <c r="CC130" s="366">
        <v>267.04000000000002</v>
      </c>
      <c r="CD130" s="366">
        <v>280.52</v>
      </c>
      <c r="CE130" s="366">
        <v>493.54</v>
      </c>
      <c r="CF130" s="366">
        <v>205.46</v>
      </c>
      <c r="CG130" s="366">
        <v>205.46</v>
      </c>
      <c r="CH130" s="366">
        <v>220.39</v>
      </c>
      <c r="CI130" s="366">
        <v>339.54</v>
      </c>
      <c r="CJ130" s="366">
        <v>216.41</v>
      </c>
      <c r="CK130" s="366">
        <v>588.29999999999995</v>
      </c>
      <c r="CL130" s="366">
        <v>484.38</v>
      </c>
      <c r="CM130" s="366">
        <v>262.82</v>
      </c>
      <c r="CN130" s="366">
        <v>488.51</v>
      </c>
      <c r="CO130" s="366">
        <v>248.77</v>
      </c>
      <c r="CP130" s="366">
        <v>242.08</v>
      </c>
      <c r="CQ130" s="366">
        <v>242.08</v>
      </c>
      <c r="CR130" s="366">
        <v>200.09</v>
      </c>
      <c r="CS130" s="366">
        <v>200.09</v>
      </c>
      <c r="CT130" s="366">
        <v>190.65</v>
      </c>
      <c r="CU130" s="366">
        <v>198.52</v>
      </c>
      <c r="CV130" s="366">
        <v>192.47</v>
      </c>
      <c r="CW130" s="366">
        <v>555.73</v>
      </c>
      <c r="CX130" s="366">
        <v>286.11</v>
      </c>
      <c r="CY130" s="366">
        <v>309.24</v>
      </c>
      <c r="CZ130" s="366">
        <v>291.37</v>
      </c>
      <c r="DA130" s="366">
        <v>534.28</v>
      </c>
      <c r="DB130" s="366">
        <v>535.12</v>
      </c>
      <c r="DC130" s="366">
        <v>535.12</v>
      </c>
      <c r="DD130" s="366">
        <v>86.29</v>
      </c>
      <c r="DE130" s="366">
        <v>611.91</v>
      </c>
      <c r="DF130" s="366">
        <v>440.94</v>
      </c>
      <c r="DG130" s="366">
        <v>309.89</v>
      </c>
      <c r="DH130" s="366">
        <v>674.47</v>
      </c>
      <c r="DI130" s="366">
        <v>71.28</v>
      </c>
      <c r="DJ130" s="366">
        <v>275.17</v>
      </c>
      <c r="DK130" s="366">
        <v>353.61</v>
      </c>
      <c r="DL130" s="366">
        <v>178.51</v>
      </c>
      <c r="DM130" s="366">
        <v>461.49</v>
      </c>
      <c r="DN130" s="366">
        <v>86.04</v>
      </c>
      <c r="DO130" s="366">
        <v>380.18</v>
      </c>
      <c r="DP130" s="366">
        <v>47.98</v>
      </c>
      <c r="DQ130" s="366">
        <v>541.22</v>
      </c>
      <c r="DR130" s="366">
        <v>674.47</v>
      </c>
      <c r="DS130" s="366">
        <v>249.67</v>
      </c>
      <c r="DT130" s="366">
        <v>237.96</v>
      </c>
      <c r="DU130" s="366">
        <v>564.62</v>
      </c>
      <c r="DV130" s="366">
        <v>619.30999999999995</v>
      </c>
      <c r="DW130" s="366">
        <v>354.76</v>
      </c>
      <c r="DX130" s="366">
        <v>516.20000000000005</v>
      </c>
      <c r="DY130" s="366">
        <v>589.59</v>
      </c>
      <c r="DZ130" s="366">
        <v>0</v>
      </c>
      <c r="EA130" s="366">
        <v>232.44</v>
      </c>
      <c r="EB130" s="366">
        <v>583.59</v>
      </c>
      <c r="EC130" s="366">
        <v>252.38</v>
      </c>
      <c r="ED130" s="366">
        <v>101.05</v>
      </c>
      <c r="EE130" s="366">
        <v>111.84</v>
      </c>
      <c r="EF130" s="366">
        <v>157.75</v>
      </c>
      <c r="EG130" s="366">
        <v>172.96</v>
      </c>
      <c r="EH130" s="366">
        <v>172.96</v>
      </c>
      <c r="EI130" s="366">
        <v>280.99</v>
      </c>
      <c r="EJ130" s="366">
        <v>662.53</v>
      </c>
      <c r="EK130" s="366">
        <v>392.22</v>
      </c>
      <c r="EL130" s="366">
        <v>392.22</v>
      </c>
      <c r="EM130" s="366">
        <v>486.33</v>
      </c>
      <c r="EN130" s="366">
        <v>486.33</v>
      </c>
      <c r="EO130" s="366">
        <v>195.13</v>
      </c>
      <c r="EP130" s="366">
        <v>246.02</v>
      </c>
      <c r="EQ130" s="366">
        <v>181.16</v>
      </c>
      <c r="ER130" s="366">
        <v>271.07</v>
      </c>
      <c r="ES130" s="366">
        <v>473.81</v>
      </c>
      <c r="ET130" s="366">
        <v>217.42</v>
      </c>
      <c r="EU130" s="366">
        <v>392.58</v>
      </c>
      <c r="EV130" s="366">
        <v>99.13</v>
      </c>
      <c r="EW130" s="366">
        <v>280.37</v>
      </c>
      <c r="EX130" s="366">
        <v>450.55</v>
      </c>
      <c r="EY130" s="366">
        <v>450.55</v>
      </c>
      <c r="EZ130" s="366">
        <v>530.87</v>
      </c>
      <c r="FA130" s="366">
        <v>483.5</v>
      </c>
      <c r="FB130" s="366">
        <v>337.91</v>
      </c>
      <c r="FC130" s="366">
        <v>536.34</v>
      </c>
      <c r="FD130" s="366">
        <v>391.53</v>
      </c>
      <c r="FE130" s="366">
        <v>284.82</v>
      </c>
      <c r="FF130" s="366">
        <v>327.08</v>
      </c>
      <c r="FG130" s="366">
        <v>365.52</v>
      </c>
      <c r="FH130" s="366">
        <v>365.52</v>
      </c>
      <c r="FI130" s="366">
        <v>110</v>
      </c>
      <c r="FJ130" s="366">
        <v>115.79</v>
      </c>
      <c r="FK130" s="366">
        <v>501.55</v>
      </c>
      <c r="FL130" s="366">
        <v>499.74</v>
      </c>
      <c r="FM130" s="366">
        <v>195.13</v>
      </c>
      <c r="FN130" s="366">
        <v>129.88</v>
      </c>
      <c r="FO130" s="366">
        <v>240.81</v>
      </c>
      <c r="FP130" s="366">
        <v>568.69000000000005</v>
      </c>
      <c r="FQ130" s="366">
        <v>244.68</v>
      </c>
      <c r="FR130" s="366">
        <v>313.07</v>
      </c>
      <c r="FS130" s="366">
        <v>327.79</v>
      </c>
      <c r="FT130" s="366">
        <v>260.01</v>
      </c>
      <c r="FU130" s="366">
        <v>351.93</v>
      </c>
      <c r="FV130" s="366">
        <v>456.48</v>
      </c>
      <c r="FW130" s="366">
        <v>456.48</v>
      </c>
      <c r="FX130" s="366">
        <v>456.48</v>
      </c>
      <c r="FY130" s="366">
        <v>432.64</v>
      </c>
      <c r="FZ130" s="366">
        <v>307.69</v>
      </c>
      <c r="GA130" s="366">
        <v>559.79</v>
      </c>
      <c r="GB130" s="366">
        <v>366.26</v>
      </c>
      <c r="GC130" s="366">
        <v>101.05</v>
      </c>
      <c r="GD130" s="366">
        <v>373.29</v>
      </c>
      <c r="GE130" s="366">
        <v>190.55</v>
      </c>
      <c r="GF130" s="366">
        <v>365.46</v>
      </c>
      <c r="GG130" s="366">
        <v>365.46</v>
      </c>
      <c r="GH130" s="366">
        <v>608.24</v>
      </c>
      <c r="GI130" s="366">
        <v>195.29</v>
      </c>
      <c r="GJ130" s="366">
        <v>195.13</v>
      </c>
      <c r="GK130" s="366">
        <v>498.1</v>
      </c>
      <c r="GL130" s="366">
        <v>294.66000000000003</v>
      </c>
      <c r="GM130" s="366">
        <v>294.66000000000003</v>
      </c>
      <c r="GN130" s="366">
        <v>294.66000000000003</v>
      </c>
      <c r="GO130" s="366">
        <v>203.02</v>
      </c>
      <c r="GP130" s="366">
        <v>565.20000000000005</v>
      </c>
      <c r="GQ130" s="366">
        <v>543.80999999999995</v>
      </c>
      <c r="GR130" s="366">
        <v>132.38999999999999</v>
      </c>
      <c r="GS130" s="366">
        <v>182.96</v>
      </c>
      <c r="GT130" s="366">
        <v>172.96</v>
      </c>
      <c r="GU130" s="366">
        <v>346.89</v>
      </c>
      <c r="GV130" s="366">
        <v>669.72</v>
      </c>
      <c r="GW130" s="366">
        <v>310.38</v>
      </c>
      <c r="GX130" s="366">
        <v>169.53</v>
      </c>
      <c r="GY130" s="366">
        <v>259.77</v>
      </c>
      <c r="GZ130" s="366">
        <v>391.25</v>
      </c>
      <c r="HA130" s="366">
        <v>246.22</v>
      </c>
      <c r="HB130" s="366">
        <v>246.22</v>
      </c>
      <c r="HC130" s="366">
        <v>246.22</v>
      </c>
      <c r="HD130" s="366">
        <v>36.29</v>
      </c>
      <c r="HE130" s="366">
        <v>480.18</v>
      </c>
      <c r="HF130" s="366">
        <v>436.47</v>
      </c>
      <c r="HG130" s="366">
        <v>564.12</v>
      </c>
      <c r="HH130" s="366">
        <v>564.12</v>
      </c>
      <c r="HI130" s="366">
        <v>564.12</v>
      </c>
      <c r="HJ130" s="366">
        <v>344.59</v>
      </c>
      <c r="HK130" s="366">
        <v>99.58</v>
      </c>
      <c r="HL130" s="366">
        <v>499.72</v>
      </c>
      <c r="HM130" s="366">
        <v>192.41</v>
      </c>
      <c r="HN130" s="366">
        <v>195.13</v>
      </c>
      <c r="HO130" s="366">
        <v>360.74</v>
      </c>
      <c r="HP130" s="366">
        <v>391.97</v>
      </c>
      <c r="HQ130" s="366">
        <v>456.48</v>
      </c>
      <c r="HR130" s="366">
        <v>206.73</v>
      </c>
      <c r="HS130" s="366">
        <v>191.38</v>
      </c>
      <c r="HT130" s="366">
        <v>204.35</v>
      </c>
      <c r="HU130" s="366">
        <v>238.87</v>
      </c>
      <c r="HV130" s="366">
        <v>299.2</v>
      </c>
    </row>
    <row r="131" spans="1:230">
      <c r="A131" s="366" t="s">
        <v>152</v>
      </c>
      <c r="B131" s="366">
        <v>625.02</v>
      </c>
      <c r="C131" s="366">
        <v>308.54000000000002</v>
      </c>
      <c r="D131" s="366">
        <v>112.45</v>
      </c>
      <c r="E131" s="366">
        <v>112.45</v>
      </c>
      <c r="F131" s="366">
        <v>688.92</v>
      </c>
      <c r="G131" s="366">
        <v>425.43</v>
      </c>
      <c r="H131" s="366">
        <v>68.83</v>
      </c>
      <c r="I131" s="366">
        <v>321.17</v>
      </c>
      <c r="J131" s="366">
        <v>45.05</v>
      </c>
      <c r="K131" s="366">
        <v>45.05</v>
      </c>
      <c r="L131" s="366">
        <v>130.36000000000001</v>
      </c>
      <c r="M131" s="366">
        <v>333.96</v>
      </c>
      <c r="N131" s="366">
        <v>430.86</v>
      </c>
      <c r="O131" s="366">
        <v>354.27</v>
      </c>
      <c r="P131" s="366">
        <v>354.27</v>
      </c>
      <c r="Q131" s="366">
        <v>354.27</v>
      </c>
      <c r="R131" s="366">
        <v>354.27</v>
      </c>
      <c r="S131" s="366">
        <v>354.27</v>
      </c>
      <c r="T131" s="366">
        <v>332.21</v>
      </c>
      <c r="U131" s="366">
        <v>533.47</v>
      </c>
      <c r="V131" s="366">
        <v>409.2</v>
      </c>
      <c r="W131" s="366">
        <v>235.61</v>
      </c>
      <c r="X131" s="366">
        <v>235.61</v>
      </c>
      <c r="Y131" s="366">
        <v>235.61</v>
      </c>
      <c r="Z131" s="366">
        <v>446.94</v>
      </c>
      <c r="AA131" s="366">
        <v>419.6</v>
      </c>
      <c r="AB131" s="366">
        <v>359.7</v>
      </c>
      <c r="AC131" s="366">
        <v>351.83</v>
      </c>
      <c r="AD131" s="366">
        <v>351.83</v>
      </c>
      <c r="AE131" s="366">
        <v>163.35</v>
      </c>
      <c r="AF131" s="366">
        <v>439.17</v>
      </c>
      <c r="AG131" s="366">
        <v>237.13</v>
      </c>
      <c r="AH131" s="366">
        <v>343.39</v>
      </c>
      <c r="AI131" s="366">
        <v>343.39</v>
      </c>
      <c r="AJ131" s="366">
        <v>343.39</v>
      </c>
      <c r="AK131" s="366">
        <v>469.14</v>
      </c>
      <c r="AL131" s="366">
        <v>469.14</v>
      </c>
      <c r="AM131" s="366">
        <v>362.42</v>
      </c>
      <c r="AN131" s="366">
        <v>313.44</v>
      </c>
      <c r="AO131" s="366">
        <v>442.04</v>
      </c>
      <c r="AP131" s="366">
        <v>270.51</v>
      </c>
      <c r="AQ131" s="366">
        <v>645.46</v>
      </c>
      <c r="AR131" s="366">
        <v>17.72</v>
      </c>
      <c r="AS131" s="366">
        <v>205.81</v>
      </c>
      <c r="AT131" s="366">
        <v>205.81</v>
      </c>
      <c r="AU131" s="366">
        <v>324.06</v>
      </c>
      <c r="AV131" s="366">
        <v>564.52</v>
      </c>
      <c r="AW131" s="366">
        <v>66.34</v>
      </c>
      <c r="AX131" s="366">
        <v>402.35</v>
      </c>
      <c r="AY131" s="366">
        <v>466.57</v>
      </c>
      <c r="AZ131" s="366">
        <v>277.16000000000003</v>
      </c>
      <c r="BA131" s="366">
        <v>565.42999999999995</v>
      </c>
      <c r="BB131" s="366">
        <v>469.46</v>
      </c>
      <c r="BC131" s="366">
        <v>507.49</v>
      </c>
      <c r="BD131" s="366">
        <v>417.26</v>
      </c>
      <c r="BE131" s="366">
        <v>413.26</v>
      </c>
      <c r="BF131" s="366">
        <v>356.67</v>
      </c>
      <c r="BG131" s="366">
        <v>454.49</v>
      </c>
      <c r="BH131" s="366">
        <v>354.27</v>
      </c>
      <c r="BI131" s="366">
        <v>17.75</v>
      </c>
      <c r="BJ131" s="366">
        <v>392.61</v>
      </c>
      <c r="BK131" s="366">
        <v>344.94</v>
      </c>
      <c r="BL131" s="366">
        <v>119.45</v>
      </c>
      <c r="BM131" s="366">
        <v>96.24</v>
      </c>
      <c r="BN131" s="366">
        <v>459.79</v>
      </c>
      <c r="BO131" s="366">
        <v>387.14</v>
      </c>
      <c r="BP131" s="366">
        <v>353</v>
      </c>
      <c r="BQ131" s="366">
        <v>341.87</v>
      </c>
      <c r="BR131" s="366">
        <v>341.87</v>
      </c>
      <c r="BS131" s="366">
        <v>284.73</v>
      </c>
      <c r="BT131" s="366">
        <v>9.67</v>
      </c>
      <c r="BU131" s="366">
        <v>340.2</v>
      </c>
      <c r="BV131" s="366">
        <v>359.82</v>
      </c>
      <c r="BW131" s="366">
        <v>383.35</v>
      </c>
      <c r="BX131" s="366">
        <v>225.82</v>
      </c>
      <c r="BY131" s="366">
        <v>436.68</v>
      </c>
      <c r="BZ131" s="366">
        <v>436.68</v>
      </c>
      <c r="CA131" s="366">
        <v>98.28</v>
      </c>
      <c r="CB131" s="366">
        <v>244.25</v>
      </c>
      <c r="CC131" s="366">
        <v>373.52</v>
      </c>
      <c r="CD131" s="366">
        <v>383.61</v>
      </c>
      <c r="CE131" s="366">
        <v>328.17</v>
      </c>
      <c r="CF131" s="366">
        <v>437.9</v>
      </c>
      <c r="CG131" s="366">
        <v>437.9</v>
      </c>
      <c r="CH131" s="366">
        <v>326.87</v>
      </c>
      <c r="CI131" s="366">
        <v>297.23</v>
      </c>
      <c r="CJ131" s="366">
        <v>448.85</v>
      </c>
      <c r="CK131" s="366">
        <v>441.77</v>
      </c>
      <c r="CL131" s="366">
        <v>337.85</v>
      </c>
      <c r="CM131" s="366">
        <v>453.77</v>
      </c>
      <c r="CN131" s="366">
        <v>341.98</v>
      </c>
      <c r="CO131" s="366">
        <v>16.329999999999998</v>
      </c>
      <c r="CP131" s="366">
        <v>348.56</v>
      </c>
      <c r="CQ131" s="366">
        <v>348.56</v>
      </c>
      <c r="CR131" s="366">
        <v>34.340000000000003</v>
      </c>
      <c r="CS131" s="366">
        <v>34.340000000000003</v>
      </c>
      <c r="CT131" s="366">
        <v>41.79</v>
      </c>
      <c r="CU131" s="366">
        <v>33.92</v>
      </c>
      <c r="CV131" s="366">
        <v>63</v>
      </c>
      <c r="CW131" s="366">
        <v>409.2</v>
      </c>
      <c r="CX131" s="366">
        <v>392.59</v>
      </c>
      <c r="CY131" s="366">
        <v>500.19</v>
      </c>
      <c r="CZ131" s="366">
        <v>521.42999999999995</v>
      </c>
      <c r="DA131" s="366">
        <v>368.91</v>
      </c>
      <c r="DB131" s="366">
        <v>388.59</v>
      </c>
      <c r="DC131" s="366">
        <v>388.59</v>
      </c>
      <c r="DD131" s="366">
        <v>222.77</v>
      </c>
      <c r="DE131" s="366">
        <v>446.54</v>
      </c>
      <c r="DF131" s="366">
        <v>673.38</v>
      </c>
      <c r="DG131" s="366">
        <v>326.88</v>
      </c>
      <c r="DH131" s="366">
        <v>509.1</v>
      </c>
      <c r="DI131" s="366">
        <v>303.72000000000003</v>
      </c>
      <c r="DJ131" s="366">
        <v>507.61</v>
      </c>
      <c r="DK131" s="366">
        <v>188.24</v>
      </c>
      <c r="DL131" s="366">
        <v>334.2</v>
      </c>
      <c r="DM131" s="366">
        <v>296.12</v>
      </c>
      <c r="DN131" s="366">
        <v>318.48</v>
      </c>
      <c r="DO131" s="366">
        <v>214.81</v>
      </c>
      <c r="DP131" s="366">
        <v>184.46</v>
      </c>
      <c r="DQ131" s="366">
        <v>394.69</v>
      </c>
      <c r="DR131" s="366">
        <v>509.1</v>
      </c>
      <c r="DS131" s="366">
        <v>30.47</v>
      </c>
      <c r="DT131" s="366">
        <v>29.36</v>
      </c>
      <c r="DU131" s="366">
        <v>399.25</v>
      </c>
      <c r="DV131" s="366">
        <v>465.96</v>
      </c>
      <c r="DW131" s="366">
        <v>189.39</v>
      </c>
      <c r="DX131" s="366">
        <v>369.67</v>
      </c>
      <c r="DY131" s="366">
        <v>443.06</v>
      </c>
      <c r="DZ131" s="366">
        <v>232.44</v>
      </c>
      <c r="EA131" s="366">
        <v>0</v>
      </c>
      <c r="EB131" s="366">
        <v>437.06</v>
      </c>
      <c r="EC131" s="366">
        <v>87.01</v>
      </c>
      <c r="ED131" s="366">
        <v>333.49</v>
      </c>
      <c r="EE131" s="366">
        <v>344.28</v>
      </c>
      <c r="EF131" s="366">
        <v>264.23</v>
      </c>
      <c r="EG131" s="366">
        <v>66.34</v>
      </c>
      <c r="EH131" s="366">
        <v>66.34</v>
      </c>
      <c r="EI131" s="366">
        <v>367.26</v>
      </c>
      <c r="EJ131" s="366">
        <v>497.16</v>
      </c>
      <c r="EK131" s="366">
        <v>245.69</v>
      </c>
      <c r="EL131" s="366">
        <v>245.69</v>
      </c>
      <c r="EM131" s="366">
        <v>339.8</v>
      </c>
      <c r="EN131" s="366">
        <v>339.8</v>
      </c>
      <c r="EO131" s="366">
        <v>362.42</v>
      </c>
      <c r="EP131" s="366">
        <v>403.38</v>
      </c>
      <c r="EQ131" s="366">
        <v>51.28</v>
      </c>
      <c r="ER131" s="366">
        <v>503.51</v>
      </c>
      <c r="ES131" s="366">
        <v>308.44</v>
      </c>
      <c r="ET131" s="366">
        <v>323.89999999999998</v>
      </c>
      <c r="EU131" s="366">
        <v>625.02</v>
      </c>
      <c r="EV131" s="366">
        <v>235.61</v>
      </c>
      <c r="EW131" s="366">
        <v>368.18</v>
      </c>
      <c r="EX131" s="366">
        <v>285.18</v>
      </c>
      <c r="EY131" s="366">
        <v>285.18</v>
      </c>
      <c r="EZ131" s="366">
        <v>391.61</v>
      </c>
      <c r="FA131" s="366">
        <v>336.97</v>
      </c>
      <c r="FB131" s="366">
        <v>172.54</v>
      </c>
      <c r="FC131" s="366">
        <v>389.81</v>
      </c>
      <c r="FD131" s="366">
        <v>279.45999999999998</v>
      </c>
      <c r="FE131" s="366">
        <v>371.09</v>
      </c>
      <c r="FF131" s="366">
        <v>346.27</v>
      </c>
      <c r="FG131" s="366">
        <v>556.47</v>
      </c>
      <c r="FH131" s="366">
        <v>556.47</v>
      </c>
      <c r="FI131" s="366">
        <v>216.48</v>
      </c>
      <c r="FJ131" s="366">
        <v>222.27</v>
      </c>
      <c r="FK131" s="366">
        <v>336.18</v>
      </c>
      <c r="FL131" s="366">
        <v>334.37</v>
      </c>
      <c r="FM131" s="366">
        <v>362.42</v>
      </c>
      <c r="FN131" s="366">
        <v>266.36</v>
      </c>
      <c r="FO131" s="366">
        <v>8.3699999999999992</v>
      </c>
      <c r="FP131" s="366">
        <v>422.16</v>
      </c>
      <c r="FQ131" s="366">
        <v>12.24</v>
      </c>
      <c r="FR131" s="366">
        <v>147.69999999999999</v>
      </c>
      <c r="FS131" s="366">
        <v>276.33999999999997</v>
      </c>
      <c r="FT131" s="366">
        <v>492.45</v>
      </c>
      <c r="FU131" s="366">
        <v>284.83999999999997</v>
      </c>
      <c r="FV131" s="366">
        <v>688.92</v>
      </c>
      <c r="FW131" s="366">
        <v>688.92</v>
      </c>
      <c r="FX131" s="366">
        <v>688.92</v>
      </c>
      <c r="FY131" s="366">
        <v>286.11</v>
      </c>
      <c r="FZ131" s="366">
        <v>361</v>
      </c>
      <c r="GA131" s="366">
        <v>413.26</v>
      </c>
      <c r="GB131" s="366">
        <v>314.81</v>
      </c>
      <c r="GC131" s="366">
        <v>333.49</v>
      </c>
      <c r="GD131" s="366">
        <v>207.92</v>
      </c>
      <c r="GE131" s="366">
        <v>41.89</v>
      </c>
      <c r="GF131" s="366">
        <v>271.31</v>
      </c>
      <c r="GG131" s="366">
        <v>271.31</v>
      </c>
      <c r="GH131" s="366">
        <v>461.71</v>
      </c>
      <c r="GI131" s="366">
        <v>362.58</v>
      </c>
      <c r="GJ131" s="366">
        <v>362.42</v>
      </c>
      <c r="GK131" s="366">
        <v>332.73</v>
      </c>
      <c r="GL131" s="366">
        <v>353.59</v>
      </c>
      <c r="GM131" s="366">
        <v>353.59</v>
      </c>
      <c r="GN131" s="366">
        <v>353.59</v>
      </c>
      <c r="GO131" s="366">
        <v>309.69</v>
      </c>
      <c r="GP131" s="366">
        <v>418.67</v>
      </c>
      <c r="GQ131" s="366">
        <v>378.44</v>
      </c>
      <c r="GR131" s="366">
        <v>364.83</v>
      </c>
      <c r="GS131" s="366">
        <v>289.44</v>
      </c>
      <c r="GT131" s="366">
        <v>66.34</v>
      </c>
      <c r="GU131" s="366">
        <v>181.52</v>
      </c>
      <c r="GV131" s="366">
        <v>504.35</v>
      </c>
      <c r="GW131" s="366">
        <v>329.57</v>
      </c>
      <c r="GX131" s="366">
        <v>62.91</v>
      </c>
      <c r="GY131" s="366">
        <v>344.36</v>
      </c>
      <c r="GZ131" s="366">
        <v>279.18</v>
      </c>
      <c r="HA131" s="366">
        <v>13.78</v>
      </c>
      <c r="HB131" s="366">
        <v>13.78</v>
      </c>
      <c r="HC131" s="366">
        <v>13.78</v>
      </c>
      <c r="HD131" s="366">
        <v>268.73</v>
      </c>
      <c r="HE131" s="366">
        <v>333.65</v>
      </c>
      <c r="HF131" s="366">
        <v>289.94</v>
      </c>
      <c r="HG131" s="366">
        <v>417.59</v>
      </c>
      <c r="HH131" s="366">
        <v>417.59</v>
      </c>
      <c r="HI131" s="366">
        <v>417.59</v>
      </c>
      <c r="HJ131" s="366">
        <v>292.18</v>
      </c>
      <c r="HK131" s="366">
        <v>138.83000000000001</v>
      </c>
      <c r="HL131" s="366">
        <v>387.65</v>
      </c>
      <c r="HM131" s="366">
        <v>359.7</v>
      </c>
      <c r="HN131" s="366">
        <v>362.42</v>
      </c>
      <c r="HO131" s="366">
        <v>593.17999999999995</v>
      </c>
      <c r="HP131" s="366">
        <v>279.89999999999998</v>
      </c>
      <c r="HQ131" s="366">
        <v>688.92</v>
      </c>
      <c r="HR131" s="366">
        <v>439.17</v>
      </c>
      <c r="HS131" s="366">
        <v>358.67</v>
      </c>
      <c r="HT131" s="366">
        <v>310.83</v>
      </c>
      <c r="HU131" s="366">
        <v>345.35</v>
      </c>
      <c r="HV131" s="366">
        <v>390.54</v>
      </c>
    </row>
    <row r="132" spans="1:230">
      <c r="A132" s="366" t="s">
        <v>153</v>
      </c>
      <c r="B132" s="366">
        <v>878.38</v>
      </c>
      <c r="C132" s="366">
        <v>423.84</v>
      </c>
      <c r="D132" s="366">
        <v>324.61</v>
      </c>
      <c r="E132" s="366">
        <v>324.61</v>
      </c>
      <c r="F132" s="366">
        <v>942.28</v>
      </c>
      <c r="G132" s="366">
        <v>749.85</v>
      </c>
      <c r="H132" s="366">
        <v>368.23</v>
      </c>
      <c r="I132" s="366">
        <v>368.9</v>
      </c>
      <c r="J132" s="366">
        <v>392.01</v>
      </c>
      <c r="K132" s="366">
        <v>392.01</v>
      </c>
      <c r="L132" s="366">
        <v>315.22000000000003</v>
      </c>
      <c r="M132" s="366">
        <v>449.26</v>
      </c>
      <c r="N132" s="366">
        <v>499.57</v>
      </c>
      <c r="O132" s="366">
        <v>212.19</v>
      </c>
      <c r="P132" s="366">
        <v>212.19</v>
      </c>
      <c r="Q132" s="366">
        <v>212.19</v>
      </c>
      <c r="R132" s="366">
        <v>212.19</v>
      </c>
      <c r="S132" s="366">
        <v>212.19</v>
      </c>
      <c r="T132" s="366">
        <v>443.4</v>
      </c>
      <c r="U132" s="366">
        <v>857.89</v>
      </c>
      <c r="V132" s="366">
        <v>27.86</v>
      </c>
      <c r="W132" s="366">
        <v>586.76</v>
      </c>
      <c r="X132" s="366">
        <v>586.76</v>
      </c>
      <c r="Y132" s="366">
        <v>586.76</v>
      </c>
      <c r="Z132" s="366">
        <v>314.73</v>
      </c>
      <c r="AA132" s="366">
        <v>744.02</v>
      </c>
      <c r="AB132" s="366">
        <v>503.14</v>
      </c>
      <c r="AC132" s="366">
        <v>505.6</v>
      </c>
      <c r="AD132" s="366">
        <v>505.6</v>
      </c>
      <c r="AE132" s="366">
        <v>273.70999999999998</v>
      </c>
      <c r="AF132" s="366">
        <v>763.59</v>
      </c>
      <c r="AG132" s="366">
        <v>588.28</v>
      </c>
      <c r="AH132" s="366">
        <v>322.85000000000002</v>
      </c>
      <c r="AI132" s="366">
        <v>322.85000000000002</v>
      </c>
      <c r="AJ132" s="366">
        <v>322.85000000000002</v>
      </c>
      <c r="AK132" s="366">
        <v>336.93</v>
      </c>
      <c r="AL132" s="366">
        <v>336.93</v>
      </c>
      <c r="AM132" s="366">
        <v>505.86</v>
      </c>
      <c r="AN132" s="366">
        <v>253.02</v>
      </c>
      <c r="AO132" s="366">
        <v>756.97</v>
      </c>
      <c r="AP132" s="366">
        <v>432.12</v>
      </c>
      <c r="AQ132" s="366">
        <v>898.82</v>
      </c>
      <c r="AR132" s="366">
        <v>454.78</v>
      </c>
      <c r="AS132" s="366">
        <v>239.77</v>
      </c>
      <c r="AT132" s="366">
        <v>239.77</v>
      </c>
      <c r="AU132" s="366">
        <v>113</v>
      </c>
      <c r="AV132" s="366">
        <v>888.94</v>
      </c>
      <c r="AW132" s="366">
        <v>436.33</v>
      </c>
      <c r="AX132" s="366">
        <v>389.5</v>
      </c>
      <c r="AY132" s="366">
        <v>535.28</v>
      </c>
      <c r="AZ132" s="366">
        <v>392.46</v>
      </c>
      <c r="BA132" s="366">
        <v>719.2</v>
      </c>
      <c r="BB132" s="366">
        <v>538.16999999999996</v>
      </c>
      <c r="BC132" s="366">
        <v>661.26</v>
      </c>
      <c r="BD132" s="366">
        <v>571.03</v>
      </c>
      <c r="BE132" s="366">
        <v>23.8</v>
      </c>
      <c r="BF132" s="366">
        <v>500.11</v>
      </c>
      <c r="BG132" s="366">
        <v>322.27999999999997</v>
      </c>
      <c r="BH132" s="366">
        <v>212.19</v>
      </c>
      <c r="BI132" s="366">
        <v>454.81</v>
      </c>
      <c r="BJ132" s="366">
        <v>260.39999999999998</v>
      </c>
      <c r="BK132" s="366">
        <v>460.24</v>
      </c>
      <c r="BL132" s="366">
        <v>317.61</v>
      </c>
      <c r="BM132" s="366">
        <v>340.82</v>
      </c>
      <c r="BN132" s="366">
        <v>784.21</v>
      </c>
      <c r="BO132" s="366">
        <v>502.44</v>
      </c>
      <c r="BP132" s="366">
        <v>468.3</v>
      </c>
      <c r="BQ132" s="366">
        <v>348.2</v>
      </c>
      <c r="BR132" s="366">
        <v>348.2</v>
      </c>
      <c r="BS132" s="366">
        <v>400.03</v>
      </c>
      <c r="BT132" s="366">
        <v>439.24</v>
      </c>
      <c r="BU132" s="366">
        <v>483.64</v>
      </c>
      <c r="BV132" s="366">
        <v>503.26</v>
      </c>
      <c r="BW132" s="366">
        <v>81.069999999999993</v>
      </c>
      <c r="BX132" s="366">
        <v>341.12</v>
      </c>
      <c r="BY132" s="366">
        <v>29.42</v>
      </c>
      <c r="BZ132" s="366">
        <v>29.42</v>
      </c>
      <c r="CA132" s="366">
        <v>468.27</v>
      </c>
      <c r="CB132" s="366">
        <v>359.55</v>
      </c>
      <c r="CC132" s="366">
        <v>360.67</v>
      </c>
      <c r="CD132" s="366">
        <v>363.07</v>
      </c>
      <c r="CE132" s="366">
        <v>443.47</v>
      </c>
      <c r="CF132" s="366">
        <v>762.32</v>
      </c>
      <c r="CG132" s="366">
        <v>762.32</v>
      </c>
      <c r="CH132" s="366">
        <v>363.2</v>
      </c>
      <c r="CI132" s="366">
        <v>266.11</v>
      </c>
      <c r="CJ132" s="366">
        <v>773.27</v>
      </c>
      <c r="CK132" s="366">
        <v>4.71</v>
      </c>
      <c r="CL132" s="366">
        <v>126.79</v>
      </c>
      <c r="CM132" s="366">
        <v>607.54</v>
      </c>
      <c r="CN132" s="366">
        <v>209.77</v>
      </c>
      <c r="CO132" s="366">
        <v>453.39</v>
      </c>
      <c r="CP132" s="366">
        <v>341.51</v>
      </c>
      <c r="CQ132" s="366">
        <v>341.51</v>
      </c>
      <c r="CR132" s="366">
        <v>405.79</v>
      </c>
      <c r="CS132" s="366">
        <v>405.79</v>
      </c>
      <c r="CT132" s="366">
        <v>415.23</v>
      </c>
      <c r="CU132" s="366">
        <v>407.36</v>
      </c>
      <c r="CV132" s="366">
        <v>409.96</v>
      </c>
      <c r="CW132" s="366">
        <v>27.86</v>
      </c>
      <c r="CX132" s="366">
        <v>379.74</v>
      </c>
      <c r="CY132" s="366">
        <v>653.96</v>
      </c>
      <c r="CZ132" s="366">
        <v>675.2</v>
      </c>
      <c r="DA132" s="366">
        <v>437.62</v>
      </c>
      <c r="DB132" s="366">
        <v>256.38</v>
      </c>
      <c r="DC132" s="366">
        <v>256.38</v>
      </c>
      <c r="DD132" s="366">
        <v>573.91999999999996</v>
      </c>
      <c r="DE132" s="366">
        <v>515.25</v>
      </c>
      <c r="DF132" s="366">
        <v>926.74</v>
      </c>
      <c r="DG132" s="366">
        <v>295.76</v>
      </c>
      <c r="DH132" s="366">
        <v>577.80999999999995</v>
      </c>
      <c r="DI132" s="366">
        <v>628.14</v>
      </c>
      <c r="DJ132" s="366">
        <v>691.4</v>
      </c>
      <c r="DK132" s="366">
        <v>303.54000000000002</v>
      </c>
      <c r="DL132" s="366">
        <v>489.64</v>
      </c>
      <c r="DM132" s="366">
        <v>411.42</v>
      </c>
      <c r="DN132" s="366">
        <v>642.9</v>
      </c>
      <c r="DO132" s="366">
        <v>330.11</v>
      </c>
      <c r="DP132" s="366">
        <v>535.61</v>
      </c>
      <c r="DQ132" s="366">
        <v>63.29</v>
      </c>
      <c r="DR132" s="366">
        <v>577.80999999999995</v>
      </c>
      <c r="DS132" s="366">
        <v>431.26</v>
      </c>
      <c r="DT132" s="366">
        <v>419.55</v>
      </c>
      <c r="DU132" s="366">
        <v>407.28</v>
      </c>
      <c r="DV132" s="366">
        <v>340.57</v>
      </c>
      <c r="DW132" s="366">
        <v>256.19</v>
      </c>
      <c r="DX132" s="366">
        <v>67.39</v>
      </c>
      <c r="DY132" s="366">
        <v>6</v>
      </c>
      <c r="DZ132" s="366">
        <v>583.59</v>
      </c>
      <c r="EA132" s="366">
        <v>437.06</v>
      </c>
      <c r="EB132" s="366">
        <v>0</v>
      </c>
      <c r="EC132" s="366">
        <v>350.05</v>
      </c>
      <c r="ED132" s="366">
        <v>657.91</v>
      </c>
      <c r="EE132" s="366">
        <v>668.7</v>
      </c>
      <c r="EF132" s="366">
        <v>425.84</v>
      </c>
      <c r="EG132" s="366">
        <v>436.33</v>
      </c>
      <c r="EH132" s="366">
        <v>436.33</v>
      </c>
      <c r="EI132" s="366">
        <v>346.72</v>
      </c>
      <c r="EJ132" s="366">
        <v>612.46</v>
      </c>
      <c r="EK132" s="366">
        <v>225.15</v>
      </c>
      <c r="EL132" s="366">
        <v>225.15</v>
      </c>
      <c r="EM132" s="366">
        <v>160.03</v>
      </c>
      <c r="EN132" s="366">
        <v>160.03</v>
      </c>
      <c r="EO132" s="366">
        <v>505.86</v>
      </c>
      <c r="EP132" s="366">
        <v>428.72</v>
      </c>
      <c r="EQ132" s="366">
        <v>424.72</v>
      </c>
      <c r="ER132" s="366">
        <v>827.93</v>
      </c>
      <c r="ES132" s="366">
        <v>423.74</v>
      </c>
      <c r="ET132" s="366">
        <v>366.17</v>
      </c>
      <c r="EU132" s="366">
        <v>878.38</v>
      </c>
      <c r="EV132" s="366">
        <v>586.76</v>
      </c>
      <c r="EW132" s="366">
        <v>347.64</v>
      </c>
      <c r="EX132" s="366">
        <v>400.48</v>
      </c>
      <c r="EY132" s="366">
        <v>400.48</v>
      </c>
      <c r="EZ132" s="366">
        <v>180.55</v>
      </c>
      <c r="FA132" s="366">
        <v>125.91</v>
      </c>
      <c r="FB132" s="366">
        <v>287.83999999999997</v>
      </c>
      <c r="FC132" s="366">
        <v>87.53</v>
      </c>
      <c r="FD132" s="366">
        <v>253.28</v>
      </c>
      <c r="FE132" s="366">
        <v>350.55</v>
      </c>
      <c r="FF132" s="366">
        <v>325.73</v>
      </c>
      <c r="FG132" s="366">
        <v>710.24</v>
      </c>
      <c r="FH132" s="366">
        <v>710.24</v>
      </c>
      <c r="FI132" s="366">
        <v>567.63</v>
      </c>
      <c r="FJ132" s="366">
        <v>573.41999999999996</v>
      </c>
      <c r="FK132" s="366">
        <v>451.48</v>
      </c>
      <c r="FL132" s="366">
        <v>449.67</v>
      </c>
      <c r="FM132" s="366">
        <v>505.86</v>
      </c>
      <c r="FN132" s="366">
        <v>617.51</v>
      </c>
      <c r="FO132" s="366">
        <v>445.43</v>
      </c>
      <c r="FP132" s="366">
        <v>14.9</v>
      </c>
      <c r="FQ132" s="366">
        <v>449.3</v>
      </c>
      <c r="FR132" s="366">
        <v>332.56</v>
      </c>
      <c r="FS132" s="366">
        <v>255.8</v>
      </c>
      <c r="FT132" s="366">
        <v>706.56</v>
      </c>
      <c r="FU132" s="366">
        <v>253.72</v>
      </c>
      <c r="FV132" s="366">
        <v>942.28</v>
      </c>
      <c r="FW132" s="366">
        <v>942.28</v>
      </c>
      <c r="FX132" s="366">
        <v>942.28</v>
      </c>
      <c r="FY132" s="366">
        <v>150.94999999999999</v>
      </c>
      <c r="FZ132" s="366">
        <v>340.46</v>
      </c>
      <c r="GA132" s="366">
        <v>23.8</v>
      </c>
      <c r="GB132" s="366">
        <v>294.27</v>
      </c>
      <c r="GC132" s="366">
        <v>657.91</v>
      </c>
      <c r="GD132" s="366">
        <v>323.22000000000003</v>
      </c>
      <c r="GE132" s="366">
        <v>415.33</v>
      </c>
      <c r="GF132" s="366">
        <v>240.19</v>
      </c>
      <c r="GG132" s="366">
        <v>240.19</v>
      </c>
      <c r="GH132" s="366">
        <v>54.45</v>
      </c>
      <c r="GI132" s="366">
        <v>506.02</v>
      </c>
      <c r="GJ132" s="366">
        <v>505.86</v>
      </c>
      <c r="GK132" s="366">
        <v>448.03</v>
      </c>
      <c r="GL132" s="366">
        <v>333.05</v>
      </c>
      <c r="GM132" s="366">
        <v>333.05</v>
      </c>
      <c r="GN132" s="366">
        <v>333.05</v>
      </c>
      <c r="GO132" s="366">
        <v>471.3</v>
      </c>
      <c r="GP132" s="366">
        <v>18.39</v>
      </c>
      <c r="GQ132" s="366">
        <v>493.74</v>
      </c>
      <c r="GR132" s="366">
        <v>534.09</v>
      </c>
      <c r="GS132" s="366">
        <v>400.63</v>
      </c>
      <c r="GT132" s="366">
        <v>436.33</v>
      </c>
      <c r="GU132" s="366">
        <v>258.42</v>
      </c>
      <c r="GV132" s="366">
        <v>619.65</v>
      </c>
      <c r="GW132" s="366">
        <v>309.02999999999997</v>
      </c>
      <c r="GX132" s="366">
        <v>432.9</v>
      </c>
      <c r="GY132" s="366">
        <v>323.82</v>
      </c>
      <c r="GZ132" s="366">
        <v>253</v>
      </c>
      <c r="HA132" s="366">
        <v>450.84</v>
      </c>
      <c r="HB132" s="366">
        <v>450.84</v>
      </c>
      <c r="HC132" s="366">
        <v>450.84</v>
      </c>
      <c r="HD132" s="366">
        <v>619.88</v>
      </c>
      <c r="HE132" s="366">
        <v>153.88</v>
      </c>
      <c r="HF132" s="366">
        <v>191.02</v>
      </c>
      <c r="HG132" s="366">
        <v>285.38</v>
      </c>
      <c r="HH132" s="366">
        <v>285.38</v>
      </c>
      <c r="HI132" s="366">
        <v>285.38</v>
      </c>
      <c r="HJ132" s="366">
        <v>261.06</v>
      </c>
      <c r="HK132" s="366">
        <v>508.82</v>
      </c>
      <c r="HL132" s="366">
        <v>178.81</v>
      </c>
      <c r="HM132" s="366">
        <v>503.14</v>
      </c>
      <c r="HN132" s="366">
        <v>505.86</v>
      </c>
      <c r="HO132" s="366">
        <v>911.58</v>
      </c>
      <c r="HP132" s="366">
        <v>253.72</v>
      </c>
      <c r="HQ132" s="366">
        <v>942.28</v>
      </c>
      <c r="HR132" s="366">
        <v>763.59</v>
      </c>
      <c r="HS132" s="366">
        <v>502.11</v>
      </c>
      <c r="HT132" s="366">
        <v>384.43</v>
      </c>
      <c r="HU132" s="366">
        <v>351.68</v>
      </c>
      <c r="HV132" s="366">
        <v>370</v>
      </c>
    </row>
    <row r="133" spans="1:230">
      <c r="A133" s="366" t="s">
        <v>154</v>
      </c>
      <c r="B133" s="366">
        <v>644.96</v>
      </c>
      <c r="C133" s="366">
        <v>221.53</v>
      </c>
      <c r="D133" s="366">
        <v>25.44</v>
      </c>
      <c r="E133" s="366">
        <v>25.44</v>
      </c>
      <c r="F133" s="366">
        <v>708.86</v>
      </c>
      <c r="G133" s="366">
        <v>445.37</v>
      </c>
      <c r="H133" s="366">
        <v>18.18</v>
      </c>
      <c r="I133" s="366">
        <v>302.43</v>
      </c>
      <c r="J133" s="366">
        <v>41.96</v>
      </c>
      <c r="K133" s="366">
        <v>41.96</v>
      </c>
      <c r="L133" s="366">
        <v>43.35</v>
      </c>
      <c r="M133" s="366">
        <v>246.95</v>
      </c>
      <c r="N133" s="366">
        <v>343.85</v>
      </c>
      <c r="O133" s="366">
        <v>267.26</v>
      </c>
      <c r="P133" s="366">
        <v>267.26</v>
      </c>
      <c r="Q133" s="366">
        <v>267.26</v>
      </c>
      <c r="R133" s="366">
        <v>267.26</v>
      </c>
      <c r="S133" s="366">
        <v>267.26</v>
      </c>
      <c r="T133" s="366">
        <v>352.15</v>
      </c>
      <c r="U133" s="366">
        <v>553.41</v>
      </c>
      <c r="V133" s="366">
        <v>322.19</v>
      </c>
      <c r="W133" s="366">
        <v>255.55</v>
      </c>
      <c r="X133" s="366">
        <v>255.55</v>
      </c>
      <c r="Y133" s="366">
        <v>255.55</v>
      </c>
      <c r="Z133" s="366">
        <v>359.93</v>
      </c>
      <c r="AA133" s="366">
        <v>439.54</v>
      </c>
      <c r="AB133" s="366">
        <v>379.64</v>
      </c>
      <c r="AC133" s="366">
        <v>371.77</v>
      </c>
      <c r="AD133" s="366">
        <v>371.77</v>
      </c>
      <c r="AE133" s="366">
        <v>76.34</v>
      </c>
      <c r="AF133" s="366">
        <v>459.11</v>
      </c>
      <c r="AG133" s="366">
        <v>257.07</v>
      </c>
      <c r="AH133" s="366">
        <v>256.38</v>
      </c>
      <c r="AI133" s="366">
        <v>256.38</v>
      </c>
      <c r="AJ133" s="366">
        <v>256.38</v>
      </c>
      <c r="AK133" s="366">
        <v>382.13</v>
      </c>
      <c r="AL133" s="366">
        <v>382.13</v>
      </c>
      <c r="AM133" s="366">
        <v>382.36</v>
      </c>
      <c r="AN133" s="366">
        <v>226.43</v>
      </c>
      <c r="AO133" s="366">
        <v>461.98</v>
      </c>
      <c r="AP133" s="366">
        <v>290.45</v>
      </c>
      <c r="AQ133" s="366">
        <v>665.4</v>
      </c>
      <c r="AR133" s="366">
        <v>104.73</v>
      </c>
      <c r="AS133" s="366">
        <v>118.8</v>
      </c>
      <c r="AT133" s="366">
        <v>118.8</v>
      </c>
      <c r="AU133" s="366">
        <v>237.05</v>
      </c>
      <c r="AV133" s="366">
        <v>584.46</v>
      </c>
      <c r="AW133" s="366">
        <v>86.28</v>
      </c>
      <c r="AX133" s="366">
        <v>323.02999999999997</v>
      </c>
      <c r="AY133" s="366">
        <v>379.56</v>
      </c>
      <c r="AZ133" s="366">
        <v>190.15</v>
      </c>
      <c r="BA133" s="366">
        <v>585.37</v>
      </c>
      <c r="BB133" s="366">
        <v>382.45</v>
      </c>
      <c r="BC133" s="366">
        <v>527.42999999999995</v>
      </c>
      <c r="BD133" s="366">
        <v>437.2</v>
      </c>
      <c r="BE133" s="366">
        <v>326.25</v>
      </c>
      <c r="BF133" s="366">
        <v>376.61</v>
      </c>
      <c r="BG133" s="366">
        <v>367.48</v>
      </c>
      <c r="BH133" s="366">
        <v>267.26</v>
      </c>
      <c r="BI133" s="366">
        <v>104.76</v>
      </c>
      <c r="BJ133" s="366">
        <v>305.60000000000002</v>
      </c>
      <c r="BK133" s="366">
        <v>257.93</v>
      </c>
      <c r="BL133" s="366">
        <v>32.44</v>
      </c>
      <c r="BM133" s="366">
        <v>9.23</v>
      </c>
      <c r="BN133" s="366">
        <v>479.73</v>
      </c>
      <c r="BO133" s="366">
        <v>300.13</v>
      </c>
      <c r="BP133" s="366">
        <v>265.99</v>
      </c>
      <c r="BQ133" s="366">
        <v>281.73</v>
      </c>
      <c r="BR133" s="366">
        <v>281.73</v>
      </c>
      <c r="BS133" s="366">
        <v>197.72</v>
      </c>
      <c r="BT133" s="366">
        <v>89.19</v>
      </c>
      <c r="BU133" s="366">
        <v>360.14</v>
      </c>
      <c r="BV133" s="366">
        <v>379.76</v>
      </c>
      <c r="BW133" s="366">
        <v>296.33999999999997</v>
      </c>
      <c r="BX133" s="366">
        <v>138.81</v>
      </c>
      <c r="BY133" s="366">
        <v>349.67</v>
      </c>
      <c r="BZ133" s="366">
        <v>349.67</v>
      </c>
      <c r="CA133" s="366">
        <v>118.22</v>
      </c>
      <c r="CB133" s="366">
        <v>157.24</v>
      </c>
      <c r="CC133" s="366">
        <v>294.2</v>
      </c>
      <c r="CD133" s="366">
        <v>296.60000000000002</v>
      </c>
      <c r="CE133" s="366">
        <v>241.16</v>
      </c>
      <c r="CF133" s="366">
        <v>457.84</v>
      </c>
      <c r="CG133" s="366">
        <v>457.84</v>
      </c>
      <c r="CH133" s="366">
        <v>296.73</v>
      </c>
      <c r="CI133" s="366">
        <v>210.22</v>
      </c>
      <c r="CJ133" s="366">
        <v>468.79</v>
      </c>
      <c r="CK133" s="366">
        <v>354.76</v>
      </c>
      <c r="CL133" s="366">
        <v>250.84</v>
      </c>
      <c r="CM133" s="366">
        <v>473.71</v>
      </c>
      <c r="CN133" s="366">
        <v>254.97</v>
      </c>
      <c r="CO133" s="366">
        <v>103.34</v>
      </c>
      <c r="CP133" s="366">
        <v>275.04000000000002</v>
      </c>
      <c r="CQ133" s="366">
        <v>275.04000000000002</v>
      </c>
      <c r="CR133" s="366">
        <v>55.74</v>
      </c>
      <c r="CS133" s="366">
        <v>55.74</v>
      </c>
      <c r="CT133" s="366">
        <v>65.180000000000007</v>
      </c>
      <c r="CU133" s="366">
        <v>57.31</v>
      </c>
      <c r="CV133" s="366">
        <v>59.91</v>
      </c>
      <c r="CW133" s="366">
        <v>322.19</v>
      </c>
      <c r="CX133" s="366">
        <v>313.27</v>
      </c>
      <c r="CY133" s="366">
        <v>520.13</v>
      </c>
      <c r="CZ133" s="366">
        <v>541.37</v>
      </c>
      <c r="DA133" s="366">
        <v>281.89999999999998</v>
      </c>
      <c r="DB133" s="366">
        <v>301.58</v>
      </c>
      <c r="DC133" s="366">
        <v>301.58</v>
      </c>
      <c r="DD133" s="366">
        <v>242.71</v>
      </c>
      <c r="DE133" s="366">
        <v>359.53</v>
      </c>
      <c r="DF133" s="366">
        <v>693.32</v>
      </c>
      <c r="DG133" s="366">
        <v>239.87</v>
      </c>
      <c r="DH133" s="366">
        <v>422.09</v>
      </c>
      <c r="DI133" s="366">
        <v>323.66000000000003</v>
      </c>
      <c r="DJ133" s="366">
        <v>527.54999999999995</v>
      </c>
      <c r="DK133" s="366">
        <v>101.23</v>
      </c>
      <c r="DL133" s="366">
        <v>354.14</v>
      </c>
      <c r="DM133" s="366">
        <v>209.11</v>
      </c>
      <c r="DN133" s="366">
        <v>338.42</v>
      </c>
      <c r="DO133" s="366">
        <v>127.8</v>
      </c>
      <c r="DP133" s="366">
        <v>204.4</v>
      </c>
      <c r="DQ133" s="366">
        <v>307.68</v>
      </c>
      <c r="DR133" s="366">
        <v>422.09</v>
      </c>
      <c r="DS133" s="366">
        <v>81.209999999999994</v>
      </c>
      <c r="DT133" s="366">
        <v>69.5</v>
      </c>
      <c r="DU133" s="366">
        <v>312.24</v>
      </c>
      <c r="DV133" s="366">
        <v>378.95</v>
      </c>
      <c r="DW133" s="366">
        <v>102.38</v>
      </c>
      <c r="DX133" s="366">
        <v>282.66000000000003</v>
      </c>
      <c r="DY133" s="366">
        <v>356.05</v>
      </c>
      <c r="DZ133" s="366">
        <v>252.38</v>
      </c>
      <c r="EA133" s="366">
        <v>87.01</v>
      </c>
      <c r="EB133" s="366">
        <v>350.05</v>
      </c>
      <c r="EC133" s="366">
        <v>0</v>
      </c>
      <c r="ED133" s="366">
        <v>353.43</v>
      </c>
      <c r="EE133" s="366">
        <v>364.22</v>
      </c>
      <c r="EF133" s="366">
        <v>284.17</v>
      </c>
      <c r="EG133" s="366">
        <v>86.28</v>
      </c>
      <c r="EH133" s="366">
        <v>86.28</v>
      </c>
      <c r="EI133" s="366">
        <v>280.25</v>
      </c>
      <c r="EJ133" s="366">
        <v>410.15</v>
      </c>
      <c r="EK133" s="366">
        <v>158.68</v>
      </c>
      <c r="EL133" s="366">
        <v>158.68</v>
      </c>
      <c r="EM133" s="366">
        <v>252.79</v>
      </c>
      <c r="EN133" s="366">
        <v>252.79</v>
      </c>
      <c r="EO133" s="366">
        <v>382.36</v>
      </c>
      <c r="EP133" s="366">
        <v>362.25</v>
      </c>
      <c r="EQ133" s="366">
        <v>74.67</v>
      </c>
      <c r="ER133" s="366">
        <v>523.45000000000005</v>
      </c>
      <c r="ES133" s="366">
        <v>221.43</v>
      </c>
      <c r="ET133" s="366">
        <v>299.7</v>
      </c>
      <c r="EU133" s="366">
        <v>644.96</v>
      </c>
      <c r="EV133" s="366">
        <v>255.55</v>
      </c>
      <c r="EW133" s="366">
        <v>281.17</v>
      </c>
      <c r="EX133" s="366">
        <v>198.17</v>
      </c>
      <c r="EY133" s="366">
        <v>198.17</v>
      </c>
      <c r="EZ133" s="366">
        <v>304.60000000000002</v>
      </c>
      <c r="FA133" s="366">
        <v>249.96</v>
      </c>
      <c r="FB133" s="366">
        <v>85.53</v>
      </c>
      <c r="FC133" s="366">
        <v>302.8</v>
      </c>
      <c r="FD133" s="366">
        <v>192.45</v>
      </c>
      <c r="FE133" s="366">
        <v>284.08</v>
      </c>
      <c r="FF133" s="366">
        <v>259.26</v>
      </c>
      <c r="FG133" s="366">
        <v>576.41</v>
      </c>
      <c r="FH133" s="366">
        <v>576.41</v>
      </c>
      <c r="FI133" s="366">
        <v>236.42</v>
      </c>
      <c r="FJ133" s="366">
        <v>242.21</v>
      </c>
      <c r="FK133" s="366">
        <v>249.17</v>
      </c>
      <c r="FL133" s="366">
        <v>247.36</v>
      </c>
      <c r="FM133" s="366">
        <v>382.36</v>
      </c>
      <c r="FN133" s="366">
        <v>286.3</v>
      </c>
      <c r="FO133" s="366">
        <v>95.38</v>
      </c>
      <c r="FP133" s="366">
        <v>335.15</v>
      </c>
      <c r="FQ133" s="366">
        <v>99.25</v>
      </c>
      <c r="FR133" s="366">
        <v>60.69</v>
      </c>
      <c r="FS133" s="366">
        <v>189.33</v>
      </c>
      <c r="FT133" s="366">
        <v>512.39</v>
      </c>
      <c r="FU133" s="366">
        <v>197.83</v>
      </c>
      <c r="FV133" s="366">
        <v>708.86</v>
      </c>
      <c r="FW133" s="366">
        <v>708.86</v>
      </c>
      <c r="FX133" s="366">
        <v>708.86</v>
      </c>
      <c r="FY133" s="366">
        <v>199.1</v>
      </c>
      <c r="FZ133" s="366">
        <v>273.99</v>
      </c>
      <c r="GA133" s="366">
        <v>326.25</v>
      </c>
      <c r="GB133" s="366">
        <v>227.8</v>
      </c>
      <c r="GC133" s="366">
        <v>353.43</v>
      </c>
      <c r="GD133" s="366">
        <v>120.91</v>
      </c>
      <c r="GE133" s="366">
        <v>65.28</v>
      </c>
      <c r="GF133" s="366">
        <v>184.3</v>
      </c>
      <c r="GG133" s="366">
        <v>184.3</v>
      </c>
      <c r="GH133" s="366">
        <v>374.7</v>
      </c>
      <c r="GI133" s="366">
        <v>382.52</v>
      </c>
      <c r="GJ133" s="366">
        <v>382.36</v>
      </c>
      <c r="GK133" s="366">
        <v>245.72</v>
      </c>
      <c r="GL133" s="366">
        <v>266.58</v>
      </c>
      <c r="GM133" s="366">
        <v>266.58</v>
      </c>
      <c r="GN133" s="366">
        <v>266.58</v>
      </c>
      <c r="GO133" s="366">
        <v>329.63</v>
      </c>
      <c r="GP133" s="366">
        <v>331.66</v>
      </c>
      <c r="GQ133" s="366">
        <v>291.43</v>
      </c>
      <c r="GR133" s="366">
        <v>384.77</v>
      </c>
      <c r="GS133" s="366">
        <v>309.38</v>
      </c>
      <c r="GT133" s="366">
        <v>86.28</v>
      </c>
      <c r="GU133" s="366">
        <v>94.51</v>
      </c>
      <c r="GV133" s="366">
        <v>417.34</v>
      </c>
      <c r="GW133" s="366">
        <v>242.56</v>
      </c>
      <c r="GX133" s="366">
        <v>82.85</v>
      </c>
      <c r="GY133" s="366">
        <v>257.35000000000002</v>
      </c>
      <c r="GZ133" s="366">
        <v>192.17</v>
      </c>
      <c r="HA133" s="366">
        <v>100.79</v>
      </c>
      <c r="HB133" s="366">
        <v>100.79</v>
      </c>
      <c r="HC133" s="366">
        <v>100.79</v>
      </c>
      <c r="HD133" s="366">
        <v>288.67</v>
      </c>
      <c r="HE133" s="366">
        <v>246.64</v>
      </c>
      <c r="HF133" s="366">
        <v>202.93</v>
      </c>
      <c r="HG133" s="366">
        <v>330.58</v>
      </c>
      <c r="HH133" s="366">
        <v>330.58</v>
      </c>
      <c r="HI133" s="366">
        <v>330.58</v>
      </c>
      <c r="HJ133" s="366">
        <v>205.17</v>
      </c>
      <c r="HK133" s="366">
        <v>158.77000000000001</v>
      </c>
      <c r="HL133" s="366">
        <v>300.64</v>
      </c>
      <c r="HM133" s="366">
        <v>379.64</v>
      </c>
      <c r="HN133" s="366">
        <v>382.36</v>
      </c>
      <c r="HO133" s="366">
        <v>613.12</v>
      </c>
      <c r="HP133" s="366">
        <v>192.89</v>
      </c>
      <c r="HQ133" s="366">
        <v>708.86</v>
      </c>
      <c r="HR133" s="366">
        <v>459.11</v>
      </c>
      <c r="HS133" s="366">
        <v>378.61</v>
      </c>
      <c r="HT133" s="366">
        <v>317.95999999999998</v>
      </c>
      <c r="HU133" s="366">
        <v>285.20999999999998</v>
      </c>
      <c r="HV133" s="366">
        <v>303.52999999999997</v>
      </c>
    </row>
    <row r="134" spans="1:230">
      <c r="A134" s="366" t="s">
        <v>155</v>
      </c>
      <c r="B134" s="366">
        <v>291.52999999999997</v>
      </c>
      <c r="C134" s="366">
        <v>574.96</v>
      </c>
      <c r="D134" s="366">
        <v>378.87</v>
      </c>
      <c r="E134" s="366">
        <v>378.87</v>
      </c>
      <c r="F134" s="366">
        <v>355.43</v>
      </c>
      <c r="G134" s="366">
        <v>91.94</v>
      </c>
      <c r="H134" s="366">
        <v>335.25</v>
      </c>
      <c r="I134" s="366">
        <v>289.01</v>
      </c>
      <c r="J134" s="366">
        <v>311.47000000000003</v>
      </c>
      <c r="K134" s="366">
        <v>311.47000000000003</v>
      </c>
      <c r="L134" s="366">
        <v>396.78</v>
      </c>
      <c r="M134" s="366">
        <v>600.38</v>
      </c>
      <c r="N134" s="366">
        <v>697.28</v>
      </c>
      <c r="O134" s="366">
        <v>540.66</v>
      </c>
      <c r="P134" s="366">
        <v>540.66</v>
      </c>
      <c r="Q134" s="366">
        <v>540.66</v>
      </c>
      <c r="R134" s="366">
        <v>540.66</v>
      </c>
      <c r="S134" s="366">
        <v>540.66</v>
      </c>
      <c r="T134" s="366">
        <v>214.51</v>
      </c>
      <c r="U134" s="366">
        <v>199.98</v>
      </c>
      <c r="V134" s="366">
        <v>630.04999999999995</v>
      </c>
      <c r="W134" s="366">
        <v>200.18</v>
      </c>
      <c r="X134" s="366">
        <v>200.18</v>
      </c>
      <c r="Y134" s="366">
        <v>200.18</v>
      </c>
      <c r="Z134" s="366">
        <v>667.79</v>
      </c>
      <c r="AA134" s="366">
        <v>86.11</v>
      </c>
      <c r="AB134" s="366">
        <v>183.84</v>
      </c>
      <c r="AC134" s="366">
        <v>152.31</v>
      </c>
      <c r="AD134" s="366">
        <v>152.31</v>
      </c>
      <c r="AE134" s="366">
        <v>429.77</v>
      </c>
      <c r="AF134" s="366">
        <v>105.68</v>
      </c>
      <c r="AG134" s="366">
        <v>231.7</v>
      </c>
      <c r="AH134" s="366">
        <v>335.06</v>
      </c>
      <c r="AI134" s="366">
        <v>335.06</v>
      </c>
      <c r="AJ134" s="366">
        <v>335.06</v>
      </c>
      <c r="AK134" s="366">
        <v>689.99</v>
      </c>
      <c r="AL134" s="366">
        <v>689.99</v>
      </c>
      <c r="AM134" s="366">
        <v>186.56</v>
      </c>
      <c r="AN134" s="366">
        <v>499.83</v>
      </c>
      <c r="AO134" s="366">
        <v>108.55</v>
      </c>
      <c r="AP134" s="366">
        <v>233.63</v>
      </c>
      <c r="AQ134" s="366">
        <v>311.97000000000003</v>
      </c>
      <c r="AR134" s="366">
        <v>351.21</v>
      </c>
      <c r="AS134" s="366">
        <v>472.23</v>
      </c>
      <c r="AT134" s="366">
        <v>472.23</v>
      </c>
      <c r="AU134" s="366">
        <v>544.91</v>
      </c>
      <c r="AV134" s="366">
        <v>231.03</v>
      </c>
      <c r="AW134" s="366">
        <v>274.01</v>
      </c>
      <c r="AX134" s="366">
        <v>276.67</v>
      </c>
      <c r="AY134" s="366">
        <v>732.99</v>
      </c>
      <c r="AZ134" s="366">
        <v>543.58000000000004</v>
      </c>
      <c r="BA134" s="366">
        <v>285.16000000000003</v>
      </c>
      <c r="BB134" s="366">
        <v>735.88</v>
      </c>
      <c r="BC134" s="366">
        <v>204.26</v>
      </c>
      <c r="BD134" s="366">
        <v>217.74</v>
      </c>
      <c r="BE134" s="366">
        <v>634.11</v>
      </c>
      <c r="BF134" s="366">
        <v>180.81</v>
      </c>
      <c r="BG134" s="366">
        <v>675.34</v>
      </c>
      <c r="BH134" s="366">
        <v>540.66</v>
      </c>
      <c r="BI134" s="366">
        <v>351.24</v>
      </c>
      <c r="BJ134" s="366">
        <v>613.46</v>
      </c>
      <c r="BK134" s="366">
        <v>611.36</v>
      </c>
      <c r="BL134" s="366">
        <v>385.87</v>
      </c>
      <c r="BM134" s="366">
        <v>362.66</v>
      </c>
      <c r="BN134" s="366">
        <v>126.3</v>
      </c>
      <c r="BO134" s="366">
        <v>653.55999999999995</v>
      </c>
      <c r="BP134" s="366">
        <v>619.41999999999996</v>
      </c>
      <c r="BQ134" s="366">
        <v>309.70999999999998</v>
      </c>
      <c r="BR134" s="366">
        <v>309.70999999999998</v>
      </c>
      <c r="BS134" s="366">
        <v>551.15</v>
      </c>
      <c r="BT134" s="366">
        <v>343.16</v>
      </c>
      <c r="BU134" s="366">
        <v>174.27</v>
      </c>
      <c r="BV134" s="366">
        <v>183.96</v>
      </c>
      <c r="BW134" s="366">
        <v>604.20000000000005</v>
      </c>
      <c r="BX134" s="366">
        <v>492.24</v>
      </c>
      <c r="BY134" s="366">
        <v>657.53</v>
      </c>
      <c r="BZ134" s="366">
        <v>657.53</v>
      </c>
      <c r="CA134" s="366">
        <v>235.21</v>
      </c>
      <c r="CB134" s="366">
        <v>510.67</v>
      </c>
      <c r="CC134" s="366">
        <v>305.5</v>
      </c>
      <c r="CD134" s="366">
        <v>318.98</v>
      </c>
      <c r="CE134" s="366">
        <v>594.59</v>
      </c>
      <c r="CF134" s="366">
        <v>104.41</v>
      </c>
      <c r="CG134" s="366">
        <v>104.41</v>
      </c>
      <c r="CH134" s="366">
        <v>294.70999999999998</v>
      </c>
      <c r="CI134" s="366">
        <v>413.86</v>
      </c>
      <c r="CJ134" s="366">
        <v>115.36</v>
      </c>
      <c r="CK134" s="366">
        <v>662.62</v>
      </c>
      <c r="CL134" s="366">
        <v>558.70000000000005</v>
      </c>
      <c r="CM134" s="366">
        <v>254.25</v>
      </c>
      <c r="CN134" s="366">
        <v>562.83000000000004</v>
      </c>
      <c r="CO134" s="366">
        <v>349.82</v>
      </c>
      <c r="CP134" s="366">
        <v>316.39999999999998</v>
      </c>
      <c r="CQ134" s="366">
        <v>316.39999999999998</v>
      </c>
      <c r="CR134" s="366">
        <v>301.14</v>
      </c>
      <c r="CS134" s="366">
        <v>301.14</v>
      </c>
      <c r="CT134" s="366">
        <v>291.7</v>
      </c>
      <c r="CU134" s="366">
        <v>299.57</v>
      </c>
      <c r="CV134" s="366">
        <v>293.52</v>
      </c>
      <c r="CW134" s="366">
        <v>630.04999999999995</v>
      </c>
      <c r="CX134" s="366">
        <v>293.20999999999998</v>
      </c>
      <c r="CY134" s="366">
        <v>219.92</v>
      </c>
      <c r="CZ134" s="366">
        <v>190.32</v>
      </c>
      <c r="DA134" s="366">
        <v>635.33000000000004</v>
      </c>
      <c r="DB134" s="366">
        <v>609.44000000000005</v>
      </c>
      <c r="DC134" s="366">
        <v>609.44000000000005</v>
      </c>
      <c r="DD134" s="366">
        <v>112.03</v>
      </c>
      <c r="DE134" s="366">
        <v>712.96</v>
      </c>
      <c r="DF134" s="366">
        <v>339.89</v>
      </c>
      <c r="DG134" s="366">
        <v>384.21</v>
      </c>
      <c r="DH134" s="366">
        <v>775.52</v>
      </c>
      <c r="DI134" s="366">
        <v>29.77</v>
      </c>
      <c r="DJ134" s="366">
        <v>174.12</v>
      </c>
      <c r="DK134" s="366">
        <v>454.66</v>
      </c>
      <c r="DL134" s="366">
        <v>169.94</v>
      </c>
      <c r="DM134" s="366">
        <v>562.54</v>
      </c>
      <c r="DN134" s="366">
        <v>16.8</v>
      </c>
      <c r="DO134" s="366">
        <v>481.23</v>
      </c>
      <c r="DP134" s="366">
        <v>149.03</v>
      </c>
      <c r="DQ134" s="366">
        <v>615.54</v>
      </c>
      <c r="DR134" s="366">
        <v>775.52</v>
      </c>
      <c r="DS134" s="366">
        <v>350.72</v>
      </c>
      <c r="DT134" s="366">
        <v>339.01</v>
      </c>
      <c r="DU134" s="366">
        <v>665.67</v>
      </c>
      <c r="DV134" s="366">
        <v>693.63</v>
      </c>
      <c r="DW134" s="366">
        <v>455.81</v>
      </c>
      <c r="DX134" s="366">
        <v>590.52</v>
      </c>
      <c r="DY134" s="366">
        <v>663.91</v>
      </c>
      <c r="DZ134" s="366">
        <v>101.05</v>
      </c>
      <c r="EA134" s="366">
        <v>333.49</v>
      </c>
      <c r="EB134" s="366">
        <v>657.91</v>
      </c>
      <c r="EC134" s="366">
        <v>353.43</v>
      </c>
      <c r="ED134" s="366">
        <v>0</v>
      </c>
      <c r="EE134" s="366">
        <v>10.79</v>
      </c>
      <c r="EF134" s="366">
        <v>239.91</v>
      </c>
      <c r="EG134" s="366">
        <v>274.01</v>
      </c>
      <c r="EH134" s="366">
        <v>274.01</v>
      </c>
      <c r="EI134" s="366">
        <v>319.45</v>
      </c>
      <c r="EJ134" s="366">
        <v>763.58</v>
      </c>
      <c r="EK134" s="366">
        <v>466.54</v>
      </c>
      <c r="EL134" s="366">
        <v>466.54</v>
      </c>
      <c r="EM134" s="366">
        <v>560.65</v>
      </c>
      <c r="EN134" s="366">
        <v>560.65</v>
      </c>
      <c r="EO134" s="366">
        <v>186.56</v>
      </c>
      <c r="EP134" s="366">
        <v>237.45</v>
      </c>
      <c r="EQ134" s="366">
        <v>282.20999999999998</v>
      </c>
      <c r="ER134" s="366">
        <v>170.02</v>
      </c>
      <c r="ES134" s="366">
        <v>574.86</v>
      </c>
      <c r="ET134" s="366">
        <v>291.74</v>
      </c>
      <c r="EU134" s="366">
        <v>291.52999999999997</v>
      </c>
      <c r="EV134" s="366">
        <v>200.18</v>
      </c>
      <c r="EW134" s="366">
        <v>318.83</v>
      </c>
      <c r="EX134" s="366">
        <v>551.6</v>
      </c>
      <c r="EY134" s="366">
        <v>551.6</v>
      </c>
      <c r="EZ134" s="366">
        <v>605.19000000000005</v>
      </c>
      <c r="FA134" s="366">
        <v>557.82000000000005</v>
      </c>
      <c r="FB134" s="366">
        <v>438.96</v>
      </c>
      <c r="FC134" s="366">
        <v>610.66</v>
      </c>
      <c r="FD134" s="366">
        <v>465.85</v>
      </c>
      <c r="FE134" s="366">
        <v>323.27999999999997</v>
      </c>
      <c r="FF134" s="366">
        <v>401.4</v>
      </c>
      <c r="FG134" s="366">
        <v>276.2</v>
      </c>
      <c r="FH134" s="366">
        <v>276.2</v>
      </c>
      <c r="FI134" s="366">
        <v>211.05</v>
      </c>
      <c r="FJ134" s="366">
        <v>216.84</v>
      </c>
      <c r="FK134" s="366">
        <v>602.6</v>
      </c>
      <c r="FL134" s="366">
        <v>600.79</v>
      </c>
      <c r="FM134" s="366">
        <v>186.56</v>
      </c>
      <c r="FN134" s="366">
        <v>230.93</v>
      </c>
      <c r="FO134" s="366">
        <v>341.86</v>
      </c>
      <c r="FP134" s="366">
        <v>643.01</v>
      </c>
      <c r="FQ134" s="366">
        <v>345.73</v>
      </c>
      <c r="FR134" s="366">
        <v>414.12</v>
      </c>
      <c r="FS134" s="366">
        <v>402.11</v>
      </c>
      <c r="FT134" s="366">
        <v>158.96</v>
      </c>
      <c r="FU134" s="366">
        <v>426.25</v>
      </c>
      <c r="FV134" s="366">
        <v>355.43</v>
      </c>
      <c r="FW134" s="366">
        <v>355.43</v>
      </c>
      <c r="FX134" s="366">
        <v>355.43</v>
      </c>
      <c r="FY134" s="366">
        <v>506.96</v>
      </c>
      <c r="FZ134" s="366">
        <v>346.15</v>
      </c>
      <c r="GA134" s="366">
        <v>634.11</v>
      </c>
      <c r="GB134" s="366">
        <v>440.58</v>
      </c>
      <c r="GC134" s="366">
        <v>0</v>
      </c>
      <c r="GD134" s="366">
        <v>474.34</v>
      </c>
      <c r="GE134" s="366">
        <v>291.60000000000002</v>
      </c>
      <c r="GF134" s="366">
        <v>439.78</v>
      </c>
      <c r="GG134" s="366">
        <v>439.78</v>
      </c>
      <c r="GH134" s="366">
        <v>682.56</v>
      </c>
      <c r="GI134" s="366">
        <v>186.72</v>
      </c>
      <c r="GJ134" s="366">
        <v>186.56</v>
      </c>
      <c r="GK134" s="366">
        <v>599.15</v>
      </c>
      <c r="GL134" s="366">
        <v>333.12</v>
      </c>
      <c r="GM134" s="366">
        <v>333.12</v>
      </c>
      <c r="GN134" s="366">
        <v>333.12</v>
      </c>
      <c r="GO134" s="366">
        <v>194.45</v>
      </c>
      <c r="GP134" s="366">
        <v>639.52</v>
      </c>
      <c r="GQ134" s="366">
        <v>644.86</v>
      </c>
      <c r="GR134" s="366">
        <v>123.82</v>
      </c>
      <c r="GS134" s="366">
        <v>257.27999999999997</v>
      </c>
      <c r="GT134" s="366">
        <v>274.01</v>
      </c>
      <c r="GU134" s="366">
        <v>447.94</v>
      </c>
      <c r="GV134" s="366">
        <v>770.77</v>
      </c>
      <c r="GW134" s="366">
        <v>357.58</v>
      </c>
      <c r="GX134" s="366">
        <v>270.58</v>
      </c>
      <c r="GY134" s="366">
        <v>334.09</v>
      </c>
      <c r="GZ134" s="366">
        <v>465.57</v>
      </c>
      <c r="HA134" s="366">
        <v>347.27</v>
      </c>
      <c r="HB134" s="366">
        <v>347.27</v>
      </c>
      <c r="HC134" s="366">
        <v>347.27</v>
      </c>
      <c r="HD134" s="366">
        <v>64.760000000000005</v>
      </c>
      <c r="HE134" s="366">
        <v>554.5</v>
      </c>
      <c r="HF134" s="366">
        <v>510.79</v>
      </c>
      <c r="HG134" s="366">
        <v>638.44000000000005</v>
      </c>
      <c r="HH134" s="366">
        <v>638.44000000000005</v>
      </c>
      <c r="HI134" s="366">
        <v>638.44000000000005</v>
      </c>
      <c r="HJ134" s="366">
        <v>418.91</v>
      </c>
      <c r="HK134" s="366">
        <v>200.63</v>
      </c>
      <c r="HL134" s="366">
        <v>574.04</v>
      </c>
      <c r="HM134" s="366">
        <v>183.84</v>
      </c>
      <c r="HN134" s="366">
        <v>186.56</v>
      </c>
      <c r="HO134" s="366">
        <v>259.69</v>
      </c>
      <c r="HP134" s="366">
        <v>466.29</v>
      </c>
      <c r="HQ134" s="366">
        <v>355.43</v>
      </c>
      <c r="HR134" s="366">
        <v>105.68</v>
      </c>
      <c r="HS134" s="366">
        <v>182.81</v>
      </c>
      <c r="HT134" s="366">
        <v>286.51</v>
      </c>
      <c r="HU134" s="366">
        <v>313.19</v>
      </c>
      <c r="HV134" s="366">
        <v>337.66</v>
      </c>
    </row>
    <row r="135" spans="1:230">
      <c r="A135" s="366" t="s">
        <v>156</v>
      </c>
      <c r="B135" s="366">
        <v>281.64999999999998</v>
      </c>
      <c r="C135" s="366">
        <v>585.75</v>
      </c>
      <c r="D135" s="366">
        <v>389.66</v>
      </c>
      <c r="E135" s="366">
        <v>389.66</v>
      </c>
      <c r="F135" s="366">
        <v>345.55</v>
      </c>
      <c r="G135" s="366">
        <v>82.06</v>
      </c>
      <c r="H135" s="366">
        <v>346.04</v>
      </c>
      <c r="I135" s="366">
        <v>299.8</v>
      </c>
      <c r="J135" s="366">
        <v>322.26</v>
      </c>
      <c r="K135" s="366">
        <v>322.26</v>
      </c>
      <c r="L135" s="366">
        <v>407.57</v>
      </c>
      <c r="M135" s="366">
        <v>611.16999999999996</v>
      </c>
      <c r="N135" s="366">
        <v>708.07</v>
      </c>
      <c r="O135" s="366">
        <v>551.45000000000005</v>
      </c>
      <c r="P135" s="366">
        <v>551.45000000000005</v>
      </c>
      <c r="Q135" s="366">
        <v>551.45000000000005</v>
      </c>
      <c r="R135" s="366">
        <v>551.45000000000005</v>
      </c>
      <c r="S135" s="366">
        <v>551.45000000000005</v>
      </c>
      <c r="T135" s="366">
        <v>225.3</v>
      </c>
      <c r="U135" s="366">
        <v>190.1</v>
      </c>
      <c r="V135" s="366">
        <v>640.84</v>
      </c>
      <c r="W135" s="366">
        <v>210.97</v>
      </c>
      <c r="X135" s="366">
        <v>210.97</v>
      </c>
      <c r="Y135" s="366">
        <v>210.97</v>
      </c>
      <c r="Z135" s="366">
        <v>678.58</v>
      </c>
      <c r="AA135" s="366">
        <v>76.23</v>
      </c>
      <c r="AB135" s="366">
        <v>194.63</v>
      </c>
      <c r="AC135" s="366">
        <v>163.1</v>
      </c>
      <c r="AD135" s="366">
        <v>163.1</v>
      </c>
      <c r="AE135" s="366">
        <v>440.56</v>
      </c>
      <c r="AF135" s="366">
        <v>95.8</v>
      </c>
      <c r="AG135" s="366">
        <v>242.49</v>
      </c>
      <c r="AH135" s="366">
        <v>345.85</v>
      </c>
      <c r="AI135" s="366">
        <v>345.85</v>
      </c>
      <c r="AJ135" s="366">
        <v>345.85</v>
      </c>
      <c r="AK135" s="366">
        <v>700.78</v>
      </c>
      <c r="AL135" s="366">
        <v>700.78</v>
      </c>
      <c r="AM135" s="366">
        <v>197.35</v>
      </c>
      <c r="AN135" s="366">
        <v>510.62</v>
      </c>
      <c r="AO135" s="366">
        <v>98.67</v>
      </c>
      <c r="AP135" s="366">
        <v>244.42</v>
      </c>
      <c r="AQ135" s="366">
        <v>302.08999999999997</v>
      </c>
      <c r="AR135" s="366">
        <v>362</v>
      </c>
      <c r="AS135" s="366">
        <v>483.02</v>
      </c>
      <c r="AT135" s="366">
        <v>483.02</v>
      </c>
      <c r="AU135" s="366">
        <v>555.70000000000005</v>
      </c>
      <c r="AV135" s="366">
        <v>221.15</v>
      </c>
      <c r="AW135" s="366">
        <v>284.8</v>
      </c>
      <c r="AX135" s="366">
        <v>287.45999999999998</v>
      </c>
      <c r="AY135" s="366">
        <v>743.78</v>
      </c>
      <c r="AZ135" s="366">
        <v>554.37</v>
      </c>
      <c r="BA135" s="366">
        <v>275.27999999999997</v>
      </c>
      <c r="BB135" s="366">
        <v>746.67</v>
      </c>
      <c r="BC135" s="366">
        <v>194.38</v>
      </c>
      <c r="BD135" s="366">
        <v>228.53</v>
      </c>
      <c r="BE135" s="366">
        <v>644.9</v>
      </c>
      <c r="BF135" s="366">
        <v>191.6</v>
      </c>
      <c r="BG135" s="366">
        <v>686.13</v>
      </c>
      <c r="BH135" s="366">
        <v>551.45000000000005</v>
      </c>
      <c r="BI135" s="366">
        <v>362.03</v>
      </c>
      <c r="BJ135" s="366">
        <v>624.25</v>
      </c>
      <c r="BK135" s="366">
        <v>622.15</v>
      </c>
      <c r="BL135" s="366">
        <v>396.66</v>
      </c>
      <c r="BM135" s="366">
        <v>373.45</v>
      </c>
      <c r="BN135" s="366">
        <v>116.42</v>
      </c>
      <c r="BO135" s="366">
        <v>664.35</v>
      </c>
      <c r="BP135" s="366">
        <v>630.21</v>
      </c>
      <c r="BQ135" s="366">
        <v>320.5</v>
      </c>
      <c r="BR135" s="366">
        <v>320.5</v>
      </c>
      <c r="BS135" s="366">
        <v>561.94000000000005</v>
      </c>
      <c r="BT135" s="366">
        <v>353.95</v>
      </c>
      <c r="BU135" s="366">
        <v>185.06</v>
      </c>
      <c r="BV135" s="366">
        <v>194.75</v>
      </c>
      <c r="BW135" s="366">
        <v>614.99</v>
      </c>
      <c r="BX135" s="366">
        <v>503.03</v>
      </c>
      <c r="BY135" s="366">
        <v>668.32</v>
      </c>
      <c r="BZ135" s="366">
        <v>668.32</v>
      </c>
      <c r="CA135" s="366">
        <v>246</v>
      </c>
      <c r="CB135" s="366">
        <v>521.46</v>
      </c>
      <c r="CC135" s="366">
        <v>316.29000000000002</v>
      </c>
      <c r="CD135" s="366">
        <v>329.77</v>
      </c>
      <c r="CE135" s="366">
        <v>605.38</v>
      </c>
      <c r="CF135" s="366">
        <v>94.53</v>
      </c>
      <c r="CG135" s="366">
        <v>94.53</v>
      </c>
      <c r="CH135" s="366">
        <v>305.5</v>
      </c>
      <c r="CI135" s="366">
        <v>424.65</v>
      </c>
      <c r="CJ135" s="366">
        <v>105.48</v>
      </c>
      <c r="CK135" s="366">
        <v>673.41</v>
      </c>
      <c r="CL135" s="366">
        <v>569.49</v>
      </c>
      <c r="CM135" s="366">
        <v>248.1</v>
      </c>
      <c r="CN135" s="366">
        <v>573.62</v>
      </c>
      <c r="CO135" s="366">
        <v>360.61</v>
      </c>
      <c r="CP135" s="366">
        <v>327.19</v>
      </c>
      <c r="CQ135" s="366">
        <v>327.19</v>
      </c>
      <c r="CR135" s="366">
        <v>311.93</v>
      </c>
      <c r="CS135" s="366">
        <v>311.93</v>
      </c>
      <c r="CT135" s="366">
        <v>302.49</v>
      </c>
      <c r="CU135" s="366">
        <v>310.36</v>
      </c>
      <c r="CV135" s="366">
        <v>304.31</v>
      </c>
      <c r="CW135" s="366">
        <v>640.84</v>
      </c>
      <c r="CX135" s="366">
        <v>304</v>
      </c>
      <c r="CY135" s="366">
        <v>210.04</v>
      </c>
      <c r="CZ135" s="366">
        <v>180.44</v>
      </c>
      <c r="DA135" s="366">
        <v>646.12</v>
      </c>
      <c r="DB135" s="366">
        <v>620.23</v>
      </c>
      <c r="DC135" s="366">
        <v>620.23</v>
      </c>
      <c r="DD135" s="366">
        <v>122.82</v>
      </c>
      <c r="DE135" s="366">
        <v>723.75</v>
      </c>
      <c r="DF135" s="366">
        <v>330.01</v>
      </c>
      <c r="DG135" s="366">
        <v>395</v>
      </c>
      <c r="DH135" s="366">
        <v>786.31</v>
      </c>
      <c r="DI135" s="366">
        <v>40.56</v>
      </c>
      <c r="DJ135" s="366">
        <v>164.24</v>
      </c>
      <c r="DK135" s="366">
        <v>465.45</v>
      </c>
      <c r="DL135" s="366">
        <v>180.73</v>
      </c>
      <c r="DM135" s="366">
        <v>573.33000000000004</v>
      </c>
      <c r="DN135" s="366">
        <v>27.59</v>
      </c>
      <c r="DO135" s="366">
        <v>492.02</v>
      </c>
      <c r="DP135" s="366">
        <v>159.82</v>
      </c>
      <c r="DQ135" s="366">
        <v>626.33000000000004</v>
      </c>
      <c r="DR135" s="366">
        <v>786.31</v>
      </c>
      <c r="DS135" s="366">
        <v>361.51</v>
      </c>
      <c r="DT135" s="366">
        <v>349.8</v>
      </c>
      <c r="DU135" s="366">
        <v>676.46</v>
      </c>
      <c r="DV135" s="366">
        <v>704.42</v>
      </c>
      <c r="DW135" s="366">
        <v>466.6</v>
      </c>
      <c r="DX135" s="366">
        <v>601.30999999999995</v>
      </c>
      <c r="DY135" s="366">
        <v>674.7</v>
      </c>
      <c r="DZ135" s="366">
        <v>111.84</v>
      </c>
      <c r="EA135" s="366">
        <v>344.28</v>
      </c>
      <c r="EB135" s="366">
        <v>668.7</v>
      </c>
      <c r="EC135" s="366">
        <v>364.22</v>
      </c>
      <c r="ED135" s="366">
        <v>10.79</v>
      </c>
      <c r="EE135" s="366">
        <v>0</v>
      </c>
      <c r="EF135" s="366">
        <v>250.7</v>
      </c>
      <c r="EG135" s="366">
        <v>284.8</v>
      </c>
      <c r="EH135" s="366">
        <v>284.8</v>
      </c>
      <c r="EI135" s="366">
        <v>330.24</v>
      </c>
      <c r="EJ135" s="366">
        <v>774.37</v>
      </c>
      <c r="EK135" s="366">
        <v>477.33</v>
      </c>
      <c r="EL135" s="366">
        <v>477.33</v>
      </c>
      <c r="EM135" s="366">
        <v>571.44000000000005</v>
      </c>
      <c r="EN135" s="366">
        <v>571.44000000000005</v>
      </c>
      <c r="EO135" s="366">
        <v>197.35</v>
      </c>
      <c r="EP135" s="366">
        <v>248.24</v>
      </c>
      <c r="EQ135" s="366">
        <v>293</v>
      </c>
      <c r="ER135" s="366">
        <v>160.13999999999999</v>
      </c>
      <c r="ES135" s="366">
        <v>585.65</v>
      </c>
      <c r="ET135" s="366">
        <v>302.52999999999997</v>
      </c>
      <c r="EU135" s="366">
        <v>281.64999999999998</v>
      </c>
      <c r="EV135" s="366">
        <v>210.97</v>
      </c>
      <c r="EW135" s="366">
        <v>329.62</v>
      </c>
      <c r="EX135" s="366">
        <v>562.39</v>
      </c>
      <c r="EY135" s="366">
        <v>562.39</v>
      </c>
      <c r="EZ135" s="366">
        <v>615.98</v>
      </c>
      <c r="FA135" s="366">
        <v>568.61</v>
      </c>
      <c r="FB135" s="366">
        <v>449.75</v>
      </c>
      <c r="FC135" s="366">
        <v>621.45000000000005</v>
      </c>
      <c r="FD135" s="366">
        <v>476.64</v>
      </c>
      <c r="FE135" s="366">
        <v>334.07</v>
      </c>
      <c r="FF135" s="366">
        <v>412.19</v>
      </c>
      <c r="FG135" s="366">
        <v>266.32</v>
      </c>
      <c r="FH135" s="366">
        <v>266.32</v>
      </c>
      <c r="FI135" s="366">
        <v>221.84</v>
      </c>
      <c r="FJ135" s="366">
        <v>227.63</v>
      </c>
      <c r="FK135" s="366">
        <v>613.39</v>
      </c>
      <c r="FL135" s="366">
        <v>611.58000000000004</v>
      </c>
      <c r="FM135" s="366">
        <v>197.35</v>
      </c>
      <c r="FN135" s="366">
        <v>241.72</v>
      </c>
      <c r="FO135" s="366">
        <v>352.65</v>
      </c>
      <c r="FP135" s="366">
        <v>653.79999999999995</v>
      </c>
      <c r="FQ135" s="366">
        <v>356.52</v>
      </c>
      <c r="FR135" s="366">
        <v>424.91</v>
      </c>
      <c r="FS135" s="366">
        <v>412.9</v>
      </c>
      <c r="FT135" s="366">
        <v>149.08000000000001</v>
      </c>
      <c r="FU135" s="366">
        <v>437.04</v>
      </c>
      <c r="FV135" s="366">
        <v>345.55</v>
      </c>
      <c r="FW135" s="366">
        <v>345.55</v>
      </c>
      <c r="FX135" s="366">
        <v>345.55</v>
      </c>
      <c r="FY135" s="366">
        <v>517.75</v>
      </c>
      <c r="FZ135" s="366">
        <v>356.94</v>
      </c>
      <c r="GA135" s="366">
        <v>644.9</v>
      </c>
      <c r="GB135" s="366">
        <v>451.37</v>
      </c>
      <c r="GC135" s="366">
        <v>10.79</v>
      </c>
      <c r="GD135" s="366">
        <v>485.13</v>
      </c>
      <c r="GE135" s="366">
        <v>302.39</v>
      </c>
      <c r="GF135" s="366">
        <v>450.57</v>
      </c>
      <c r="GG135" s="366">
        <v>450.57</v>
      </c>
      <c r="GH135" s="366">
        <v>693.35</v>
      </c>
      <c r="GI135" s="366">
        <v>197.51</v>
      </c>
      <c r="GJ135" s="366">
        <v>197.35</v>
      </c>
      <c r="GK135" s="366">
        <v>609.94000000000005</v>
      </c>
      <c r="GL135" s="366">
        <v>343.91</v>
      </c>
      <c r="GM135" s="366">
        <v>343.91</v>
      </c>
      <c r="GN135" s="366">
        <v>343.91</v>
      </c>
      <c r="GO135" s="366">
        <v>205.24</v>
      </c>
      <c r="GP135" s="366">
        <v>650.30999999999995</v>
      </c>
      <c r="GQ135" s="366">
        <v>655.65</v>
      </c>
      <c r="GR135" s="366">
        <v>134.61000000000001</v>
      </c>
      <c r="GS135" s="366">
        <v>268.07</v>
      </c>
      <c r="GT135" s="366">
        <v>284.8</v>
      </c>
      <c r="GU135" s="366">
        <v>458.73</v>
      </c>
      <c r="GV135" s="366">
        <v>781.56</v>
      </c>
      <c r="GW135" s="366">
        <v>368.37</v>
      </c>
      <c r="GX135" s="366">
        <v>281.37</v>
      </c>
      <c r="GY135" s="366">
        <v>344.88</v>
      </c>
      <c r="GZ135" s="366">
        <v>476.36</v>
      </c>
      <c r="HA135" s="366">
        <v>358.06</v>
      </c>
      <c r="HB135" s="366">
        <v>358.06</v>
      </c>
      <c r="HC135" s="366">
        <v>358.06</v>
      </c>
      <c r="HD135" s="366">
        <v>75.55</v>
      </c>
      <c r="HE135" s="366">
        <v>565.29</v>
      </c>
      <c r="HF135" s="366">
        <v>521.58000000000004</v>
      </c>
      <c r="HG135" s="366">
        <v>649.23</v>
      </c>
      <c r="HH135" s="366">
        <v>649.23</v>
      </c>
      <c r="HI135" s="366">
        <v>649.23</v>
      </c>
      <c r="HJ135" s="366">
        <v>429.7</v>
      </c>
      <c r="HK135" s="366">
        <v>211.42</v>
      </c>
      <c r="HL135" s="366">
        <v>584.83000000000004</v>
      </c>
      <c r="HM135" s="366">
        <v>194.63</v>
      </c>
      <c r="HN135" s="366">
        <v>197.35</v>
      </c>
      <c r="HO135" s="366">
        <v>249.81</v>
      </c>
      <c r="HP135" s="366">
        <v>477.08</v>
      </c>
      <c r="HQ135" s="366">
        <v>345.55</v>
      </c>
      <c r="HR135" s="366">
        <v>95.8</v>
      </c>
      <c r="HS135" s="366">
        <v>193.6</v>
      </c>
      <c r="HT135" s="366">
        <v>297.3</v>
      </c>
      <c r="HU135" s="366">
        <v>323.98</v>
      </c>
      <c r="HV135" s="366">
        <v>348.45</v>
      </c>
    </row>
    <row r="136" spans="1:230">
      <c r="A136" s="366" t="s">
        <v>157</v>
      </c>
      <c r="B136" s="366">
        <v>460.38</v>
      </c>
      <c r="C136" s="366">
        <v>433.16</v>
      </c>
      <c r="D136" s="366">
        <v>309.61</v>
      </c>
      <c r="E136" s="366">
        <v>309.61</v>
      </c>
      <c r="F136" s="366">
        <v>524.28</v>
      </c>
      <c r="G136" s="366">
        <v>331.85</v>
      </c>
      <c r="H136" s="366">
        <v>265.99</v>
      </c>
      <c r="I136" s="366">
        <v>56.94</v>
      </c>
      <c r="J136" s="366">
        <v>242.21</v>
      </c>
      <c r="K136" s="366">
        <v>242.21</v>
      </c>
      <c r="L136" s="366">
        <v>324.54000000000002</v>
      </c>
      <c r="M136" s="366">
        <v>458.58</v>
      </c>
      <c r="N136" s="366">
        <v>555.48</v>
      </c>
      <c r="O136" s="366">
        <v>308.58999999999997</v>
      </c>
      <c r="P136" s="366">
        <v>308.58999999999997</v>
      </c>
      <c r="Q136" s="366">
        <v>308.58999999999997</v>
      </c>
      <c r="R136" s="366">
        <v>308.58999999999997</v>
      </c>
      <c r="S136" s="366">
        <v>308.58999999999997</v>
      </c>
      <c r="T136" s="366">
        <v>67.98</v>
      </c>
      <c r="U136" s="366">
        <v>439.89</v>
      </c>
      <c r="V136" s="366">
        <v>397.98</v>
      </c>
      <c r="W136" s="366">
        <v>160.91999999999999</v>
      </c>
      <c r="X136" s="366">
        <v>160.91999999999999</v>
      </c>
      <c r="Y136" s="366">
        <v>160.91999999999999</v>
      </c>
      <c r="Z136" s="366">
        <v>435.72</v>
      </c>
      <c r="AA136" s="366">
        <v>326.02</v>
      </c>
      <c r="AB136" s="366">
        <v>95.47</v>
      </c>
      <c r="AC136" s="366">
        <v>87.6</v>
      </c>
      <c r="AD136" s="366">
        <v>87.6</v>
      </c>
      <c r="AE136" s="366">
        <v>283.02999999999997</v>
      </c>
      <c r="AF136" s="366">
        <v>345.59</v>
      </c>
      <c r="AG136" s="366">
        <v>162.44</v>
      </c>
      <c r="AH136" s="366">
        <v>102.99</v>
      </c>
      <c r="AI136" s="366">
        <v>102.99</v>
      </c>
      <c r="AJ136" s="366">
        <v>102.99</v>
      </c>
      <c r="AK136" s="366">
        <v>457.92</v>
      </c>
      <c r="AL136" s="366">
        <v>457.92</v>
      </c>
      <c r="AM136" s="366">
        <v>98.19</v>
      </c>
      <c r="AN136" s="366">
        <v>267.76</v>
      </c>
      <c r="AO136" s="366">
        <v>338.97</v>
      </c>
      <c r="AP136" s="366">
        <v>6.28</v>
      </c>
      <c r="AQ136" s="366">
        <v>480.82</v>
      </c>
      <c r="AR136" s="366">
        <v>281.95</v>
      </c>
      <c r="AS136" s="366">
        <v>249.09</v>
      </c>
      <c r="AT136" s="366">
        <v>249.09</v>
      </c>
      <c r="AU136" s="366">
        <v>312.83999999999997</v>
      </c>
      <c r="AV136" s="366">
        <v>470.94</v>
      </c>
      <c r="AW136" s="366">
        <v>204.75</v>
      </c>
      <c r="AX136" s="366">
        <v>138.12</v>
      </c>
      <c r="AY136" s="366">
        <v>591.19000000000005</v>
      </c>
      <c r="AZ136" s="366">
        <v>401.78</v>
      </c>
      <c r="BA136" s="366">
        <v>301.2</v>
      </c>
      <c r="BB136" s="366">
        <v>594.08000000000004</v>
      </c>
      <c r="BC136" s="366">
        <v>243.26</v>
      </c>
      <c r="BD136" s="366">
        <v>153.03</v>
      </c>
      <c r="BE136" s="366">
        <v>402.04</v>
      </c>
      <c r="BF136" s="366">
        <v>92.44</v>
      </c>
      <c r="BG136" s="366">
        <v>443.27</v>
      </c>
      <c r="BH136" s="366">
        <v>308.58999999999997</v>
      </c>
      <c r="BI136" s="366">
        <v>281.98</v>
      </c>
      <c r="BJ136" s="366">
        <v>381.39</v>
      </c>
      <c r="BK136" s="366">
        <v>469.56</v>
      </c>
      <c r="BL136" s="366">
        <v>316.61</v>
      </c>
      <c r="BM136" s="366">
        <v>293.39999999999998</v>
      </c>
      <c r="BN136" s="366">
        <v>366.21</v>
      </c>
      <c r="BO136" s="366">
        <v>511.76</v>
      </c>
      <c r="BP136" s="366">
        <v>477.62</v>
      </c>
      <c r="BQ136" s="366">
        <v>77.64</v>
      </c>
      <c r="BR136" s="366">
        <v>77.64</v>
      </c>
      <c r="BS136" s="366">
        <v>409.35</v>
      </c>
      <c r="BT136" s="366">
        <v>273.89999999999998</v>
      </c>
      <c r="BU136" s="366">
        <v>75.97</v>
      </c>
      <c r="BV136" s="366">
        <v>95.59</v>
      </c>
      <c r="BW136" s="366">
        <v>372.13</v>
      </c>
      <c r="BX136" s="366">
        <v>350.44</v>
      </c>
      <c r="BY136" s="366">
        <v>425.46</v>
      </c>
      <c r="BZ136" s="366">
        <v>425.46</v>
      </c>
      <c r="CA136" s="366">
        <v>165.95</v>
      </c>
      <c r="CB136" s="366">
        <v>368.87</v>
      </c>
      <c r="CC136" s="366">
        <v>109.29</v>
      </c>
      <c r="CD136" s="366">
        <v>122.77</v>
      </c>
      <c r="CE136" s="366">
        <v>452.79</v>
      </c>
      <c r="CF136" s="366">
        <v>344.32</v>
      </c>
      <c r="CG136" s="366">
        <v>344.32</v>
      </c>
      <c r="CH136" s="366">
        <v>62.64</v>
      </c>
      <c r="CI136" s="366">
        <v>181.79</v>
      </c>
      <c r="CJ136" s="366">
        <v>355.27</v>
      </c>
      <c r="CK136" s="366">
        <v>430.55</v>
      </c>
      <c r="CL136" s="366">
        <v>326.63</v>
      </c>
      <c r="CM136" s="366">
        <v>189.54</v>
      </c>
      <c r="CN136" s="366">
        <v>330.76</v>
      </c>
      <c r="CO136" s="366">
        <v>280.56</v>
      </c>
      <c r="CP136" s="366">
        <v>84.33</v>
      </c>
      <c r="CQ136" s="366">
        <v>84.33</v>
      </c>
      <c r="CR136" s="366">
        <v>231.88</v>
      </c>
      <c r="CS136" s="366">
        <v>231.88</v>
      </c>
      <c r="CT136" s="366">
        <v>222.44</v>
      </c>
      <c r="CU136" s="366">
        <v>230.31</v>
      </c>
      <c r="CV136" s="366">
        <v>224.26</v>
      </c>
      <c r="CW136" s="366">
        <v>397.98</v>
      </c>
      <c r="CX136" s="366">
        <v>128.36000000000001</v>
      </c>
      <c r="CY136" s="366">
        <v>235.96</v>
      </c>
      <c r="CZ136" s="366">
        <v>257.2</v>
      </c>
      <c r="DA136" s="366">
        <v>493.53</v>
      </c>
      <c r="DB136" s="366">
        <v>377.37</v>
      </c>
      <c r="DC136" s="366">
        <v>377.37</v>
      </c>
      <c r="DD136" s="366">
        <v>148.08000000000001</v>
      </c>
      <c r="DE136" s="366">
        <v>571.16</v>
      </c>
      <c r="DF136" s="366">
        <v>508.74</v>
      </c>
      <c r="DG136" s="366">
        <v>152.13999999999999</v>
      </c>
      <c r="DH136" s="366">
        <v>633.72</v>
      </c>
      <c r="DI136" s="366">
        <v>210.14</v>
      </c>
      <c r="DJ136" s="366">
        <v>273.39999999999998</v>
      </c>
      <c r="DK136" s="366">
        <v>312.86</v>
      </c>
      <c r="DL136" s="366">
        <v>69.97</v>
      </c>
      <c r="DM136" s="366">
        <v>420.74</v>
      </c>
      <c r="DN136" s="366">
        <v>224.9</v>
      </c>
      <c r="DO136" s="366">
        <v>339.43</v>
      </c>
      <c r="DP136" s="366">
        <v>109.77</v>
      </c>
      <c r="DQ136" s="366">
        <v>383.47</v>
      </c>
      <c r="DR136" s="366">
        <v>633.72</v>
      </c>
      <c r="DS136" s="366">
        <v>281.45999999999998</v>
      </c>
      <c r="DT136" s="366">
        <v>269.75</v>
      </c>
      <c r="DU136" s="366">
        <v>523.87</v>
      </c>
      <c r="DV136" s="366">
        <v>461.56</v>
      </c>
      <c r="DW136" s="366">
        <v>265.51</v>
      </c>
      <c r="DX136" s="366">
        <v>358.45</v>
      </c>
      <c r="DY136" s="366">
        <v>431.84</v>
      </c>
      <c r="DZ136" s="366">
        <v>157.75</v>
      </c>
      <c r="EA136" s="366">
        <v>264.23</v>
      </c>
      <c r="EB136" s="366">
        <v>425.84</v>
      </c>
      <c r="EC136" s="366">
        <v>284.17</v>
      </c>
      <c r="ED136" s="366">
        <v>239.91</v>
      </c>
      <c r="EE136" s="366">
        <v>250.7</v>
      </c>
      <c r="EF136" s="366">
        <v>0</v>
      </c>
      <c r="EG136" s="366">
        <v>204.75</v>
      </c>
      <c r="EH136" s="366">
        <v>204.75</v>
      </c>
      <c r="EI136" s="366">
        <v>123.24</v>
      </c>
      <c r="EJ136" s="366">
        <v>621.78</v>
      </c>
      <c r="EK136" s="366">
        <v>234.47</v>
      </c>
      <c r="EL136" s="366">
        <v>234.47</v>
      </c>
      <c r="EM136" s="366">
        <v>328.58</v>
      </c>
      <c r="EN136" s="366">
        <v>328.58</v>
      </c>
      <c r="EO136" s="366">
        <v>98.19</v>
      </c>
      <c r="EP136" s="366">
        <v>139.15</v>
      </c>
      <c r="EQ136" s="366">
        <v>212.95</v>
      </c>
      <c r="ER136" s="366">
        <v>409.93</v>
      </c>
      <c r="ES136" s="366">
        <v>433.06</v>
      </c>
      <c r="ET136" s="366">
        <v>59.67</v>
      </c>
      <c r="EU136" s="366">
        <v>460.38</v>
      </c>
      <c r="EV136" s="366">
        <v>160.91999999999999</v>
      </c>
      <c r="EW136" s="366">
        <v>122.62</v>
      </c>
      <c r="EX136" s="366">
        <v>409.8</v>
      </c>
      <c r="EY136" s="366">
        <v>409.8</v>
      </c>
      <c r="EZ136" s="366">
        <v>373.12</v>
      </c>
      <c r="FA136" s="366">
        <v>325.75</v>
      </c>
      <c r="FB136" s="366">
        <v>297.16000000000003</v>
      </c>
      <c r="FC136" s="366">
        <v>378.59</v>
      </c>
      <c r="FD136" s="366">
        <v>233.78</v>
      </c>
      <c r="FE136" s="366">
        <v>127.07</v>
      </c>
      <c r="FF136" s="366">
        <v>169.33</v>
      </c>
      <c r="FG136" s="366">
        <v>292.24</v>
      </c>
      <c r="FH136" s="366">
        <v>292.24</v>
      </c>
      <c r="FI136" s="366">
        <v>141.79</v>
      </c>
      <c r="FJ136" s="366">
        <v>147.58000000000001</v>
      </c>
      <c r="FK136" s="366">
        <v>460.8</v>
      </c>
      <c r="FL136" s="366">
        <v>458.99</v>
      </c>
      <c r="FM136" s="366">
        <v>98.19</v>
      </c>
      <c r="FN136" s="366">
        <v>191.67</v>
      </c>
      <c r="FO136" s="366">
        <v>272.60000000000002</v>
      </c>
      <c r="FP136" s="366">
        <v>410.94</v>
      </c>
      <c r="FQ136" s="366">
        <v>276.47000000000003</v>
      </c>
      <c r="FR136" s="366">
        <v>341.88</v>
      </c>
      <c r="FS136" s="366">
        <v>170.04</v>
      </c>
      <c r="FT136" s="366">
        <v>288.56</v>
      </c>
      <c r="FU136" s="366">
        <v>194.18</v>
      </c>
      <c r="FV136" s="366">
        <v>524.28</v>
      </c>
      <c r="FW136" s="366">
        <v>524.28</v>
      </c>
      <c r="FX136" s="366">
        <v>524.28</v>
      </c>
      <c r="FY136" s="366">
        <v>274.89</v>
      </c>
      <c r="FZ136" s="366">
        <v>149.94</v>
      </c>
      <c r="GA136" s="366">
        <v>402.04</v>
      </c>
      <c r="GB136" s="366">
        <v>208.51</v>
      </c>
      <c r="GC136" s="366">
        <v>239.91</v>
      </c>
      <c r="GD136" s="366">
        <v>332.54</v>
      </c>
      <c r="GE136" s="366">
        <v>222.34</v>
      </c>
      <c r="GF136" s="366">
        <v>207.71</v>
      </c>
      <c r="GG136" s="366">
        <v>207.71</v>
      </c>
      <c r="GH136" s="366">
        <v>450.49</v>
      </c>
      <c r="GI136" s="366">
        <v>98.35</v>
      </c>
      <c r="GJ136" s="366">
        <v>98.19</v>
      </c>
      <c r="GK136" s="366">
        <v>457.35</v>
      </c>
      <c r="GL136" s="366">
        <v>136.91</v>
      </c>
      <c r="GM136" s="366">
        <v>136.91</v>
      </c>
      <c r="GN136" s="366">
        <v>136.91</v>
      </c>
      <c r="GO136" s="366">
        <v>45.46</v>
      </c>
      <c r="GP136" s="366">
        <v>407.45</v>
      </c>
      <c r="GQ136" s="366">
        <v>503.06</v>
      </c>
      <c r="GR136" s="366">
        <v>116.09</v>
      </c>
      <c r="GS136" s="366">
        <v>25.21</v>
      </c>
      <c r="GT136" s="366">
        <v>204.75</v>
      </c>
      <c r="GU136" s="366">
        <v>267.74</v>
      </c>
      <c r="GV136" s="366">
        <v>628.97</v>
      </c>
      <c r="GW136" s="366">
        <v>152.63</v>
      </c>
      <c r="GX136" s="366">
        <v>201.32</v>
      </c>
      <c r="GY136" s="366">
        <v>102.02</v>
      </c>
      <c r="GZ136" s="366">
        <v>233.5</v>
      </c>
      <c r="HA136" s="366">
        <v>278.01</v>
      </c>
      <c r="HB136" s="366">
        <v>278.01</v>
      </c>
      <c r="HC136" s="366">
        <v>278.01</v>
      </c>
      <c r="HD136" s="366">
        <v>194.04</v>
      </c>
      <c r="HE136" s="366">
        <v>322.43</v>
      </c>
      <c r="HF136" s="366">
        <v>278.72000000000003</v>
      </c>
      <c r="HG136" s="366">
        <v>406.37</v>
      </c>
      <c r="HH136" s="366">
        <v>406.37</v>
      </c>
      <c r="HI136" s="366">
        <v>406.37</v>
      </c>
      <c r="HJ136" s="366">
        <v>186.84</v>
      </c>
      <c r="HK136" s="366">
        <v>131.37</v>
      </c>
      <c r="HL136" s="366">
        <v>341.97</v>
      </c>
      <c r="HM136" s="366">
        <v>95.47</v>
      </c>
      <c r="HN136" s="366">
        <v>98.19</v>
      </c>
      <c r="HO136" s="366">
        <v>493.58</v>
      </c>
      <c r="HP136" s="366">
        <v>234.22</v>
      </c>
      <c r="HQ136" s="366">
        <v>524.28</v>
      </c>
      <c r="HR136" s="366">
        <v>345.59</v>
      </c>
      <c r="HS136" s="366">
        <v>94.44</v>
      </c>
      <c r="HT136" s="366">
        <v>46.6</v>
      </c>
      <c r="HU136" s="366">
        <v>81.12</v>
      </c>
      <c r="HV136" s="366">
        <v>141.44999999999999</v>
      </c>
    </row>
    <row r="137" spans="1:230">
      <c r="A137" s="366" t="s">
        <v>20</v>
      </c>
      <c r="B137" s="366">
        <v>565.54</v>
      </c>
      <c r="C137" s="366">
        <v>307.81</v>
      </c>
      <c r="D137" s="366">
        <v>111.72</v>
      </c>
      <c r="E137" s="366">
        <v>111.72</v>
      </c>
      <c r="F137" s="366">
        <v>629.44000000000005</v>
      </c>
      <c r="G137" s="366">
        <v>365.95</v>
      </c>
      <c r="H137" s="366">
        <v>68.099999999999994</v>
      </c>
      <c r="I137" s="366">
        <v>261.69</v>
      </c>
      <c r="J137" s="366">
        <v>44.32</v>
      </c>
      <c r="K137" s="366">
        <v>44.32</v>
      </c>
      <c r="L137" s="366">
        <v>129.63</v>
      </c>
      <c r="M137" s="366">
        <v>333.23</v>
      </c>
      <c r="N137" s="366">
        <v>430.13</v>
      </c>
      <c r="O137" s="366">
        <v>353.54</v>
      </c>
      <c r="P137" s="366">
        <v>353.54</v>
      </c>
      <c r="Q137" s="366">
        <v>353.54</v>
      </c>
      <c r="R137" s="366">
        <v>353.54</v>
      </c>
      <c r="S137" s="366">
        <v>353.54</v>
      </c>
      <c r="T137" s="366">
        <v>272.73</v>
      </c>
      <c r="U137" s="366">
        <v>473.99</v>
      </c>
      <c r="V137" s="366">
        <v>408.47</v>
      </c>
      <c r="W137" s="366">
        <v>176.13</v>
      </c>
      <c r="X137" s="366">
        <v>176.13</v>
      </c>
      <c r="Y137" s="366">
        <v>176.13</v>
      </c>
      <c r="Z137" s="366">
        <v>446.21</v>
      </c>
      <c r="AA137" s="366">
        <v>360.12</v>
      </c>
      <c r="AB137" s="366">
        <v>300.22000000000003</v>
      </c>
      <c r="AC137" s="366">
        <v>292.35000000000002</v>
      </c>
      <c r="AD137" s="366">
        <v>292.35000000000002</v>
      </c>
      <c r="AE137" s="366">
        <v>162.62</v>
      </c>
      <c r="AF137" s="366">
        <v>379.69</v>
      </c>
      <c r="AG137" s="366">
        <v>177.65</v>
      </c>
      <c r="AH137" s="366">
        <v>307.74</v>
      </c>
      <c r="AI137" s="366">
        <v>307.74</v>
      </c>
      <c r="AJ137" s="366">
        <v>307.74</v>
      </c>
      <c r="AK137" s="366">
        <v>468.41</v>
      </c>
      <c r="AL137" s="366">
        <v>468.41</v>
      </c>
      <c r="AM137" s="366">
        <v>302.94</v>
      </c>
      <c r="AN137" s="366">
        <v>312.70999999999998</v>
      </c>
      <c r="AO137" s="366">
        <v>382.56</v>
      </c>
      <c r="AP137" s="366">
        <v>211.03</v>
      </c>
      <c r="AQ137" s="366">
        <v>585.98</v>
      </c>
      <c r="AR137" s="366">
        <v>84.06</v>
      </c>
      <c r="AS137" s="366">
        <v>205.08</v>
      </c>
      <c r="AT137" s="366">
        <v>205.08</v>
      </c>
      <c r="AU137" s="366">
        <v>323.33</v>
      </c>
      <c r="AV137" s="366">
        <v>505.04</v>
      </c>
      <c r="AW137" s="366">
        <v>0</v>
      </c>
      <c r="AX137" s="366">
        <v>342.87</v>
      </c>
      <c r="AY137" s="366">
        <v>465.84</v>
      </c>
      <c r="AZ137" s="366">
        <v>276.43</v>
      </c>
      <c r="BA137" s="366">
        <v>505.95</v>
      </c>
      <c r="BB137" s="366">
        <v>468.73</v>
      </c>
      <c r="BC137" s="366">
        <v>448.01</v>
      </c>
      <c r="BD137" s="366">
        <v>357.78</v>
      </c>
      <c r="BE137" s="366">
        <v>412.53</v>
      </c>
      <c r="BF137" s="366">
        <v>297.19</v>
      </c>
      <c r="BG137" s="366">
        <v>453.76</v>
      </c>
      <c r="BH137" s="366">
        <v>353.54</v>
      </c>
      <c r="BI137" s="366">
        <v>84.09</v>
      </c>
      <c r="BJ137" s="366">
        <v>391.88</v>
      </c>
      <c r="BK137" s="366">
        <v>344.21</v>
      </c>
      <c r="BL137" s="366">
        <v>118.72</v>
      </c>
      <c r="BM137" s="366">
        <v>95.51</v>
      </c>
      <c r="BN137" s="366">
        <v>400.31</v>
      </c>
      <c r="BO137" s="366">
        <v>386.41</v>
      </c>
      <c r="BP137" s="366">
        <v>352.27</v>
      </c>
      <c r="BQ137" s="366">
        <v>282.39</v>
      </c>
      <c r="BR137" s="366">
        <v>282.39</v>
      </c>
      <c r="BS137" s="366">
        <v>284</v>
      </c>
      <c r="BT137" s="366">
        <v>76.010000000000005</v>
      </c>
      <c r="BU137" s="366">
        <v>280.72000000000003</v>
      </c>
      <c r="BV137" s="366">
        <v>300.33999999999997</v>
      </c>
      <c r="BW137" s="366">
        <v>382.62</v>
      </c>
      <c r="BX137" s="366">
        <v>225.09</v>
      </c>
      <c r="BY137" s="366">
        <v>435.95</v>
      </c>
      <c r="BZ137" s="366">
        <v>435.95</v>
      </c>
      <c r="CA137" s="366">
        <v>38.799999999999997</v>
      </c>
      <c r="CB137" s="366">
        <v>243.52</v>
      </c>
      <c r="CC137" s="366">
        <v>314.04000000000002</v>
      </c>
      <c r="CD137" s="366">
        <v>327.52</v>
      </c>
      <c r="CE137" s="366">
        <v>327.44</v>
      </c>
      <c r="CF137" s="366">
        <v>378.42</v>
      </c>
      <c r="CG137" s="366">
        <v>378.42</v>
      </c>
      <c r="CH137" s="366">
        <v>267.39</v>
      </c>
      <c r="CI137" s="366">
        <v>296.5</v>
      </c>
      <c r="CJ137" s="366">
        <v>389.37</v>
      </c>
      <c r="CK137" s="366">
        <v>441.04</v>
      </c>
      <c r="CL137" s="366">
        <v>337.12</v>
      </c>
      <c r="CM137" s="366">
        <v>394.29</v>
      </c>
      <c r="CN137" s="366">
        <v>341.25</v>
      </c>
      <c r="CO137" s="366">
        <v>82.67</v>
      </c>
      <c r="CP137" s="366">
        <v>289.08</v>
      </c>
      <c r="CQ137" s="366">
        <v>289.08</v>
      </c>
      <c r="CR137" s="366">
        <v>33.99</v>
      </c>
      <c r="CS137" s="366">
        <v>33.99</v>
      </c>
      <c r="CT137" s="366">
        <v>24.55</v>
      </c>
      <c r="CU137" s="366">
        <v>32.42</v>
      </c>
      <c r="CV137" s="366">
        <v>26.37</v>
      </c>
      <c r="CW137" s="366">
        <v>408.47</v>
      </c>
      <c r="CX137" s="366">
        <v>333.11</v>
      </c>
      <c r="CY137" s="366">
        <v>440.71</v>
      </c>
      <c r="CZ137" s="366">
        <v>461.95</v>
      </c>
      <c r="DA137" s="366">
        <v>368.18</v>
      </c>
      <c r="DB137" s="366">
        <v>387.86</v>
      </c>
      <c r="DC137" s="366">
        <v>387.86</v>
      </c>
      <c r="DD137" s="366">
        <v>163.29</v>
      </c>
      <c r="DE137" s="366">
        <v>445.81</v>
      </c>
      <c r="DF137" s="366">
        <v>613.9</v>
      </c>
      <c r="DG137" s="366">
        <v>326.14999999999998</v>
      </c>
      <c r="DH137" s="366">
        <v>508.37</v>
      </c>
      <c r="DI137" s="366">
        <v>244.24</v>
      </c>
      <c r="DJ137" s="366">
        <v>448.13</v>
      </c>
      <c r="DK137" s="366">
        <v>187.51</v>
      </c>
      <c r="DL137" s="366">
        <v>274.72000000000003</v>
      </c>
      <c r="DM137" s="366">
        <v>295.39</v>
      </c>
      <c r="DN137" s="366">
        <v>259</v>
      </c>
      <c r="DO137" s="366">
        <v>214.08</v>
      </c>
      <c r="DP137" s="366">
        <v>124.98</v>
      </c>
      <c r="DQ137" s="366">
        <v>393.96</v>
      </c>
      <c r="DR137" s="366">
        <v>508.37</v>
      </c>
      <c r="DS137" s="366">
        <v>83.57</v>
      </c>
      <c r="DT137" s="366">
        <v>71.86</v>
      </c>
      <c r="DU137" s="366">
        <v>398.52</v>
      </c>
      <c r="DV137" s="366">
        <v>465.23</v>
      </c>
      <c r="DW137" s="366">
        <v>188.66</v>
      </c>
      <c r="DX137" s="366">
        <v>368.94</v>
      </c>
      <c r="DY137" s="366">
        <v>442.33</v>
      </c>
      <c r="DZ137" s="366">
        <v>172.96</v>
      </c>
      <c r="EA137" s="366">
        <v>66.34</v>
      </c>
      <c r="EB137" s="366">
        <v>436.33</v>
      </c>
      <c r="EC137" s="366">
        <v>86.28</v>
      </c>
      <c r="ED137" s="366">
        <v>274.01</v>
      </c>
      <c r="EE137" s="366">
        <v>284.8</v>
      </c>
      <c r="EF137" s="366">
        <v>204.75</v>
      </c>
      <c r="EG137" s="366">
        <v>0</v>
      </c>
      <c r="EH137" s="366">
        <v>0</v>
      </c>
      <c r="EI137" s="366">
        <v>327.99</v>
      </c>
      <c r="EJ137" s="366">
        <v>496.43</v>
      </c>
      <c r="EK137" s="366">
        <v>244.96</v>
      </c>
      <c r="EL137" s="366">
        <v>244.96</v>
      </c>
      <c r="EM137" s="366">
        <v>339.07</v>
      </c>
      <c r="EN137" s="366">
        <v>339.07</v>
      </c>
      <c r="EO137" s="366">
        <v>302.94</v>
      </c>
      <c r="EP137" s="366">
        <v>343.9</v>
      </c>
      <c r="EQ137" s="366">
        <v>15.06</v>
      </c>
      <c r="ER137" s="366">
        <v>444.03</v>
      </c>
      <c r="ES137" s="366">
        <v>307.70999999999998</v>
      </c>
      <c r="ET137" s="366">
        <v>264.42</v>
      </c>
      <c r="EU137" s="366">
        <v>565.54</v>
      </c>
      <c r="EV137" s="366">
        <v>176.13</v>
      </c>
      <c r="EW137" s="366">
        <v>327.37</v>
      </c>
      <c r="EX137" s="366">
        <v>284.45</v>
      </c>
      <c r="EY137" s="366">
        <v>284.45</v>
      </c>
      <c r="EZ137" s="366">
        <v>390.88</v>
      </c>
      <c r="FA137" s="366">
        <v>336.24</v>
      </c>
      <c r="FB137" s="366">
        <v>171.81</v>
      </c>
      <c r="FC137" s="366">
        <v>389.08</v>
      </c>
      <c r="FD137" s="366">
        <v>278.73</v>
      </c>
      <c r="FE137" s="366">
        <v>331.82</v>
      </c>
      <c r="FF137" s="366">
        <v>345.54</v>
      </c>
      <c r="FG137" s="366">
        <v>496.99</v>
      </c>
      <c r="FH137" s="366">
        <v>496.99</v>
      </c>
      <c r="FI137" s="366">
        <v>157</v>
      </c>
      <c r="FJ137" s="366">
        <v>162.79</v>
      </c>
      <c r="FK137" s="366">
        <v>335.45</v>
      </c>
      <c r="FL137" s="366">
        <v>333.64</v>
      </c>
      <c r="FM137" s="366">
        <v>302.94</v>
      </c>
      <c r="FN137" s="366">
        <v>206.88</v>
      </c>
      <c r="FO137" s="366">
        <v>74.709999999999994</v>
      </c>
      <c r="FP137" s="366">
        <v>421.43</v>
      </c>
      <c r="FQ137" s="366">
        <v>78.58</v>
      </c>
      <c r="FR137" s="366">
        <v>146.97</v>
      </c>
      <c r="FS137" s="366">
        <v>275.61</v>
      </c>
      <c r="FT137" s="366">
        <v>432.97</v>
      </c>
      <c r="FU137" s="366">
        <v>284.11</v>
      </c>
      <c r="FV137" s="366">
        <v>629.44000000000005</v>
      </c>
      <c r="FW137" s="366">
        <v>629.44000000000005</v>
      </c>
      <c r="FX137" s="366">
        <v>629.44000000000005</v>
      </c>
      <c r="FY137" s="366">
        <v>285.38</v>
      </c>
      <c r="FZ137" s="366">
        <v>354.69</v>
      </c>
      <c r="GA137" s="366">
        <v>412.53</v>
      </c>
      <c r="GB137" s="366">
        <v>314.08</v>
      </c>
      <c r="GC137" s="366">
        <v>274.01</v>
      </c>
      <c r="GD137" s="366">
        <v>207.19</v>
      </c>
      <c r="GE137" s="366">
        <v>24.45</v>
      </c>
      <c r="GF137" s="366">
        <v>270.58</v>
      </c>
      <c r="GG137" s="366">
        <v>270.58</v>
      </c>
      <c r="GH137" s="366">
        <v>460.98</v>
      </c>
      <c r="GI137" s="366">
        <v>303.10000000000002</v>
      </c>
      <c r="GJ137" s="366">
        <v>302.94</v>
      </c>
      <c r="GK137" s="366">
        <v>332</v>
      </c>
      <c r="GL137" s="366">
        <v>341.66</v>
      </c>
      <c r="GM137" s="366">
        <v>341.66</v>
      </c>
      <c r="GN137" s="366">
        <v>341.66</v>
      </c>
      <c r="GO137" s="366">
        <v>250.21</v>
      </c>
      <c r="GP137" s="366">
        <v>417.94</v>
      </c>
      <c r="GQ137" s="366">
        <v>377.71</v>
      </c>
      <c r="GR137" s="366">
        <v>305.35000000000002</v>
      </c>
      <c r="GS137" s="366">
        <v>229.96</v>
      </c>
      <c r="GT137" s="366">
        <v>0</v>
      </c>
      <c r="GU137" s="366">
        <v>180.79</v>
      </c>
      <c r="GV137" s="366">
        <v>503.62</v>
      </c>
      <c r="GW137" s="366">
        <v>328.84</v>
      </c>
      <c r="GX137" s="366">
        <v>3.43</v>
      </c>
      <c r="GY137" s="366">
        <v>306.77</v>
      </c>
      <c r="GZ137" s="366">
        <v>278.45</v>
      </c>
      <c r="HA137" s="366">
        <v>80.12</v>
      </c>
      <c r="HB137" s="366">
        <v>80.12</v>
      </c>
      <c r="HC137" s="366">
        <v>80.12</v>
      </c>
      <c r="HD137" s="366">
        <v>209.25</v>
      </c>
      <c r="HE137" s="366">
        <v>332.92</v>
      </c>
      <c r="HF137" s="366">
        <v>289.20999999999998</v>
      </c>
      <c r="HG137" s="366">
        <v>416.86</v>
      </c>
      <c r="HH137" s="366">
        <v>416.86</v>
      </c>
      <c r="HI137" s="366">
        <v>416.86</v>
      </c>
      <c r="HJ137" s="366">
        <v>291.45</v>
      </c>
      <c r="HK137" s="366">
        <v>79.349999999999994</v>
      </c>
      <c r="HL137" s="366">
        <v>386.92</v>
      </c>
      <c r="HM137" s="366">
        <v>300.22000000000003</v>
      </c>
      <c r="HN137" s="366">
        <v>302.94</v>
      </c>
      <c r="HO137" s="366">
        <v>533.70000000000005</v>
      </c>
      <c r="HP137" s="366">
        <v>279.17</v>
      </c>
      <c r="HQ137" s="366">
        <v>629.44000000000005</v>
      </c>
      <c r="HR137" s="366">
        <v>379.69</v>
      </c>
      <c r="HS137" s="366">
        <v>299.19</v>
      </c>
      <c r="HT137" s="366">
        <v>251.35</v>
      </c>
      <c r="HU137" s="366">
        <v>285.87</v>
      </c>
      <c r="HV137" s="366">
        <v>346.2</v>
      </c>
    </row>
    <row r="138" spans="1:230">
      <c r="A138" s="366" t="s">
        <v>158</v>
      </c>
      <c r="B138" s="366">
        <v>565.54</v>
      </c>
      <c r="C138" s="366">
        <v>307.81</v>
      </c>
      <c r="D138" s="366">
        <v>111.72</v>
      </c>
      <c r="E138" s="366">
        <v>111.72</v>
      </c>
      <c r="F138" s="366">
        <v>629.44000000000005</v>
      </c>
      <c r="G138" s="366">
        <v>365.95</v>
      </c>
      <c r="H138" s="366">
        <v>68.099999999999994</v>
      </c>
      <c r="I138" s="366">
        <v>261.69</v>
      </c>
      <c r="J138" s="366">
        <v>44.32</v>
      </c>
      <c r="K138" s="366">
        <v>44.32</v>
      </c>
      <c r="L138" s="366">
        <v>129.63</v>
      </c>
      <c r="M138" s="366">
        <v>333.23</v>
      </c>
      <c r="N138" s="366">
        <v>430.13</v>
      </c>
      <c r="O138" s="366">
        <v>353.54</v>
      </c>
      <c r="P138" s="366">
        <v>353.54</v>
      </c>
      <c r="Q138" s="366">
        <v>353.54</v>
      </c>
      <c r="R138" s="366">
        <v>353.54</v>
      </c>
      <c r="S138" s="366">
        <v>353.54</v>
      </c>
      <c r="T138" s="366">
        <v>272.73</v>
      </c>
      <c r="U138" s="366">
        <v>473.99</v>
      </c>
      <c r="V138" s="366">
        <v>408.47</v>
      </c>
      <c r="W138" s="366">
        <v>176.13</v>
      </c>
      <c r="X138" s="366">
        <v>176.13</v>
      </c>
      <c r="Y138" s="366">
        <v>176.13</v>
      </c>
      <c r="Z138" s="366">
        <v>446.21</v>
      </c>
      <c r="AA138" s="366">
        <v>360.12</v>
      </c>
      <c r="AB138" s="366">
        <v>300.22000000000003</v>
      </c>
      <c r="AC138" s="366">
        <v>292.35000000000002</v>
      </c>
      <c r="AD138" s="366">
        <v>292.35000000000002</v>
      </c>
      <c r="AE138" s="366">
        <v>162.62</v>
      </c>
      <c r="AF138" s="366">
        <v>379.69</v>
      </c>
      <c r="AG138" s="366">
        <v>177.65</v>
      </c>
      <c r="AH138" s="366">
        <v>307.74</v>
      </c>
      <c r="AI138" s="366">
        <v>307.74</v>
      </c>
      <c r="AJ138" s="366">
        <v>307.74</v>
      </c>
      <c r="AK138" s="366">
        <v>468.41</v>
      </c>
      <c r="AL138" s="366">
        <v>468.41</v>
      </c>
      <c r="AM138" s="366">
        <v>302.94</v>
      </c>
      <c r="AN138" s="366">
        <v>312.70999999999998</v>
      </c>
      <c r="AO138" s="366">
        <v>382.56</v>
      </c>
      <c r="AP138" s="366">
        <v>211.03</v>
      </c>
      <c r="AQ138" s="366">
        <v>585.98</v>
      </c>
      <c r="AR138" s="366">
        <v>84.06</v>
      </c>
      <c r="AS138" s="366">
        <v>205.08</v>
      </c>
      <c r="AT138" s="366">
        <v>205.08</v>
      </c>
      <c r="AU138" s="366">
        <v>323.33</v>
      </c>
      <c r="AV138" s="366">
        <v>505.04</v>
      </c>
      <c r="AW138" s="366">
        <v>0</v>
      </c>
      <c r="AX138" s="366">
        <v>342.87</v>
      </c>
      <c r="AY138" s="366">
        <v>465.84</v>
      </c>
      <c r="AZ138" s="366">
        <v>276.43</v>
      </c>
      <c r="BA138" s="366">
        <v>505.95</v>
      </c>
      <c r="BB138" s="366">
        <v>468.73</v>
      </c>
      <c r="BC138" s="366">
        <v>448.01</v>
      </c>
      <c r="BD138" s="366">
        <v>357.78</v>
      </c>
      <c r="BE138" s="366">
        <v>412.53</v>
      </c>
      <c r="BF138" s="366">
        <v>297.19</v>
      </c>
      <c r="BG138" s="366">
        <v>453.76</v>
      </c>
      <c r="BH138" s="366">
        <v>353.54</v>
      </c>
      <c r="BI138" s="366">
        <v>84.09</v>
      </c>
      <c r="BJ138" s="366">
        <v>391.88</v>
      </c>
      <c r="BK138" s="366">
        <v>344.21</v>
      </c>
      <c r="BL138" s="366">
        <v>118.72</v>
      </c>
      <c r="BM138" s="366">
        <v>95.51</v>
      </c>
      <c r="BN138" s="366">
        <v>400.31</v>
      </c>
      <c r="BO138" s="366">
        <v>386.41</v>
      </c>
      <c r="BP138" s="366">
        <v>352.27</v>
      </c>
      <c r="BQ138" s="366">
        <v>282.39</v>
      </c>
      <c r="BR138" s="366">
        <v>282.39</v>
      </c>
      <c r="BS138" s="366">
        <v>284</v>
      </c>
      <c r="BT138" s="366">
        <v>76.010000000000005</v>
      </c>
      <c r="BU138" s="366">
        <v>280.72000000000003</v>
      </c>
      <c r="BV138" s="366">
        <v>300.33999999999997</v>
      </c>
      <c r="BW138" s="366">
        <v>382.62</v>
      </c>
      <c r="BX138" s="366">
        <v>225.09</v>
      </c>
      <c r="BY138" s="366">
        <v>435.95</v>
      </c>
      <c r="BZ138" s="366">
        <v>435.95</v>
      </c>
      <c r="CA138" s="366">
        <v>38.799999999999997</v>
      </c>
      <c r="CB138" s="366">
        <v>243.52</v>
      </c>
      <c r="CC138" s="366">
        <v>314.04000000000002</v>
      </c>
      <c r="CD138" s="366">
        <v>327.52</v>
      </c>
      <c r="CE138" s="366">
        <v>327.44</v>
      </c>
      <c r="CF138" s="366">
        <v>378.42</v>
      </c>
      <c r="CG138" s="366">
        <v>378.42</v>
      </c>
      <c r="CH138" s="366">
        <v>267.39</v>
      </c>
      <c r="CI138" s="366">
        <v>296.5</v>
      </c>
      <c r="CJ138" s="366">
        <v>389.37</v>
      </c>
      <c r="CK138" s="366">
        <v>441.04</v>
      </c>
      <c r="CL138" s="366">
        <v>337.12</v>
      </c>
      <c r="CM138" s="366">
        <v>394.29</v>
      </c>
      <c r="CN138" s="366">
        <v>341.25</v>
      </c>
      <c r="CO138" s="366">
        <v>82.67</v>
      </c>
      <c r="CP138" s="366">
        <v>289.08</v>
      </c>
      <c r="CQ138" s="366">
        <v>289.08</v>
      </c>
      <c r="CR138" s="366">
        <v>33.99</v>
      </c>
      <c r="CS138" s="366">
        <v>33.99</v>
      </c>
      <c r="CT138" s="366">
        <v>24.55</v>
      </c>
      <c r="CU138" s="366">
        <v>32.42</v>
      </c>
      <c r="CV138" s="366">
        <v>26.37</v>
      </c>
      <c r="CW138" s="366">
        <v>408.47</v>
      </c>
      <c r="CX138" s="366">
        <v>333.11</v>
      </c>
      <c r="CY138" s="366">
        <v>440.71</v>
      </c>
      <c r="CZ138" s="366">
        <v>461.95</v>
      </c>
      <c r="DA138" s="366">
        <v>368.18</v>
      </c>
      <c r="DB138" s="366">
        <v>387.86</v>
      </c>
      <c r="DC138" s="366">
        <v>387.86</v>
      </c>
      <c r="DD138" s="366">
        <v>163.29</v>
      </c>
      <c r="DE138" s="366">
        <v>445.81</v>
      </c>
      <c r="DF138" s="366">
        <v>613.9</v>
      </c>
      <c r="DG138" s="366">
        <v>326.14999999999998</v>
      </c>
      <c r="DH138" s="366">
        <v>508.37</v>
      </c>
      <c r="DI138" s="366">
        <v>244.24</v>
      </c>
      <c r="DJ138" s="366">
        <v>448.13</v>
      </c>
      <c r="DK138" s="366">
        <v>187.51</v>
      </c>
      <c r="DL138" s="366">
        <v>274.72000000000003</v>
      </c>
      <c r="DM138" s="366">
        <v>295.39</v>
      </c>
      <c r="DN138" s="366">
        <v>259</v>
      </c>
      <c r="DO138" s="366">
        <v>214.08</v>
      </c>
      <c r="DP138" s="366">
        <v>124.98</v>
      </c>
      <c r="DQ138" s="366">
        <v>393.96</v>
      </c>
      <c r="DR138" s="366">
        <v>508.37</v>
      </c>
      <c r="DS138" s="366">
        <v>83.57</v>
      </c>
      <c r="DT138" s="366">
        <v>71.86</v>
      </c>
      <c r="DU138" s="366">
        <v>398.52</v>
      </c>
      <c r="DV138" s="366">
        <v>465.23</v>
      </c>
      <c r="DW138" s="366">
        <v>188.66</v>
      </c>
      <c r="DX138" s="366">
        <v>368.94</v>
      </c>
      <c r="DY138" s="366">
        <v>442.33</v>
      </c>
      <c r="DZ138" s="366">
        <v>172.96</v>
      </c>
      <c r="EA138" s="366">
        <v>66.34</v>
      </c>
      <c r="EB138" s="366">
        <v>436.33</v>
      </c>
      <c r="EC138" s="366">
        <v>86.28</v>
      </c>
      <c r="ED138" s="366">
        <v>274.01</v>
      </c>
      <c r="EE138" s="366">
        <v>284.8</v>
      </c>
      <c r="EF138" s="366">
        <v>204.75</v>
      </c>
      <c r="EG138" s="366">
        <v>0</v>
      </c>
      <c r="EH138" s="366">
        <v>0</v>
      </c>
      <c r="EI138" s="366">
        <v>327.99</v>
      </c>
      <c r="EJ138" s="366">
        <v>496.43</v>
      </c>
      <c r="EK138" s="366">
        <v>244.96</v>
      </c>
      <c r="EL138" s="366">
        <v>244.96</v>
      </c>
      <c r="EM138" s="366">
        <v>339.07</v>
      </c>
      <c r="EN138" s="366">
        <v>339.07</v>
      </c>
      <c r="EO138" s="366">
        <v>302.94</v>
      </c>
      <c r="EP138" s="366">
        <v>343.9</v>
      </c>
      <c r="EQ138" s="366">
        <v>15.06</v>
      </c>
      <c r="ER138" s="366">
        <v>444.03</v>
      </c>
      <c r="ES138" s="366">
        <v>307.70999999999998</v>
      </c>
      <c r="ET138" s="366">
        <v>264.42</v>
      </c>
      <c r="EU138" s="366">
        <v>565.54</v>
      </c>
      <c r="EV138" s="366">
        <v>176.13</v>
      </c>
      <c r="EW138" s="366">
        <v>327.37</v>
      </c>
      <c r="EX138" s="366">
        <v>284.45</v>
      </c>
      <c r="EY138" s="366">
        <v>284.45</v>
      </c>
      <c r="EZ138" s="366">
        <v>390.88</v>
      </c>
      <c r="FA138" s="366">
        <v>336.24</v>
      </c>
      <c r="FB138" s="366">
        <v>171.81</v>
      </c>
      <c r="FC138" s="366">
        <v>389.08</v>
      </c>
      <c r="FD138" s="366">
        <v>278.73</v>
      </c>
      <c r="FE138" s="366">
        <v>331.82</v>
      </c>
      <c r="FF138" s="366">
        <v>345.54</v>
      </c>
      <c r="FG138" s="366">
        <v>496.99</v>
      </c>
      <c r="FH138" s="366">
        <v>496.99</v>
      </c>
      <c r="FI138" s="366">
        <v>157</v>
      </c>
      <c r="FJ138" s="366">
        <v>162.79</v>
      </c>
      <c r="FK138" s="366">
        <v>335.45</v>
      </c>
      <c r="FL138" s="366">
        <v>333.64</v>
      </c>
      <c r="FM138" s="366">
        <v>302.94</v>
      </c>
      <c r="FN138" s="366">
        <v>206.88</v>
      </c>
      <c r="FO138" s="366">
        <v>74.709999999999994</v>
      </c>
      <c r="FP138" s="366">
        <v>421.43</v>
      </c>
      <c r="FQ138" s="366">
        <v>78.58</v>
      </c>
      <c r="FR138" s="366">
        <v>146.97</v>
      </c>
      <c r="FS138" s="366">
        <v>275.61</v>
      </c>
      <c r="FT138" s="366">
        <v>432.97</v>
      </c>
      <c r="FU138" s="366">
        <v>284.11</v>
      </c>
      <c r="FV138" s="366">
        <v>629.44000000000005</v>
      </c>
      <c r="FW138" s="366">
        <v>629.44000000000005</v>
      </c>
      <c r="FX138" s="366">
        <v>629.44000000000005</v>
      </c>
      <c r="FY138" s="366">
        <v>285.38</v>
      </c>
      <c r="FZ138" s="366">
        <v>354.69</v>
      </c>
      <c r="GA138" s="366">
        <v>412.53</v>
      </c>
      <c r="GB138" s="366">
        <v>314.08</v>
      </c>
      <c r="GC138" s="366">
        <v>274.01</v>
      </c>
      <c r="GD138" s="366">
        <v>207.19</v>
      </c>
      <c r="GE138" s="366">
        <v>24.45</v>
      </c>
      <c r="GF138" s="366">
        <v>270.58</v>
      </c>
      <c r="GG138" s="366">
        <v>270.58</v>
      </c>
      <c r="GH138" s="366">
        <v>460.98</v>
      </c>
      <c r="GI138" s="366">
        <v>303.10000000000002</v>
      </c>
      <c r="GJ138" s="366">
        <v>302.94</v>
      </c>
      <c r="GK138" s="366">
        <v>332</v>
      </c>
      <c r="GL138" s="366">
        <v>341.66</v>
      </c>
      <c r="GM138" s="366">
        <v>341.66</v>
      </c>
      <c r="GN138" s="366">
        <v>341.66</v>
      </c>
      <c r="GO138" s="366">
        <v>250.21</v>
      </c>
      <c r="GP138" s="366">
        <v>417.94</v>
      </c>
      <c r="GQ138" s="366">
        <v>377.71</v>
      </c>
      <c r="GR138" s="366">
        <v>305.35000000000002</v>
      </c>
      <c r="GS138" s="366">
        <v>229.96</v>
      </c>
      <c r="GT138" s="366">
        <v>0</v>
      </c>
      <c r="GU138" s="366">
        <v>180.79</v>
      </c>
      <c r="GV138" s="366">
        <v>503.62</v>
      </c>
      <c r="GW138" s="366">
        <v>328.84</v>
      </c>
      <c r="GX138" s="366">
        <v>3.43</v>
      </c>
      <c r="GY138" s="366">
        <v>306.77</v>
      </c>
      <c r="GZ138" s="366">
        <v>278.45</v>
      </c>
      <c r="HA138" s="366">
        <v>80.12</v>
      </c>
      <c r="HB138" s="366">
        <v>80.12</v>
      </c>
      <c r="HC138" s="366">
        <v>80.12</v>
      </c>
      <c r="HD138" s="366">
        <v>209.25</v>
      </c>
      <c r="HE138" s="366">
        <v>332.92</v>
      </c>
      <c r="HF138" s="366">
        <v>289.20999999999998</v>
      </c>
      <c r="HG138" s="366">
        <v>416.86</v>
      </c>
      <c r="HH138" s="366">
        <v>416.86</v>
      </c>
      <c r="HI138" s="366">
        <v>416.86</v>
      </c>
      <c r="HJ138" s="366">
        <v>291.45</v>
      </c>
      <c r="HK138" s="366">
        <v>79.349999999999994</v>
      </c>
      <c r="HL138" s="366">
        <v>386.92</v>
      </c>
      <c r="HM138" s="366">
        <v>300.22000000000003</v>
      </c>
      <c r="HN138" s="366">
        <v>302.94</v>
      </c>
      <c r="HO138" s="366">
        <v>533.70000000000005</v>
      </c>
      <c r="HP138" s="366">
        <v>279.17</v>
      </c>
      <c r="HQ138" s="366">
        <v>629.44000000000005</v>
      </c>
      <c r="HR138" s="366">
        <v>379.69</v>
      </c>
      <c r="HS138" s="366">
        <v>299.19</v>
      </c>
      <c r="HT138" s="366">
        <v>251.35</v>
      </c>
      <c r="HU138" s="366">
        <v>285.87</v>
      </c>
      <c r="HV138" s="366">
        <v>346.2</v>
      </c>
    </row>
    <row r="139" spans="1:230">
      <c r="A139" s="366" t="s">
        <v>159</v>
      </c>
      <c r="B139" s="366">
        <v>539.91999999999996</v>
      </c>
      <c r="C139" s="366">
        <v>354.04</v>
      </c>
      <c r="D139" s="366">
        <v>254.81</v>
      </c>
      <c r="E139" s="366">
        <v>254.81</v>
      </c>
      <c r="F139" s="366">
        <v>603.82000000000005</v>
      </c>
      <c r="G139" s="366">
        <v>411.39</v>
      </c>
      <c r="H139" s="366">
        <v>298.43</v>
      </c>
      <c r="I139" s="366">
        <v>66.3</v>
      </c>
      <c r="J139" s="366">
        <v>322.20999999999998</v>
      </c>
      <c r="K139" s="366">
        <v>322.20999999999998</v>
      </c>
      <c r="L139" s="366">
        <v>245.42</v>
      </c>
      <c r="M139" s="366">
        <v>379.46</v>
      </c>
      <c r="N139" s="366">
        <v>476.36</v>
      </c>
      <c r="O139" s="366">
        <v>229.47</v>
      </c>
      <c r="P139" s="366">
        <v>229.47</v>
      </c>
      <c r="Q139" s="366">
        <v>229.47</v>
      </c>
      <c r="R139" s="366">
        <v>229.47</v>
      </c>
      <c r="S139" s="366">
        <v>229.47</v>
      </c>
      <c r="T139" s="366">
        <v>140.80000000000001</v>
      </c>
      <c r="U139" s="366">
        <v>519.42999999999995</v>
      </c>
      <c r="V139" s="366">
        <v>318.86</v>
      </c>
      <c r="W139" s="366">
        <v>284.16000000000003</v>
      </c>
      <c r="X139" s="366">
        <v>284.16000000000003</v>
      </c>
      <c r="Y139" s="366">
        <v>284.16000000000003</v>
      </c>
      <c r="Z139" s="366">
        <v>356.6</v>
      </c>
      <c r="AA139" s="366">
        <v>405.56</v>
      </c>
      <c r="AB139" s="366">
        <v>164.68</v>
      </c>
      <c r="AC139" s="366">
        <v>167.14</v>
      </c>
      <c r="AD139" s="366">
        <v>167.14</v>
      </c>
      <c r="AE139" s="366">
        <v>203.91</v>
      </c>
      <c r="AF139" s="366">
        <v>425.13</v>
      </c>
      <c r="AG139" s="366">
        <v>285.68</v>
      </c>
      <c r="AH139" s="366">
        <v>87.33</v>
      </c>
      <c r="AI139" s="366">
        <v>87.33</v>
      </c>
      <c r="AJ139" s="366">
        <v>87.33</v>
      </c>
      <c r="AK139" s="366">
        <v>378.8</v>
      </c>
      <c r="AL139" s="366">
        <v>378.8</v>
      </c>
      <c r="AM139" s="366">
        <v>167.4</v>
      </c>
      <c r="AN139" s="366">
        <v>188.64</v>
      </c>
      <c r="AO139" s="366">
        <v>418.51</v>
      </c>
      <c r="AP139" s="366">
        <v>129.52000000000001</v>
      </c>
      <c r="AQ139" s="366">
        <v>560.36</v>
      </c>
      <c r="AR139" s="366">
        <v>384.98</v>
      </c>
      <c r="AS139" s="366">
        <v>169.97</v>
      </c>
      <c r="AT139" s="366">
        <v>169.97</v>
      </c>
      <c r="AU139" s="366">
        <v>233.72</v>
      </c>
      <c r="AV139" s="366">
        <v>550.48</v>
      </c>
      <c r="AW139" s="366">
        <v>327.99</v>
      </c>
      <c r="AX139" s="366">
        <v>42.78</v>
      </c>
      <c r="AY139" s="366">
        <v>512.07000000000005</v>
      </c>
      <c r="AZ139" s="366">
        <v>322.66000000000003</v>
      </c>
      <c r="BA139" s="366">
        <v>380.74</v>
      </c>
      <c r="BB139" s="366">
        <v>514.96</v>
      </c>
      <c r="BC139" s="366">
        <v>322.8</v>
      </c>
      <c r="BD139" s="366">
        <v>232.57</v>
      </c>
      <c r="BE139" s="366">
        <v>322.92</v>
      </c>
      <c r="BF139" s="366">
        <v>161.65</v>
      </c>
      <c r="BG139" s="366">
        <v>364.15</v>
      </c>
      <c r="BH139" s="366">
        <v>229.47</v>
      </c>
      <c r="BI139" s="366">
        <v>385.01</v>
      </c>
      <c r="BJ139" s="366">
        <v>302.27</v>
      </c>
      <c r="BK139" s="366">
        <v>390.44</v>
      </c>
      <c r="BL139" s="366">
        <v>247.81</v>
      </c>
      <c r="BM139" s="366">
        <v>271.02</v>
      </c>
      <c r="BN139" s="366">
        <v>445.75</v>
      </c>
      <c r="BO139" s="366">
        <v>432.64</v>
      </c>
      <c r="BP139" s="366">
        <v>398.5</v>
      </c>
      <c r="BQ139" s="366">
        <v>87</v>
      </c>
      <c r="BR139" s="366">
        <v>87</v>
      </c>
      <c r="BS139" s="366">
        <v>330.23</v>
      </c>
      <c r="BT139" s="366">
        <v>369.44</v>
      </c>
      <c r="BU139" s="366">
        <v>145.18</v>
      </c>
      <c r="BV139" s="366">
        <v>164.8</v>
      </c>
      <c r="BW139" s="366">
        <v>293.01</v>
      </c>
      <c r="BX139" s="366">
        <v>271.32</v>
      </c>
      <c r="BY139" s="366">
        <v>346.34</v>
      </c>
      <c r="BZ139" s="366">
        <v>346.34</v>
      </c>
      <c r="CA139" s="366">
        <v>289.19</v>
      </c>
      <c r="CB139" s="366">
        <v>289.75</v>
      </c>
      <c r="CC139" s="366">
        <v>13.95</v>
      </c>
      <c r="CD139" s="366">
        <v>16.350000000000001</v>
      </c>
      <c r="CE139" s="366">
        <v>373.67</v>
      </c>
      <c r="CF139" s="366">
        <v>423.86</v>
      </c>
      <c r="CG139" s="366">
        <v>423.86</v>
      </c>
      <c r="CH139" s="366">
        <v>72</v>
      </c>
      <c r="CI139" s="366">
        <v>102.67</v>
      </c>
      <c r="CJ139" s="366">
        <v>434.81</v>
      </c>
      <c r="CK139" s="366">
        <v>351.43</v>
      </c>
      <c r="CL139" s="366">
        <v>247.51</v>
      </c>
      <c r="CM139" s="366">
        <v>269.08</v>
      </c>
      <c r="CN139" s="366">
        <v>251.64</v>
      </c>
      <c r="CO139" s="366">
        <v>383.59</v>
      </c>
      <c r="CP139" s="366">
        <v>93.69</v>
      </c>
      <c r="CQ139" s="366">
        <v>93.69</v>
      </c>
      <c r="CR139" s="366">
        <v>335.99</v>
      </c>
      <c r="CS139" s="366">
        <v>335.99</v>
      </c>
      <c r="CT139" s="366">
        <v>345.43</v>
      </c>
      <c r="CU139" s="366">
        <v>337.56</v>
      </c>
      <c r="CV139" s="366">
        <v>340.16</v>
      </c>
      <c r="CW139" s="366">
        <v>318.86</v>
      </c>
      <c r="CX139" s="366">
        <v>33.020000000000003</v>
      </c>
      <c r="CY139" s="366">
        <v>315.5</v>
      </c>
      <c r="CZ139" s="366">
        <v>336.74</v>
      </c>
      <c r="DA139" s="366">
        <v>414.41</v>
      </c>
      <c r="DB139" s="366">
        <v>298.25</v>
      </c>
      <c r="DC139" s="366">
        <v>298.25</v>
      </c>
      <c r="DD139" s="366">
        <v>271.32</v>
      </c>
      <c r="DE139" s="366">
        <v>492.04</v>
      </c>
      <c r="DF139" s="366">
        <v>588.28</v>
      </c>
      <c r="DG139" s="366">
        <v>73.02</v>
      </c>
      <c r="DH139" s="366">
        <v>554.6</v>
      </c>
      <c r="DI139" s="366">
        <v>289.68</v>
      </c>
      <c r="DJ139" s="366">
        <v>352.94</v>
      </c>
      <c r="DK139" s="366">
        <v>233.74</v>
      </c>
      <c r="DL139" s="366">
        <v>151.18</v>
      </c>
      <c r="DM139" s="366">
        <v>341.62</v>
      </c>
      <c r="DN139" s="366">
        <v>304.44</v>
      </c>
      <c r="DO139" s="366">
        <v>260.31</v>
      </c>
      <c r="DP139" s="366">
        <v>233.01</v>
      </c>
      <c r="DQ139" s="366">
        <v>304.35000000000002</v>
      </c>
      <c r="DR139" s="366">
        <v>554.6</v>
      </c>
      <c r="DS139" s="366">
        <v>361.46</v>
      </c>
      <c r="DT139" s="366">
        <v>349.75</v>
      </c>
      <c r="DU139" s="366">
        <v>444.75</v>
      </c>
      <c r="DV139" s="366">
        <v>382.44</v>
      </c>
      <c r="DW139" s="366">
        <v>186.39</v>
      </c>
      <c r="DX139" s="366">
        <v>279.33</v>
      </c>
      <c r="DY139" s="366">
        <v>352.72</v>
      </c>
      <c r="DZ139" s="366">
        <v>280.99</v>
      </c>
      <c r="EA139" s="366">
        <v>367.26</v>
      </c>
      <c r="EB139" s="366">
        <v>346.72</v>
      </c>
      <c r="EC139" s="366">
        <v>280.25</v>
      </c>
      <c r="ED139" s="366">
        <v>319.45</v>
      </c>
      <c r="EE139" s="366">
        <v>330.24</v>
      </c>
      <c r="EF139" s="366">
        <v>123.24</v>
      </c>
      <c r="EG139" s="366">
        <v>327.99</v>
      </c>
      <c r="EH139" s="366">
        <v>327.99</v>
      </c>
      <c r="EI139" s="366">
        <v>0</v>
      </c>
      <c r="EJ139" s="366">
        <v>542.66</v>
      </c>
      <c r="EK139" s="366">
        <v>155.35</v>
      </c>
      <c r="EL139" s="366">
        <v>155.35</v>
      </c>
      <c r="EM139" s="366">
        <v>249.46</v>
      </c>
      <c r="EN139" s="366">
        <v>249.46</v>
      </c>
      <c r="EO139" s="366">
        <v>167.4</v>
      </c>
      <c r="EP139" s="366">
        <v>82</v>
      </c>
      <c r="EQ139" s="366">
        <v>336.19</v>
      </c>
      <c r="ER139" s="366">
        <v>489.47</v>
      </c>
      <c r="ES139" s="366">
        <v>353.94</v>
      </c>
      <c r="ET139" s="366">
        <v>69.03</v>
      </c>
      <c r="EU139" s="366">
        <v>539.91999999999996</v>
      </c>
      <c r="EV139" s="366">
        <v>284.16000000000003</v>
      </c>
      <c r="EW139" s="366">
        <v>0.92</v>
      </c>
      <c r="EX139" s="366">
        <v>330.68</v>
      </c>
      <c r="EY139" s="366">
        <v>330.68</v>
      </c>
      <c r="EZ139" s="366">
        <v>294</v>
      </c>
      <c r="FA139" s="366">
        <v>246.63</v>
      </c>
      <c r="FB139" s="366">
        <v>218.04</v>
      </c>
      <c r="FC139" s="366">
        <v>299.47000000000003</v>
      </c>
      <c r="FD139" s="366">
        <v>154.66</v>
      </c>
      <c r="FE139" s="366">
        <v>3.83</v>
      </c>
      <c r="FF139" s="366">
        <v>90.21</v>
      </c>
      <c r="FG139" s="366">
        <v>371.78</v>
      </c>
      <c r="FH139" s="366">
        <v>371.78</v>
      </c>
      <c r="FI139" s="366">
        <v>265.02999999999997</v>
      </c>
      <c r="FJ139" s="366">
        <v>270.82</v>
      </c>
      <c r="FK139" s="366">
        <v>381.68</v>
      </c>
      <c r="FL139" s="366">
        <v>379.87</v>
      </c>
      <c r="FM139" s="366">
        <v>167.4</v>
      </c>
      <c r="FN139" s="366">
        <v>314.91000000000003</v>
      </c>
      <c r="FO139" s="366">
        <v>375.63</v>
      </c>
      <c r="FP139" s="366">
        <v>331.82</v>
      </c>
      <c r="FQ139" s="366">
        <v>379.5</v>
      </c>
      <c r="FR139" s="366">
        <v>262.76</v>
      </c>
      <c r="FS139" s="366">
        <v>90.92</v>
      </c>
      <c r="FT139" s="366">
        <v>368.1</v>
      </c>
      <c r="FU139" s="366">
        <v>115.06</v>
      </c>
      <c r="FV139" s="366">
        <v>603.82000000000005</v>
      </c>
      <c r="FW139" s="366">
        <v>603.82000000000005</v>
      </c>
      <c r="FX139" s="366">
        <v>603.82000000000005</v>
      </c>
      <c r="FY139" s="366">
        <v>195.77</v>
      </c>
      <c r="FZ139" s="366">
        <v>26.7</v>
      </c>
      <c r="GA139" s="366">
        <v>322.92</v>
      </c>
      <c r="GB139" s="366">
        <v>129.38999999999999</v>
      </c>
      <c r="GC139" s="366">
        <v>319.45</v>
      </c>
      <c r="GD139" s="366">
        <v>253.42</v>
      </c>
      <c r="GE139" s="366">
        <v>345.53</v>
      </c>
      <c r="GF139" s="366">
        <v>128.59</v>
      </c>
      <c r="GG139" s="366">
        <v>128.59</v>
      </c>
      <c r="GH139" s="366">
        <v>371.37</v>
      </c>
      <c r="GI139" s="366">
        <v>167.56</v>
      </c>
      <c r="GJ139" s="366">
        <v>167.4</v>
      </c>
      <c r="GK139" s="366">
        <v>378.23</v>
      </c>
      <c r="GL139" s="366">
        <v>13.67</v>
      </c>
      <c r="GM139" s="366">
        <v>13.67</v>
      </c>
      <c r="GN139" s="366">
        <v>13.67</v>
      </c>
      <c r="GO139" s="366">
        <v>168.7</v>
      </c>
      <c r="GP139" s="366">
        <v>328.33</v>
      </c>
      <c r="GQ139" s="366">
        <v>423.94</v>
      </c>
      <c r="GR139" s="366">
        <v>195.63</v>
      </c>
      <c r="GS139" s="366">
        <v>98.03</v>
      </c>
      <c r="GT139" s="366">
        <v>327.99</v>
      </c>
      <c r="GU139" s="366">
        <v>188.62</v>
      </c>
      <c r="GV139" s="366">
        <v>549.85</v>
      </c>
      <c r="GW139" s="366">
        <v>38.130000000000003</v>
      </c>
      <c r="GX139" s="366">
        <v>324.56</v>
      </c>
      <c r="GY139" s="366">
        <v>88.3</v>
      </c>
      <c r="GZ139" s="366">
        <v>154.38</v>
      </c>
      <c r="HA139" s="366">
        <v>381.04</v>
      </c>
      <c r="HB139" s="366">
        <v>381.04</v>
      </c>
      <c r="HC139" s="366">
        <v>381.04</v>
      </c>
      <c r="HD139" s="366">
        <v>291.73</v>
      </c>
      <c r="HE139" s="366">
        <v>243.31</v>
      </c>
      <c r="HF139" s="366">
        <v>199.6</v>
      </c>
      <c r="HG139" s="366">
        <v>327.25</v>
      </c>
      <c r="HH139" s="366">
        <v>327.25</v>
      </c>
      <c r="HI139" s="366">
        <v>327.25</v>
      </c>
      <c r="HJ139" s="366">
        <v>107.72</v>
      </c>
      <c r="HK139" s="366">
        <v>254.61</v>
      </c>
      <c r="HL139" s="366">
        <v>262.85000000000002</v>
      </c>
      <c r="HM139" s="366">
        <v>164.68</v>
      </c>
      <c r="HN139" s="366">
        <v>167.4</v>
      </c>
      <c r="HO139" s="366">
        <v>573.12</v>
      </c>
      <c r="HP139" s="366">
        <v>155.1</v>
      </c>
      <c r="HQ139" s="366">
        <v>603.82000000000005</v>
      </c>
      <c r="HR139" s="366">
        <v>425.13</v>
      </c>
      <c r="HS139" s="366">
        <v>163.65</v>
      </c>
      <c r="HT139" s="366">
        <v>81.83</v>
      </c>
      <c r="HU139" s="366">
        <v>90.48</v>
      </c>
      <c r="HV139" s="366">
        <v>23.28</v>
      </c>
    </row>
    <row r="140" spans="1:230">
      <c r="A140" s="366" t="s">
        <v>160</v>
      </c>
      <c r="B140" s="366">
        <v>1055.1099999999999</v>
      </c>
      <c r="C140" s="366">
        <v>345.86</v>
      </c>
      <c r="D140" s="366">
        <v>384.71</v>
      </c>
      <c r="E140" s="366">
        <v>384.71</v>
      </c>
      <c r="F140" s="366">
        <v>1119.01</v>
      </c>
      <c r="G140" s="366">
        <v>855.52</v>
      </c>
      <c r="H140" s="366">
        <v>428.33</v>
      </c>
      <c r="I140" s="366">
        <v>564.84</v>
      </c>
      <c r="J140" s="366">
        <v>452.11</v>
      </c>
      <c r="K140" s="366">
        <v>452.11</v>
      </c>
      <c r="L140" s="366">
        <v>366.8</v>
      </c>
      <c r="M140" s="366">
        <v>371.28</v>
      </c>
      <c r="N140" s="366">
        <v>468.18</v>
      </c>
      <c r="O140" s="366">
        <v>529.66999999999996</v>
      </c>
      <c r="P140" s="366">
        <v>529.66999999999996</v>
      </c>
      <c r="Q140" s="366">
        <v>529.66999999999996</v>
      </c>
      <c r="R140" s="366">
        <v>529.66999999999996</v>
      </c>
      <c r="S140" s="366">
        <v>529.66999999999996</v>
      </c>
      <c r="T140" s="366">
        <v>639.34</v>
      </c>
      <c r="U140" s="366">
        <v>963.56</v>
      </c>
      <c r="V140" s="366">
        <v>584.6</v>
      </c>
      <c r="W140" s="366">
        <v>665.7</v>
      </c>
      <c r="X140" s="366">
        <v>665.7</v>
      </c>
      <c r="Y140" s="366">
        <v>665.7</v>
      </c>
      <c r="Z140" s="366">
        <v>529.12</v>
      </c>
      <c r="AA140" s="366">
        <v>849.69</v>
      </c>
      <c r="AB140" s="366">
        <v>699.08</v>
      </c>
      <c r="AC140" s="366">
        <v>701.54</v>
      </c>
      <c r="AD140" s="366">
        <v>701.54</v>
      </c>
      <c r="AE140" s="366">
        <v>435.61</v>
      </c>
      <c r="AF140" s="366">
        <v>869.26</v>
      </c>
      <c r="AG140" s="366">
        <v>667.22</v>
      </c>
      <c r="AH140" s="366">
        <v>518.79</v>
      </c>
      <c r="AI140" s="366">
        <v>518.79</v>
      </c>
      <c r="AJ140" s="366">
        <v>518.79</v>
      </c>
      <c r="AK140" s="366">
        <v>511.88</v>
      </c>
      <c r="AL140" s="366">
        <v>511.88</v>
      </c>
      <c r="AM140" s="366">
        <v>701.8</v>
      </c>
      <c r="AN140" s="366">
        <v>488.84</v>
      </c>
      <c r="AO140" s="366">
        <v>872.13</v>
      </c>
      <c r="AP140" s="366">
        <v>628.05999999999995</v>
      </c>
      <c r="AQ140" s="366">
        <v>1075.55</v>
      </c>
      <c r="AR140" s="366">
        <v>514.88</v>
      </c>
      <c r="AS140" s="366">
        <v>372.69</v>
      </c>
      <c r="AT140" s="366">
        <v>372.69</v>
      </c>
      <c r="AU140" s="366">
        <v>499.46</v>
      </c>
      <c r="AV140" s="366">
        <v>994.61</v>
      </c>
      <c r="AW140" s="366">
        <v>496.43</v>
      </c>
      <c r="AX140" s="366">
        <v>585.44000000000005</v>
      </c>
      <c r="AY140" s="366">
        <v>503.89</v>
      </c>
      <c r="AZ140" s="366">
        <v>314.48</v>
      </c>
      <c r="BA140" s="366">
        <v>915.14</v>
      </c>
      <c r="BB140" s="366">
        <v>506.78</v>
      </c>
      <c r="BC140" s="366">
        <v>857.2</v>
      </c>
      <c r="BD140" s="366">
        <v>766.97</v>
      </c>
      <c r="BE140" s="366">
        <v>588.66</v>
      </c>
      <c r="BF140" s="366">
        <v>696.05</v>
      </c>
      <c r="BG140" s="366">
        <v>525.64</v>
      </c>
      <c r="BH140" s="366">
        <v>529.66999999999996</v>
      </c>
      <c r="BI140" s="366">
        <v>514.91</v>
      </c>
      <c r="BJ140" s="366">
        <v>568.01</v>
      </c>
      <c r="BK140" s="366">
        <v>152.22</v>
      </c>
      <c r="BL140" s="366">
        <v>391.71</v>
      </c>
      <c r="BM140" s="366">
        <v>400.92</v>
      </c>
      <c r="BN140" s="366">
        <v>889.88</v>
      </c>
      <c r="BO140" s="366">
        <v>118.16</v>
      </c>
      <c r="BP140" s="366">
        <v>144.16</v>
      </c>
      <c r="BQ140" s="366">
        <v>544.14</v>
      </c>
      <c r="BR140" s="366">
        <v>544.14</v>
      </c>
      <c r="BS140" s="366">
        <v>322.05</v>
      </c>
      <c r="BT140" s="366">
        <v>499.34</v>
      </c>
      <c r="BU140" s="366">
        <v>679.58</v>
      </c>
      <c r="BV140" s="366">
        <v>699.2</v>
      </c>
      <c r="BW140" s="366">
        <v>558.75</v>
      </c>
      <c r="BX140" s="366">
        <v>271.33999999999997</v>
      </c>
      <c r="BY140" s="366">
        <v>612.08000000000004</v>
      </c>
      <c r="BZ140" s="366">
        <v>612.08000000000004</v>
      </c>
      <c r="CA140" s="366">
        <v>528.37</v>
      </c>
      <c r="CB140" s="366">
        <v>253.23</v>
      </c>
      <c r="CC140" s="366">
        <v>556.61</v>
      </c>
      <c r="CD140" s="366">
        <v>559.01</v>
      </c>
      <c r="CE140" s="366">
        <v>168.99</v>
      </c>
      <c r="CF140" s="366">
        <v>867.99</v>
      </c>
      <c r="CG140" s="366">
        <v>867.99</v>
      </c>
      <c r="CH140" s="366">
        <v>559.14</v>
      </c>
      <c r="CI140" s="366">
        <v>472.63</v>
      </c>
      <c r="CJ140" s="366">
        <v>878.94</v>
      </c>
      <c r="CK140" s="366">
        <v>617.16999999999996</v>
      </c>
      <c r="CL140" s="366">
        <v>513.25</v>
      </c>
      <c r="CM140" s="366">
        <v>803.48</v>
      </c>
      <c r="CN140" s="366">
        <v>517.38</v>
      </c>
      <c r="CO140" s="366">
        <v>513.49</v>
      </c>
      <c r="CP140" s="366">
        <v>537.45000000000005</v>
      </c>
      <c r="CQ140" s="366">
        <v>537.45000000000005</v>
      </c>
      <c r="CR140" s="366">
        <v>465.89</v>
      </c>
      <c r="CS140" s="366">
        <v>465.89</v>
      </c>
      <c r="CT140" s="366">
        <v>475.33</v>
      </c>
      <c r="CU140" s="366">
        <v>467.46</v>
      </c>
      <c r="CV140" s="366">
        <v>470.06</v>
      </c>
      <c r="CW140" s="366">
        <v>584.6</v>
      </c>
      <c r="CX140" s="366">
        <v>575.67999999999995</v>
      </c>
      <c r="CY140" s="366">
        <v>849.9</v>
      </c>
      <c r="CZ140" s="366">
        <v>871.14</v>
      </c>
      <c r="DA140" s="366">
        <v>406.23</v>
      </c>
      <c r="DB140" s="366">
        <v>563.99</v>
      </c>
      <c r="DC140" s="366">
        <v>563.99</v>
      </c>
      <c r="DD140" s="366">
        <v>652.86</v>
      </c>
      <c r="DE140" s="366">
        <v>483.86</v>
      </c>
      <c r="DF140" s="366">
        <v>1103.47</v>
      </c>
      <c r="DG140" s="366">
        <v>502.28</v>
      </c>
      <c r="DH140" s="366">
        <v>546.41999999999996</v>
      </c>
      <c r="DI140" s="366">
        <v>733.81</v>
      </c>
      <c r="DJ140" s="366">
        <v>887.34</v>
      </c>
      <c r="DK140" s="366">
        <v>308.92</v>
      </c>
      <c r="DL140" s="366">
        <v>685.58</v>
      </c>
      <c r="DM140" s="366">
        <v>333.44</v>
      </c>
      <c r="DN140" s="366">
        <v>748.57</v>
      </c>
      <c r="DO140" s="366">
        <v>286.92</v>
      </c>
      <c r="DP140" s="366">
        <v>614.54999999999995</v>
      </c>
      <c r="DQ140" s="366">
        <v>570.09</v>
      </c>
      <c r="DR140" s="366">
        <v>546.41999999999996</v>
      </c>
      <c r="DS140" s="366">
        <v>491.36</v>
      </c>
      <c r="DT140" s="366">
        <v>479.65</v>
      </c>
      <c r="DU140" s="366">
        <v>436.57</v>
      </c>
      <c r="DV140" s="366">
        <v>503.28</v>
      </c>
      <c r="DW140" s="366">
        <v>356.27</v>
      </c>
      <c r="DX140" s="366">
        <v>545.07000000000005</v>
      </c>
      <c r="DY140" s="366">
        <v>618.46</v>
      </c>
      <c r="DZ140" s="366">
        <v>662.53</v>
      </c>
      <c r="EA140" s="366">
        <v>497.16</v>
      </c>
      <c r="EB140" s="366">
        <v>612.46</v>
      </c>
      <c r="EC140" s="366">
        <v>410.15</v>
      </c>
      <c r="ED140" s="366">
        <v>763.58</v>
      </c>
      <c r="EE140" s="366">
        <v>774.37</v>
      </c>
      <c r="EF140" s="366">
        <v>621.78</v>
      </c>
      <c r="EG140" s="366">
        <v>496.43</v>
      </c>
      <c r="EH140" s="366">
        <v>496.43</v>
      </c>
      <c r="EI140" s="366">
        <v>542.66</v>
      </c>
      <c r="EJ140" s="366">
        <v>0</v>
      </c>
      <c r="EK140" s="366">
        <v>421.09</v>
      </c>
      <c r="EL140" s="366">
        <v>421.09</v>
      </c>
      <c r="EM140" s="366">
        <v>515.20000000000005</v>
      </c>
      <c r="EN140" s="366">
        <v>515.20000000000005</v>
      </c>
      <c r="EO140" s="366">
        <v>701.8</v>
      </c>
      <c r="EP140" s="366">
        <v>624.66</v>
      </c>
      <c r="EQ140" s="366">
        <v>484.82</v>
      </c>
      <c r="ER140" s="366">
        <v>933.6</v>
      </c>
      <c r="ES140" s="366">
        <v>345.76</v>
      </c>
      <c r="ET140" s="366">
        <v>562.11</v>
      </c>
      <c r="EU140" s="366">
        <v>1055.1099999999999</v>
      </c>
      <c r="EV140" s="366">
        <v>665.7</v>
      </c>
      <c r="EW140" s="366">
        <v>543.58000000000004</v>
      </c>
      <c r="EX140" s="366">
        <v>212</v>
      </c>
      <c r="EY140" s="366">
        <v>212</v>
      </c>
      <c r="EZ140" s="366">
        <v>567.01</v>
      </c>
      <c r="FA140" s="366">
        <v>512.37</v>
      </c>
      <c r="FB140" s="366">
        <v>324.62</v>
      </c>
      <c r="FC140" s="366">
        <v>565.21</v>
      </c>
      <c r="FD140" s="366">
        <v>454.86</v>
      </c>
      <c r="FE140" s="366">
        <v>546.49</v>
      </c>
      <c r="FF140" s="366">
        <v>521.66999999999996</v>
      </c>
      <c r="FG140" s="366">
        <v>906.18</v>
      </c>
      <c r="FH140" s="366">
        <v>906.18</v>
      </c>
      <c r="FI140" s="366">
        <v>646.57000000000005</v>
      </c>
      <c r="FJ140" s="366">
        <v>652.36</v>
      </c>
      <c r="FK140" s="366">
        <v>373.5</v>
      </c>
      <c r="FL140" s="366">
        <v>371.69</v>
      </c>
      <c r="FM140" s="366">
        <v>701.8</v>
      </c>
      <c r="FN140" s="366">
        <v>696.45</v>
      </c>
      <c r="FO140" s="366">
        <v>505.53</v>
      </c>
      <c r="FP140" s="366">
        <v>597.55999999999995</v>
      </c>
      <c r="FQ140" s="366">
        <v>509.4</v>
      </c>
      <c r="FR140" s="366">
        <v>384.14</v>
      </c>
      <c r="FS140" s="366">
        <v>451.74</v>
      </c>
      <c r="FT140" s="366">
        <v>902.5</v>
      </c>
      <c r="FU140" s="366">
        <v>460.24</v>
      </c>
      <c r="FV140" s="366">
        <v>1119.01</v>
      </c>
      <c r="FW140" s="366">
        <v>1119.01</v>
      </c>
      <c r="FX140" s="366">
        <v>1119.01</v>
      </c>
      <c r="FY140" s="366">
        <v>461.51</v>
      </c>
      <c r="FZ140" s="366">
        <v>536.4</v>
      </c>
      <c r="GA140" s="366">
        <v>588.66</v>
      </c>
      <c r="GB140" s="366">
        <v>490.21</v>
      </c>
      <c r="GC140" s="366">
        <v>763.58</v>
      </c>
      <c r="GD140" s="366">
        <v>289.24</v>
      </c>
      <c r="GE140" s="366">
        <v>475.43</v>
      </c>
      <c r="GF140" s="366">
        <v>446.71</v>
      </c>
      <c r="GG140" s="366">
        <v>446.71</v>
      </c>
      <c r="GH140" s="366">
        <v>637.11</v>
      </c>
      <c r="GI140" s="366">
        <v>701.96</v>
      </c>
      <c r="GJ140" s="366">
        <v>701.8</v>
      </c>
      <c r="GK140" s="366">
        <v>370.05</v>
      </c>
      <c r="GL140" s="366">
        <v>528.99</v>
      </c>
      <c r="GM140" s="366">
        <v>528.99</v>
      </c>
      <c r="GN140" s="366">
        <v>528.99</v>
      </c>
      <c r="GO140" s="366">
        <v>667.24</v>
      </c>
      <c r="GP140" s="366">
        <v>594.07000000000005</v>
      </c>
      <c r="GQ140" s="366">
        <v>118.72</v>
      </c>
      <c r="GR140" s="366">
        <v>730.03</v>
      </c>
      <c r="GS140" s="366">
        <v>596.57000000000005</v>
      </c>
      <c r="GT140" s="366">
        <v>496.43</v>
      </c>
      <c r="GU140" s="366">
        <v>453.78</v>
      </c>
      <c r="GV140" s="366">
        <v>7.19</v>
      </c>
      <c r="GW140" s="366">
        <v>504.97</v>
      </c>
      <c r="GX140" s="366">
        <v>493</v>
      </c>
      <c r="GY140" s="366">
        <v>519.76</v>
      </c>
      <c r="GZ140" s="366">
        <v>454.58</v>
      </c>
      <c r="HA140" s="366">
        <v>510.94</v>
      </c>
      <c r="HB140" s="366">
        <v>510.94</v>
      </c>
      <c r="HC140" s="366">
        <v>510.94</v>
      </c>
      <c r="HD140" s="366">
        <v>698.82</v>
      </c>
      <c r="HE140" s="366">
        <v>509.05</v>
      </c>
      <c r="HF140" s="366">
        <v>465.34</v>
      </c>
      <c r="HG140" s="366">
        <v>592.99</v>
      </c>
      <c r="HH140" s="366">
        <v>592.99</v>
      </c>
      <c r="HI140" s="366">
        <v>592.99</v>
      </c>
      <c r="HJ140" s="366">
        <v>467.58</v>
      </c>
      <c r="HK140" s="366">
        <v>568.91999999999996</v>
      </c>
      <c r="HL140" s="366">
        <v>563.04999999999995</v>
      </c>
      <c r="HM140" s="366">
        <v>699.08</v>
      </c>
      <c r="HN140" s="366">
        <v>701.8</v>
      </c>
      <c r="HO140" s="366">
        <v>1023.27</v>
      </c>
      <c r="HP140" s="366">
        <v>455.3</v>
      </c>
      <c r="HQ140" s="366">
        <v>1119.01</v>
      </c>
      <c r="HR140" s="366">
        <v>869.26</v>
      </c>
      <c r="HS140" s="366">
        <v>698.05</v>
      </c>
      <c r="HT140" s="366">
        <v>580.37</v>
      </c>
      <c r="HU140" s="366">
        <v>547.62</v>
      </c>
      <c r="HV140" s="366">
        <v>565.94000000000005</v>
      </c>
    </row>
    <row r="141" spans="1:230">
      <c r="A141" s="366" t="s">
        <v>161</v>
      </c>
      <c r="B141" s="366">
        <v>687.01</v>
      </c>
      <c r="C141" s="366">
        <v>232.47</v>
      </c>
      <c r="D141" s="366">
        <v>133.24</v>
      </c>
      <c r="E141" s="366">
        <v>133.24</v>
      </c>
      <c r="F141" s="366">
        <v>750.91</v>
      </c>
      <c r="G141" s="366">
        <v>558.48</v>
      </c>
      <c r="H141" s="366">
        <v>176.86</v>
      </c>
      <c r="I141" s="366">
        <v>177.53</v>
      </c>
      <c r="J141" s="366">
        <v>200.64</v>
      </c>
      <c r="K141" s="366">
        <v>200.64</v>
      </c>
      <c r="L141" s="366">
        <v>123.85</v>
      </c>
      <c r="M141" s="366">
        <v>257.89</v>
      </c>
      <c r="N141" s="366">
        <v>354.79</v>
      </c>
      <c r="O141" s="366">
        <v>123.26</v>
      </c>
      <c r="P141" s="366">
        <v>123.26</v>
      </c>
      <c r="Q141" s="366">
        <v>123.26</v>
      </c>
      <c r="R141" s="366">
        <v>123.26</v>
      </c>
      <c r="S141" s="366">
        <v>123.26</v>
      </c>
      <c r="T141" s="366">
        <v>252.03</v>
      </c>
      <c r="U141" s="366">
        <v>666.52</v>
      </c>
      <c r="V141" s="366">
        <v>197.29</v>
      </c>
      <c r="W141" s="366">
        <v>395.39</v>
      </c>
      <c r="X141" s="366">
        <v>395.39</v>
      </c>
      <c r="Y141" s="366">
        <v>395.39</v>
      </c>
      <c r="Z141" s="366">
        <v>235.03</v>
      </c>
      <c r="AA141" s="366">
        <v>552.65</v>
      </c>
      <c r="AB141" s="366">
        <v>311.77</v>
      </c>
      <c r="AC141" s="366">
        <v>314.23</v>
      </c>
      <c r="AD141" s="366">
        <v>314.23</v>
      </c>
      <c r="AE141" s="366">
        <v>82.34</v>
      </c>
      <c r="AF141" s="366">
        <v>572.22</v>
      </c>
      <c r="AG141" s="366">
        <v>396.91</v>
      </c>
      <c r="AH141" s="366">
        <v>131.47999999999999</v>
      </c>
      <c r="AI141" s="366">
        <v>131.47999999999999</v>
      </c>
      <c r="AJ141" s="366">
        <v>131.47999999999999</v>
      </c>
      <c r="AK141" s="366">
        <v>257.23</v>
      </c>
      <c r="AL141" s="366">
        <v>257.23</v>
      </c>
      <c r="AM141" s="366">
        <v>314.49</v>
      </c>
      <c r="AN141" s="366">
        <v>82.43</v>
      </c>
      <c r="AO141" s="366">
        <v>565.6</v>
      </c>
      <c r="AP141" s="366">
        <v>240.75</v>
      </c>
      <c r="AQ141" s="366">
        <v>707.45</v>
      </c>
      <c r="AR141" s="366">
        <v>263.41000000000003</v>
      </c>
      <c r="AS141" s="366">
        <v>48.4</v>
      </c>
      <c r="AT141" s="366">
        <v>48.4</v>
      </c>
      <c r="AU141" s="366">
        <v>112.15</v>
      </c>
      <c r="AV141" s="366">
        <v>697.57</v>
      </c>
      <c r="AW141" s="366">
        <v>244.96</v>
      </c>
      <c r="AX141" s="366">
        <v>198.13</v>
      </c>
      <c r="AY141" s="366">
        <v>390.5</v>
      </c>
      <c r="AZ141" s="366">
        <v>201.09</v>
      </c>
      <c r="BA141" s="366">
        <v>527.83000000000004</v>
      </c>
      <c r="BB141" s="366">
        <v>393.39</v>
      </c>
      <c r="BC141" s="366">
        <v>469.89</v>
      </c>
      <c r="BD141" s="366">
        <v>379.66</v>
      </c>
      <c r="BE141" s="366">
        <v>201.35</v>
      </c>
      <c r="BF141" s="366">
        <v>308.74</v>
      </c>
      <c r="BG141" s="366">
        <v>242.58</v>
      </c>
      <c r="BH141" s="366">
        <v>123.26</v>
      </c>
      <c r="BI141" s="366">
        <v>263.44</v>
      </c>
      <c r="BJ141" s="366">
        <v>180.7</v>
      </c>
      <c r="BK141" s="366">
        <v>268.87</v>
      </c>
      <c r="BL141" s="366">
        <v>126.24</v>
      </c>
      <c r="BM141" s="366">
        <v>149.44999999999999</v>
      </c>
      <c r="BN141" s="366">
        <v>592.84</v>
      </c>
      <c r="BO141" s="366">
        <v>311.07</v>
      </c>
      <c r="BP141" s="366">
        <v>276.93</v>
      </c>
      <c r="BQ141" s="366">
        <v>156.83000000000001</v>
      </c>
      <c r="BR141" s="366">
        <v>156.83000000000001</v>
      </c>
      <c r="BS141" s="366">
        <v>208.66</v>
      </c>
      <c r="BT141" s="366">
        <v>247.87</v>
      </c>
      <c r="BU141" s="366">
        <v>292.27</v>
      </c>
      <c r="BV141" s="366">
        <v>311.89</v>
      </c>
      <c r="BW141" s="366">
        <v>171.44</v>
      </c>
      <c r="BX141" s="366">
        <v>149.75</v>
      </c>
      <c r="BY141" s="366">
        <v>224.77</v>
      </c>
      <c r="BZ141" s="366">
        <v>224.77</v>
      </c>
      <c r="CA141" s="366">
        <v>276.89999999999998</v>
      </c>
      <c r="CB141" s="366">
        <v>168.18</v>
      </c>
      <c r="CC141" s="366">
        <v>169.3</v>
      </c>
      <c r="CD141" s="366">
        <v>171.7</v>
      </c>
      <c r="CE141" s="366">
        <v>252.1</v>
      </c>
      <c r="CF141" s="366">
        <v>570.95000000000005</v>
      </c>
      <c r="CG141" s="366">
        <v>570.95000000000005</v>
      </c>
      <c r="CH141" s="366">
        <v>171.83</v>
      </c>
      <c r="CI141" s="366">
        <v>66.22</v>
      </c>
      <c r="CJ141" s="366">
        <v>581.9</v>
      </c>
      <c r="CK141" s="366">
        <v>229.86</v>
      </c>
      <c r="CL141" s="366">
        <v>125.94</v>
      </c>
      <c r="CM141" s="366">
        <v>416.17</v>
      </c>
      <c r="CN141" s="366">
        <v>130.07</v>
      </c>
      <c r="CO141" s="366">
        <v>262.02</v>
      </c>
      <c r="CP141" s="366">
        <v>150.13999999999999</v>
      </c>
      <c r="CQ141" s="366">
        <v>150.13999999999999</v>
      </c>
      <c r="CR141" s="366">
        <v>214.42</v>
      </c>
      <c r="CS141" s="366">
        <v>214.42</v>
      </c>
      <c r="CT141" s="366">
        <v>223.86</v>
      </c>
      <c r="CU141" s="366">
        <v>215.99</v>
      </c>
      <c r="CV141" s="366">
        <v>218.59</v>
      </c>
      <c r="CW141" s="366">
        <v>197.29</v>
      </c>
      <c r="CX141" s="366">
        <v>188.37</v>
      </c>
      <c r="CY141" s="366">
        <v>462.59</v>
      </c>
      <c r="CZ141" s="366">
        <v>483.83</v>
      </c>
      <c r="DA141" s="366">
        <v>292.83999999999997</v>
      </c>
      <c r="DB141" s="366">
        <v>176.68</v>
      </c>
      <c r="DC141" s="366">
        <v>176.68</v>
      </c>
      <c r="DD141" s="366">
        <v>382.55</v>
      </c>
      <c r="DE141" s="366">
        <v>370.47</v>
      </c>
      <c r="DF141" s="366">
        <v>735.37</v>
      </c>
      <c r="DG141" s="366">
        <v>95.87</v>
      </c>
      <c r="DH141" s="366">
        <v>433.03</v>
      </c>
      <c r="DI141" s="366">
        <v>436.77</v>
      </c>
      <c r="DJ141" s="366">
        <v>500.03</v>
      </c>
      <c r="DK141" s="366">
        <v>112.17</v>
      </c>
      <c r="DL141" s="366">
        <v>298.27</v>
      </c>
      <c r="DM141" s="366">
        <v>220.05</v>
      </c>
      <c r="DN141" s="366">
        <v>451.53</v>
      </c>
      <c r="DO141" s="366">
        <v>138.74</v>
      </c>
      <c r="DP141" s="366">
        <v>344.24</v>
      </c>
      <c r="DQ141" s="366">
        <v>182.78</v>
      </c>
      <c r="DR141" s="366">
        <v>433.03</v>
      </c>
      <c r="DS141" s="366">
        <v>239.89</v>
      </c>
      <c r="DT141" s="366">
        <v>228.18</v>
      </c>
      <c r="DU141" s="366">
        <v>323.18</v>
      </c>
      <c r="DV141" s="366">
        <v>260.87</v>
      </c>
      <c r="DW141" s="366">
        <v>64.819999999999993</v>
      </c>
      <c r="DX141" s="366">
        <v>157.76</v>
      </c>
      <c r="DY141" s="366">
        <v>231.15</v>
      </c>
      <c r="DZ141" s="366">
        <v>392.22</v>
      </c>
      <c r="EA141" s="366">
        <v>245.69</v>
      </c>
      <c r="EB141" s="366">
        <v>225.15</v>
      </c>
      <c r="EC141" s="366">
        <v>158.68</v>
      </c>
      <c r="ED141" s="366">
        <v>466.54</v>
      </c>
      <c r="EE141" s="366">
        <v>477.33</v>
      </c>
      <c r="EF141" s="366">
        <v>234.47</v>
      </c>
      <c r="EG141" s="366">
        <v>244.96</v>
      </c>
      <c r="EH141" s="366">
        <v>244.96</v>
      </c>
      <c r="EI141" s="366">
        <v>155.35</v>
      </c>
      <c r="EJ141" s="366">
        <v>421.09</v>
      </c>
      <c r="EK141" s="366">
        <v>0</v>
      </c>
      <c r="EL141" s="366">
        <v>0</v>
      </c>
      <c r="EM141" s="366">
        <v>127.89</v>
      </c>
      <c r="EN141" s="366">
        <v>127.89</v>
      </c>
      <c r="EO141" s="366">
        <v>314.49</v>
      </c>
      <c r="EP141" s="366">
        <v>237.35</v>
      </c>
      <c r="EQ141" s="366">
        <v>233.35</v>
      </c>
      <c r="ER141" s="366">
        <v>636.55999999999995</v>
      </c>
      <c r="ES141" s="366">
        <v>232.37</v>
      </c>
      <c r="ET141" s="366">
        <v>174.8</v>
      </c>
      <c r="EU141" s="366">
        <v>687.01</v>
      </c>
      <c r="EV141" s="366">
        <v>395.39</v>
      </c>
      <c r="EW141" s="366">
        <v>156.27000000000001</v>
      </c>
      <c r="EX141" s="366">
        <v>209.11</v>
      </c>
      <c r="EY141" s="366">
        <v>209.11</v>
      </c>
      <c r="EZ141" s="366">
        <v>179.7</v>
      </c>
      <c r="FA141" s="366">
        <v>125.06</v>
      </c>
      <c r="FB141" s="366">
        <v>96.47</v>
      </c>
      <c r="FC141" s="366">
        <v>177.9</v>
      </c>
      <c r="FD141" s="366">
        <v>48.45</v>
      </c>
      <c r="FE141" s="366">
        <v>159.18</v>
      </c>
      <c r="FF141" s="366">
        <v>134.36000000000001</v>
      </c>
      <c r="FG141" s="366">
        <v>518.87</v>
      </c>
      <c r="FH141" s="366">
        <v>518.87</v>
      </c>
      <c r="FI141" s="366">
        <v>376.26</v>
      </c>
      <c r="FJ141" s="366">
        <v>382.05</v>
      </c>
      <c r="FK141" s="366">
        <v>260.11</v>
      </c>
      <c r="FL141" s="366">
        <v>258.3</v>
      </c>
      <c r="FM141" s="366">
        <v>314.49</v>
      </c>
      <c r="FN141" s="366">
        <v>426.14</v>
      </c>
      <c r="FO141" s="366">
        <v>254.06</v>
      </c>
      <c r="FP141" s="366">
        <v>210.25</v>
      </c>
      <c r="FQ141" s="366">
        <v>257.93</v>
      </c>
      <c r="FR141" s="366">
        <v>141.19</v>
      </c>
      <c r="FS141" s="366">
        <v>64.430000000000007</v>
      </c>
      <c r="FT141" s="366">
        <v>515.19000000000005</v>
      </c>
      <c r="FU141" s="366">
        <v>53.83</v>
      </c>
      <c r="FV141" s="366">
        <v>750.91</v>
      </c>
      <c r="FW141" s="366">
        <v>750.91</v>
      </c>
      <c r="FX141" s="366">
        <v>750.91</v>
      </c>
      <c r="FY141" s="366">
        <v>74.2</v>
      </c>
      <c r="FZ141" s="366">
        <v>149.09</v>
      </c>
      <c r="GA141" s="366">
        <v>201.35</v>
      </c>
      <c r="GB141" s="366">
        <v>102.9</v>
      </c>
      <c r="GC141" s="366">
        <v>466.54</v>
      </c>
      <c r="GD141" s="366">
        <v>131.85</v>
      </c>
      <c r="GE141" s="366">
        <v>223.96</v>
      </c>
      <c r="GF141" s="366">
        <v>40.299999999999997</v>
      </c>
      <c r="GG141" s="366">
        <v>40.299999999999997</v>
      </c>
      <c r="GH141" s="366">
        <v>249.8</v>
      </c>
      <c r="GI141" s="366">
        <v>314.64999999999998</v>
      </c>
      <c r="GJ141" s="366">
        <v>314.49</v>
      </c>
      <c r="GK141" s="366">
        <v>256.66000000000003</v>
      </c>
      <c r="GL141" s="366">
        <v>141.68</v>
      </c>
      <c r="GM141" s="366">
        <v>141.68</v>
      </c>
      <c r="GN141" s="366">
        <v>141.68</v>
      </c>
      <c r="GO141" s="366">
        <v>279.93</v>
      </c>
      <c r="GP141" s="366">
        <v>206.76</v>
      </c>
      <c r="GQ141" s="366">
        <v>302.37</v>
      </c>
      <c r="GR141" s="366">
        <v>342.72</v>
      </c>
      <c r="GS141" s="366">
        <v>209.26</v>
      </c>
      <c r="GT141" s="366">
        <v>244.96</v>
      </c>
      <c r="GU141" s="366">
        <v>67.05</v>
      </c>
      <c r="GV141" s="366">
        <v>428.28</v>
      </c>
      <c r="GW141" s="366">
        <v>117.66</v>
      </c>
      <c r="GX141" s="366">
        <v>241.53</v>
      </c>
      <c r="GY141" s="366">
        <v>132.44999999999999</v>
      </c>
      <c r="GZ141" s="366">
        <v>48.17</v>
      </c>
      <c r="HA141" s="366">
        <v>259.47000000000003</v>
      </c>
      <c r="HB141" s="366">
        <v>259.47000000000003</v>
      </c>
      <c r="HC141" s="366">
        <v>259.47000000000003</v>
      </c>
      <c r="HD141" s="366">
        <v>428.51</v>
      </c>
      <c r="HE141" s="366">
        <v>121.74</v>
      </c>
      <c r="HF141" s="366">
        <v>78.03</v>
      </c>
      <c r="HG141" s="366">
        <v>205.68</v>
      </c>
      <c r="HH141" s="366">
        <v>205.68</v>
      </c>
      <c r="HI141" s="366">
        <v>205.68</v>
      </c>
      <c r="HJ141" s="366">
        <v>61.17</v>
      </c>
      <c r="HK141" s="366">
        <v>317.45</v>
      </c>
      <c r="HL141" s="366">
        <v>156.63999999999999</v>
      </c>
      <c r="HM141" s="366">
        <v>311.77</v>
      </c>
      <c r="HN141" s="366">
        <v>314.49</v>
      </c>
      <c r="HO141" s="366">
        <v>720.21</v>
      </c>
      <c r="HP141" s="366">
        <v>48.89</v>
      </c>
      <c r="HQ141" s="366">
        <v>750.91</v>
      </c>
      <c r="HR141" s="366">
        <v>572.22</v>
      </c>
      <c r="HS141" s="366">
        <v>310.74</v>
      </c>
      <c r="HT141" s="366">
        <v>193.06</v>
      </c>
      <c r="HU141" s="366">
        <v>160.31</v>
      </c>
      <c r="HV141" s="366">
        <v>178.63</v>
      </c>
    </row>
    <row r="142" spans="1:230">
      <c r="A142" s="366" t="s">
        <v>162</v>
      </c>
      <c r="B142" s="366">
        <v>687.01</v>
      </c>
      <c r="C142" s="366">
        <v>232.47</v>
      </c>
      <c r="D142" s="366">
        <v>133.24</v>
      </c>
      <c r="E142" s="366">
        <v>133.24</v>
      </c>
      <c r="F142" s="366">
        <v>750.91</v>
      </c>
      <c r="G142" s="366">
        <v>558.48</v>
      </c>
      <c r="H142" s="366">
        <v>176.86</v>
      </c>
      <c r="I142" s="366">
        <v>177.53</v>
      </c>
      <c r="J142" s="366">
        <v>200.64</v>
      </c>
      <c r="K142" s="366">
        <v>200.64</v>
      </c>
      <c r="L142" s="366">
        <v>123.85</v>
      </c>
      <c r="M142" s="366">
        <v>257.89</v>
      </c>
      <c r="N142" s="366">
        <v>354.79</v>
      </c>
      <c r="O142" s="366">
        <v>123.26</v>
      </c>
      <c r="P142" s="366">
        <v>123.26</v>
      </c>
      <c r="Q142" s="366">
        <v>123.26</v>
      </c>
      <c r="R142" s="366">
        <v>123.26</v>
      </c>
      <c r="S142" s="366">
        <v>123.26</v>
      </c>
      <c r="T142" s="366">
        <v>252.03</v>
      </c>
      <c r="U142" s="366">
        <v>666.52</v>
      </c>
      <c r="V142" s="366">
        <v>197.29</v>
      </c>
      <c r="W142" s="366">
        <v>395.39</v>
      </c>
      <c r="X142" s="366">
        <v>395.39</v>
      </c>
      <c r="Y142" s="366">
        <v>395.39</v>
      </c>
      <c r="Z142" s="366">
        <v>235.03</v>
      </c>
      <c r="AA142" s="366">
        <v>552.65</v>
      </c>
      <c r="AB142" s="366">
        <v>311.77</v>
      </c>
      <c r="AC142" s="366">
        <v>314.23</v>
      </c>
      <c r="AD142" s="366">
        <v>314.23</v>
      </c>
      <c r="AE142" s="366">
        <v>82.34</v>
      </c>
      <c r="AF142" s="366">
        <v>572.22</v>
      </c>
      <c r="AG142" s="366">
        <v>396.91</v>
      </c>
      <c r="AH142" s="366">
        <v>131.47999999999999</v>
      </c>
      <c r="AI142" s="366">
        <v>131.47999999999999</v>
      </c>
      <c r="AJ142" s="366">
        <v>131.47999999999999</v>
      </c>
      <c r="AK142" s="366">
        <v>257.23</v>
      </c>
      <c r="AL142" s="366">
        <v>257.23</v>
      </c>
      <c r="AM142" s="366">
        <v>314.49</v>
      </c>
      <c r="AN142" s="366">
        <v>82.43</v>
      </c>
      <c r="AO142" s="366">
        <v>565.6</v>
      </c>
      <c r="AP142" s="366">
        <v>240.75</v>
      </c>
      <c r="AQ142" s="366">
        <v>707.45</v>
      </c>
      <c r="AR142" s="366">
        <v>263.41000000000003</v>
      </c>
      <c r="AS142" s="366">
        <v>48.4</v>
      </c>
      <c r="AT142" s="366">
        <v>48.4</v>
      </c>
      <c r="AU142" s="366">
        <v>112.15</v>
      </c>
      <c r="AV142" s="366">
        <v>697.57</v>
      </c>
      <c r="AW142" s="366">
        <v>244.96</v>
      </c>
      <c r="AX142" s="366">
        <v>198.13</v>
      </c>
      <c r="AY142" s="366">
        <v>390.5</v>
      </c>
      <c r="AZ142" s="366">
        <v>201.09</v>
      </c>
      <c r="BA142" s="366">
        <v>527.83000000000004</v>
      </c>
      <c r="BB142" s="366">
        <v>393.39</v>
      </c>
      <c r="BC142" s="366">
        <v>469.89</v>
      </c>
      <c r="BD142" s="366">
        <v>379.66</v>
      </c>
      <c r="BE142" s="366">
        <v>201.35</v>
      </c>
      <c r="BF142" s="366">
        <v>308.74</v>
      </c>
      <c r="BG142" s="366">
        <v>242.58</v>
      </c>
      <c r="BH142" s="366">
        <v>123.26</v>
      </c>
      <c r="BI142" s="366">
        <v>263.44</v>
      </c>
      <c r="BJ142" s="366">
        <v>180.7</v>
      </c>
      <c r="BK142" s="366">
        <v>268.87</v>
      </c>
      <c r="BL142" s="366">
        <v>126.24</v>
      </c>
      <c r="BM142" s="366">
        <v>149.44999999999999</v>
      </c>
      <c r="BN142" s="366">
        <v>592.84</v>
      </c>
      <c r="BO142" s="366">
        <v>311.07</v>
      </c>
      <c r="BP142" s="366">
        <v>276.93</v>
      </c>
      <c r="BQ142" s="366">
        <v>156.83000000000001</v>
      </c>
      <c r="BR142" s="366">
        <v>156.83000000000001</v>
      </c>
      <c r="BS142" s="366">
        <v>208.66</v>
      </c>
      <c r="BT142" s="366">
        <v>247.87</v>
      </c>
      <c r="BU142" s="366">
        <v>292.27</v>
      </c>
      <c r="BV142" s="366">
        <v>311.89</v>
      </c>
      <c r="BW142" s="366">
        <v>171.44</v>
      </c>
      <c r="BX142" s="366">
        <v>149.75</v>
      </c>
      <c r="BY142" s="366">
        <v>224.77</v>
      </c>
      <c r="BZ142" s="366">
        <v>224.77</v>
      </c>
      <c r="CA142" s="366">
        <v>276.89999999999998</v>
      </c>
      <c r="CB142" s="366">
        <v>168.18</v>
      </c>
      <c r="CC142" s="366">
        <v>169.3</v>
      </c>
      <c r="CD142" s="366">
        <v>171.7</v>
      </c>
      <c r="CE142" s="366">
        <v>252.1</v>
      </c>
      <c r="CF142" s="366">
        <v>570.95000000000005</v>
      </c>
      <c r="CG142" s="366">
        <v>570.95000000000005</v>
      </c>
      <c r="CH142" s="366">
        <v>171.83</v>
      </c>
      <c r="CI142" s="366">
        <v>66.22</v>
      </c>
      <c r="CJ142" s="366">
        <v>581.9</v>
      </c>
      <c r="CK142" s="366">
        <v>229.86</v>
      </c>
      <c r="CL142" s="366">
        <v>125.94</v>
      </c>
      <c r="CM142" s="366">
        <v>416.17</v>
      </c>
      <c r="CN142" s="366">
        <v>130.07</v>
      </c>
      <c r="CO142" s="366">
        <v>262.02</v>
      </c>
      <c r="CP142" s="366">
        <v>150.13999999999999</v>
      </c>
      <c r="CQ142" s="366">
        <v>150.13999999999999</v>
      </c>
      <c r="CR142" s="366">
        <v>214.42</v>
      </c>
      <c r="CS142" s="366">
        <v>214.42</v>
      </c>
      <c r="CT142" s="366">
        <v>223.86</v>
      </c>
      <c r="CU142" s="366">
        <v>215.99</v>
      </c>
      <c r="CV142" s="366">
        <v>218.59</v>
      </c>
      <c r="CW142" s="366">
        <v>197.29</v>
      </c>
      <c r="CX142" s="366">
        <v>188.37</v>
      </c>
      <c r="CY142" s="366">
        <v>462.59</v>
      </c>
      <c r="CZ142" s="366">
        <v>483.83</v>
      </c>
      <c r="DA142" s="366">
        <v>292.83999999999997</v>
      </c>
      <c r="DB142" s="366">
        <v>176.68</v>
      </c>
      <c r="DC142" s="366">
        <v>176.68</v>
      </c>
      <c r="DD142" s="366">
        <v>382.55</v>
      </c>
      <c r="DE142" s="366">
        <v>370.47</v>
      </c>
      <c r="DF142" s="366">
        <v>735.37</v>
      </c>
      <c r="DG142" s="366">
        <v>95.87</v>
      </c>
      <c r="DH142" s="366">
        <v>433.03</v>
      </c>
      <c r="DI142" s="366">
        <v>436.77</v>
      </c>
      <c r="DJ142" s="366">
        <v>500.03</v>
      </c>
      <c r="DK142" s="366">
        <v>112.17</v>
      </c>
      <c r="DL142" s="366">
        <v>298.27</v>
      </c>
      <c r="DM142" s="366">
        <v>220.05</v>
      </c>
      <c r="DN142" s="366">
        <v>451.53</v>
      </c>
      <c r="DO142" s="366">
        <v>138.74</v>
      </c>
      <c r="DP142" s="366">
        <v>344.24</v>
      </c>
      <c r="DQ142" s="366">
        <v>182.78</v>
      </c>
      <c r="DR142" s="366">
        <v>433.03</v>
      </c>
      <c r="DS142" s="366">
        <v>239.89</v>
      </c>
      <c r="DT142" s="366">
        <v>228.18</v>
      </c>
      <c r="DU142" s="366">
        <v>323.18</v>
      </c>
      <c r="DV142" s="366">
        <v>260.87</v>
      </c>
      <c r="DW142" s="366">
        <v>64.819999999999993</v>
      </c>
      <c r="DX142" s="366">
        <v>157.76</v>
      </c>
      <c r="DY142" s="366">
        <v>231.15</v>
      </c>
      <c r="DZ142" s="366">
        <v>392.22</v>
      </c>
      <c r="EA142" s="366">
        <v>245.69</v>
      </c>
      <c r="EB142" s="366">
        <v>225.15</v>
      </c>
      <c r="EC142" s="366">
        <v>158.68</v>
      </c>
      <c r="ED142" s="366">
        <v>466.54</v>
      </c>
      <c r="EE142" s="366">
        <v>477.33</v>
      </c>
      <c r="EF142" s="366">
        <v>234.47</v>
      </c>
      <c r="EG142" s="366">
        <v>244.96</v>
      </c>
      <c r="EH142" s="366">
        <v>244.96</v>
      </c>
      <c r="EI142" s="366">
        <v>155.35</v>
      </c>
      <c r="EJ142" s="366">
        <v>421.09</v>
      </c>
      <c r="EK142" s="366">
        <v>0</v>
      </c>
      <c r="EL142" s="366">
        <v>0</v>
      </c>
      <c r="EM142" s="366">
        <v>127.89</v>
      </c>
      <c r="EN142" s="366">
        <v>127.89</v>
      </c>
      <c r="EO142" s="366">
        <v>314.49</v>
      </c>
      <c r="EP142" s="366">
        <v>237.35</v>
      </c>
      <c r="EQ142" s="366">
        <v>233.35</v>
      </c>
      <c r="ER142" s="366">
        <v>636.55999999999995</v>
      </c>
      <c r="ES142" s="366">
        <v>232.37</v>
      </c>
      <c r="ET142" s="366">
        <v>174.8</v>
      </c>
      <c r="EU142" s="366">
        <v>687.01</v>
      </c>
      <c r="EV142" s="366">
        <v>395.39</v>
      </c>
      <c r="EW142" s="366">
        <v>156.27000000000001</v>
      </c>
      <c r="EX142" s="366">
        <v>209.11</v>
      </c>
      <c r="EY142" s="366">
        <v>209.11</v>
      </c>
      <c r="EZ142" s="366">
        <v>179.7</v>
      </c>
      <c r="FA142" s="366">
        <v>125.06</v>
      </c>
      <c r="FB142" s="366">
        <v>96.47</v>
      </c>
      <c r="FC142" s="366">
        <v>177.9</v>
      </c>
      <c r="FD142" s="366">
        <v>48.45</v>
      </c>
      <c r="FE142" s="366">
        <v>159.18</v>
      </c>
      <c r="FF142" s="366">
        <v>134.36000000000001</v>
      </c>
      <c r="FG142" s="366">
        <v>518.87</v>
      </c>
      <c r="FH142" s="366">
        <v>518.87</v>
      </c>
      <c r="FI142" s="366">
        <v>376.26</v>
      </c>
      <c r="FJ142" s="366">
        <v>382.05</v>
      </c>
      <c r="FK142" s="366">
        <v>260.11</v>
      </c>
      <c r="FL142" s="366">
        <v>258.3</v>
      </c>
      <c r="FM142" s="366">
        <v>314.49</v>
      </c>
      <c r="FN142" s="366">
        <v>426.14</v>
      </c>
      <c r="FO142" s="366">
        <v>254.06</v>
      </c>
      <c r="FP142" s="366">
        <v>210.25</v>
      </c>
      <c r="FQ142" s="366">
        <v>257.93</v>
      </c>
      <c r="FR142" s="366">
        <v>141.19</v>
      </c>
      <c r="FS142" s="366">
        <v>64.430000000000007</v>
      </c>
      <c r="FT142" s="366">
        <v>515.19000000000005</v>
      </c>
      <c r="FU142" s="366">
        <v>53.83</v>
      </c>
      <c r="FV142" s="366">
        <v>750.91</v>
      </c>
      <c r="FW142" s="366">
        <v>750.91</v>
      </c>
      <c r="FX142" s="366">
        <v>750.91</v>
      </c>
      <c r="FY142" s="366">
        <v>74.2</v>
      </c>
      <c r="FZ142" s="366">
        <v>149.09</v>
      </c>
      <c r="GA142" s="366">
        <v>201.35</v>
      </c>
      <c r="GB142" s="366">
        <v>102.9</v>
      </c>
      <c r="GC142" s="366">
        <v>466.54</v>
      </c>
      <c r="GD142" s="366">
        <v>131.85</v>
      </c>
      <c r="GE142" s="366">
        <v>223.96</v>
      </c>
      <c r="GF142" s="366">
        <v>40.299999999999997</v>
      </c>
      <c r="GG142" s="366">
        <v>40.299999999999997</v>
      </c>
      <c r="GH142" s="366">
        <v>249.8</v>
      </c>
      <c r="GI142" s="366">
        <v>314.64999999999998</v>
      </c>
      <c r="GJ142" s="366">
        <v>314.49</v>
      </c>
      <c r="GK142" s="366">
        <v>256.66000000000003</v>
      </c>
      <c r="GL142" s="366">
        <v>141.68</v>
      </c>
      <c r="GM142" s="366">
        <v>141.68</v>
      </c>
      <c r="GN142" s="366">
        <v>141.68</v>
      </c>
      <c r="GO142" s="366">
        <v>279.93</v>
      </c>
      <c r="GP142" s="366">
        <v>206.76</v>
      </c>
      <c r="GQ142" s="366">
        <v>302.37</v>
      </c>
      <c r="GR142" s="366">
        <v>342.72</v>
      </c>
      <c r="GS142" s="366">
        <v>209.26</v>
      </c>
      <c r="GT142" s="366">
        <v>244.96</v>
      </c>
      <c r="GU142" s="366">
        <v>67.05</v>
      </c>
      <c r="GV142" s="366">
        <v>428.28</v>
      </c>
      <c r="GW142" s="366">
        <v>117.66</v>
      </c>
      <c r="GX142" s="366">
        <v>241.53</v>
      </c>
      <c r="GY142" s="366">
        <v>132.44999999999999</v>
      </c>
      <c r="GZ142" s="366">
        <v>48.17</v>
      </c>
      <c r="HA142" s="366">
        <v>259.47000000000003</v>
      </c>
      <c r="HB142" s="366">
        <v>259.47000000000003</v>
      </c>
      <c r="HC142" s="366">
        <v>259.47000000000003</v>
      </c>
      <c r="HD142" s="366">
        <v>428.51</v>
      </c>
      <c r="HE142" s="366">
        <v>121.74</v>
      </c>
      <c r="HF142" s="366">
        <v>78.03</v>
      </c>
      <c r="HG142" s="366">
        <v>205.68</v>
      </c>
      <c r="HH142" s="366">
        <v>205.68</v>
      </c>
      <c r="HI142" s="366">
        <v>205.68</v>
      </c>
      <c r="HJ142" s="366">
        <v>61.17</v>
      </c>
      <c r="HK142" s="366">
        <v>317.45</v>
      </c>
      <c r="HL142" s="366">
        <v>156.63999999999999</v>
      </c>
      <c r="HM142" s="366">
        <v>311.77</v>
      </c>
      <c r="HN142" s="366">
        <v>314.49</v>
      </c>
      <c r="HO142" s="366">
        <v>720.21</v>
      </c>
      <c r="HP142" s="366">
        <v>48.89</v>
      </c>
      <c r="HQ142" s="366">
        <v>750.91</v>
      </c>
      <c r="HR142" s="366">
        <v>572.22</v>
      </c>
      <c r="HS142" s="366">
        <v>310.74</v>
      </c>
      <c r="HT142" s="366">
        <v>193.06</v>
      </c>
      <c r="HU142" s="366">
        <v>160.31</v>
      </c>
      <c r="HV142" s="366">
        <v>178.63</v>
      </c>
    </row>
    <row r="143" spans="1:230">
      <c r="A143" s="366" t="s">
        <v>163</v>
      </c>
      <c r="B143" s="366">
        <v>781.12</v>
      </c>
      <c r="C143" s="366">
        <v>326.58</v>
      </c>
      <c r="D143" s="366">
        <v>227.35</v>
      </c>
      <c r="E143" s="366">
        <v>227.35</v>
      </c>
      <c r="F143" s="366">
        <v>845.02</v>
      </c>
      <c r="G143" s="366">
        <v>652.59</v>
      </c>
      <c r="H143" s="366">
        <v>270.97000000000003</v>
      </c>
      <c r="I143" s="366">
        <v>271.64</v>
      </c>
      <c r="J143" s="366">
        <v>294.75</v>
      </c>
      <c r="K143" s="366">
        <v>294.75</v>
      </c>
      <c r="L143" s="366">
        <v>217.96</v>
      </c>
      <c r="M143" s="366">
        <v>352</v>
      </c>
      <c r="N143" s="366">
        <v>351.84</v>
      </c>
      <c r="O143" s="366">
        <v>179.11</v>
      </c>
      <c r="P143" s="366">
        <v>179.11</v>
      </c>
      <c r="Q143" s="366">
        <v>179.11</v>
      </c>
      <c r="R143" s="366">
        <v>179.11</v>
      </c>
      <c r="S143" s="366">
        <v>179.11</v>
      </c>
      <c r="T143" s="366">
        <v>346.14</v>
      </c>
      <c r="U143" s="366">
        <v>760.63</v>
      </c>
      <c r="V143" s="366">
        <v>132.16999999999999</v>
      </c>
      <c r="W143" s="366">
        <v>489.5</v>
      </c>
      <c r="X143" s="366">
        <v>489.5</v>
      </c>
      <c r="Y143" s="366">
        <v>489.5</v>
      </c>
      <c r="Z143" s="366">
        <v>167</v>
      </c>
      <c r="AA143" s="366">
        <v>646.76</v>
      </c>
      <c r="AB143" s="366">
        <v>405.88</v>
      </c>
      <c r="AC143" s="366">
        <v>408.34</v>
      </c>
      <c r="AD143" s="366">
        <v>408.34</v>
      </c>
      <c r="AE143" s="366">
        <v>176.45</v>
      </c>
      <c r="AF143" s="366">
        <v>666.33</v>
      </c>
      <c r="AG143" s="366">
        <v>491.02</v>
      </c>
      <c r="AH143" s="366">
        <v>225.59</v>
      </c>
      <c r="AI143" s="366">
        <v>225.59</v>
      </c>
      <c r="AJ143" s="366">
        <v>225.59</v>
      </c>
      <c r="AK143" s="366">
        <v>189.2</v>
      </c>
      <c r="AL143" s="366">
        <v>189.2</v>
      </c>
      <c r="AM143" s="366">
        <v>408.6</v>
      </c>
      <c r="AN143" s="366">
        <v>190</v>
      </c>
      <c r="AO143" s="366">
        <v>659.71</v>
      </c>
      <c r="AP143" s="366">
        <v>334.86</v>
      </c>
      <c r="AQ143" s="366">
        <v>801.56</v>
      </c>
      <c r="AR143" s="366">
        <v>357.52</v>
      </c>
      <c r="AS143" s="366">
        <v>142.51</v>
      </c>
      <c r="AT143" s="366">
        <v>142.51</v>
      </c>
      <c r="AU143" s="366">
        <v>47.03</v>
      </c>
      <c r="AV143" s="366">
        <v>791.68</v>
      </c>
      <c r="AW143" s="366">
        <v>339.07</v>
      </c>
      <c r="AX143" s="366">
        <v>292.24</v>
      </c>
      <c r="AY143" s="366">
        <v>387.55</v>
      </c>
      <c r="AZ143" s="366">
        <v>295.2</v>
      </c>
      <c r="BA143" s="366">
        <v>621.94000000000005</v>
      </c>
      <c r="BB143" s="366">
        <v>390.44</v>
      </c>
      <c r="BC143" s="366">
        <v>564</v>
      </c>
      <c r="BD143" s="366">
        <v>473.77</v>
      </c>
      <c r="BE143" s="366">
        <v>136.22999999999999</v>
      </c>
      <c r="BF143" s="366">
        <v>402.85</v>
      </c>
      <c r="BG143" s="366">
        <v>174.55</v>
      </c>
      <c r="BH143" s="366">
        <v>179.11</v>
      </c>
      <c r="BI143" s="366">
        <v>357.55</v>
      </c>
      <c r="BJ143" s="366">
        <v>112.67</v>
      </c>
      <c r="BK143" s="366">
        <v>362.98</v>
      </c>
      <c r="BL143" s="366">
        <v>220.35</v>
      </c>
      <c r="BM143" s="366">
        <v>243.56</v>
      </c>
      <c r="BN143" s="366">
        <v>686.95</v>
      </c>
      <c r="BO143" s="366">
        <v>405.18</v>
      </c>
      <c r="BP143" s="366">
        <v>371.04</v>
      </c>
      <c r="BQ143" s="366">
        <v>250.94</v>
      </c>
      <c r="BR143" s="366">
        <v>250.94</v>
      </c>
      <c r="BS143" s="366">
        <v>302.77</v>
      </c>
      <c r="BT143" s="366">
        <v>341.98</v>
      </c>
      <c r="BU143" s="366">
        <v>386.38</v>
      </c>
      <c r="BV143" s="366">
        <v>406</v>
      </c>
      <c r="BW143" s="366">
        <v>106.32</v>
      </c>
      <c r="BX143" s="366">
        <v>243.86</v>
      </c>
      <c r="BY143" s="366">
        <v>159.65</v>
      </c>
      <c r="BZ143" s="366">
        <v>159.65</v>
      </c>
      <c r="CA143" s="366">
        <v>371.01</v>
      </c>
      <c r="CB143" s="366">
        <v>262.29000000000002</v>
      </c>
      <c r="CC143" s="366">
        <v>263.41000000000003</v>
      </c>
      <c r="CD143" s="366">
        <v>265.81</v>
      </c>
      <c r="CE143" s="366">
        <v>346.21</v>
      </c>
      <c r="CF143" s="366">
        <v>665.06</v>
      </c>
      <c r="CG143" s="366">
        <v>665.06</v>
      </c>
      <c r="CH143" s="366">
        <v>265.94</v>
      </c>
      <c r="CI143" s="366">
        <v>168.85</v>
      </c>
      <c r="CJ143" s="366">
        <v>676.01</v>
      </c>
      <c r="CK143" s="366">
        <v>164.74</v>
      </c>
      <c r="CL143" s="366">
        <v>60.82</v>
      </c>
      <c r="CM143" s="366">
        <v>510.28</v>
      </c>
      <c r="CN143" s="366">
        <v>62.04</v>
      </c>
      <c r="CO143" s="366">
        <v>356.13</v>
      </c>
      <c r="CP143" s="366">
        <v>244.25</v>
      </c>
      <c r="CQ143" s="366">
        <v>244.25</v>
      </c>
      <c r="CR143" s="366">
        <v>308.52999999999997</v>
      </c>
      <c r="CS143" s="366">
        <v>308.52999999999997</v>
      </c>
      <c r="CT143" s="366">
        <v>317.97000000000003</v>
      </c>
      <c r="CU143" s="366">
        <v>310.10000000000002</v>
      </c>
      <c r="CV143" s="366">
        <v>312.7</v>
      </c>
      <c r="CW143" s="366">
        <v>132.16999999999999</v>
      </c>
      <c r="CX143" s="366">
        <v>282.48</v>
      </c>
      <c r="CY143" s="366">
        <v>556.70000000000005</v>
      </c>
      <c r="CZ143" s="366">
        <v>577.94000000000005</v>
      </c>
      <c r="DA143" s="366">
        <v>289.89</v>
      </c>
      <c r="DB143" s="366">
        <v>108.65</v>
      </c>
      <c r="DC143" s="366">
        <v>108.65</v>
      </c>
      <c r="DD143" s="366">
        <v>476.66</v>
      </c>
      <c r="DE143" s="366">
        <v>367.52</v>
      </c>
      <c r="DF143" s="366">
        <v>829.48</v>
      </c>
      <c r="DG143" s="366">
        <v>198.5</v>
      </c>
      <c r="DH143" s="366">
        <v>430.08</v>
      </c>
      <c r="DI143" s="366">
        <v>530.88</v>
      </c>
      <c r="DJ143" s="366">
        <v>594.14</v>
      </c>
      <c r="DK143" s="366">
        <v>206.28</v>
      </c>
      <c r="DL143" s="366">
        <v>392.38</v>
      </c>
      <c r="DM143" s="366">
        <v>314.16000000000003</v>
      </c>
      <c r="DN143" s="366">
        <v>545.64</v>
      </c>
      <c r="DO143" s="366">
        <v>232.85</v>
      </c>
      <c r="DP143" s="366">
        <v>438.35</v>
      </c>
      <c r="DQ143" s="366">
        <v>117.66</v>
      </c>
      <c r="DR143" s="366">
        <v>430.08</v>
      </c>
      <c r="DS143" s="366">
        <v>334</v>
      </c>
      <c r="DT143" s="366">
        <v>322.29000000000002</v>
      </c>
      <c r="DU143" s="366">
        <v>259.55</v>
      </c>
      <c r="DV143" s="366">
        <v>192.84</v>
      </c>
      <c r="DW143" s="366">
        <v>158.93</v>
      </c>
      <c r="DX143" s="366">
        <v>92.64</v>
      </c>
      <c r="DY143" s="366">
        <v>166.03</v>
      </c>
      <c r="DZ143" s="366">
        <v>486.33</v>
      </c>
      <c r="EA143" s="366">
        <v>339.8</v>
      </c>
      <c r="EB143" s="366">
        <v>160.03</v>
      </c>
      <c r="EC143" s="366">
        <v>252.79</v>
      </c>
      <c r="ED143" s="366">
        <v>560.65</v>
      </c>
      <c r="EE143" s="366">
        <v>571.44000000000005</v>
      </c>
      <c r="EF143" s="366">
        <v>328.58</v>
      </c>
      <c r="EG143" s="366">
        <v>339.07</v>
      </c>
      <c r="EH143" s="366">
        <v>339.07</v>
      </c>
      <c r="EI143" s="366">
        <v>249.46</v>
      </c>
      <c r="EJ143" s="366">
        <v>515.20000000000005</v>
      </c>
      <c r="EK143" s="366">
        <v>127.89</v>
      </c>
      <c r="EL143" s="366">
        <v>127.89</v>
      </c>
      <c r="EM143" s="366">
        <v>0</v>
      </c>
      <c r="EN143" s="366">
        <v>0</v>
      </c>
      <c r="EO143" s="366">
        <v>408.6</v>
      </c>
      <c r="EP143" s="366">
        <v>331.46</v>
      </c>
      <c r="EQ143" s="366">
        <v>327.45999999999998</v>
      </c>
      <c r="ER143" s="366">
        <v>730.67</v>
      </c>
      <c r="ES143" s="366">
        <v>326.48</v>
      </c>
      <c r="ET143" s="366">
        <v>268.91000000000003</v>
      </c>
      <c r="EU143" s="366">
        <v>781.12</v>
      </c>
      <c r="EV143" s="366">
        <v>489.5</v>
      </c>
      <c r="EW143" s="366">
        <v>250.38</v>
      </c>
      <c r="EX143" s="366">
        <v>303.22000000000003</v>
      </c>
      <c r="EY143" s="366">
        <v>303.22000000000003</v>
      </c>
      <c r="EZ143" s="366">
        <v>114.58</v>
      </c>
      <c r="FA143" s="366">
        <v>34.119999999999997</v>
      </c>
      <c r="FB143" s="366">
        <v>190.58</v>
      </c>
      <c r="FC143" s="366">
        <v>112.78</v>
      </c>
      <c r="FD143" s="366">
        <v>156.02000000000001</v>
      </c>
      <c r="FE143" s="366">
        <v>253.29</v>
      </c>
      <c r="FF143" s="366">
        <v>228.47</v>
      </c>
      <c r="FG143" s="366">
        <v>612.98</v>
      </c>
      <c r="FH143" s="366">
        <v>612.98</v>
      </c>
      <c r="FI143" s="366">
        <v>470.37</v>
      </c>
      <c r="FJ143" s="366">
        <v>476.16</v>
      </c>
      <c r="FK143" s="366">
        <v>354.22</v>
      </c>
      <c r="FL143" s="366">
        <v>352.41</v>
      </c>
      <c r="FM143" s="366">
        <v>408.6</v>
      </c>
      <c r="FN143" s="366">
        <v>520.25</v>
      </c>
      <c r="FO143" s="366">
        <v>348.17</v>
      </c>
      <c r="FP143" s="366">
        <v>145.13</v>
      </c>
      <c r="FQ143" s="366">
        <v>352.04</v>
      </c>
      <c r="FR143" s="366">
        <v>235.3</v>
      </c>
      <c r="FS143" s="366">
        <v>158.54</v>
      </c>
      <c r="FT143" s="366">
        <v>609.29999999999995</v>
      </c>
      <c r="FU143" s="366">
        <v>156.46</v>
      </c>
      <c r="FV143" s="366">
        <v>845.02</v>
      </c>
      <c r="FW143" s="366">
        <v>845.02</v>
      </c>
      <c r="FX143" s="366">
        <v>845.02</v>
      </c>
      <c r="FY143" s="366">
        <v>84.98</v>
      </c>
      <c r="FZ143" s="366">
        <v>243.2</v>
      </c>
      <c r="GA143" s="366">
        <v>136.22999999999999</v>
      </c>
      <c r="GB143" s="366">
        <v>197.01</v>
      </c>
      <c r="GC143" s="366">
        <v>560.65</v>
      </c>
      <c r="GD143" s="366">
        <v>225.96</v>
      </c>
      <c r="GE143" s="366">
        <v>318.07</v>
      </c>
      <c r="GF143" s="366">
        <v>142.93</v>
      </c>
      <c r="GG143" s="366">
        <v>142.93</v>
      </c>
      <c r="GH143" s="366">
        <v>184.68</v>
      </c>
      <c r="GI143" s="366">
        <v>408.76</v>
      </c>
      <c r="GJ143" s="366">
        <v>408.6</v>
      </c>
      <c r="GK143" s="366">
        <v>350.77</v>
      </c>
      <c r="GL143" s="366">
        <v>235.79</v>
      </c>
      <c r="GM143" s="366">
        <v>235.79</v>
      </c>
      <c r="GN143" s="366">
        <v>235.79</v>
      </c>
      <c r="GO143" s="366">
        <v>374.04</v>
      </c>
      <c r="GP143" s="366">
        <v>141.63999999999999</v>
      </c>
      <c r="GQ143" s="366">
        <v>396.48</v>
      </c>
      <c r="GR143" s="366">
        <v>436.83</v>
      </c>
      <c r="GS143" s="366">
        <v>303.37</v>
      </c>
      <c r="GT143" s="366">
        <v>339.07</v>
      </c>
      <c r="GU143" s="366">
        <v>161.16</v>
      </c>
      <c r="GV143" s="366">
        <v>522.39</v>
      </c>
      <c r="GW143" s="366">
        <v>211.77</v>
      </c>
      <c r="GX143" s="366">
        <v>335.64</v>
      </c>
      <c r="GY143" s="366">
        <v>226.56</v>
      </c>
      <c r="GZ143" s="366">
        <v>155.74</v>
      </c>
      <c r="HA143" s="366">
        <v>353.58</v>
      </c>
      <c r="HB143" s="366">
        <v>353.58</v>
      </c>
      <c r="HC143" s="366">
        <v>353.58</v>
      </c>
      <c r="HD143" s="366">
        <v>522.62</v>
      </c>
      <c r="HE143" s="366">
        <v>6.15</v>
      </c>
      <c r="HF143" s="366">
        <v>50.58</v>
      </c>
      <c r="HG143" s="366">
        <v>137.65</v>
      </c>
      <c r="HH143" s="366">
        <v>137.65</v>
      </c>
      <c r="HI143" s="366">
        <v>137.65</v>
      </c>
      <c r="HJ143" s="366">
        <v>163.80000000000001</v>
      </c>
      <c r="HK143" s="366">
        <v>411.56</v>
      </c>
      <c r="HL143" s="366">
        <v>212.49</v>
      </c>
      <c r="HM143" s="366">
        <v>405.88</v>
      </c>
      <c r="HN143" s="366">
        <v>408.6</v>
      </c>
      <c r="HO143" s="366">
        <v>814.32</v>
      </c>
      <c r="HP143" s="366">
        <v>156.46</v>
      </c>
      <c r="HQ143" s="366">
        <v>845.02</v>
      </c>
      <c r="HR143" s="366">
        <v>666.33</v>
      </c>
      <c r="HS143" s="366">
        <v>404.85</v>
      </c>
      <c r="HT143" s="366">
        <v>287.17</v>
      </c>
      <c r="HU143" s="366">
        <v>254.42</v>
      </c>
      <c r="HV143" s="366">
        <v>272.74</v>
      </c>
    </row>
    <row r="144" spans="1:230">
      <c r="A144" s="366" t="s">
        <v>164</v>
      </c>
      <c r="B144" s="366">
        <v>781.12</v>
      </c>
      <c r="C144" s="366">
        <v>326.58</v>
      </c>
      <c r="D144" s="366">
        <v>227.35</v>
      </c>
      <c r="E144" s="366">
        <v>227.35</v>
      </c>
      <c r="F144" s="366">
        <v>845.02</v>
      </c>
      <c r="G144" s="366">
        <v>652.59</v>
      </c>
      <c r="H144" s="366">
        <v>270.97000000000003</v>
      </c>
      <c r="I144" s="366">
        <v>271.64</v>
      </c>
      <c r="J144" s="366">
        <v>294.75</v>
      </c>
      <c r="K144" s="366">
        <v>294.75</v>
      </c>
      <c r="L144" s="366">
        <v>217.96</v>
      </c>
      <c r="M144" s="366">
        <v>352</v>
      </c>
      <c r="N144" s="366">
        <v>351.84</v>
      </c>
      <c r="O144" s="366">
        <v>179.11</v>
      </c>
      <c r="P144" s="366">
        <v>179.11</v>
      </c>
      <c r="Q144" s="366">
        <v>179.11</v>
      </c>
      <c r="R144" s="366">
        <v>179.11</v>
      </c>
      <c r="S144" s="366">
        <v>179.11</v>
      </c>
      <c r="T144" s="366">
        <v>346.14</v>
      </c>
      <c r="U144" s="366">
        <v>760.63</v>
      </c>
      <c r="V144" s="366">
        <v>132.16999999999999</v>
      </c>
      <c r="W144" s="366">
        <v>489.5</v>
      </c>
      <c r="X144" s="366">
        <v>489.5</v>
      </c>
      <c r="Y144" s="366">
        <v>489.5</v>
      </c>
      <c r="Z144" s="366">
        <v>167</v>
      </c>
      <c r="AA144" s="366">
        <v>646.76</v>
      </c>
      <c r="AB144" s="366">
        <v>405.88</v>
      </c>
      <c r="AC144" s="366">
        <v>408.34</v>
      </c>
      <c r="AD144" s="366">
        <v>408.34</v>
      </c>
      <c r="AE144" s="366">
        <v>176.45</v>
      </c>
      <c r="AF144" s="366">
        <v>666.33</v>
      </c>
      <c r="AG144" s="366">
        <v>491.02</v>
      </c>
      <c r="AH144" s="366">
        <v>225.59</v>
      </c>
      <c r="AI144" s="366">
        <v>225.59</v>
      </c>
      <c r="AJ144" s="366">
        <v>225.59</v>
      </c>
      <c r="AK144" s="366">
        <v>189.2</v>
      </c>
      <c r="AL144" s="366">
        <v>189.2</v>
      </c>
      <c r="AM144" s="366">
        <v>408.6</v>
      </c>
      <c r="AN144" s="366">
        <v>190</v>
      </c>
      <c r="AO144" s="366">
        <v>659.71</v>
      </c>
      <c r="AP144" s="366">
        <v>334.86</v>
      </c>
      <c r="AQ144" s="366">
        <v>801.56</v>
      </c>
      <c r="AR144" s="366">
        <v>357.52</v>
      </c>
      <c r="AS144" s="366">
        <v>142.51</v>
      </c>
      <c r="AT144" s="366">
        <v>142.51</v>
      </c>
      <c r="AU144" s="366">
        <v>47.03</v>
      </c>
      <c r="AV144" s="366">
        <v>791.68</v>
      </c>
      <c r="AW144" s="366">
        <v>339.07</v>
      </c>
      <c r="AX144" s="366">
        <v>292.24</v>
      </c>
      <c r="AY144" s="366">
        <v>387.55</v>
      </c>
      <c r="AZ144" s="366">
        <v>295.2</v>
      </c>
      <c r="BA144" s="366">
        <v>621.94000000000005</v>
      </c>
      <c r="BB144" s="366">
        <v>390.44</v>
      </c>
      <c r="BC144" s="366">
        <v>564</v>
      </c>
      <c r="BD144" s="366">
        <v>473.77</v>
      </c>
      <c r="BE144" s="366">
        <v>136.22999999999999</v>
      </c>
      <c r="BF144" s="366">
        <v>402.85</v>
      </c>
      <c r="BG144" s="366">
        <v>174.55</v>
      </c>
      <c r="BH144" s="366">
        <v>179.11</v>
      </c>
      <c r="BI144" s="366">
        <v>357.55</v>
      </c>
      <c r="BJ144" s="366">
        <v>112.67</v>
      </c>
      <c r="BK144" s="366">
        <v>362.98</v>
      </c>
      <c r="BL144" s="366">
        <v>220.35</v>
      </c>
      <c r="BM144" s="366">
        <v>243.56</v>
      </c>
      <c r="BN144" s="366">
        <v>686.95</v>
      </c>
      <c r="BO144" s="366">
        <v>405.18</v>
      </c>
      <c r="BP144" s="366">
        <v>371.04</v>
      </c>
      <c r="BQ144" s="366">
        <v>250.94</v>
      </c>
      <c r="BR144" s="366">
        <v>250.94</v>
      </c>
      <c r="BS144" s="366">
        <v>302.77</v>
      </c>
      <c r="BT144" s="366">
        <v>341.98</v>
      </c>
      <c r="BU144" s="366">
        <v>386.38</v>
      </c>
      <c r="BV144" s="366">
        <v>406</v>
      </c>
      <c r="BW144" s="366">
        <v>106.32</v>
      </c>
      <c r="BX144" s="366">
        <v>243.86</v>
      </c>
      <c r="BY144" s="366">
        <v>159.65</v>
      </c>
      <c r="BZ144" s="366">
        <v>159.65</v>
      </c>
      <c r="CA144" s="366">
        <v>371.01</v>
      </c>
      <c r="CB144" s="366">
        <v>262.29000000000002</v>
      </c>
      <c r="CC144" s="366">
        <v>263.41000000000003</v>
      </c>
      <c r="CD144" s="366">
        <v>265.81</v>
      </c>
      <c r="CE144" s="366">
        <v>346.21</v>
      </c>
      <c r="CF144" s="366">
        <v>665.06</v>
      </c>
      <c r="CG144" s="366">
        <v>665.06</v>
      </c>
      <c r="CH144" s="366">
        <v>265.94</v>
      </c>
      <c r="CI144" s="366">
        <v>168.85</v>
      </c>
      <c r="CJ144" s="366">
        <v>676.01</v>
      </c>
      <c r="CK144" s="366">
        <v>164.74</v>
      </c>
      <c r="CL144" s="366">
        <v>60.82</v>
      </c>
      <c r="CM144" s="366">
        <v>510.28</v>
      </c>
      <c r="CN144" s="366">
        <v>62.04</v>
      </c>
      <c r="CO144" s="366">
        <v>356.13</v>
      </c>
      <c r="CP144" s="366">
        <v>244.25</v>
      </c>
      <c r="CQ144" s="366">
        <v>244.25</v>
      </c>
      <c r="CR144" s="366">
        <v>308.52999999999997</v>
      </c>
      <c r="CS144" s="366">
        <v>308.52999999999997</v>
      </c>
      <c r="CT144" s="366">
        <v>317.97000000000003</v>
      </c>
      <c r="CU144" s="366">
        <v>310.10000000000002</v>
      </c>
      <c r="CV144" s="366">
        <v>312.7</v>
      </c>
      <c r="CW144" s="366">
        <v>132.16999999999999</v>
      </c>
      <c r="CX144" s="366">
        <v>282.48</v>
      </c>
      <c r="CY144" s="366">
        <v>556.70000000000005</v>
      </c>
      <c r="CZ144" s="366">
        <v>577.94000000000005</v>
      </c>
      <c r="DA144" s="366">
        <v>289.89</v>
      </c>
      <c r="DB144" s="366">
        <v>108.65</v>
      </c>
      <c r="DC144" s="366">
        <v>108.65</v>
      </c>
      <c r="DD144" s="366">
        <v>476.66</v>
      </c>
      <c r="DE144" s="366">
        <v>367.52</v>
      </c>
      <c r="DF144" s="366">
        <v>829.48</v>
      </c>
      <c r="DG144" s="366">
        <v>198.5</v>
      </c>
      <c r="DH144" s="366">
        <v>430.08</v>
      </c>
      <c r="DI144" s="366">
        <v>530.88</v>
      </c>
      <c r="DJ144" s="366">
        <v>594.14</v>
      </c>
      <c r="DK144" s="366">
        <v>206.28</v>
      </c>
      <c r="DL144" s="366">
        <v>392.38</v>
      </c>
      <c r="DM144" s="366">
        <v>314.16000000000003</v>
      </c>
      <c r="DN144" s="366">
        <v>545.64</v>
      </c>
      <c r="DO144" s="366">
        <v>232.85</v>
      </c>
      <c r="DP144" s="366">
        <v>438.35</v>
      </c>
      <c r="DQ144" s="366">
        <v>117.66</v>
      </c>
      <c r="DR144" s="366">
        <v>430.08</v>
      </c>
      <c r="DS144" s="366">
        <v>334</v>
      </c>
      <c r="DT144" s="366">
        <v>322.29000000000002</v>
      </c>
      <c r="DU144" s="366">
        <v>259.55</v>
      </c>
      <c r="DV144" s="366">
        <v>192.84</v>
      </c>
      <c r="DW144" s="366">
        <v>158.93</v>
      </c>
      <c r="DX144" s="366">
        <v>92.64</v>
      </c>
      <c r="DY144" s="366">
        <v>166.03</v>
      </c>
      <c r="DZ144" s="366">
        <v>486.33</v>
      </c>
      <c r="EA144" s="366">
        <v>339.8</v>
      </c>
      <c r="EB144" s="366">
        <v>160.03</v>
      </c>
      <c r="EC144" s="366">
        <v>252.79</v>
      </c>
      <c r="ED144" s="366">
        <v>560.65</v>
      </c>
      <c r="EE144" s="366">
        <v>571.44000000000005</v>
      </c>
      <c r="EF144" s="366">
        <v>328.58</v>
      </c>
      <c r="EG144" s="366">
        <v>339.07</v>
      </c>
      <c r="EH144" s="366">
        <v>339.07</v>
      </c>
      <c r="EI144" s="366">
        <v>249.46</v>
      </c>
      <c r="EJ144" s="366">
        <v>515.20000000000005</v>
      </c>
      <c r="EK144" s="366">
        <v>127.89</v>
      </c>
      <c r="EL144" s="366">
        <v>127.89</v>
      </c>
      <c r="EM144" s="366">
        <v>0</v>
      </c>
      <c r="EN144" s="366">
        <v>0</v>
      </c>
      <c r="EO144" s="366">
        <v>408.6</v>
      </c>
      <c r="EP144" s="366">
        <v>331.46</v>
      </c>
      <c r="EQ144" s="366">
        <v>327.45999999999998</v>
      </c>
      <c r="ER144" s="366">
        <v>730.67</v>
      </c>
      <c r="ES144" s="366">
        <v>326.48</v>
      </c>
      <c r="ET144" s="366">
        <v>268.91000000000003</v>
      </c>
      <c r="EU144" s="366">
        <v>781.12</v>
      </c>
      <c r="EV144" s="366">
        <v>489.5</v>
      </c>
      <c r="EW144" s="366">
        <v>250.38</v>
      </c>
      <c r="EX144" s="366">
        <v>303.22000000000003</v>
      </c>
      <c r="EY144" s="366">
        <v>303.22000000000003</v>
      </c>
      <c r="EZ144" s="366">
        <v>114.58</v>
      </c>
      <c r="FA144" s="366">
        <v>34.119999999999997</v>
      </c>
      <c r="FB144" s="366">
        <v>190.58</v>
      </c>
      <c r="FC144" s="366">
        <v>112.78</v>
      </c>
      <c r="FD144" s="366">
        <v>156.02000000000001</v>
      </c>
      <c r="FE144" s="366">
        <v>253.29</v>
      </c>
      <c r="FF144" s="366">
        <v>228.47</v>
      </c>
      <c r="FG144" s="366">
        <v>612.98</v>
      </c>
      <c r="FH144" s="366">
        <v>612.98</v>
      </c>
      <c r="FI144" s="366">
        <v>470.37</v>
      </c>
      <c r="FJ144" s="366">
        <v>476.16</v>
      </c>
      <c r="FK144" s="366">
        <v>354.22</v>
      </c>
      <c r="FL144" s="366">
        <v>352.41</v>
      </c>
      <c r="FM144" s="366">
        <v>408.6</v>
      </c>
      <c r="FN144" s="366">
        <v>520.25</v>
      </c>
      <c r="FO144" s="366">
        <v>348.17</v>
      </c>
      <c r="FP144" s="366">
        <v>145.13</v>
      </c>
      <c r="FQ144" s="366">
        <v>352.04</v>
      </c>
      <c r="FR144" s="366">
        <v>235.3</v>
      </c>
      <c r="FS144" s="366">
        <v>158.54</v>
      </c>
      <c r="FT144" s="366">
        <v>609.29999999999995</v>
      </c>
      <c r="FU144" s="366">
        <v>156.46</v>
      </c>
      <c r="FV144" s="366">
        <v>845.02</v>
      </c>
      <c r="FW144" s="366">
        <v>845.02</v>
      </c>
      <c r="FX144" s="366">
        <v>845.02</v>
      </c>
      <c r="FY144" s="366">
        <v>84.98</v>
      </c>
      <c r="FZ144" s="366">
        <v>243.2</v>
      </c>
      <c r="GA144" s="366">
        <v>136.22999999999999</v>
      </c>
      <c r="GB144" s="366">
        <v>197.01</v>
      </c>
      <c r="GC144" s="366">
        <v>560.65</v>
      </c>
      <c r="GD144" s="366">
        <v>225.96</v>
      </c>
      <c r="GE144" s="366">
        <v>318.07</v>
      </c>
      <c r="GF144" s="366">
        <v>142.93</v>
      </c>
      <c r="GG144" s="366">
        <v>142.93</v>
      </c>
      <c r="GH144" s="366">
        <v>184.68</v>
      </c>
      <c r="GI144" s="366">
        <v>408.76</v>
      </c>
      <c r="GJ144" s="366">
        <v>408.6</v>
      </c>
      <c r="GK144" s="366">
        <v>350.77</v>
      </c>
      <c r="GL144" s="366">
        <v>235.79</v>
      </c>
      <c r="GM144" s="366">
        <v>235.79</v>
      </c>
      <c r="GN144" s="366">
        <v>235.79</v>
      </c>
      <c r="GO144" s="366">
        <v>374.04</v>
      </c>
      <c r="GP144" s="366">
        <v>141.63999999999999</v>
      </c>
      <c r="GQ144" s="366">
        <v>396.48</v>
      </c>
      <c r="GR144" s="366">
        <v>436.83</v>
      </c>
      <c r="GS144" s="366">
        <v>303.37</v>
      </c>
      <c r="GT144" s="366">
        <v>339.07</v>
      </c>
      <c r="GU144" s="366">
        <v>161.16</v>
      </c>
      <c r="GV144" s="366">
        <v>522.39</v>
      </c>
      <c r="GW144" s="366">
        <v>211.77</v>
      </c>
      <c r="GX144" s="366">
        <v>335.64</v>
      </c>
      <c r="GY144" s="366">
        <v>226.56</v>
      </c>
      <c r="GZ144" s="366">
        <v>155.74</v>
      </c>
      <c r="HA144" s="366">
        <v>353.58</v>
      </c>
      <c r="HB144" s="366">
        <v>353.58</v>
      </c>
      <c r="HC144" s="366">
        <v>353.58</v>
      </c>
      <c r="HD144" s="366">
        <v>522.62</v>
      </c>
      <c r="HE144" s="366">
        <v>6.15</v>
      </c>
      <c r="HF144" s="366">
        <v>50.58</v>
      </c>
      <c r="HG144" s="366">
        <v>137.65</v>
      </c>
      <c r="HH144" s="366">
        <v>137.65</v>
      </c>
      <c r="HI144" s="366">
        <v>137.65</v>
      </c>
      <c r="HJ144" s="366">
        <v>163.80000000000001</v>
      </c>
      <c r="HK144" s="366">
        <v>411.56</v>
      </c>
      <c r="HL144" s="366">
        <v>212.49</v>
      </c>
      <c r="HM144" s="366">
        <v>405.88</v>
      </c>
      <c r="HN144" s="366">
        <v>408.6</v>
      </c>
      <c r="HO144" s="366">
        <v>814.32</v>
      </c>
      <c r="HP144" s="366">
        <v>156.46</v>
      </c>
      <c r="HQ144" s="366">
        <v>845.02</v>
      </c>
      <c r="HR144" s="366">
        <v>666.33</v>
      </c>
      <c r="HS144" s="366">
        <v>404.85</v>
      </c>
      <c r="HT144" s="366">
        <v>287.17</v>
      </c>
      <c r="HU144" s="366">
        <v>254.42</v>
      </c>
      <c r="HV144" s="366">
        <v>272.74</v>
      </c>
    </row>
    <row r="145" spans="1:230">
      <c r="A145" s="366" t="s">
        <v>165</v>
      </c>
      <c r="B145" s="366">
        <v>407.03</v>
      </c>
      <c r="C145" s="366">
        <v>513.17999999999995</v>
      </c>
      <c r="D145" s="366">
        <v>407.8</v>
      </c>
      <c r="E145" s="366">
        <v>407.8</v>
      </c>
      <c r="F145" s="366">
        <v>470.93</v>
      </c>
      <c r="G145" s="366">
        <v>278.5</v>
      </c>
      <c r="H145" s="366">
        <v>364.18</v>
      </c>
      <c r="I145" s="366">
        <v>136.96</v>
      </c>
      <c r="J145" s="366">
        <v>340.4</v>
      </c>
      <c r="K145" s="366">
        <v>340.4</v>
      </c>
      <c r="L145" s="366">
        <v>404.56</v>
      </c>
      <c r="M145" s="366">
        <v>538.6</v>
      </c>
      <c r="N145" s="366">
        <v>635.5</v>
      </c>
      <c r="O145" s="366">
        <v>388.61</v>
      </c>
      <c r="P145" s="366">
        <v>388.61</v>
      </c>
      <c r="Q145" s="366">
        <v>388.61</v>
      </c>
      <c r="R145" s="366">
        <v>388.61</v>
      </c>
      <c r="S145" s="366">
        <v>388.61</v>
      </c>
      <c r="T145" s="366">
        <v>62.46</v>
      </c>
      <c r="U145" s="366">
        <v>386.54</v>
      </c>
      <c r="V145" s="366">
        <v>478</v>
      </c>
      <c r="W145" s="366">
        <v>259.11</v>
      </c>
      <c r="X145" s="366">
        <v>259.11</v>
      </c>
      <c r="Y145" s="366">
        <v>259.11</v>
      </c>
      <c r="Z145" s="366">
        <v>515.74</v>
      </c>
      <c r="AA145" s="366">
        <v>272.67</v>
      </c>
      <c r="AB145" s="366">
        <v>8.7799999999999994</v>
      </c>
      <c r="AC145" s="366">
        <v>34.25</v>
      </c>
      <c r="AD145" s="366">
        <v>34.25</v>
      </c>
      <c r="AE145" s="366">
        <v>363.05</v>
      </c>
      <c r="AF145" s="366">
        <v>292.24</v>
      </c>
      <c r="AG145" s="366">
        <v>260.63</v>
      </c>
      <c r="AH145" s="366">
        <v>183.01</v>
      </c>
      <c r="AI145" s="366">
        <v>183.01</v>
      </c>
      <c r="AJ145" s="366">
        <v>183.01</v>
      </c>
      <c r="AK145" s="366">
        <v>537.94000000000005</v>
      </c>
      <c r="AL145" s="366">
        <v>537.94000000000005</v>
      </c>
      <c r="AM145" s="366">
        <v>0</v>
      </c>
      <c r="AN145" s="366">
        <v>347.78</v>
      </c>
      <c r="AO145" s="366">
        <v>285.62</v>
      </c>
      <c r="AP145" s="366">
        <v>91.91</v>
      </c>
      <c r="AQ145" s="366">
        <v>427.47</v>
      </c>
      <c r="AR145" s="366">
        <v>380.14</v>
      </c>
      <c r="AS145" s="366">
        <v>329.11</v>
      </c>
      <c r="AT145" s="366">
        <v>329.11</v>
      </c>
      <c r="AU145" s="366">
        <v>392.86</v>
      </c>
      <c r="AV145" s="366">
        <v>417.59</v>
      </c>
      <c r="AW145" s="366">
        <v>302.94</v>
      </c>
      <c r="AX145" s="366">
        <v>124.62</v>
      </c>
      <c r="AY145" s="366">
        <v>671.21</v>
      </c>
      <c r="AZ145" s="366">
        <v>481.8</v>
      </c>
      <c r="BA145" s="366">
        <v>247.85</v>
      </c>
      <c r="BB145" s="366">
        <v>674.1</v>
      </c>
      <c r="BC145" s="366">
        <v>189.91</v>
      </c>
      <c r="BD145" s="366">
        <v>99.68</v>
      </c>
      <c r="BE145" s="366">
        <v>482.06</v>
      </c>
      <c r="BF145" s="366">
        <v>5.75</v>
      </c>
      <c r="BG145" s="366">
        <v>523.29</v>
      </c>
      <c r="BH145" s="366">
        <v>388.61</v>
      </c>
      <c r="BI145" s="366">
        <v>380.17</v>
      </c>
      <c r="BJ145" s="366">
        <v>461.41</v>
      </c>
      <c r="BK145" s="366">
        <v>549.58000000000004</v>
      </c>
      <c r="BL145" s="366">
        <v>406.95</v>
      </c>
      <c r="BM145" s="366">
        <v>391.59</v>
      </c>
      <c r="BN145" s="366">
        <v>312.86</v>
      </c>
      <c r="BO145" s="366">
        <v>591.78</v>
      </c>
      <c r="BP145" s="366">
        <v>557.64</v>
      </c>
      <c r="BQ145" s="366">
        <v>157.66</v>
      </c>
      <c r="BR145" s="366">
        <v>157.66</v>
      </c>
      <c r="BS145" s="366">
        <v>489.37</v>
      </c>
      <c r="BT145" s="366">
        <v>372.09</v>
      </c>
      <c r="BU145" s="366">
        <v>22.22</v>
      </c>
      <c r="BV145" s="366">
        <v>8.9</v>
      </c>
      <c r="BW145" s="366">
        <v>452.15</v>
      </c>
      <c r="BX145" s="366">
        <v>430.46</v>
      </c>
      <c r="BY145" s="366">
        <v>505.48</v>
      </c>
      <c r="BZ145" s="366">
        <v>505.48</v>
      </c>
      <c r="CA145" s="366">
        <v>264.14</v>
      </c>
      <c r="CB145" s="366">
        <v>448.89</v>
      </c>
      <c r="CC145" s="366">
        <v>153.44999999999999</v>
      </c>
      <c r="CD145" s="366">
        <v>166.93</v>
      </c>
      <c r="CE145" s="366">
        <v>532.80999999999995</v>
      </c>
      <c r="CF145" s="366">
        <v>290.97000000000003</v>
      </c>
      <c r="CG145" s="366">
        <v>290.97000000000003</v>
      </c>
      <c r="CH145" s="366">
        <v>142.66</v>
      </c>
      <c r="CI145" s="366">
        <v>261.81</v>
      </c>
      <c r="CJ145" s="366">
        <v>301.92</v>
      </c>
      <c r="CK145" s="366">
        <v>510.57</v>
      </c>
      <c r="CL145" s="366">
        <v>406.65</v>
      </c>
      <c r="CM145" s="366">
        <v>136.19</v>
      </c>
      <c r="CN145" s="366">
        <v>410.78</v>
      </c>
      <c r="CO145" s="366">
        <v>378.75</v>
      </c>
      <c r="CP145" s="366">
        <v>164.35</v>
      </c>
      <c r="CQ145" s="366">
        <v>164.35</v>
      </c>
      <c r="CR145" s="366">
        <v>330.07</v>
      </c>
      <c r="CS145" s="366">
        <v>330.07</v>
      </c>
      <c r="CT145" s="366">
        <v>320.63</v>
      </c>
      <c r="CU145" s="366">
        <v>328.5</v>
      </c>
      <c r="CV145" s="366">
        <v>322.45</v>
      </c>
      <c r="CW145" s="366">
        <v>478</v>
      </c>
      <c r="CX145" s="366">
        <v>141.16</v>
      </c>
      <c r="CY145" s="366">
        <v>182.61</v>
      </c>
      <c r="CZ145" s="366">
        <v>203.85</v>
      </c>
      <c r="DA145" s="366">
        <v>573.54999999999995</v>
      </c>
      <c r="DB145" s="366">
        <v>457.39</v>
      </c>
      <c r="DC145" s="366">
        <v>457.39</v>
      </c>
      <c r="DD145" s="366">
        <v>206.11</v>
      </c>
      <c r="DE145" s="366">
        <v>651.17999999999995</v>
      </c>
      <c r="DF145" s="366">
        <v>455.39</v>
      </c>
      <c r="DG145" s="366">
        <v>232.16</v>
      </c>
      <c r="DH145" s="366">
        <v>713.74</v>
      </c>
      <c r="DI145" s="366">
        <v>156.79</v>
      </c>
      <c r="DJ145" s="366">
        <v>220.05</v>
      </c>
      <c r="DK145" s="366">
        <v>392.88</v>
      </c>
      <c r="DL145" s="366">
        <v>28.22</v>
      </c>
      <c r="DM145" s="366">
        <v>500.76</v>
      </c>
      <c r="DN145" s="366">
        <v>171.55</v>
      </c>
      <c r="DO145" s="366">
        <v>419.45</v>
      </c>
      <c r="DP145" s="366">
        <v>207.96</v>
      </c>
      <c r="DQ145" s="366">
        <v>463.49</v>
      </c>
      <c r="DR145" s="366">
        <v>713.74</v>
      </c>
      <c r="DS145" s="366">
        <v>379.65</v>
      </c>
      <c r="DT145" s="366">
        <v>367.94</v>
      </c>
      <c r="DU145" s="366">
        <v>603.89</v>
      </c>
      <c r="DV145" s="366">
        <v>541.58000000000004</v>
      </c>
      <c r="DW145" s="366">
        <v>345.53</v>
      </c>
      <c r="DX145" s="366">
        <v>438.47</v>
      </c>
      <c r="DY145" s="366">
        <v>511.86</v>
      </c>
      <c r="DZ145" s="366">
        <v>195.13</v>
      </c>
      <c r="EA145" s="366">
        <v>362.42</v>
      </c>
      <c r="EB145" s="366">
        <v>505.86</v>
      </c>
      <c r="EC145" s="366">
        <v>382.36</v>
      </c>
      <c r="ED145" s="366">
        <v>186.56</v>
      </c>
      <c r="EE145" s="366">
        <v>197.35</v>
      </c>
      <c r="EF145" s="366">
        <v>98.19</v>
      </c>
      <c r="EG145" s="366">
        <v>302.94</v>
      </c>
      <c r="EH145" s="366">
        <v>302.94</v>
      </c>
      <c r="EI145" s="366">
        <v>167.4</v>
      </c>
      <c r="EJ145" s="366">
        <v>701.8</v>
      </c>
      <c r="EK145" s="366">
        <v>314.49</v>
      </c>
      <c r="EL145" s="366">
        <v>314.49</v>
      </c>
      <c r="EM145" s="366">
        <v>408.6</v>
      </c>
      <c r="EN145" s="366">
        <v>408.6</v>
      </c>
      <c r="EO145" s="366">
        <v>0</v>
      </c>
      <c r="EP145" s="366">
        <v>85.4</v>
      </c>
      <c r="EQ145" s="366">
        <v>311.14</v>
      </c>
      <c r="ER145" s="366">
        <v>356.58</v>
      </c>
      <c r="ES145" s="366">
        <v>513.08000000000004</v>
      </c>
      <c r="ET145" s="366">
        <v>139.69</v>
      </c>
      <c r="EU145" s="366">
        <v>407.03</v>
      </c>
      <c r="EV145" s="366">
        <v>259.11</v>
      </c>
      <c r="EW145" s="366">
        <v>166.78</v>
      </c>
      <c r="EX145" s="366">
        <v>489.82</v>
      </c>
      <c r="EY145" s="366">
        <v>489.82</v>
      </c>
      <c r="EZ145" s="366">
        <v>453.14</v>
      </c>
      <c r="FA145" s="366">
        <v>405.77</v>
      </c>
      <c r="FB145" s="366">
        <v>377.18</v>
      </c>
      <c r="FC145" s="366">
        <v>458.61</v>
      </c>
      <c r="FD145" s="366">
        <v>313.8</v>
      </c>
      <c r="FE145" s="366">
        <v>171.23</v>
      </c>
      <c r="FF145" s="366">
        <v>249.35</v>
      </c>
      <c r="FG145" s="366">
        <v>238.89</v>
      </c>
      <c r="FH145" s="366">
        <v>238.89</v>
      </c>
      <c r="FI145" s="366">
        <v>239.98</v>
      </c>
      <c r="FJ145" s="366">
        <v>245.77</v>
      </c>
      <c r="FK145" s="366">
        <v>540.82000000000005</v>
      </c>
      <c r="FL145" s="366">
        <v>539.01</v>
      </c>
      <c r="FM145" s="366">
        <v>0</v>
      </c>
      <c r="FN145" s="366">
        <v>289.86</v>
      </c>
      <c r="FO145" s="366">
        <v>370.79</v>
      </c>
      <c r="FP145" s="366">
        <v>490.96</v>
      </c>
      <c r="FQ145" s="366">
        <v>374.66</v>
      </c>
      <c r="FR145" s="366">
        <v>421.9</v>
      </c>
      <c r="FS145" s="366">
        <v>250.06</v>
      </c>
      <c r="FT145" s="366">
        <v>235.21</v>
      </c>
      <c r="FU145" s="366">
        <v>274.2</v>
      </c>
      <c r="FV145" s="366">
        <v>470.93</v>
      </c>
      <c r="FW145" s="366">
        <v>470.93</v>
      </c>
      <c r="FX145" s="366">
        <v>470.93</v>
      </c>
      <c r="FY145" s="366">
        <v>354.91</v>
      </c>
      <c r="FZ145" s="366">
        <v>194.1</v>
      </c>
      <c r="GA145" s="366">
        <v>482.06</v>
      </c>
      <c r="GB145" s="366">
        <v>288.52999999999997</v>
      </c>
      <c r="GC145" s="366">
        <v>186.56</v>
      </c>
      <c r="GD145" s="366">
        <v>412.56</v>
      </c>
      <c r="GE145" s="366">
        <v>320.52999999999997</v>
      </c>
      <c r="GF145" s="366">
        <v>287.73</v>
      </c>
      <c r="GG145" s="366">
        <v>287.73</v>
      </c>
      <c r="GH145" s="366">
        <v>530.51</v>
      </c>
      <c r="GI145" s="366">
        <v>0.16</v>
      </c>
      <c r="GJ145" s="366">
        <v>0</v>
      </c>
      <c r="GK145" s="366">
        <v>537.37</v>
      </c>
      <c r="GL145" s="366">
        <v>181.07</v>
      </c>
      <c r="GM145" s="366">
        <v>181.07</v>
      </c>
      <c r="GN145" s="366">
        <v>181.07</v>
      </c>
      <c r="GO145" s="366">
        <v>52.73</v>
      </c>
      <c r="GP145" s="366">
        <v>487.47</v>
      </c>
      <c r="GQ145" s="366">
        <v>583.08000000000004</v>
      </c>
      <c r="GR145" s="366">
        <v>62.74</v>
      </c>
      <c r="GS145" s="366">
        <v>105.23</v>
      </c>
      <c r="GT145" s="366">
        <v>302.94</v>
      </c>
      <c r="GU145" s="366">
        <v>347.76</v>
      </c>
      <c r="GV145" s="366">
        <v>708.99</v>
      </c>
      <c r="GW145" s="366">
        <v>205.53</v>
      </c>
      <c r="GX145" s="366">
        <v>299.51</v>
      </c>
      <c r="GY145" s="366">
        <v>182.04</v>
      </c>
      <c r="GZ145" s="366">
        <v>313.52</v>
      </c>
      <c r="HA145" s="366">
        <v>376.2</v>
      </c>
      <c r="HB145" s="366">
        <v>376.2</v>
      </c>
      <c r="HC145" s="366">
        <v>376.2</v>
      </c>
      <c r="HD145" s="366">
        <v>158.84</v>
      </c>
      <c r="HE145" s="366">
        <v>402.45</v>
      </c>
      <c r="HF145" s="366">
        <v>358.74</v>
      </c>
      <c r="HG145" s="366">
        <v>486.39</v>
      </c>
      <c r="HH145" s="366">
        <v>486.39</v>
      </c>
      <c r="HI145" s="366">
        <v>486.39</v>
      </c>
      <c r="HJ145" s="366">
        <v>266.86</v>
      </c>
      <c r="HK145" s="366">
        <v>229.56</v>
      </c>
      <c r="HL145" s="366">
        <v>421.99</v>
      </c>
      <c r="HM145" s="366">
        <v>8.7799999999999994</v>
      </c>
      <c r="HN145" s="366">
        <v>0</v>
      </c>
      <c r="HO145" s="366">
        <v>440.23</v>
      </c>
      <c r="HP145" s="366">
        <v>314.24</v>
      </c>
      <c r="HQ145" s="366">
        <v>470.93</v>
      </c>
      <c r="HR145" s="366">
        <v>292.24</v>
      </c>
      <c r="HS145" s="366">
        <v>3.75</v>
      </c>
      <c r="HT145" s="366">
        <v>144.79</v>
      </c>
      <c r="HU145" s="366">
        <v>161.13999999999999</v>
      </c>
      <c r="HV145" s="366">
        <v>185.61</v>
      </c>
    </row>
    <row r="146" spans="1:230">
      <c r="A146" s="366" t="s">
        <v>166</v>
      </c>
      <c r="B146" s="366">
        <v>457.92</v>
      </c>
      <c r="C146" s="366">
        <v>436.04</v>
      </c>
      <c r="D146" s="366">
        <v>336.81</v>
      </c>
      <c r="E146" s="366">
        <v>336.81</v>
      </c>
      <c r="F146" s="366">
        <v>521.82000000000005</v>
      </c>
      <c r="G146" s="366">
        <v>329.39</v>
      </c>
      <c r="H146" s="366">
        <v>380.43</v>
      </c>
      <c r="I146" s="366">
        <v>120.4</v>
      </c>
      <c r="J146" s="366">
        <v>381.36</v>
      </c>
      <c r="K146" s="366">
        <v>381.36</v>
      </c>
      <c r="L146" s="366">
        <v>327.42</v>
      </c>
      <c r="M146" s="366">
        <v>461.46</v>
      </c>
      <c r="N146" s="366">
        <v>558.36</v>
      </c>
      <c r="O146" s="366">
        <v>311.47000000000003</v>
      </c>
      <c r="P146" s="366">
        <v>311.47000000000003</v>
      </c>
      <c r="Q146" s="366">
        <v>311.47000000000003</v>
      </c>
      <c r="R146" s="366">
        <v>311.47000000000003</v>
      </c>
      <c r="S146" s="366">
        <v>311.47000000000003</v>
      </c>
      <c r="T146" s="366">
        <v>103.42</v>
      </c>
      <c r="U146" s="366">
        <v>437.43</v>
      </c>
      <c r="V146" s="366">
        <v>400.86</v>
      </c>
      <c r="W146" s="366">
        <v>300.07</v>
      </c>
      <c r="X146" s="366">
        <v>300.07</v>
      </c>
      <c r="Y146" s="366">
        <v>300.07</v>
      </c>
      <c r="Z146" s="366">
        <v>438.6</v>
      </c>
      <c r="AA146" s="366">
        <v>323.56</v>
      </c>
      <c r="AB146" s="366">
        <v>82.68</v>
      </c>
      <c r="AC146" s="366">
        <v>85.14</v>
      </c>
      <c r="AD146" s="366">
        <v>85.14</v>
      </c>
      <c r="AE146" s="366">
        <v>285.91000000000003</v>
      </c>
      <c r="AF146" s="366">
        <v>343.13</v>
      </c>
      <c r="AG146" s="366">
        <v>301.58999999999997</v>
      </c>
      <c r="AH146" s="366">
        <v>166.45</v>
      </c>
      <c r="AI146" s="366">
        <v>166.45</v>
      </c>
      <c r="AJ146" s="366">
        <v>166.45</v>
      </c>
      <c r="AK146" s="366">
        <v>460.8</v>
      </c>
      <c r="AL146" s="366">
        <v>460.8</v>
      </c>
      <c r="AM146" s="366">
        <v>85.4</v>
      </c>
      <c r="AN146" s="366">
        <v>270.64</v>
      </c>
      <c r="AO146" s="366">
        <v>336.51</v>
      </c>
      <c r="AP146" s="366">
        <v>132.87</v>
      </c>
      <c r="AQ146" s="366">
        <v>478.36</v>
      </c>
      <c r="AR146" s="366">
        <v>421.1</v>
      </c>
      <c r="AS146" s="366">
        <v>251.97</v>
      </c>
      <c r="AT146" s="366">
        <v>251.97</v>
      </c>
      <c r="AU146" s="366">
        <v>315.72000000000003</v>
      </c>
      <c r="AV146" s="366">
        <v>468.48</v>
      </c>
      <c r="AW146" s="366">
        <v>343.9</v>
      </c>
      <c r="AX146" s="366">
        <v>39.22</v>
      </c>
      <c r="AY146" s="366">
        <v>594.07000000000005</v>
      </c>
      <c r="AZ146" s="366">
        <v>404.66</v>
      </c>
      <c r="BA146" s="366">
        <v>298.74</v>
      </c>
      <c r="BB146" s="366">
        <v>596.96</v>
      </c>
      <c r="BC146" s="366">
        <v>240.8</v>
      </c>
      <c r="BD146" s="366">
        <v>150.57</v>
      </c>
      <c r="BE146" s="366">
        <v>404.92</v>
      </c>
      <c r="BF146" s="366">
        <v>79.650000000000006</v>
      </c>
      <c r="BG146" s="366">
        <v>446.15</v>
      </c>
      <c r="BH146" s="366">
        <v>311.47000000000003</v>
      </c>
      <c r="BI146" s="366">
        <v>421.13</v>
      </c>
      <c r="BJ146" s="366">
        <v>384.27</v>
      </c>
      <c r="BK146" s="366">
        <v>472.44</v>
      </c>
      <c r="BL146" s="366">
        <v>329.81</v>
      </c>
      <c r="BM146" s="366">
        <v>353.02</v>
      </c>
      <c r="BN146" s="366">
        <v>363.75</v>
      </c>
      <c r="BO146" s="366">
        <v>514.64</v>
      </c>
      <c r="BP146" s="366">
        <v>480.5</v>
      </c>
      <c r="BQ146" s="366">
        <v>141.1</v>
      </c>
      <c r="BR146" s="366">
        <v>141.1</v>
      </c>
      <c r="BS146" s="366">
        <v>412.23</v>
      </c>
      <c r="BT146" s="366">
        <v>413.05</v>
      </c>
      <c r="BU146" s="366">
        <v>63.18</v>
      </c>
      <c r="BV146" s="366">
        <v>82.8</v>
      </c>
      <c r="BW146" s="366">
        <v>375.01</v>
      </c>
      <c r="BX146" s="366">
        <v>353.32</v>
      </c>
      <c r="BY146" s="366">
        <v>428.34</v>
      </c>
      <c r="BZ146" s="366">
        <v>428.34</v>
      </c>
      <c r="CA146" s="366">
        <v>305.10000000000002</v>
      </c>
      <c r="CB146" s="366">
        <v>371.75</v>
      </c>
      <c r="CC146" s="366">
        <v>68.05</v>
      </c>
      <c r="CD146" s="366">
        <v>81.53</v>
      </c>
      <c r="CE146" s="366">
        <v>455.67</v>
      </c>
      <c r="CF146" s="366">
        <v>341.86</v>
      </c>
      <c r="CG146" s="366">
        <v>341.86</v>
      </c>
      <c r="CH146" s="366">
        <v>126.1</v>
      </c>
      <c r="CI146" s="366">
        <v>184.67</v>
      </c>
      <c r="CJ146" s="366">
        <v>352.81</v>
      </c>
      <c r="CK146" s="366">
        <v>433.43</v>
      </c>
      <c r="CL146" s="366">
        <v>329.51</v>
      </c>
      <c r="CM146" s="366">
        <v>187.08</v>
      </c>
      <c r="CN146" s="366">
        <v>333.64</v>
      </c>
      <c r="CO146" s="366">
        <v>419.71</v>
      </c>
      <c r="CP146" s="366">
        <v>147.79</v>
      </c>
      <c r="CQ146" s="366">
        <v>147.79</v>
      </c>
      <c r="CR146" s="366">
        <v>371.03</v>
      </c>
      <c r="CS146" s="366">
        <v>371.03</v>
      </c>
      <c r="CT146" s="366">
        <v>361.59</v>
      </c>
      <c r="CU146" s="366">
        <v>369.46</v>
      </c>
      <c r="CV146" s="366">
        <v>363.41</v>
      </c>
      <c r="CW146" s="366">
        <v>400.86</v>
      </c>
      <c r="CX146" s="366">
        <v>55.76</v>
      </c>
      <c r="CY146" s="366">
        <v>233.5</v>
      </c>
      <c r="CZ146" s="366">
        <v>254.74</v>
      </c>
      <c r="DA146" s="366">
        <v>496.41</v>
      </c>
      <c r="DB146" s="366">
        <v>380.25</v>
      </c>
      <c r="DC146" s="366">
        <v>380.25</v>
      </c>
      <c r="DD146" s="366">
        <v>257</v>
      </c>
      <c r="DE146" s="366">
        <v>574.04</v>
      </c>
      <c r="DF146" s="366">
        <v>506.28</v>
      </c>
      <c r="DG146" s="366">
        <v>155.02000000000001</v>
      </c>
      <c r="DH146" s="366">
        <v>636.6</v>
      </c>
      <c r="DI146" s="366">
        <v>207.68</v>
      </c>
      <c r="DJ146" s="366">
        <v>270.94</v>
      </c>
      <c r="DK146" s="366">
        <v>315.74</v>
      </c>
      <c r="DL146" s="366">
        <v>69.180000000000007</v>
      </c>
      <c r="DM146" s="366">
        <v>423.62</v>
      </c>
      <c r="DN146" s="366">
        <v>222.44</v>
      </c>
      <c r="DO146" s="366">
        <v>342.31</v>
      </c>
      <c r="DP146" s="366">
        <v>248.92</v>
      </c>
      <c r="DQ146" s="366">
        <v>386.35</v>
      </c>
      <c r="DR146" s="366">
        <v>636.6</v>
      </c>
      <c r="DS146" s="366">
        <v>420.61</v>
      </c>
      <c r="DT146" s="366">
        <v>408.9</v>
      </c>
      <c r="DU146" s="366">
        <v>526.75</v>
      </c>
      <c r="DV146" s="366">
        <v>464.44</v>
      </c>
      <c r="DW146" s="366">
        <v>268.39</v>
      </c>
      <c r="DX146" s="366">
        <v>361.33</v>
      </c>
      <c r="DY146" s="366">
        <v>434.72</v>
      </c>
      <c r="DZ146" s="366">
        <v>246.02</v>
      </c>
      <c r="EA146" s="366">
        <v>403.38</v>
      </c>
      <c r="EB146" s="366">
        <v>428.72</v>
      </c>
      <c r="EC146" s="366">
        <v>362.25</v>
      </c>
      <c r="ED146" s="366">
        <v>237.45</v>
      </c>
      <c r="EE146" s="366">
        <v>248.24</v>
      </c>
      <c r="EF146" s="366">
        <v>139.15</v>
      </c>
      <c r="EG146" s="366">
        <v>343.9</v>
      </c>
      <c r="EH146" s="366">
        <v>343.9</v>
      </c>
      <c r="EI146" s="366">
        <v>82</v>
      </c>
      <c r="EJ146" s="366">
        <v>624.66</v>
      </c>
      <c r="EK146" s="366">
        <v>237.35</v>
      </c>
      <c r="EL146" s="366">
        <v>237.35</v>
      </c>
      <c r="EM146" s="366">
        <v>331.46</v>
      </c>
      <c r="EN146" s="366">
        <v>331.46</v>
      </c>
      <c r="EO146" s="366">
        <v>85.4</v>
      </c>
      <c r="EP146" s="366">
        <v>0</v>
      </c>
      <c r="EQ146" s="366">
        <v>352.1</v>
      </c>
      <c r="ER146" s="366">
        <v>407.47</v>
      </c>
      <c r="ES146" s="366">
        <v>435.94</v>
      </c>
      <c r="ET146" s="366">
        <v>123.13</v>
      </c>
      <c r="EU146" s="366">
        <v>457.92</v>
      </c>
      <c r="EV146" s="366">
        <v>300.07</v>
      </c>
      <c r="EW146" s="366">
        <v>81.38</v>
      </c>
      <c r="EX146" s="366">
        <v>412.68</v>
      </c>
      <c r="EY146" s="366">
        <v>412.68</v>
      </c>
      <c r="EZ146" s="366">
        <v>376</v>
      </c>
      <c r="FA146" s="366">
        <v>328.63</v>
      </c>
      <c r="FB146" s="366">
        <v>300.04000000000002</v>
      </c>
      <c r="FC146" s="366">
        <v>381.47</v>
      </c>
      <c r="FD146" s="366">
        <v>236.66</v>
      </c>
      <c r="FE146" s="366">
        <v>85.83</v>
      </c>
      <c r="FF146" s="366">
        <v>172.21</v>
      </c>
      <c r="FG146" s="366">
        <v>289.77999999999997</v>
      </c>
      <c r="FH146" s="366">
        <v>289.77999999999997</v>
      </c>
      <c r="FI146" s="366">
        <v>280.94</v>
      </c>
      <c r="FJ146" s="366">
        <v>286.73</v>
      </c>
      <c r="FK146" s="366">
        <v>463.68</v>
      </c>
      <c r="FL146" s="366">
        <v>461.87</v>
      </c>
      <c r="FM146" s="366">
        <v>85.4</v>
      </c>
      <c r="FN146" s="366">
        <v>330.82</v>
      </c>
      <c r="FO146" s="366">
        <v>411.75</v>
      </c>
      <c r="FP146" s="366">
        <v>413.82</v>
      </c>
      <c r="FQ146" s="366">
        <v>415.62</v>
      </c>
      <c r="FR146" s="366">
        <v>344.76</v>
      </c>
      <c r="FS146" s="366">
        <v>172.92</v>
      </c>
      <c r="FT146" s="366">
        <v>286.10000000000002</v>
      </c>
      <c r="FU146" s="366">
        <v>197.06</v>
      </c>
      <c r="FV146" s="366">
        <v>521.82000000000005</v>
      </c>
      <c r="FW146" s="366">
        <v>521.82000000000005</v>
      </c>
      <c r="FX146" s="366">
        <v>521.82000000000005</v>
      </c>
      <c r="FY146" s="366">
        <v>277.77</v>
      </c>
      <c r="FZ146" s="366">
        <v>108.7</v>
      </c>
      <c r="GA146" s="366">
        <v>404.92</v>
      </c>
      <c r="GB146" s="366">
        <v>211.39</v>
      </c>
      <c r="GC146" s="366">
        <v>237.45</v>
      </c>
      <c r="GD146" s="366">
        <v>335.42</v>
      </c>
      <c r="GE146" s="366">
        <v>361.49</v>
      </c>
      <c r="GF146" s="366">
        <v>210.59</v>
      </c>
      <c r="GG146" s="366">
        <v>210.59</v>
      </c>
      <c r="GH146" s="366">
        <v>453.37</v>
      </c>
      <c r="GI146" s="366">
        <v>85.56</v>
      </c>
      <c r="GJ146" s="366">
        <v>85.4</v>
      </c>
      <c r="GK146" s="366">
        <v>460.23</v>
      </c>
      <c r="GL146" s="366">
        <v>95.67</v>
      </c>
      <c r="GM146" s="366">
        <v>95.67</v>
      </c>
      <c r="GN146" s="366">
        <v>95.67</v>
      </c>
      <c r="GO146" s="366">
        <v>93.69</v>
      </c>
      <c r="GP146" s="366">
        <v>410.33</v>
      </c>
      <c r="GQ146" s="366">
        <v>505.94</v>
      </c>
      <c r="GR146" s="366">
        <v>113.63</v>
      </c>
      <c r="GS146" s="366">
        <v>146.19</v>
      </c>
      <c r="GT146" s="366">
        <v>343.9</v>
      </c>
      <c r="GU146" s="366">
        <v>270.62</v>
      </c>
      <c r="GV146" s="366">
        <v>631.85</v>
      </c>
      <c r="GW146" s="366">
        <v>120.13</v>
      </c>
      <c r="GX146" s="366">
        <v>340.47</v>
      </c>
      <c r="GY146" s="366">
        <v>165.48</v>
      </c>
      <c r="GZ146" s="366">
        <v>236.38</v>
      </c>
      <c r="HA146" s="366">
        <v>417.16</v>
      </c>
      <c r="HB146" s="366">
        <v>417.16</v>
      </c>
      <c r="HC146" s="366">
        <v>417.16</v>
      </c>
      <c r="HD146" s="366">
        <v>209.73</v>
      </c>
      <c r="HE146" s="366">
        <v>325.31</v>
      </c>
      <c r="HF146" s="366">
        <v>281.60000000000002</v>
      </c>
      <c r="HG146" s="366">
        <v>409.25</v>
      </c>
      <c r="HH146" s="366">
        <v>409.25</v>
      </c>
      <c r="HI146" s="366">
        <v>409.25</v>
      </c>
      <c r="HJ146" s="366">
        <v>189.72</v>
      </c>
      <c r="HK146" s="366">
        <v>270.52</v>
      </c>
      <c r="HL146" s="366">
        <v>344.85</v>
      </c>
      <c r="HM146" s="366">
        <v>82.68</v>
      </c>
      <c r="HN146" s="366">
        <v>85.4</v>
      </c>
      <c r="HO146" s="366">
        <v>491.12</v>
      </c>
      <c r="HP146" s="366">
        <v>237.1</v>
      </c>
      <c r="HQ146" s="366">
        <v>521.82000000000005</v>
      </c>
      <c r="HR146" s="366">
        <v>343.13</v>
      </c>
      <c r="HS146" s="366">
        <v>81.650000000000006</v>
      </c>
      <c r="HT146" s="366">
        <v>135.93</v>
      </c>
      <c r="HU146" s="366">
        <v>144.58000000000001</v>
      </c>
      <c r="HV146" s="366">
        <v>100.21</v>
      </c>
    </row>
    <row r="147" spans="1:230">
      <c r="A147" s="366" t="s">
        <v>167</v>
      </c>
      <c r="B147" s="366">
        <v>573.74</v>
      </c>
      <c r="C147" s="366">
        <v>296.2</v>
      </c>
      <c r="D147" s="366">
        <v>100.11</v>
      </c>
      <c r="E147" s="366">
        <v>100.11</v>
      </c>
      <c r="F147" s="366">
        <v>637.64</v>
      </c>
      <c r="G147" s="366">
        <v>374.15</v>
      </c>
      <c r="H147" s="366">
        <v>56.49</v>
      </c>
      <c r="I147" s="366">
        <v>269.89</v>
      </c>
      <c r="J147" s="366">
        <v>32.71</v>
      </c>
      <c r="K147" s="366">
        <v>32.71</v>
      </c>
      <c r="L147" s="366">
        <v>118.02</v>
      </c>
      <c r="M147" s="366">
        <v>321.62</v>
      </c>
      <c r="N147" s="366">
        <v>418.52</v>
      </c>
      <c r="O147" s="366">
        <v>341.93</v>
      </c>
      <c r="P147" s="366">
        <v>341.93</v>
      </c>
      <c r="Q147" s="366">
        <v>341.93</v>
      </c>
      <c r="R147" s="366">
        <v>341.93</v>
      </c>
      <c r="S147" s="366">
        <v>341.93</v>
      </c>
      <c r="T147" s="366">
        <v>280.93</v>
      </c>
      <c r="U147" s="366">
        <v>482.19</v>
      </c>
      <c r="V147" s="366">
        <v>396.86</v>
      </c>
      <c r="W147" s="366">
        <v>184.33</v>
      </c>
      <c r="X147" s="366">
        <v>184.33</v>
      </c>
      <c r="Y147" s="366">
        <v>184.33</v>
      </c>
      <c r="Z147" s="366">
        <v>434.6</v>
      </c>
      <c r="AA147" s="366">
        <v>368.32</v>
      </c>
      <c r="AB147" s="366">
        <v>308.42</v>
      </c>
      <c r="AC147" s="366">
        <v>300.55</v>
      </c>
      <c r="AD147" s="366">
        <v>300.55</v>
      </c>
      <c r="AE147" s="366">
        <v>151.01</v>
      </c>
      <c r="AF147" s="366">
        <v>387.89</v>
      </c>
      <c r="AG147" s="366">
        <v>185.85</v>
      </c>
      <c r="AH147" s="366">
        <v>315.94</v>
      </c>
      <c r="AI147" s="366">
        <v>315.94</v>
      </c>
      <c r="AJ147" s="366">
        <v>315.94</v>
      </c>
      <c r="AK147" s="366">
        <v>456.8</v>
      </c>
      <c r="AL147" s="366">
        <v>456.8</v>
      </c>
      <c r="AM147" s="366">
        <v>311.14</v>
      </c>
      <c r="AN147" s="366">
        <v>301.10000000000002</v>
      </c>
      <c r="AO147" s="366">
        <v>390.76</v>
      </c>
      <c r="AP147" s="366">
        <v>219.23</v>
      </c>
      <c r="AQ147" s="366">
        <v>594.17999999999995</v>
      </c>
      <c r="AR147" s="366">
        <v>69</v>
      </c>
      <c r="AS147" s="366">
        <v>193.47</v>
      </c>
      <c r="AT147" s="366">
        <v>193.47</v>
      </c>
      <c r="AU147" s="366">
        <v>311.72000000000003</v>
      </c>
      <c r="AV147" s="366">
        <v>513.24</v>
      </c>
      <c r="AW147" s="366">
        <v>15.06</v>
      </c>
      <c r="AX147" s="366">
        <v>351.07</v>
      </c>
      <c r="AY147" s="366">
        <v>454.23</v>
      </c>
      <c r="AZ147" s="366">
        <v>264.82</v>
      </c>
      <c r="BA147" s="366">
        <v>514.15</v>
      </c>
      <c r="BB147" s="366">
        <v>457.12</v>
      </c>
      <c r="BC147" s="366">
        <v>456.21</v>
      </c>
      <c r="BD147" s="366">
        <v>365.98</v>
      </c>
      <c r="BE147" s="366">
        <v>400.92</v>
      </c>
      <c r="BF147" s="366">
        <v>305.39</v>
      </c>
      <c r="BG147" s="366">
        <v>442.15</v>
      </c>
      <c r="BH147" s="366">
        <v>341.93</v>
      </c>
      <c r="BI147" s="366">
        <v>69.03</v>
      </c>
      <c r="BJ147" s="366">
        <v>380.27</v>
      </c>
      <c r="BK147" s="366">
        <v>332.6</v>
      </c>
      <c r="BL147" s="366">
        <v>107.11</v>
      </c>
      <c r="BM147" s="366">
        <v>83.9</v>
      </c>
      <c r="BN147" s="366">
        <v>408.51</v>
      </c>
      <c r="BO147" s="366">
        <v>374.8</v>
      </c>
      <c r="BP147" s="366">
        <v>340.66</v>
      </c>
      <c r="BQ147" s="366">
        <v>290.58999999999997</v>
      </c>
      <c r="BR147" s="366">
        <v>290.58999999999997</v>
      </c>
      <c r="BS147" s="366">
        <v>272.39</v>
      </c>
      <c r="BT147" s="366">
        <v>60.95</v>
      </c>
      <c r="BU147" s="366">
        <v>288.92</v>
      </c>
      <c r="BV147" s="366">
        <v>308.54000000000002</v>
      </c>
      <c r="BW147" s="366">
        <v>371.01</v>
      </c>
      <c r="BX147" s="366">
        <v>213.48</v>
      </c>
      <c r="BY147" s="366">
        <v>424.34</v>
      </c>
      <c r="BZ147" s="366">
        <v>424.34</v>
      </c>
      <c r="CA147" s="366">
        <v>47</v>
      </c>
      <c r="CB147" s="366">
        <v>231.91</v>
      </c>
      <c r="CC147" s="366">
        <v>322.24</v>
      </c>
      <c r="CD147" s="366">
        <v>335.72</v>
      </c>
      <c r="CE147" s="366">
        <v>315.83</v>
      </c>
      <c r="CF147" s="366">
        <v>386.62</v>
      </c>
      <c r="CG147" s="366">
        <v>386.62</v>
      </c>
      <c r="CH147" s="366">
        <v>275.58999999999997</v>
      </c>
      <c r="CI147" s="366">
        <v>284.89</v>
      </c>
      <c r="CJ147" s="366">
        <v>397.57</v>
      </c>
      <c r="CK147" s="366">
        <v>429.43</v>
      </c>
      <c r="CL147" s="366">
        <v>325.51</v>
      </c>
      <c r="CM147" s="366">
        <v>402.49</v>
      </c>
      <c r="CN147" s="366">
        <v>329.64</v>
      </c>
      <c r="CO147" s="366">
        <v>67.61</v>
      </c>
      <c r="CP147" s="366">
        <v>297.27999999999997</v>
      </c>
      <c r="CQ147" s="366">
        <v>297.27999999999997</v>
      </c>
      <c r="CR147" s="366">
        <v>18.93</v>
      </c>
      <c r="CS147" s="366">
        <v>18.93</v>
      </c>
      <c r="CT147" s="366">
        <v>9.49</v>
      </c>
      <c r="CU147" s="366">
        <v>17.36</v>
      </c>
      <c r="CV147" s="366">
        <v>34.57</v>
      </c>
      <c r="CW147" s="366">
        <v>396.86</v>
      </c>
      <c r="CX147" s="366">
        <v>341.31</v>
      </c>
      <c r="CY147" s="366">
        <v>448.91</v>
      </c>
      <c r="CZ147" s="366">
        <v>470.15</v>
      </c>
      <c r="DA147" s="366">
        <v>356.57</v>
      </c>
      <c r="DB147" s="366">
        <v>376.25</v>
      </c>
      <c r="DC147" s="366">
        <v>376.25</v>
      </c>
      <c r="DD147" s="366">
        <v>171.49</v>
      </c>
      <c r="DE147" s="366">
        <v>434.2</v>
      </c>
      <c r="DF147" s="366">
        <v>622.1</v>
      </c>
      <c r="DG147" s="366">
        <v>314.54000000000002</v>
      </c>
      <c r="DH147" s="366">
        <v>496.76</v>
      </c>
      <c r="DI147" s="366">
        <v>252.44</v>
      </c>
      <c r="DJ147" s="366">
        <v>456.33</v>
      </c>
      <c r="DK147" s="366">
        <v>175.9</v>
      </c>
      <c r="DL147" s="366">
        <v>282.92</v>
      </c>
      <c r="DM147" s="366">
        <v>283.77999999999997</v>
      </c>
      <c r="DN147" s="366">
        <v>267.2</v>
      </c>
      <c r="DO147" s="366">
        <v>202.47</v>
      </c>
      <c r="DP147" s="366">
        <v>133.18</v>
      </c>
      <c r="DQ147" s="366">
        <v>382.35</v>
      </c>
      <c r="DR147" s="366">
        <v>496.76</v>
      </c>
      <c r="DS147" s="366">
        <v>71.959999999999994</v>
      </c>
      <c r="DT147" s="366">
        <v>60.25</v>
      </c>
      <c r="DU147" s="366">
        <v>386.91</v>
      </c>
      <c r="DV147" s="366">
        <v>453.62</v>
      </c>
      <c r="DW147" s="366">
        <v>177.05</v>
      </c>
      <c r="DX147" s="366">
        <v>357.33</v>
      </c>
      <c r="DY147" s="366">
        <v>430.72</v>
      </c>
      <c r="DZ147" s="366">
        <v>181.16</v>
      </c>
      <c r="EA147" s="366">
        <v>51.28</v>
      </c>
      <c r="EB147" s="366">
        <v>424.72</v>
      </c>
      <c r="EC147" s="366">
        <v>74.67</v>
      </c>
      <c r="ED147" s="366">
        <v>282.20999999999998</v>
      </c>
      <c r="EE147" s="366">
        <v>293</v>
      </c>
      <c r="EF147" s="366">
        <v>212.95</v>
      </c>
      <c r="EG147" s="366">
        <v>15.06</v>
      </c>
      <c r="EH147" s="366">
        <v>15.06</v>
      </c>
      <c r="EI147" s="366">
        <v>336.19</v>
      </c>
      <c r="EJ147" s="366">
        <v>484.82</v>
      </c>
      <c r="EK147" s="366">
        <v>233.35</v>
      </c>
      <c r="EL147" s="366">
        <v>233.35</v>
      </c>
      <c r="EM147" s="366">
        <v>327.45999999999998</v>
      </c>
      <c r="EN147" s="366">
        <v>327.45999999999998</v>
      </c>
      <c r="EO147" s="366">
        <v>311.14</v>
      </c>
      <c r="EP147" s="366">
        <v>352.1</v>
      </c>
      <c r="EQ147" s="366">
        <v>0</v>
      </c>
      <c r="ER147" s="366">
        <v>452.23</v>
      </c>
      <c r="ES147" s="366">
        <v>296.10000000000002</v>
      </c>
      <c r="ET147" s="366">
        <v>272.62</v>
      </c>
      <c r="EU147" s="366">
        <v>573.74</v>
      </c>
      <c r="EV147" s="366">
        <v>184.33</v>
      </c>
      <c r="EW147" s="366">
        <v>335.57</v>
      </c>
      <c r="EX147" s="366">
        <v>272.83999999999997</v>
      </c>
      <c r="EY147" s="366">
        <v>272.83999999999997</v>
      </c>
      <c r="EZ147" s="366">
        <v>379.27</v>
      </c>
      <c r="FA147" s="366">
        <v>324.63</v>
      </c>
      <c r="FB147" s="366">
        <v>160.19999999999999</v>
      </c>
      <c r="FC147" s="366">
        <v>377.47</v>
      </c>
      <c r="FD147" s="366">
        <v>267.12</v>
      </c>
      <c r="FE147" s="366">
        <v>340.02</v>
      </c>
      <c r="FF147" s="366">
        <v>333.93</v>
      </c>
      <c r="FG147" s="366">
        <v>505.19</v>
      </c>
      <c r="FH147" s="366">
        <v>505.19</v>
      </c>
      <c r="FI147" s="366">
        <v>165.2</v>
      </c>
      <c r="FJ147" s="366">
        <v>170.99</v>
      </c>
      <c r="FK147" s="366">
        <v>323.83999999999997</v>
      </c>
      <c r="FL147" s="366">
        <v>322.02999999999997</v>
      </c>
      <c r="FM147" s="366">
        <v>311.14</v>
      </c>
      <c r="FN147" s="366">
        <v>215.08</v>
      </c>
      <c r="FO147" s="366">
        <v>59.65</v>
      </c>
      <c r="FP147" s="366">
        <v>409.82</v>
      </c>
      <c r="FQ147" s="366">
        <v>63.52</v>
      </c>
      <c r="FR147" s="366">
        <v>135.36000000000001</v>
      </c>
      <c r="FS147" s="366">
        <v>264</v>
      </c>
      <c r="FT147" s="366">
        <v>441.17</v>
      </c>
      <c r="FU147" s="366">
        <v>272.5</v>
      </c>
      <c r="FV147" s="366">
        <v>637.64</v>
      </c>
      <c r="FW147" s="366">
        <v>637.64</v>
      </c>
      <c r="FX147" s="366">
        <v>637.64</v>
      </c>
      <c r="FY147" s="366">
        <v>273.77</v>
      </c>
      <c r="FZ147" s="366">
        <v>348.66</v>
      </c>
      <c r="GA147" s="366">
        <v>400.92</v>
      </c>
      <c r="GB147" s="366">
        <v>302.47000000000003</v>
      </c>
      <c r="GC147" s="366">
        <v>282.20999999999998</v>
      </c>
      <c r="GD147" s="366">
        <v>195.58</v>
      </c>
      <c r="GE147" s="366">
        <v>9.39</v>
      </c>
      <c r="GF147" s="366">
        <v>258.97000000000003</v>
      </c>
      <c r="GG147" s="366">
        <v>258.97000000000003</v>
      </c>
      <c r="GH147" s="366">
        <v>449.37</v>
      </c>
      <c r="GI147" s="366">
        <v>311.3</v>
      </c>
      <c r="GJ147" s="366">
        <v>311.14</v>
      </c>
      <c r="GK147" s="366">
        <v>320.39</v>
      </c>
      <c r="GL147" s="366">
        <v>341.25</v>
      </c>
      <c r="GM147" s="366">
        <v>341.25</v>
      </c>
      <c r="GN147" s="366">
        <v>341.25</v>
      </c>
      <c r="GO147" s="366">
        <v>258.41000000000003</v>
      </c>
      <c r="GP147" s="366">
        <v>406.33</v>
      </c>
      <c r="GQ147" s="366">
        <v>366.1</v>
      </c>
      <c r="GR147" s="366">
        <v>313.55</v>
      </c>
      <c r="GS147" s="366">
        <v>238.16</v>
      </c>
      <c r="GT147" s="366">
        <v>15.06</v>
      </c>
      <c r="GU147" s="366">
        <v>169.18</v>
      </c>
      <c r="GV147" s="366">
        <v>492.01</v>
      </c>
      <c r="GW147" s="366">
        <v>317.23</v>
      </c>
      <c r="GX147" s="366">
        <v>11.63</v>
      </c>
      <c r="GY147" s="366">
        <v>314.97000000000003</v>
      </c>
      <c r="GZ147" s="366">
        <v>266.83999999999997</v>
      </c>
      <c r="HA147" s="366">
        <v>65.06</v>
      </c>
      <c r="HB147" s="366">
        <v>65.06</v>
      </c>
      <c r="HC147" s="366">
        <v>65.06</v>
      </c>
      <c r="HD147" s="366">
        <v>217.45</v>
      </c>
      <c r="HE147" s="366">
        <v>321.31</v>
      </c>
      <c r="HF147" s="366">
        <v>277.60000000000002</v>
      </c>
      <c r="HG147" s="366">
        <v>405.25</v>
      </c>
      <c r="HH147" s="366">
        <v>405.25</v>
      </c>
      <c r="HI147" s="366">
        <v>405.25</v>
      </c>
      <c r="HJ147" s="366">
        <v>279.83999999999997</v>
      </c>
      <c r="HK147" s="366">
        <v>87.55</v>
      </c>
      <c r="HL147" s="366">
        <v>375.31</v>
      </c>
      <c r="HM147" s="366">
        <v>308.42</v>
      </c>
      <c r="HN147" s="366">
        <v>311.14</v>
      </c>
      <c r="HO147" s="366">
        <v>541.9</v>
      </c>
      <c r="HP147" s="366">
        <v>267.56</v>
      </c>
      <c r="HQ147" s="366">
        <v>637.64</v>
      </c>
      <c r="HR147" s="366">
        <v>387.89</v>
      </c>
      <c r="HS147" s="366">
        <v>307.39</v>
      </c>
      <c r="HT147" s="366">
        <v>259.55</v>
      </c>
      <c r="HU147" s="366">
        <v>294.07</v>
      </c>
      <c r="HV147" s="366">
        <v>354.4</v>
      </c>
    </row>
    <row r="148" spans="1:230">
      <c r="A148" s="366" t="s">
        <v>168</v>
      </c>
      <c r="B148" s="366">
        <v>125.07</v>
      </c>
      <c r="C148" s="366">
        <v>744.98</v>
      </c>
      <c r="D148" s="366">
        <v>548.89</v>
      </c>
      <c r="E148" s="366">
        <v>548.89</v>
      </c>
      <c r="F148" s="366">
        <v>188.97</v>
      </c>
      <c r="G148" s="366">
        <v>89.74</v>
      </c>
      <c r="H148" s="366">
        <v>505.27</v>
      </c>
      <c r="I148" s="366">
        <v>459.03</v>
      </c>
      <c r="J148" s="366">
        <v>481.49</v>
      </c>
      <c r="K148" s="366">
        <v>481.49</v>
      </c>
      <c r="L148" s="366">
        <v>566.79999999999995</v>
      </c>
      <c r="M148" s="366">
        <v>770.4</v>
      </c>
      <c r="N148" s="366">
        <v>867.3</v>
      </c>
      <c r="O148" s="366">
        <v>710.68</v>
      </c>
      <c r="P148" s="366">
        <v>710.68</v>
      </c>
      <c r="Q148" s="366">
        <v>710.68</v>
      </c>
      <c r="R148" s="366">
        <v>710.68</v>
      </c>
      <c r="S148" s="366">
        <v>710.68</v>
      </c>
      <c r="T148" s="366">
        <v>384.53</v>
      </c>
      <c r="U148" s="366">
        <v>67.5</v>
      </c>
      <c r="V148" s="366">
        <v>800.07</v>
      </c>
      <c r="W148" s="366">
        <v>370.2</v>
      </c>
      <c r="X148" s="366">
        <v>370.2</v>
      </c>
      <c r="Y148" s="366">
        <v>370.2</v>
      </c>
      <c r="Z148" s="366">
        <v>837.81</v>
      </c>
      <c r="AA148" s="366">
        <v>83.91</v>
      </c>
      <c r="AB148" s="366">
        <v>353.86</v>
      </c>
      <c r="AC148" s="366">
        <v>322.33</v>
      </c>
      <c r="AD148" s="366">
        <v>322.33</v>
      </c>
      <c r="AE148" s="366">
        <v>599.79</v>
      </c>
      <c r="AF148" s="366">
        <v>103.48</v>
      </c>
      <c r="AG148" s="366">
        <v>401.72</v>
      </c>
      <c r="AH148" s="366">
        <v>505.08</v>
      </c>
      <c r="AI148" s="366">
        <v>505.08</v>
      </c>
      <c r="AJ148" s="366">
        <v>505.08</v>
      </c>
      <c r="AK148" s="366">
        <v>860.01</v>
      </c>
      <c r="AL148" s="366">
        <v>860.01</v>
      </c>
      <c r="AM148" s="366">
        <v>356.58</v>
      </c>
      <c r="AN148" s="366">
        <v>669.85</v>
      </c>
      <c r="AO148" s="366">
        <v>106.35</v>
      </c>
      <c r="AP148" s="366">
        <v>403.65</v>
      </c>
      <c r="AQ148" s="366">
        <v>145.51</v>
      </c>
      <c r="AR148" s="366">
        <v>521.23</v>
      </c>
      <c r="AS148" s="366">
        <v>642.25</v>
      </c>
      <c r="AT148" s="366">
        <v>642.25</v>
      </c>
      <c r="AU148" s="366">
        <v>714.93</v>
      </c>
      <c r="AV148" s="366">
        <v>64.569999999999993</v>
      </c>
      <c r="AW148" s="366">
        <v>444.03</v>
      </c>
      <c r="AX148" s="366">
        <v>446.69</v>
      </c>
      <c r="AY148" s="366">
        <v>903.01</v>
      </c>
      <c r="AZ148" s="366">
        <v>713.6</v>
      </c>
      <c r="BA148" s="366">
        <v>282.95999999999998</v>
      </c>
      <c r="BB148" s="366">
        <v>905.9</v>
      </c>
      <c r="BC148" s="366">
        <v>202.06</v>
      </c>
      <c r="BD148" s="366">
        <v>292.29000000000002</v>
      </c>
      <c r="BE148" s="366">
        <v>804.13</v>
      </c>
      <c r="BF148" s="366">
        <v>350.83</v>
      </c>
      <c r="BG148" s="366">
        <v>845.36</v>
      </c>
      <c r="BH148" s="366">
        <v>710.68</v>
      </c>
      <c r="BI148" s="366">
        <v>521.26</v>
      </c>
      <c r="BJ148" s="366">
        <v>783.48</v>
      </c>
      <c r="BK148" s="366">
        <v>781.38</v>
      </c>
      <c r="BL148" s="366">
        <v>555.89</v>
      </c>
      <c r="BM148" s="366">
        <v>532.67999999999995</v>
      </c>
      <c r="BN148" s="366">
        <v>124.1</v>
      </c>
      <c r="BO148" s="366">
        <v>823.58</v>
      </c>
      <c r="BP148" s="366">
        <v>789.44</v>
      </c>
      <c r="BQ148" s="366">
        <v>479.73</v>
      </c>
      <c r="BR148" s="366">
        <v>479.73</v>
      </c>
      <c r="BS148" s="366">
        <v>721.17</v>
      </c>
      <c r="BT148" s="366">
        <v>513.17999999999995</v>
      </c>
      <c r="BU148" s="366">
        <v>344.29</v>
      </c>
      <c r="BV148" s="366">
        <v>353.98</v>
      </c>
      <c r="BW148" s="366">
        <v>774.22</v>
      </c>
      <c r="BX148" s="366">
        <v>662.26</v>
      </c>
      <c r="BY148" s="366">
        <v>827.55</v>
      </c>
      <c r="BZ148" s="366">
        <v>827.55</v>
      </c>
      <c r="CA148" s="366">
        <v>405.23</v>
      </c>
      <c r="CB148" s="366">
        <v>680.69</v>
      </c>
      <c r="CC148" s="366">
        <v>475.52</v>
      </c>
      <c r="CD148" s="366">
        <v>489</v>
      </c>
      <c r="CE148" s="366">
        <v>764.61</v>
      </c>
      <c r="CF148" s="366">
        <v>102.21</v>
      </c>
      <c r="CG148" s="366">
        <v>102.21</v>
      </c>
      <c r="CH148" s="366">
        <v>464.73</v>
      </c>
      <c r="CI148" s="366">
        <v>583.88</v>
      </c>
      <c r="CJ148" s="366">
        <v>113.16</v>
      </c>
      <c r="CK148" s="366">
        <v>832.64</v>
      </c>
      <c r="CL148" s="366">
        <v>728.72</v>
      </c>
      <c r="CM148" s="366">
        <v>255.78</v>
      </c>
      <c r="CN148" s="366">
        <v>732.85</v>
      </c>
      <c r="CO148" s="366">
        <v>519.84</v>
      </c>
      <c r="CP148" s="366">
        <v>486.42</v>
      </c>
      <c r="CQ148" s="366">
        <v>486.42</v>
      </c>
      <c r="CR148" s="366">
        <v>471.16</v>
      </c>
      <c r="CS148" s="366">
        <v>471.16</v>
      </c>
      <c r="CT148" s="366">
        <v>461.72</v>
      </c>
      <c r="CU148" s="366">
        <v>469.59</v>
      </c>
      <c r="CV148" s="366">
        <v>463.54</v>
      </c>
      <c r="CW148" s="366">
        <v>800.07</v>
      </c>
      <c r="CX148" s="366">
        <v>463.23</v>
      </c>
      <c r="CY148" s="366">
        <v>217.72</v>
      </c>
      <c r="CZ148" s="366">
        <v>188.12</v>
      </c>
      <c r="DA148" s="366">
        <v>805.35</v>
      </c>
      <c r="DB148" s="366">
        <v>779.46</v>
      </c>
      <c r="DC148" s="366">
        <v>779.46</v>
      </c>
      <c r="DD148" s="366">
        <v>282.05</v>
      </c>
      <c r="DE148" s="366">
        <v>882.98</v>
      </c>
      <c r="DF148" s="366">
        <v>173.43</v>
      </c>
      <c r="DG148" s="366">
        <v>554.23</v>
      </c>
      <c r="DH148" s="366">
        <v>945.54</v>
      </c>
      <c r="DI148" s="366">
        <v>199.79</v>
      </c>
      <c r="DJ148" s="366">
        <v>171.92</v>
      </c>
      <c r="DK148" s="366">
        <v>624.67999999999995</v>
      </c>
      <c r="DL148" s="366">
        <v>339.96</v>
      </c>
      <c r="DM148" s="366">
        <v>732.56</v>
      </c>
      <c r="DN148" s="366">
        <v>186.82</v>
      </c>
      <c r="DO148" s="366">
        <v>651.25</v>
      </c>
      <c r="DP148" s="366">
        <v>319.05</v>
      </c>
      <c r="DQ148" s="366">
        <v>785.56</v>
      </c>
      <c r="DR148" s="366">
        <v>945.54</v>
      </c>
      <c r="DS148" s="366">
        <v>520.74</v>
      </c>
      <c r="DT148" s="366">
        <v>509.03</v>
      </c>
      <c r="DU148" s="366">
        <v>835.69</v>
      </c>
      <c r="DV148" s="366">
        <v>863.65</v>
      </c>
      <c r="DW148" s="366">
        <v>625.83000000000004</v>
      </c>
      <c r="DX148" s="366">
        <v>760.54</v>
      </c>
      <c r="DY148" s="366">
        <v>833.93</v>
      </c>
      <c r="DZ148" s="366">
        <v>271.07</v>
      </c>
      <c r="EA148" s="366">
        <v>503.51</v>
      </c>
      <c r="EB148" s="366">
        <v>827.93</v>
      </c>
      <c r="EC148" s="366">
        <v>523.45000000000005</v>
      </c>
      <c r="ED148" s="366">
        <v>170.02</v>
      </c>
      <c r="EE148" s="366">
        <v>160.13999999999999</v>
      </c>
      <c r="EF148" s="366">
        <v>409.93</v>
      </c>
      <c r="EG148" s="366">
        <v>444.03</v>
      </c>
      <c r="EH148" s="366">
        <v>444.03</v>
      </c>
      <c r="EI148" s="366">
        <v>489.47</v>
      </c>
      <c r="EJ148" s="366">
        <v>933.6</v>
      </c>
      <c r="EK148" s="366">
        <v>636.55999999999995</v>
      </c>
      <c r="EL148" s="366">
        <v>636.55999999999995</v>
      </c>
      <c r="EM148" s="366">
        <v>730.67</v>
      </c>
      <c r="EN148" s="366">
        <v>730.67</v>
      </c>
      <c r="EO148" s="366">
        <v>356.58</v>
      </c>
      <c r="EP148" s="366">
        <v>407.47</v>
      </c>
      <c r="EQ148" s="366">
        <v>452.23</v>
      </c>
      <c r="ER148" s="366">
        <v>0</v>
      </c>
      <c r="ES148" s="366">
        <v>744.88</v>
      </c>
      <c r="ET148" s="366">
        <v>461.76</v>
      </c>
      <c r="EU148" s="366">
        <v>125.07</v>
      </c>
      <c r="EV148" s="366">
        <v>370.2</v>
      </c>
      <c r="EW148" s="366">
        <v>488.85</v>
      </c>
      <c r="EX148" s="366">
        <v>721.62</v>
      </c>
      <c r="EY148" s="366">
        <v>721.62</v>
      </c>
      <c r="EZ148" s="366">
        <v>775.21</v>
      </c>
      <c r="FA148" s="366">
        <v>727.84</v>
      </c>
      <c r="FB148" s="366">
        <v>608.98</v>
      </c>
      <c r="FC148" s="366">
        <v>780.68</v>
      </c>
      <c r="FD148" s="366">
        <v>635.87</v>
      </c>
      <c r="FE148" s="366">
        <v>493.3</v>
      </c>
      <c r="FF148" s="366">
        <v>571.41999999999996</v>
      </c>
      <c r="FG148" s="366">
        <v>274</v>
      </c>
      <c r="FH148" s="366">
        <v>274</v>
      </c>
      <c r="FI148" s="366">
        <v>381.07</v>
      </c>
      <c r="FJ148" s="366">
        <v>386.86</v>
      </c>
      <c r="FK148" s="366">
        <v>772.62</v>
      </c>
      <c r="FL148" s="366">
        <v>770.81</v>
      </c>
      <c r="FM148" s="366">
        <v>356.58</v>
      </c>
      <c r="FN148" s="366">
        <v>400.95</v>
      </c>
      <c r="FO148" s="366">
        <v>511.88</v>
      </c>
      <c r="FP148" s="366">
        <v>813.03</v>
      </c>
      <c r="FQ148" s="366">
        <v>515.75</v>
      </c>
      <c r="FR148" s="366">
        <v>584.14</v>
      </c>
      <c r="FS148" s="366">
        <v>572.13</v>
      </c>
      <c r="FT148" s="366">
        <v>156.76</v>
      </c>
      <c r="FU148" s="366">
        <v>596.27</v>
      </c>
      <c r="FV148" s="366">
        <v>188.97</v>
      </c>
      <c r="FW148" s="366">
        <v>188.97</v>
      </c>
      <c r="FX148" s="366">
        <v>188.97</v>
      </c>
      <c r="FY148" s="366">
        <v>676.98</v>
      </c>
      <c r="FZ148" s="366">
        <v>516.16999999999996</v>
      </c>
      <c r="GA148" s="366">
        <v>804.13</v>
      </c>
      <c r="GB148" s="366">
        <v>610.6</v>
      </c>
      <c r="GC148" s="366">
        <v>170.02</v>
      </c>
      <c r="GD148" s="366">
        <v>644.36</v>
      </c>
      <c r="GE148" s="366">
        <v>461.62</v>
      </c>
      <c r="GF148" s="366">
        <v>609.79999999999995</v>
      </c>
      <c r="GG148" s="366">
        <v>609.79999999999995</v>
      </c>
      <c r="GH148" s="366">
        <v>852.58</v>
      </c>
      <c r="GI148" s="366">
        <v>356.74</v>
      </c>
      <c r="GJ148" s="366">
        <v>356.58</v>
      </c>
      <c r="GK148" s="366">
        <v>769.17</v>
      </c>
      <c r="GL148" s="366">
        <v>503.14</v>
      </c>
      <c r="GM148" s="366">
        <v>503.14</v>
      </c>
      <c r="GN148" s="366">
        <v>503.14</v>
      </c>
      <c r="GO148" s="366">
        <v>364.47</v>
      </c>
      <c r="GP148" s="366">
        <v>809.54</v>
      </c>
      <c r="GQ148" s="366">
        <v>814.88</v>
      </c>
      <c r="GR148" s="366">
        <v>293.83999999999997</v>
      </c>
      <c r="GS148" s="366">
        <v>427.3</v>
      </c>
      <c r="GT148" s="366">
        <v>444.03</v>
      </c>
      <c r="GU148" s="366">
        <v>617.96</v>
      </c>
      <c r="GV148" s="366">
        <v>940.79</v>
      </c>
      <c r="GW148" s="366">
        <v>527.6</v>
      </c>
      <c r="GX148" s="366">
        <v>440.6</v>
      </c>
      <c r="GY148" s="366">
        <v>504.11</v>
      </c>
      <c r="GZ148" s="366">
        <v>635.59</v>
      </c>
      <c r="HA148" s="366">
        <v>517.29</v>
      </c>
      <c r="HB148" s="366">
        <v>517.29</v>
      </c>
      <c r="HC148" s="366">
        <v>517.29</v>
      </c>
      <c r="HD148" s="366">
        <v>234.78</v>
      </c>
      <c r="HE148" s="366">
        <v>724.52</v>
      </c>
      <c r="HF148" s="366">
        <v>680.81</v>
      </c>
      <c r="HG148" s="366">
        <v>808.46</v>
      </c>
      <c r="HH148" s="366">
        <v>808.46</v>
      </c>
      <c r="HI148" s="366">
        <v>808.46</v>
      </c>
      <c r="HJ148" s="366">
        <v>588.92999999999995</v>
      </c>
      <c r="HK148" s="366">
        <v>370.65</v>
      </c>
      <c r="HL148" s="366">
        <v>744.06</v>
      </c>
      <c r="HM148" s="366">
        <v>353.86</v>
      </c>
      <c r="HN148" s="366">
        <v>356.58</v>
      </c>
      <c r="HO148" s="366">
        <v>93.23</v>
      </c>
      <c r="HP148" s="366">
        <v>636.30999999999995</v>
      </c>
      <c r="HQ148" s="366">
        <v>188.97</v>
      </c>
      <c r="HR148" s="366">
        <v>103.48</v>
      </c>
      <c r="HS148" s="366">
        <v>352.83</v>
      </c>
      <c r="HT148" s="366">
        <v>456.53</v>
      </c>
      <c r="HU148" s="366">
        <v>483.21</v>
      </c>
      <c r="HV148" s="366">
        <v>507.68</v>
      </c>
    </row>
    <row r="149" spans="1:230">
      <c r="A149" s="366" t="s">
        <v>169</v>
      </c>
      <c r="B149" s="366">
        <v>866.39</v>
      </c>
      <c r="C149" s="366">
        <v>0.1</v>
      </c>
      <c r="D149" s="366">
        <v>195.99</v>
      </c>
      <c r="E149" s="366">
        <v>195.99</v>
      </c>
      <c r="F149" s="366">
        <v>930.29</v>
      </c>
      <c r="G149" s="366">
        <v>666.8</v>
      </c>
      <c r="H149" s="366">
        <v>239.61</v>
      </c>
      <c r="I149" s="366">
        <v>376.12</v>
      </c>
      <c r="J149" s="366">
        <v>263.39</v>
      </c>
      <c r="K149" s="366">
        <v>263.39</v>
      </c>
      <c r="L149" s="366">
        <v>178.08</v>
      </c>
      <c r="M149" s="366">
        <v>25.52</v>
      </c>
      <c r="N149" s="366">
        <v>122.42</v>
      </c>
      <c r="O149" s="366">
        <v>340.95</v>
      </c>
      <c r="P149" s="366">
        <v>340.95</v>
      </c>
      <c r="Q149" s="366">
        <v>340.95</v>
      </c>
      <c r="R149" s="366">
        <v>340.95</v>
      </c>
      <c r="S149" s="366">
        <v>340.95</v>
      </c>
      <c r="T149" s="366">
        <v>450.62</v>
      </c>
      <c r="U149" s="366">
        <v>774.84</v>
      </c>
      <c r="V149" s="366">
        <v>395.88</v>
      </c>
      <c r="W149" s="366">
        <v>476.98</v>
      </c>
      <c r="X149" s="366">
        <v>476.98</v>
      </c>
      <c r="Y149" s="366">
        <v>476.98</v>
      </c>
      <c r="Z149" s="366">
        <v>183.36</v>
      </c>
      <c r="AA149" s="366">
        <v>660.97</v>
      </c>
      <c r="AB149" s="366">
        <v>510.36</v>
      </c>
      <c r="AC149" s="366">
        <v>512.82000000000005</v>
      </c>
      <c r="AD149" s="366">
        <v>512.82000000000005</v>
      </c>
      <c r="AE149" s="366">
        <v>246.89</v>
      </c>
      <c r="AF149" s="366">
        <v>680.54</v>
      </c>
      <c r="AG149" s="366">
        <v>478.5</v>
      </c>
      <c r="AH149" s="366">
        <v>330.07</v>
      </c>
      <c r="AI149" s="366">
        <v>330.07</v>
      </c>
      <c r="AJ149" s="366">
        <v>330.07</v>
      </c>
      <c r="AK149" s="366">
        <v>166.12</v>
      </c>
      <c r="AL149" s="366">
        <v>166.12</v>
      </c>
      <c r="AM149" s="366">
        <v>513.08000000000004</v>
      </c>
      <c r="AN149" s="366">
        <v>300.12</v>
      </c>
      <c r="AO149" s="366">
        <v>683.41</v>
      </c>
      <c r="AP149" s="366">
        <v>439.34</v>
      </c>
      <c r="AQ149" s="366">
        <v>886.83</v>
      </c>
      <c r="AR149" s="366">
        <v>326.16000000000003</v>
      </c>
      <c r="AS149" s="366">
        <v>183.97</v>
      </c>
      <c r="AT149" s="366">
        <v>183.97</v>
      </c>
      <c r="AU149" s="366">
        <v>310.74</v>
      </c>
      <c r="AV149" s="366">
        <v>805.89</v>
      </c>
      <c r="AW149" s="366">
        <v>307.70999999999998</v>
      </c>
      <c r="AX149" s="366">
        <v>396.72</v>
      </c>
      <c r="AY149" s="366">
        <v>158.13</v>
      </c>
      <c r="AZ149" s="366">
        <v>49.08</v>
      </c>
      <c r="BA149" s="366">
        <v>726.42</v>
      </c>
      <c r="BB149" s="366">
        <v>161.02000000000001</v>
      </c>
      <c r="BC149" s="366">
        <v>668.48</v>
      </c>
      <c r="BD149" s="366">
        <v>578.25</v>
      </c>
      <c r="BE149" s="366">
        <v>399.94</v>
      </c>
      <c r="BF149" s="366">
        <v>507.33</v>
      </c>
      <c r="BG149" s="366">
        <v>179.88</v>
      </c>
      <c r="BH149" s="366">
        <v>340.95</v>
      </c>
      <c r="BI149" s="366">
        <v>326.19</v>
      </c>
      <c r="BJ149" s="366">
        <v>272.64999999999998</v>
      </c>
      <c r="BK149" s="366">
        <v>193.54</v>
      </c>
      <c r="BL149" s="366">
        <v>202.99</v>
      </c>
      <c r="BM149" s="366">
        <v>212.2</v>
      </c>
      <c r="BN149" s="366">
        <v>701.16</v>
      </c>
      <c r="BO149" s="366">
        <v>235.74</v>
      </c>
      <c r="BP149" s="366">
        <v>201.6</v>
      </c>
      <c r="BQ149" s="366">
        <v>355.42</v>
      </c>
      <c r="BR149" s="366">
        <v>355.42</v>
      </c>
      <c r="BS149" s="366">
        <v>23.71</v>
      </c>
      <c r="BT149" s="366">
        <v>310.62</v>
      </c>
      <c r="BU149" s="366">
        <v>490.86</v>
      </c>
      <c r="BV149" s="366">
        <v>510.48</v>
      </c>
      <c r="BW149" s="366">
        <v>370.03</v>
      </c>
      <c r="BX149" s="366">
        <v>82.62</v>
      </c>
      <c r="BY149" s="366">
        <v>423.36</v>
      </c>
      <c r="BZ149" s="366">
        <v>423.36</v>
      </c>
      <c r="CA149" s="366">
        <v>339.65</v>
      </c>
      <c r="CB149" s="366">
        <v>92.85</v>
      </c>
      <c r="CC149" s="366">
        <v>367.89</v>
      </c>
      <c r="CD149" s="366">
        <v>370.29</v>
      </c>
      <c r="CE149" s="366">
        <v>176.77</v>
      </c>
      <c r="CF149" s="366">
        <v>679.27</v>
      </c>
      <c r="CG149" s="366">
        <v>679.27</v>
      </c>
      <c r="CH149" s="366">
        <v>370.42</v>
      </c>
      <c r="CI149" s="366">
        <v>283.91000000000003</v>
      </c>
      <c r="CJ149" s="366">
        <v>690.22</v>
      </c>
      <c r="CK149" s="366">
        <v>428.45</v>
      </c>
      <c r="CL149" s="366">
        <v>324.52999999999997</v>
      </c>
      <c r="CM149" s="366">
        <v>614.76</v>
      </c>
      <c r="CN149" s="366">
        <v>288.32</v>
      </c>
      <c r="CO149" s="366">
        <v>324.77</v>
      </c>
      <c r="CP149" s="366">
        <v>348.73</v>
      </c>
      <c r="CQ149" s="366">
        <v>348.73</v>
      </c>
      <c r="CR149" s="366">
        <v>277.17</v>
      </c>
      <c r="CS149" s="366">
        <v>277.17</v>
      </c>
      <c r="CT149" s="366">
        <v>286.61</v>
      </c>
      <c r="CU149" s="366">
        <v>278.74</v>
      </c>
      <c r="CV149" s="366">
        <v>281.33999999999997</v>
      </c>
      <c r="CW149" s="366">
        <v>395.88</v>
      </c>
      <c r="CX149" s="366">
        <v>386.96</v>
      </c>
      <c r="CY149" s="366">
        <v>661.18</v>
      </c>
      <c r="CZ149" s="366">
        <v>682.42</v>
      </c>
      <c r="DA149" s="366">
        <v>60.47</v>
      </c>
      <c r="DB149" s="366">
        <v>244.24</v>
      </c>
      <c r="DC149" s="366">
        <v>244.24</v>
      </c>
      <c r="DD149" s="366">
        <v>464.14</v>
      </c>
      <c r="DE149" s="366">
        <v>138.1</v>
      </c>
      <c r="DF149" s="366">
        <v>914.75</v>
      </c>
      <c r="DG149" s="366">
        <v>313.56</v>
      </c>
      <c r="DH149" s="366">
        <v>200.66</v>
      </c>
      <c r="DI149" s="366">
        <v>545.09</v>
      </c>
      <c r="DJ149" s="366">
        <v>698.62</v>
      </c>
      <c r="DK149" s="366">
        <v>120.2</v>
      </c>
      <c r="DL149" s="366">
        <v>496.86</v>
      </c>
      <c r="DM149" s="366">
        <v>12.32</v>
      </c>
      <c r="DN149" s="366">
        <v>559.85</v>
      </c>
      <c r="DO149" s="366">
        <v>98.2</v>
      </c>
      <c r="DP149" s="366">
        <v>425.83</v>
      </c>
      <c r="DQ149" s="366">
        <v>381.37</v>
      </c>
      <c r="DR149" s="366">
        <v>200.66</v>
      </c>
      <c r="DS149" s="366">
        <v>302.64</v>
      </c>
      <c r="DT149" s="366">
        <v>290.93</v>
      </c>
      <c r="DU149" s="366">
        <v>90.81</v>
      </c>
      <c r="DV149" s="366">
        <v>157.52000000000001</v>
      </c>
      <c r="DW149" s="366">
        <v>167.55</v>
      </c>
      <c r="DX149" s="366">
        <v>356.35</v>
      </c>
      <c r="DY149" s="366">
        <v>429.74</v>
      </c>
      <c r="DZ149" s="366">
        <v>473.81</v>
      </c>
      <c r="EA149" s="366">
        <v>308.44</v>
      </c>
      <c r="EB149" s="366">
        <v>423.74</v>
      </c>
      <c r="EC149" s="366">
        <v>221.43</v>
      </c>
      <c r="ED149" s="366">
        <v>574.86</v>
      </c>
      <c r="EE149" s="366">
        <v>585.65</v>
      </c>
      <c r="EF149" s="366">
        <v>433.06</v>
      </c>
      <c r="EG149" s="366">
        <v>307.70999999999998</v>
      </c>
      <c r="EH149" s="366">
        <v>307.70999999999998</v>
      </c>
      <c r="EI149" s="366">
        <v>353.94</v>
      </c>
      <c r="EJ149" s="366">
        <v>345.76</v>
      </c>
      <c r="EK149" s="366">
        <v>232.37</v>
      </c>
      <c r="EL149" s="366">
        <v>232.37</v>
      </c>
      <c r="EM149" s="366">
        <v>326.48</v>
      </c>
      <c r="EN149" s="366">
        <v>326.48</v>
      </c>
      <c r="EO149" s="366">
        <v>513.08000000000004</v>
      </c>
      <c r="EP149" s="366">
        <v>435.94</v>
      </c>
      <c r="EQ149" s="366">
        <v>296.10000000000002</v>
      </c>
      <c r="ER149" s="366">
        <v>744.88</v>
      </c>
      <c r="ES149" s="366">
        <v>0</v>
      </c>
      <c r="ET149" s="366">
        <v>373.39</v>
      </c>
      <c r="EU149" s="366">
        <v>866.39</v>
      </c>
      <c r="EV149" s="366">
        <v>476.98</v>
      </c>
      <c r="EW149" s="366">
        <v>354.86</v>
      </c>
      <c r="EX149" s="366">
        <v>133.78</v>
      </c>
      <c r="EY149" s="366">
        <v>133.78</v>
      </c>
      <c r="EZ149" s="366">
        <v>378.29</v>
      </c>
      <c r="FA149" s="366">
        <v>323.64999999999998</v>
      </c>
      <c r="FB149" s="366">
        <v>135.9</v>
      </c>
      <c r="FC149" s="366">
        <v>376.49</v>
      </c>
      <c r="FD149" s="366">
        <v>266.14</v>
      </c>
      <c r="FE149" s="366">
        <v>357.77</v>
      </c>
      <c r="FF149" s="366">
        <v>332.95</v>
      </c>
      <c r="FG149" s="366">
        <v>717.46</v>
      </c>
      <c r="FH149" s="366">
        <v>717.46</v>
      </c>
      <c r="FI149" s="366">
        <v>457.85</v>
      </c>
      <c r="FJ149" s="366">
        <v>463.64</v>
      </c>
      <c r="FK149" s="366">
        <v>27.74</v>
      </c>
      <c r="FL149" s="366">
        <v>25.93</v>
      </c>
      <c r="FM149" s="366">
        <v>513.08000000000004</v>
      </c>
      <c r="FN149" s="366">
        <v>507.73</v>
      </c>
      <c r="FO149" s="366">
        <v>316.81</v>
      </c>
      <c r="FP149" s="366">
        <v>408.84</v>
      </c>
      <c r="FQ149" s="366">
        <v>320.68</v>
      </c>
      <c r="FR149" s="366">
        <v>195.42</v>
      </c>
      <c r="FS149" s="366">
        <v>263.02</v>
      </c>
      <c r="FT149" s="366">
        <v>713.78</v>
      </c>
      <c r="FU149" s="366">
        <v>271.52</v>
      </c>
      <c r="FV149" s="366">
        <v>930.29</v>
      </c>
      <c r="FW149" s="366">
        <v>930.29</v>
      </c>
      <c r="FX149" s="366">
        <v>930.29</v>
      </c>
      <c r="FY149" s="366">
        <v>272.79000000000002</v>
      </c>
      <c r="FZ149" s="366">
        <v>347.68</v>
      </c>
      <c r="GA149" s="366">
        <v>399.94</v>
      </c>
      <c r="GB149" s="366">
        <v>301.49</v>
      </c>
      <c r="GC149" s="366">
        <v>574.86</v>
      </c>
      <c r="GD149" s="366">
        <v>100.52</v>
      </c>
      <c r="GE149" s="366">
        <v>286.70999999999998</v>
      </c>
      <c r="GF149" s="366">
        <v>257.99</v>
      </c>
      <c r="GG149" s="366">
        <v>257.99</v>
      </c>
      <c r="GH149" s="366">
        <v>448.39</v>
      </c>
      <c r="GI149" s="366">
        <v>513.24</v>
      </c>
      <c r="GJ149" s="366">
        <v>513.08000000000004</v>
      </c>
      <c r="GK149" s="366">
        <v>24.29</v>
      </c>
      <c r="GL149" s="366">
        <v>340.27</v>
      </c>
      <c r="GM149" s="366">
        <v>340.27</v>
      </c>
      <c r="GN149" s="366">
        <v>340.27</v>
      </c>
      <c r="GO149" s="366">
        <v>478.52</v>
      </c>
      <c r="GP149" s="366">
        <v>405.35</v>
      </c>
      <c r="GQ149" s="366">
        <v>227.04</v>
      </c>
      <c r="GR149" s="366">
        <v>541.30999999999995</v>
      </c>
      <c r="GS149" s="366">
        <v>407.85</v>
      </c>
      <c r="GT149" s="366">
        <v>307.70999999999998</v>
      </c>
      <c r="GU149" s="366">
        <v>265.06</v>
      </c>
      <c r="GV149" s="366">
        <v>352.95</v>
      </c>
      <c r="GW149" s="366">
        <v>316.25</v>
      </c>
      <c r="GX149" s="366">
        <v>304.27999999999997</v>
      </c>
      <c r="GY149" s="366">
        <v>331.04</v>
      </c>
      <c r="GZ149" s="366">
        <v>265.86</v>
      </c>
      <c r="HA149" s="366">
        <v>322.22000000000003</v>
      </c>
      <c r="HB149" s="366">
        <v>322.22000000000003</v>
      </c>
      <c r="HC149" s="366">
        <v>322.22000000000003</v>
      </c>
      <c r="HD149" s="366">
        <v>510.1</v>
      </c>
      <c r="HE149" s="366">
        <v>320.33</v>
      </c>
      <c r="HF149" s="366">
        <v>276.62</v>
      </c>
      <c r="HG149" s="366">
        <v>281.22000000000003</v>
      </c>
      <c r="HH149" s="366">
        <v>281.22000000000003</v>
      </c>
      <c r="HI149" s="366">
        <v>281.22000000000003</v>
      </c>
      <c r="HJ149" s="366">
        <v>278.86</v>
      </c>
      <c r="HK149" s="366">
        <v>380.2</v>
      </c>
      <c r="HL149" s="366">
        <v>374.33</v>
      </c>
      <c r="HM149" s="366">
        <v>510.36</v>
      </c>
      <c r="HN149" s="366">
        <v>513.08000000000004</v>
      </c>
      <c r="HO149" s="366">
        <v>834.55</v>
      </c>
      <c r="HP149" s="366">
        <v>266.58</v>
      </c>
      <c r="HQ149" s="366">
        <v>930.29</v>
      </c>
      <c r="HR149" s="366">
        <v>680.54</v>
      </c>
      <c r="HS149" s="366">
        <v>509.33</v>
      </c>
      <c r="HT149" s="366">
        <v>391.65</v>
      </c>
      <c r="HU149" s="366">
        <v>358.9</v>
      </c>
      <c r="HV149" s="366">
        <v>377.22</v>
      </c>
    </row>
    <row r="150" spans="1:230">
      <c r="A150" s="366" t="s">
        <v>170</v>
      </c>
      <c r="B150" s="366">
        <v>512.21</v>
      </c>
      <c r="C150" s="366">
        <v>373.49</v>
      </c>
      <c r="D150" s="366">
        <v>274.26</v>
      </c>
      <c r="E150" s="366">
        <v>274.26</v>
      </c>
      <c r="F150" s="366">
        <v>576.11</v>
      </c>
      <c r="G150" s="366">
        <v>383.68</v>
      </c>
      <c r="H150" s="366">
        <v>317.88</v>
      </c>
      <c r="I150" s="366">
        <v>2.73</v>
      </c>
      <c r="J150" s="366">
        <v>301.88</v>
      </c>
      <c r="K150" s="366">
        <v>301.88</v>
      </c>
      <c r="L150" s="366">
        <v>264.87</v>
      </c>
      <c r="M150" s="366">
        <v>398.91</v>
      </c>
      <c r="N150" s="366">
        <v>495.81</v>
      </c>
      <c r="O150" s="366">
        <v>248.92</v>
      </c>
      <c r="P150" s="366">
        <v>248.92</v>
      </c>
      <c r="Q150" s="366">
        <v>248.92</v>
      </c>
      <c r="R150" s="366">
        <v>248.92</v>
      </c>
      <c r="S150" s="366">
        <v>248.92</v>
      </c>
      <c r="T150" s="366">
        <v>77.23</v>
      </c>
      <c r="U150" s="366">
        <v>491.72</v>
      </c>
      <c r="V150" s="366">
        <v>338.31</v>
      </c>
      <c r="W150" s="366">
        <v>220.59</v>
      </c>
      <c r="X150" s="366">
        <v>220.59</v>
      </c>
      <c r="Y150" s="366">
        <v>220.59</v>
      </c>
      <c r="Z150" s="366">
        <v>376.05</v>
      </c>
      <c r="AA150" s="366">
        <v>377.85</v>
      </c>
      <c r="AB150" s="366">
        <v>136.97</v>
      </c>
      <c r="AC150" s="366">
        <v>139.43</v>
      </c>
      <c r="AD150" s="366">
        <v>139.43</v>
      </c>
      <c r="AE150" s="366">
        <v>223.36</v>
      </c>
      <c r="AF150" s="366">
        <v>397.42</v>
      </c>
      <c r="AG150" s="366">
        <v>222.11</v>
      </c>
      <c r="AH150" s="366">
        <v>43.32</v>
      </c>
      <c r="AI150" s="366">
        <v>43.32</v>
      </c>
      <c r="AJ150" s="366">
        <v>43.32</v>
      </c>
      <c r="AK150" s="366">
        <v>398.25</v>
      </c>
      <c r="AL150" s="366">
        <v>398.25</v>
      </c>
      <c r="AM150" s="366">
        <v>139.69</v>
      </c>
      <c r="AN150" s="366">
        <v>208.09</v>
      </c>
      <c r="AO150" s="366">
        <v>390.8</v>
      </c>
      <c r="AP150" s="366">
        <v>65.95</v>
      </c>
      <c r="AQ150" s="366">
        <v>532.65</v>
      </c>
      <c r="AR150" s="366">
        <v>341.62</v>
      </c>
      <c r="AS150" s="366">
        <v>189.42</v>
      </c>
      <c r="AT150" s="366">
        <v>189.42</v>
      </c>
      <c r="AU150" s="366">
        <v>253.17</v>
      </c>
      <c r="AV150" s="366">
        <v>522.77</v>
      </c>
      <c r="AW150" s="366">
        <v>264.42</v>
      </c>
      <c r="AX150" s="366">
        <v>83.91</v>
      </c>
      <c r="AY150" s="366">
        <v>531.52</v>
      </c>
      <c r="AZ150" s="366">
        <v>342.11</v>
      </c>
      <c r="BA150" s="366">
        <v>353.03</v>
      </c>
      <c r="BB150" s="366">
        <v>534.41</v>
      </c>
      <c r="BC150" s="366">
        <v>295.08999999999997</v>
      </c>
      <c r="BD150" s="366">
        <v>204.86</v>
      </c>
      <c r="BE150" s="366">
        <v>342.37</v>
      </c>
      <c r="BF150" s="366">
        <v>133.94</v>
      </c>
      <c r="BG150" s="366">
        <v>383.6</v>
      </c>
      <c r="BH150" s="366">
        <v>248.92</v>
      </c>
      <c r="BI150" s="366">
        <v>341.65</v>
      </c>
      <c r="BJ150" s="366">
        <v>321.72000000000003</v>
      </c>
      <c r="BK150" s="366">
        <v>409.89</v>
      </c>
      <c r="BL150" s="366">
        <v>267.26</v>
      </c>
      <c r="BM150" s="366">
        <v>290.47000000000003</v>
      </c>
      <c r="BN150" s="366">
        <v>418.04</v>
      </c>
      <c r="BO150" s="366">
        <v>452.09</v>
      </c>
      <c r="BP150" s="366">
        <v>417.95</v>
      </c>
      <c r="BQ150" s="366">
        <v>17.97</v>
      </c>
      <c r="BR150" s="366">
        <v>17.97</v>
      </c>
      <c r="BS150" s="366">
        <v>349.68</v>
      </c>
      <c r="BT150" s="366">
        <v>333.57</v>
      </c>
      <c r="BU150" s="366">
        <v>117.47</v>
      </c>
      <c r="BV150" s="366">
        <v>137.09</v>
      </c>
      <c r="BW150" s="366">
        <v>312.45999999999998</v>
      </c>
      <c r="BX150" s="366">
        <v>290.77</v>
      </c>
      <c r="BY150" s="366">
        <v>365.79</v>
      </c>
      <c r="BZ150" s="366">
        <v>365.79</v>
      </c>
      <c r="CA150" s="366">
        <v>225.62</v>
      </c>
      <c r="CB150" s="366">
        <v>309.2</v>
      </c>
      <c r="CC150" s="366">
        <v>55.08</v>
      </c>
      <c r="CD150" s="366">
        <v>68.56</v>
      </c>
      <c r="CE150" s="366">
        <v>393.12</v>
      </c>
      <c r="CF150" s="366">
        <v>396.15</v>
      </c>
      <c r="CG150" s="366">
        <v>396.15</v>
      </c>
      <c r="CH150" s="366">
        <v>2.97</v>
      </c>
      <c r="CI150" s="366">
        <v>122.12</v>
      </c>
      <c r="CJ150" s="366">
        <v>407.1</v>
      </c>
      <c r="CK150" s="366">
        <v>370.88</v>
      </c>
      <c r="CL150" s="366">
        <v>266.95999999999998</v>
      </c>
      <c r="CM150" s="366">
        <v>241.37</v>
      </c>
      <c r="CN150" s="366">
        <v>271.08999999999997</v>
      </c>
      <c r="CO150" s="366">
        <v>340.23</v>
      </c>
      <c r="CP150" s="366">
        <v>24.66</v>
      </c>
      <c r="CQ150" s="366">
        <v>24.66</v>
      </c>
      <c r="CR150" s="366">
        <v>291.55</v>
      </c>
      <c r="CS150" s="366">
        <v>291.55</v>
      </c>
      <c r="CT150" s="366">
        <v>282.11</v>
      </c>
      <c r="CU150" s="366">
        <v>289.98</v>
      </c>
      <c r="CV150" s="366">
        <v>283.93</v>
      </c>
      <c r="CW150" s="366">
        <v>338.31</v>
      </c>
      <c r="CX150" s="366">
        <v>74.150000000000006</v>
      </c>
      <c r="CY150" s="366">
        <v>287.79000000000002</v>
      </c>
      <c r="CZ150" s="366">
        <v>309.02999999999997</v>
      </c>
      <c r="DA150" s="366">
        <v>433.86</v>
      </c>
      <c r="DB150" s="366">
        <v>317.7</v>
      </c>
      <c r="DC150" s="366">
        <v>317.7</v>
      </c>
      <c r="DD150" s="366">
        <v>207.75</v>
      </c>
      <c r="DE150" s="366">
        <v>511.49</v>
      </c>
      <c r="DF150" s="366">
        <v>560.57000000000005</v>
      </c>
      <c r="DG150" s="366">
        <v>92.47</v>
      </c>
      <c r="DH150" s="366">
        <v>574.04999999999995</v>
      </c>
      <c r="DI150" s="366">
        <v>261.97000000000003</v>
      </c>
      <c r="DJ150" s="366">
        <v>325.23</v>
      </c>
      <c r="DK150" s="366">
        <v>253.19</v>
      </c>
      <c r="DL150" s="366">
        <v>123.47</v>
      </c>
      <c r="DM150" s="366">
        <v>361.07</v>
      </c>
      <c r="DN150" s="366">
        <v>276.73</v>
      </c>
      <c r="DO150" s="366">
        <v>279.76</v>
      </c>
      <c r="DP150" s="366">
        <v>169.44</v>
      </c>
      <c r="DQ150" s="366">
        <v>323.8</v>
      </c>
      <c r="DR150" s="366">
        <v>574.04999999999995</v>
      </c>
      <c r="DS150" s="366">
        <v>341.13</v>
      </c>
      <c r="DT150" s="366">
        <v>329.42</v>
      </c>
      <c r="DU150" s="366">
        <v>464.2</v>
      </c>
      <c r="DV150" s="366">
        <v>401.89</v>
      </c>
      <c r="DW150" s="366">
        <v>205.84</v>
      </c>
      <c r="DX150" s="366">
        <v>298.77999999999997</v>
      </c>
      <c r="DY150" s="366">
        <v>372.17</v>
      </c>
      <c r="DZ150" s="366">
        <v>217.42</v>
      </c>
      <c r="EA150" s="366">
        <v>323.89999999999998</v>
      </c>
      <c r="EB150" s="366">
        <v>366.17</v>
      </c>
      <c r="EC150" s="366">
        <v>299.7</v>
      </c>
      <c r="ED150" s="366">
        <v>291.74</v>
      </c>
      <c r="EE150" s="366">
        <v>302.52999999999997</v>
      </c>
      <c r="EF150" s="366">
        <v>59.67</v>
      </c>
      <c r="EG150" s="366">
        <v>264.42</v>
      </c>
      <c r="EH150" s="366">
        <v>264.42</v>
      </c>
      <c r="EI150" s="366">
        <v>69.03</v>
      </c>
      <c r="EJ150" s="366">
        <v>562.11</v>
      </c>
      <c r="EK150" s="366">
        <v>174.8</v>
      </c>
      <c r="EL150" s="366">
        <v>174.8</v>
      </c>
      <c r="EM150" s="366">
        <v>268.91000000000003</v>
      </c>
      <c r="EN150" s="366">
        <v>268.91000000000003</v>
      </c>
      <c r="EO150" s="366">
        <v>139.69</v>
      </c>
      <c r="EP150" s="366">
        <v>123.13</v>
      </c>
      <c r="EQ150" s="366">
        <v>272.62</v>
      </c>
      <c r="ER150" s="366">
        <v>461.76</v>
      </c>
      <c r="ES150" s="366">
        <v>373.39</v>
      </c>
      <c r="ET150" s="366">
        <v>0</v>
      </c>
      <c r="EU150" s="366">
        <v>512.21</v>
      </c>
      <c r="EV150" s="366">
        <v>220.59</v>
      </c>
      <c r="EW150" s="366">
        <v>68.41</v>
      </c>
      <c r="EX150" s="366">
        <v>350.13</v>
      </c>
      <c r="EY150" s="366">
        <v>350.13</v>
      </c>
      <c r="EZ150" s="366">
        <v>313.45</v>
      </c>
      <c r="FA150" s="366">
        <v>266.08</v>
      </c>
      <c r="FB150" s="366">
        <v>237.49</v>
      </c>
      <c r="FC150" s="366">
        <v>318.92</v>
      </c>
      <c r="FD150" s="366">
        <v>174.11</v>
      </c>
      <c r="FE150" s="366">
        <v>72.86</v>
      </c>
      <c r="FF150" s="366">
        <v>109.66</v>
      </c>
      <c r="FG150" s="366">
        <v>344.07</v>
      </c>
      <c r="FH150" s="366">
        <v>344.07</v>
      </c>
      <c r="FI150" s="366">
        <v>201.46</v>
      </c>
      <c r="FJ150" s="366">
        <v>207.25</v>
      </c>
      <c r="FK150" s="366">
        <v>401.13</v>
      </c>
      <c r="FL150" s="366">
        <v>399.32</v>
      </c>
      <c r="FM150" s="366">
        <v>139.69</v>
      </c>
      <c r="FN150" s="366">
        <v>251.34</v>
      </c>
      <c r="FO150" s="366">
        <v>332.27</v>
      </c>
      <c r="FP150" s="366">
        <v>351.27</v>
      </c>
      <c r="FQ150" s="366">
        <v>336.14</v>
      </c>
      <c r="FR150" s="366">
        <v>282.20999999999998</v>
      </c>
      <c r="FS150" s="366">
        <v>110.37</v>
      </c>
      <c r="FT150" s="366">
        <v>340.39</v>
      </c>
      <c r="FU150" s="366">
        <v>134.51</v>
      </c>
      <c r="FV150" s="366">
        <v>576.11</v>
      </c>
      <c r="FW150" s="366">
        <v>576.11</v>
      </c>
      <c r="FX150" s="366">
        <v>576.11</v>
      </c>
      <c r="FY150" s="366">
        <v>215.22</v>
      </c>
      <c r="FZ150" s="366">
        <v>95.73</v>
      </c>
      <c r="GA150" s="366">
        <v>342.37</v>
      </c>
      <c r="GB150" s="366">
        <v>148.84</v>
      </c>
      <c r="GC150" s="366">
        <v>291.74</v>
      </c>
      <c r="GD150" s="366">
        <v>272.87</v>
      </c>
      <c r="GE150" s="366">
        <v>282.01</v>
      </c>
      <c r="GF150" s="366">
        <v>148.04</v>
      </c>
      <c r="GG150" s="366">
        <v>148.04</v>
      </c>
      <c r="GH150" s="366">
        <v>390.82</v>
      </c>
      <c r="GI150" s="366">
        <v>139.85</v>
      </c>
      <c r="GJ150" s="366">
        <v>139.69</v>
      </c>
      <c r="GK150" s="366">
        <v>397.68</v>
      </c>
      <c r="GL150" s="366">
        <v>82.7</v>
      </c>
      <c r="GM150" s="366">
        <v>82.7</v>
      </c>
      <c r="GN150" s="366">
        <v>82.7</v>
      </c>
      <c r="GO150" s="366">
        <v>105.13</v>
      </c>
      <c r="GP150" s="366">
        <v>347.78</v>
      </c>
      <c r="GQ150" s="366">
        <v>443.39</v>
      </c>
      <c r="GR150" s="366">
        <v>167.92</v>
      </c>
      <c r="GS150" s="366">
        <v>34.46</v>
      </c>
      <c r="GT150" s="366">
        <v>264.42</v>
      </c>
      <c r="GU150" s="366">
        <v>208.07</v>
      </c>
      <c r="GV150" s="366">
        <v>569.29999999999995</v>
      </c>
      <c r="GW150" s="366">
        <v>92.96</v>
      </c>
      <c r="GX150" s="366">
        <v>260.99</v>
      </c>
      <c r="GY150" s="366">
        <v>42.35</v>
      </c>
      <c r="GZ150" s="366">
        <v>173.83</v>
      </c>
      <c r="HA150" s="366">
        <v>337.68</v>
      </c>
      <c r="HB150" s="366">
        <v>337.68</v>
      </c>
      <c r="HC150" s="366">
        <v>337.68</v>
      </c>
      <c r="HD150" s="366">
        <v>253.71</v>
      </c>
      <c r="HE150" s="366">
        <v>262.76</v>
      </c>
      <c r="HF150" s="366">
        <v>219.05</v>
      </c>
      <c r="HG150" s="366">
        <v>346.7</v>
      </c>
      <c r="HH150" s="366">
        <v>346.7</v>
      </c>
      <c r="HI150" s="366">
        <v>346.7</v>
      </c>
      <c r="HJ150" s="366">
        <v>127.17</v>
      </c>
      <c r="HK150" s="366">
        <v>191.04</v>
      </c>
      <c r="HL150" s="366">
        <v>282.3</v>
      </c>
      <c r="HM150" s="366">
        <v>136.97</v>
      </c>
      <c r="HN150" s="366">
        <v>139.69</v>
      </c>
      <c r="HO150" s="366">
        <v>545.41</v>
      </c>
      <c r="HP150" s="366">
        <v>174.55</v>
      </c>
      <c r="HQ150" s="366">
        <v>576.11</v>
      </c>
      <c r="HR150" s="366">
        <v>397.42</v>
      </c>
      <c r="HS150" s="366">
        <v>135.94</v>
      </c>
      <c r="HT150" s="366">
        <v>18.260000000000002</v>
      </c>
      <c r="HU150" s="366">
        <v>21.45</v>
      </c>
      <c r="HV150" s="366">
        <v>87.24</v>
      </c>
    </row>
    <row r="151" spans="1:230">
      <c r="A151" s="366" t="s">
        <v>546</v>
      </c>
      <c r="B151" s="366">
        <v>0</v>
      </c>
      <c r="C151" s="366">
        <v>866.49</v>
      </c>
      <c r="D151" s="366">
        <v>670.4</v>
      </c>
      <c r="E151" s="366">
        <v>670.4</v>
      </c>
      <c r="F151" s="366">
        <v>63.9</v>
      </c>
      <c r="G151" s="366">
        <v>211.25</v>
      </c>
      <c r="H151" s="366">
        <v>626.78</v>
      </c>
      <c r="I151" s="366">
        <v>509.48</v>
      </c>
      <c r="J151" s="366">
        <v>603</v>
      </c>
      <c r="K151" s="366">
        <v>603</v>
      </c>
      <c r="L151" s="366">
        <v>688.31</v>
      </c>
      <c r="M151" s="366">
        <v>891.91</v>
      </c>
      <c r="N151" s="366">
        <v>988.81</v>
      </c>
      <c r="O151" s="366">
        <v>761.13</v>
      </c>
      <c r="P151" s="366">
        <v>761.13</v>
      </c>
      <c r="Q151" s="366">
        <v>761.13</v>
      </c>
      <c r="R151" s="366">
        <v>761.13</v>
      </c>
      <c r="S151" s="366">
        <v>761.13</v>
      </c>
      <c r="T151" s="366">
        <v>434.98</v>
      </c>
      <c r="U151" s="366">
        <v>91.55</v>
      </c>
      <c r="V151" s="366">
        <v>850.52</v>
      </c>
      <c r="W151" s="366">
        <v>491.71</v>
      </c>
      <c r="X151" s="366">
        <v>491.71</v>
      </c>
      <c r="Y151" s="366">
        <v>491.71</v>
      </c>
      <c r="Z151" s="366">
        <v>888.26</v>
      </c>
      <c r="AA151" s="366">
        <v>205.42</v>
      </c>
      <c r="AB151" s="366">
        <v>404.31</v>
      </c>
      <c r="AC151" s="366">
        <v>372.78</v>
      </c>
      <c r="AD151" s="366">
        <v>372.78</v>
      </c>
      <c r="AE151" s="366">
        <v>721.3</v>
      </c>
      <c r="AF151" s="366">
        <v>185.85</v>
      </c>
      <c r="AG151" s="366">
        <v>523.23</v>
      </c>
      <c r="AH151" s="366">
        <v>555.53</v>
      </c>
      <c r="AI151" s="366">
        <v>555.53</v>
      </c>
      <c r="AJ151" s="366">
        <v>555.53</v>
      </c>
      <c r="AK151" s="366">
        <v>910.46</v>
      </c>
      <c r="AL151" s="366">
        <v>910.46</v>
      </c>
      <c r="AM151" s="366">
        <v>407.03</v>
      </c>
      <c r="AN151" s="366">
        <v>720.3</v>
      </c>
      <c r="AO151" s="366">
        <v>227.86</v>
      </c>
      <c r="AP151" s="366">
        <v>454.1</v>
      </c>
      <c r="AQ151" s="366">
        <v>20.440000000000001</v>
      </c>
      <c r="AR151" s="366">
        <v>642.74</v>
      </c>
      <c r="AS151" s="366">
        <v>701.63</v>
      </c>
      <c r="AT151" s="366">
        <v>701.63</v>
      </c>
      <c r="AU151" s="366">
        <v>765.38</v>
      </c>
      <c r="AV151" s="366">
        <v>61.86</v>
      </c>
      <c r="AW151" s="366">
        <v>565.54</v>
      </c>
      <c r="AX151" s="366">
        <v>497.14</v>
      </c>
      <c r="AY151" s="366">
        <v>1024.52</v>
      </c>
      <c r="AZ151" s="366">
        <v>835.11</v>
      </c>
      <c r="BA151" s="366">
        <v>159.18</v>
      </c>
      <c r="BB151" s="366">
        <v>1027.4100000000001</v>
      </c>
      <c r="BC151" s="366">
        <v>240.08</v>
      </c>
      <c r="BD151" s="366">
        <v>307.35000000000002</v>
      </c>
      <c r="BE151" s="366">
        <v>854.58</v>
      </c>
      <c r="BF151" s="366">
        <v>401.28</v>
      </c>
      <c r="BG151" s="366">
        <v>895.81</v>
      </c>
      <c r="BH151" s="366">
        <v>761.13</v>
      </c>
      <c r="BI151" s="366">
        <v>642.77</v>
      </c>
      <c r="BJ151" s="366">
        <v>833.93</v>
      </c>
      <c r="BK151" s="366">
        <v>902.89</v>
      </c>
      <c r="BL151" s="366">
        <v>677.4</v>
      </c>
      <c r="BM151" s="366">
        <v>654.19000000000005</v>
      </c>
      <c r="BN151" s="366">
        <v>165.23</v>
      </c>
      <c r="BO151" s="366">
        <v>945.09</v>
      </c>
      <c r="BP151" s="366">
        <v>910.95</v>
      </c>
      <c r="BQ151" s="366">
        <v>530.17999999999995</v>
      </c>
      <c r="BR151" s="366">
        <v>530.17999999999995</v>
      </c>
      <c r="BS151" s="366">
        <v>842.68</v>
      </c>
      <c r="BT151" s="366">
        <v>634.69000000000005</v>
      </c>
      <c r="BU151" s="366">
        <v>394.74</v>
      </c>
      <c r="BV151" s="366">
        <v>404.43</v>
      </c>
      <c r="BW151" s="366">
        <v>824.67</v>
      </c>
      <c r="BX151" s="366">
        <v>783.77</v>
      </c>
      <c r="BY151" s="366">
        <v>878</v>
      </c>
      <c r="BZ151" s="366">
        <v>878</v>
      </c>
      <c r="CA151" s="366">
        <v>526.74</v>
      </c>
      <c r="CB151" s="366">
        <v>802.2</v>
      </c>
      <c r="CC151" s="366">
        <v>525.97</v>
      </c>
      <c r="CD151" s="366">
        <v>539.45000000000005</v>
      </c>
      <c r="CE151" s="366">
        <v>886.12</v>
      </c>
      <c r="CF151" s="366">
        <v>223.72</v>
      </c>
      <c r="CG151" s="366">
        <v>223.72</v>
      </c>
      <c r="CH151" s="366">
        <v>515.17999999999995</v>
      </c>
      <c r="CI151" s="366">
        <v>634.33000000000004</v>
      </c>
      <c r="CJ151" s="366">
        <v>176.31</v>
      </c>
      <c r="CK151" s="366">
        <v>883.09</v>
      </c>
      <c r="CL151" s="366">
        <v>779.17</v>
      </c>
      <c r="CM151" s="366">
        <v>270.83999999999997</v>
      </c>
      <c r="CN151" s="366">
        <v>783.3</v>
      </c>
      <c r="CO151" s="366">
        <v>641.35</v>
      </c>
      <c r="CP151" s="366">
        <v>536.87</v>
      </c>
      <c r="CQ151" s="366">
        <v>536.87</v>
      </c>
      <c r="CR151" s="366">
        <v>592.66999999999996</v>
      </c>
      <c r="CS151" s="366">
        <v>592.66999999999996</v>
      </c>
      <c r="CT151" s="366">
        <v>583.23</v>
      </c>
      <c r="CU151" s="366">
        <v>591.1</v>
      </c>
      <c r="CV151" s="366">
        <v>585.04999999999995</v>
      </c>
      <c r="CW151" s="366">
        <v>850.52</v>
      </c>
      <c r="CX151" s="366">
        <v>513.67999999999995</v>
      </c>
      <c r="CY151" s="366">
        <v>232.78</v>
      </c>
      <c r="CZ151" s="366">
        <v>254.02</v>
      </c>
      <c r="DA151" s="366">
        <v>926.86</v>
      </c>
      <c r="DB151" s="366">
        <v>829.91</v>
      </c>
      <c r="DC151" s="366">
        <v>829.91</v>
      </c>
      <c r="DD151" s="366">
        <v>403.56</v>
      </c>
      <c r="DE151" s="366">
        <v>1004.49</v>
      </c>
      <c r="DF151" s="366">
        <v>48.36</v>
      </c>
      <c r="DG151" s="366">
        <v>604.67999999999995</v>
      </c>
      <c r="DH151" s="366">
        <v>1067.05</v>
      </c>
      <c r="DI151" s="366">
        <v>321.3</v>
      </c>
      <c r="DJ151" s="366">
        <v>270.22000000000003</v>
      </c>
      <c r="DK151" s="366">
        <v>746.19</v>
      </c>
      <c r="DL151" s="366">
        <v>390.41</v>
      </c>
      <c r="DM151" s="366">
        <v>854.07</v>
      </c>
      <c r="DN151" s="366">
        <v>308.33</v>
      </c>
      <c r="DO151" s="366">
        <v>772.76</v>
      </c>
      <c r="DP151" s="366">
        <v>440.56</v>
      </c>
      <c r="DQ151" s="366">
        <v>836.01</v>
      </c>
      <c r="DR151" s="366">
        <v>1067.05</v>
      </c>
      <c r="DS151" s="366">
        <v>642.25</v>
      </c>
      <c r="DT151" s="366">
        <v>630.54</v>
      </c>
      <c r="DU151" s="366">
        <v>957.2</v>
      </c>
      <c r="DV151" s="366">
        <v>914.1</v>
      </c>
      <c r="DW151" s="366">
        <v>718.05</v>
      </c>
      <c r="DX151" s="366">
        <v>810.99</v>
      </c>
      <c r="DY151" s="366">
        <v>884.38</v>
      </c>
      <c r="DZ151" s="366">
        <v>392.58</v>
      </c>
      <c r="EA151" s="366">
        <v>625.02</v>
      </c>
      <c r="EB151" s="366">
        <v>878.38</v>
      </c>
      <c r="EC151" s="366">
        <v>644.96</v>
      </c>
      <c r="ED151" s="366">
        <v>291.52999999999997</v>
      </c>
      <c r="EE151" s="366">
        <v>281.64999999999998</v>
      </c>
      <c r="EF151" s="366">
        <v>460.38</v>
      </c>
      <c r="EG151" s="366">
        <v>565.54</v>
      </c>
      <c r="EH151" s="366">
        <v>565.54</v>
      </c>
      <c r="EI151" s="366">
        <v>539.91999999999996</v>
      </c>
      <c r="EJ151" s="366">
        <v>1055.1099999999999</v>
      </c>
      <c r="EK151" s="366">
        <v>687.01</v>
      </c>
      <c r="EL151" s="366">
        <v>687.01</v>
      </c>
      <c r="EM151" s="366">
        <v>781.12</v>
      </c>
      <c r="EN151" s="366">
        <v>781.12</v>
      </c>
      <c r="EO151" s="366">
        <v>407.03</v>
      </c>
      <c r="EP151" s="366">
        <v>457.92</v>
      </c>
      <c r="EQ151" s="366">
        <v>573.74</v>
      </c>
      <c r="ER151" s="366">
        <v>125.07</v>
      </c>
      <c r="ES151" s="366">
        <v>866.39</v>
      </c>
      <c r="ET151" s="366">
        <v>512.21</v>
      </c>
      <c r="EU151" s="366">
        <v>0</v>
      </c>
      <c r="EV151" s="366">
        <v>491.71</v>
      </c>
      <c r="EW151" s="366">
        <v>539.29999999999995</v>
      </c>
      <c r="EX151" s="366">
        <v>843.13</v>
      </c>
      <c r="EY151" s="366">
        <v>843.13</v>
      </c>
      <c r="EZ151" s="366">
        <v>825.66</v>
      </c>
      <c r="FA151" s="366">
        <v>778.29</v>
      </c>
      <c r="FB151" s="366">
        <v>730.49</v>
      </c>
      <c r="FC151" s="366">
        <v>831.13</v>
      </c>
      <c r="FD151" s="366">
        <v>686.32</v>
      </c>
      <c r="FE151" s="366">
        <v>543.75</v>
      </c>
      <c r="FF151" s="366">
        <v>621.87</v>
      </c>
      <c r="FG151" s="366">
        <v>289.06</v>
      </c>
      <c r="FH151" s="366">
        <v>289.06</v>
      </c>
      <c r="FI151" s="366">
        <v>502.58</v>
      </c>
      <c r="FJ151" s="366">
        <v>508.37</v>
      </c>
      <c r="FK151" s="366">
        <v>894.13</v>
      </c>
      <c r="FL151" s="366">
        <v>892.32</v>
      </c>
      <c r="FM151" s="366">
        <v>407.03</v>
      </c>
      <c r="FN151" s="366">
        <v>522.46</v>
      </c>
      <c r="FO151" s="366">
        <v>633.39</v>
      </c>
      <c r="FP151" s="366">
        <v>863.48</v>
      </c>
      <c r="FQ151" s="366">
        <v>637.26</v>
      </c>
      <c r="FR151" s="366">
        <v>705.65</v>
      </c>
      <c r="FS151" s="366">
        <v>622.58000000000004</v>
      </c>
      <c r="FT151" s="366">
        <v>278.27</v>
      </c>
      <c r="FU151" s="366">
        <v>646.72</v>
      </c>
      <c r="FV151" s="366">
        <v>63.9</v>
      </c>
      <c r="FW151" s="366">
        <v>63.9</v>
      </c>
      <c r="FX151" s="366">
        <v>63.9</v>
      </c>
      <c r="FY151" s="366">
        <v>727.43</v>
      </c>
      <c r="FZ151" s="366">
        <v>566.62</v>
      </c>
      <c r="GA151" s="366">
        <v>854.58</v>
      </c>
      <c r="GB151" s="366">
        <v>661.05</v>
      </c>
      <c r="GC151" s="366">
        <v>291.52999999999997</v>
      </c>
      <c r="GD151" s="366">
        <v>765.87</v>
      </c>
      <c r="GE151" s="366">
        <v>583.13</v>
      </c>
      <c r="GF151" s="366">
        <v>660.25</v>
      </c>
      <c r="GG151" s="366">
        <v>660.25</v>
      </c>
      <c r="GH151" s="366">
        <v>903.03</v>
      </c>
      <c r="GI151" s="366">
        <v>407.19</v>
      </c>
      <c r="GJ151" s="366">
        <v>407.03</v>
      </c>
      <c r="GK151" s="366">
        <v>890.68</v>
      </c>
      <c r="GL151" s="366">
        <v>553.59</v>
      </c>
      <c r="GM151" s="366">
        <v>553.59</v>
      </c>
      <c r="GN151" s="366">
        <v>553.59</v>
      </c>
      <c r="GO151" s="366">
        <v>414.92</v>
      </c>
      <c r="GP151" s="366">
        <v>859.99</v>
      </c>
      <c r="GQ151" s="366">
        <v>936.39</v>
      </c>
      <c r="GR151" s="366">
        <v>401.27</v>
      </c>
      <c r="GS151" s="366">
        <v>477.75</v>
      </c>
      <c r="GT151" s="366">
        <v>565.54</v>
      </c>
      <c r="GU151" s="366">
        <v>720.28</v>
      </c>
      <c r="GV151" s="366">
        <v>1062.3</v>
      </c>
      <c r="GW151" s="366">
        <v>578.04999999999995</v>
      </c>
      <c r="GX151" s="366">
        <v>562.11</v>
      </c>
      <c r="GY151" s="366">
        <v>554.55999999999995</v>
      </c>
      <c r="GZ151" s="366">
        <v>686.04</v>
      </c>
      <c r="HA151" s="366">
        <v>638.79999999999995</v>
      </c>
      <c r="HB151" s="366">
        <v>638.79999999999995</v>
      </c>
      <c r="HC151" s="366">
        <v>638.79999999999995</v>
      </c>
      <c r="HD151" s="366">
        <v>356.29</v>
      </c>
      <c r="HE151" s="366">
        <v>774.97</v>
      </c>
      <c r="HF151" s="366">
        <v>731.26</v>
      </c>
      <c r="HG151" s="366">
        <v>858.91</v>
      </c>
      <c r="HH151" s="366">
        <v>858.91</v>
      </c>
      <c r="HI151" s="366">
        <v>858.91</v>
      </c>
      <c r="HJ151" s="366">
        <v>639.38</v>
      </c>
      <c r="HK151" s="366">
        <v>492.16</v>
      </c>
      <c r="HL151" s="366">
        <v>794.51</v>
      </c>
      <c r="HM151" s="366">
        <v>404.31</v>
      </c>
      <c r="HN151" s="366">
        <v>407.03</v>
      </c>
      <c r="HO151" s="366">
        <v>33.200000000000003</v>
      </c>
      <c r="HP151" s="366">
        <v>686.76</v>
      </c>
      <c r="HQ151" s="366">
        <v>63.9</v>
      </c>
      <c r="HR151" s="366">
        <v>185.85</v>
      </c>
      <c r="HS151" s="366">
        <v>403.28</v>
      </c>
      <c r="HT151" s="366">
        <v>506.98</v>
      </c>
      <c r="HU151" s="366">
        <v>533.66</v>
      </c>
      <c r="HV151" s="366">
        <v>558.13</v>
      </c>
    </row>
    <row r="152" spans="1:230">
      <c r="A152" s="366" t="s">
        <v>171</v>
      </c>
      <c r="B152" s="366">
        <v>491.71</v>
      </c>
      <c r="C152" s="366">
        <v>477.08</v>
      </c>
      <c r="D152" s="366">
        <v>280.99</v>
      </c>
      <c r="E152" s="366">
        <v>280.99</v>
      </c>
      <c r="F152" s="366">
        <v>555.61</v>
      </c>
      <c r="G152" s="366">
        <v>292.12</v>
      </c>
      <c r="H152" s="366">
        <v>237.37</v>
      </c>
      <c r="I152" s="366">
        <v>217.86</v>
      </c>
      <c r="J152" s="366">
        <v>213.59</v>
      </c>
      <c r="K152" s="366">
        <v>213.59</v>
      </c>
      <c r="L152" s="366">
        <v>298.89999999999998</v>
      </c>
      <c r="M152" s="366">
        <v>502.5</v>
      </c>
      <c r="N152" s="366">
        <v>599.4</v>
      </c>
      <c r="O152" s="366">
        <v>469.51</v>
      </c>
      <c r="P152" s="366">
        <v>469.51</v>
      </c>
      <c r="Q152" s="366">
        <v>469.51</v>
      </c>
      <c r="R152" s="366">
        <v>469.51</v>
      </c>
      <c r="S152" s="366">
        <v>469.51</v>
      </c>
      <c r="T152" s="366">
        <v>228.9</v>
      </c>
      <c r="U152" s="366">
        <v>400.16</v>
      </c>
      <c r="V152" s="366">
        <v>558.9</v>
      </c>
      <c r="W152" s="366">
        <v>0</v>
      </c>
      <c r="X152" s="366">
        <v>0</v>
      </c>
      <c r="Y152" s="366">
        <v>0</v>
      </c>
      <c r="Z152" s="366">
        <v>596.64</v>
      </c>
      <c r="AA152" s="366">
        <v>286.29000000000002</v>
      </c>
      <c r="AB152" s="366">
        <v>256.39</v>
      </c>
      <c r="AC152" s="366">
        <v>248.52</v>
      </c>
      <c r="AD152" s="366">
        <v>248.52</v>
      </c>
      <c r="AE152" s="366">
        <v>331.89</v>
      </c>
      <c r="AF152" s="366">
        <v>305.86</v>
      </c>
      <c r="AG152" s="366">
        <v>133.82</v>
      </c>
      <c r="AH152" s="366">
        <v>263.91000000000003</v>
      </c>
      <c r="AI152" s="366">
        <v>263.91000000000003</v>
      </c>
      <c r="AJ152" s="366">
        <v>263.91000000000003</v>
      </c>
      <c r="AK152" s="366">
        <v>618.84</v>
      </c>
      <c r="AL152" s="366">
        <v>618.84</v>
      </c>
      <c r="AM152" s="366">
        <v>259.11</v>
      </c>
      <c r="AN152" s="366">
        <v>428.68</v>
      </c>
      <c r="AO152" s="366">
        <v>308.73</v>
      </c>
      <c r="AP152" s="366">
        <v>167.2</v>
      </c>
      <c r="AQ152" s="366">
        <v>512.15</v>
      </c>
      <c r="AR152" s="366">
        <v>253.33</v>
      </c>
      <c r="AS152" s="366">
        <v>374.35</v>
      </c>
      <c r="AT152" s="366">
        <v>374.35</v>
      </c>
      <c r="AU152" s="366">
        <v>473.76</v>
      </c>
      <c r="AV152" s="366">
        <v>431.21</v>
      </c>
      <c r="AW152" s="366">
        <v>176.13</v>
      </c>
      <c r="AX152" s="366">
        <v>299.04000000000002</v>
      </c>
      <c r="AY152" s="366">
        <v>635.11</v>
      </c>
      <c r="AZ152" s="366">
        <v>445.7</v>
      </c>
      <c r="BA152" s="366">
        <v>462.12</v>
      </c>
      <c r="BB152" s="366">
        <v>638</v>
      </c>
      <c r="BC152" s="366">
        <v>404.18</v>
      </c>
      <c r="BD152" s="366">
        <v>313.95</v>
      </c>
      <c r="BE152" s="366">
        <v>562.96</v>
      </c>
      <c r="BF152" s="366">
        <v>253.36</v>
      </c>
      <c r="BG152" s="366">
        <v>604.19000000000005</v>
      </c>
      <c r="BH152" s="366">
        <v>469.51</v>
      </c>
      <c r="BI152" s="366">
        <v>253.36</v>
      </c>
      <c r="BJ152" s="366">
        <v>542.30999999999995</v>
      </c>
      <c r="BK152" s="366">
        <v>513.48</v>
      </c>
      <c r="BL152" s="366">
        <v>287.99</v>
      </c>
      <c r="BM152" s="366">
        <v>264.77999999999997</v>
      </c>
      <c r="BN152" s="366">
        <v>326.48</v>
      </c>
      <c r="BO152" s="366">
        <v>555.67999999999995</v>
      </c>
      <c r="BP152" s="366">
        <v>521.54</v>
      </c>
      <c r="BQ152" s="366">
        <v>238.56</v>
      </c>
      <c r="BR152" s="366">
        <v>238.56</v>
      </c>
      <c r="BS152" s="366">
        <v>453.27</v>
      </c>
      <c r="BT152" s="366">
        <v>245.28</v>
      </c>
      <c r="BU152" s="366">
        <v>236.89</v>
      </c>
      <c r="BV152" s="366">
        <v>256.51</v>
      </c>
      <c r="BW152" s="366">
        <v>533.04999999999995</v>
      </c>
      <c r="BX152" s="366">
        <v>394.36</v>
      </c>
      <c r="BY152" s="366">
        <v>586.38</v>
      </c>
      <c r="BZ152" s="366">
        <v>586.38</v>
      </c>
      <c r="CA152" s="366">
        <v>137.33000000000001</v>
      </c>
      <c r="CB152" s="366">
        <v>412.79</v>
      </c>
      <c r="CC152" s="366">
        <v>270.20999999999998</v>
      </c>
      <c r="CD152" s="366">
        <v>283.69</v>
      </c>
      <c r="CE152" s="366">
        <v>496.71</v>
      </c>
      <c r="CF152" s="366">
        <v>304.58999999999997</v>
      </c>
      <c r="CG152" s="366">
        <v>304.58999999999997</v>
      </c>
      <c r="CH152" s="366">
        <v>223.56</v>
      </c>
      <c r="CI152" s="366">
        <v>342.71</v>
      </c>
      <c r="CJ152" s="366">
        <v>315.54000000000002</v>
      </c>
      <c r="CK152" s="366">
        <v>591.47</v>
      </c>
      <c r="CL152" s="366">
        <v>487.55</v>
      </c>
      <c r="CM152" s="366">
        <v>350.46</v>
      </c>
      <c r="CN152" s="366">
        <v>491.68</v>
      </c>
      <c r="CO152" s="366">
        <v>251.94</v>
      </c>
      <c r="CP152" s="366">
        <v>245.25</v>
      </c>
      <c r="CQ152" s="366">
        <v>245.25</v>
      </c>
      <c r="CR152" s="366">
        <v>203.26</v>
      </c>
      <c r="CS152" s="366">
        <v>203.26</v>
      </c>
      <c r="CT152" s="366">
        <v>193.82</v>
      </c>
      <c r="CU152" s="366">
        <v>201.69</v>
      </c>
      <c r="CV152" s="366">
        <v>195.64</v>
      </c>
      <c r="CW152" s="366">
        <v>558.9</v>
      </c>
      <c r="CX152" s="366">
        <v>289.27999999999997</v>
      </c>
      <c r="CY152" s="366">
        <v>396.88</v>
      </c>
      <c r="CZ152" s="366">
        <v>390.5</v>
      </c>
      <c r="DA152" s="366">
        <v>537.45000000000005</v>
      </c>
      <c r="DB152" s="366">
        <v>538.29</v>
      </c>
      <c r="DC152" s="366">
        <v>538.29</v>
      </c>
      <c r="DD152" s="366">
        <v>89.46</v>
      </c>
      <c r="DE152" s="366">
        <v>615.08000000000004</v>
      </c>
      <c r="DF152" s="366">
        <v>540.07000000000005</v>
      </c>
      <c r="DG152" s="366">
        <v>313.06</v>
      </c>
      <c r="DH152" s="366">
        <v>677.64</v>
      </c>
      <c r="DI152" s="366">
        <v>170.41</v>
      </c>
      <c r="DJ152" s="366">
        <v>374.3</v>
      </c>
      <c r="DK152" s="366">
        <v>356.78</v>
      </c>
      <c r="DL152" s="366">
        <v>230.89</v>
      </c>
      <c r="DM152" s="366">
        <v>464.66</v>
      </c>
      <c r="DN152" s="366">
        <v>185.17</v>
      </c>
      <c r="DO152" s="366">
        <v>383.35</v>
      </c>
      <c r="DP152" s="366">
        <v>51.15</v>
      </c>
      <c r="DQ152" s="366">
        <v>544.39</v>
      </c>
      <c r="DR152" s="366">
        <v>677.64</v>
      </c>
      <c r="DS152" s="366">
        <v>252.84</v>
      </c>
      <c r="DT152" s="366">
        <v>241.13</v>
      </c>
      <c r="DU152" s="366">
        <v>567.79</v>
      </c>
      <c r="DV152" s="366">
        <v>622.48</v>
      </c>
      <c r="DW152" s="366">
        <v>357.93</v>
      </c>
      <c r="DX152" s="366">
        <v>519.37</v>
      </c>
      <c r="DY152" s="366">
        <v>592.76</v>
      </c>
      <c r="DZ152" s="366">
        <v>99.13</v>
      </c>
      <c r="EA152" s="366">
        <v>235.61</v>
      </c>
      <c r="EB152" s="366">
        <v>586.76</v>
      </c>
      <c r="EC152" s="366">
        <v>255.55</v>
      </c>
      <c r="ED152" s="366">
        <v>200.18</v>
      </c>
      <c r="EE152" s="366">
        <v>210.97</v>
      </c>
      <c r="EF152" s="366">
        <v>160.91999999999999</v>
      </c>
      <c r="EG152" s="366">
        <v>176.13</v>
      </c>
      <c r="EH152" s="366">
        <v>176.13</v>
      </c>
      <c r="EI152" s="366">
        <v>284.16000000000003</v>
      </c>
      <c r="EJ152" s="366">
        <v>665.7</v>
      </c>
      <c r="EK152" s="366">
        <v>395.39</v>
      </c>
      <c r="EL152" s="366">
        <v>395.39</v>
      </c>
      <c r="EM152" s="366">
        <v>489.5</v>
      </c>
      <c r="EN152" s="366">
        <v>489.5</v>
      </c>
      <c r="EO152" s="366">
        <v>259.11</v>
      </c>
      <c r="EP152" s="366">
        <v>300.07</v>
      </c>
      <c r="EQ152" s="366">
        <v>184.33</v>
      </c>
      <c r="ER152" s="366">
        <v>370.2</v>
      </c>
      <c r="ES152" s="366">
        <v>476.98</v>
      </c>
      <c r="ET152" s="366">
        <v>220.59</v>
      </c>
      <c r="EU152" s="366">
        <v>491.71</v>
      </c>
      <c r="EV152" s="366">
        <v>0</v>
      </c>
      <c r="EW152" s="366">
        <v>283.54000000000002</v>
      </c>
      <c r="EX152" s="366">
        <v>453.72</v>
      </c>
      <c r="EY152" s="366">
        <v>453.72</v>
      </c>
      <c r="EZ152" s="366">
        <v>534.04</v>
      </c>
      <c r="FA152" s="366">
        <v>486.67</v>
      </c>
      <c r="FB152" s="366">
        <v>341.08</v>
      </c>
      <c r="FC152" s="366">
        <v>539.51</v>
      </c>
      <c r="FD152" s="366">
        <v>394.7</v>
      </c>
      <c r="FE152" s="366">
        <v>287.99</v>
      </c>
      <c r="FF152" s="366">
        <v>330.25</v>
      </c>
      <c r="FG152" s="366">
        <v>453.16</v>
      </c>
      <c r="FH152" s="366">
        <v>453.16</v>
      </c>
      <c r="FI152" s="366">
        <v>113.17</v>
      </c>
      <c r="FJ152" s="366">
        <v>118.96</v>
      </c>
      <c r="FK152" s="366">
        <v>504.72</v>
      </c>
      <c r="FL152" s="366">
        <v>502.91</v>
      </c>
      <c r="FM152" s="366">
        <v>259.11</v>
      </c>
      <c r="FN152" s="366">
        <v>58.73</v>
      </c>
      <c r="FO152" s="366">
        <v>243.98</v>
      </c>
      <c r="FP152" s="366">
        <v>571.86</v>
      </c>
      <c r="FQ152" s="366">
        <v>247.85</v>
      </c>
      <c r="FR152" s="366">
        <v>316.24</v>
      </c>
      <c r="FS152" s="366">
        <v>330.96</v>
      </c>
      <c r="FT152" s="366">
        <v>359.14</v>
      </c>
      <c r="FU152" s="366">
        <v>355.1</v>
      </c>
      <c r="FV152" s="366">
        <v>555.61</v>
      </c>
      <c r="FW152" s="366">
        <v>555.61</v>
      </c>
      <c r="FX152" s="366">
        <v>555.61</v>
      </c>
      <c r="FY152" s="366">
        <v>435.81</v>
      </c>
      <c r="FZ152" s="366">
        <v>310.86</v>
      </c>
      <c r="GA152" s="366">
        <v>562.96</v>
      </c>
      <c r="GB152" s="366">
        <v>369.43</v>
      </c>
      <c r="GC152" s="366">
        <v>200.18</v>
      </c>
      <c r="GD152" s="366">
        <v>376.46</v>
      </c>
      <c r="GE152" s="366">
        <v>193.72</v>
      </c>
      <c r="GF152" s="366">
        <v>368.63</v>
      </c>
      <c r="GG152" s="366">
        <v>368.63</v>
      </c>
      <c r="GH152" s="366">
        <v>611.41</v>
      </c>
      <c r="GI152" s="366">
        <v>259.27</v>
      </c>
      <c r="GJ152" s="366">
        <v>259.11</v>
      </c>
      <c r="GK152" s="366">
        <v>501.27</v>
      </c>
      <c r="GL152" s="366">
        <v>297.83</v>
      </c>
      <c r="GM152" s="366">
        <v>297.83</v>
      </c>
      <c r="GN152" s="366">
        <v>297.83</v>
      </c>
      <c r="GO152" s="366">
        <v>206.38</v>
      </c>
      <c r="GP152" s="366">
        <v>568.37</v>
      </c>
      <c r="GQ152" s="366">
        <v>546.98</v>
      </c>
      <c r="GR152" s="366">
        <v>231.52</v>
      </c>
      <c r="GS152" s="366">
        <v>186.13</v>
      </c>
      <c r="GT152" s="366">
        <v>176.13</v>
      </c>
      <c r="GU152" s="366">
        <v>350.06</v>
      </c>
      <c r="GV152" s="366">
        <v>672.89</v>
      </c>
      <c r="GW152" s="366">
        <v>313.55</v>
      </c>
      <c r="GX152" s="366">
        <v>172.7</v>
      </c>
      <c r="GY152" s="366">
        <v>262.94</v>
      </c>
      <c r="GZ152" s="366">
        <v>394.42</v>
      </c>
      <c r="HA152" s="366">
        <v>249.39</v>
      </c>
      <c r="HB152" s="366">
        <v>249.39</v>
      </c>
      <c r="HC152" s="366">
        <v>249.39</v>
      </c>
      <c r="HD152" s="366">
        <v>135.41999999999999</v>
      </c>
      <c r="HE152" s="366">
        <v>483.35</v>
      </c>
      <c r="HF152" s="366">
        <v>439.64</v>
      </c>
      <c r="HG152" s="366">
        <v>567.29</v>
      </c>
      <c r="HH152" s="366">
        <v>567.29</v>
      </c>
      <c r="HI152" s="366">
        <v>567.29</v>
      </c>
      <c r="HJ152" s="366">
        <v>347.76</v>
      </c>
      <c r="HK152" s="366">
        <v>102.75</v>
      </c>
      <c r="HL152" s="366">
        <v>502.89</v>
      </c>
      <c r="HM152" s="366">
        <v>256.39</v>
      </c>
      <c r="HN152" s="366">
        <v>259.11</v>
      </c>
      <c r="HO152" s="366">
        <v>459.87</v>
      </c>
      <c r="HP152" s="366">
        <v>395.14</v>
      </c>
      <c r="HQ152" s="366">
        <v>555.61</v>
      </c>
      <c r="HR152" s="366">
        <v>305.86</v>
      </c>
      <c r="HS152" s="366">
        <v>255.36</v>
      </c>
      <c r="HT152" s="366">
        <v>207.52</v>
      </c>
      <c r="HU152" s="366">
        <v>242.04</v>
      </c>
      <c r="HV152" s="366">
        <v>302.37</v>
      </c>
    </row>
    <row r="153" spans="1:230">
      <c r="A153" s="366" t="s">
        <v>172</v>
      </c>
      <c r="B153" s="366">
        <v>539.29999999999995</v>
      </c>
      <c r="C153" s="366">
        <v>354.96</v>
      </c>
      <c r="D153" s="366">
        <v>255.73</v>
      </c>
      <c r="E153" s="366">
        <v>255.73</v>
      </c>
      <c r="F153" s="366">
        <v>603.20000000000005</v>
      </c>
      <c r="G153" s="366">
        <v>410.77</v>
      </c>
      <c r="H153" s="366">
        <v>299.35000000000002</v>
      </c>
      <c r="I153" s="366">
        <v>65.680000000000007</v>
      </c>
      <c r="J153" s="366">
        <v>323.13</v>
      </c>
      <c r="K153" s="366">
        <v>323.13</v>
      </c>
      <c r="L153" s="366">
        <v>246.34</v>
      </c>
      <c r="M153" s="366">
        <v>380.38</v>
      </c>
      <c r="N153" s="366">
        <v>477.28</v>
      </c>
      <c r="O153" s="366">
        <v>230.39</v>
      </c>
      <c r="P153" s="366">
        <v>230.39</v>
      </c>
      <c r="Q153" s="366">
        <v>230.39</v>
      </c>
      <c r="R153" s="366">
        <v>230.39</v>
      </c>
      <c r="S153" s="366">
        <v>230.39</v>
      </c>
      <c r="T153" s="366">
        <v>140.18</v>
      </c>
      <c r="U153" s="366">
        <v>518.80999999999995</v>
      </c>
      <c r="V153" s="366">
        <v>319.77999999999997</v>
      </c>
      <c r="W153" s="366">
        <v>283.54000000000002</v>
      </c>
      <c r="X153" s="366">
        <v>283.54000000000002</v>
      </c>
      <c r="Y153" s="366">
        <v>283.54000000000002</v>
      </c>
      <c r="Z153" s="366">
        <v>357.52</v>
      </c>
      <c r="AA153" s="366">
        <v>404.94</v>
      </c>
      <c r="AB153" s="366">
        <v>164.06</v>
      </c>
      <c r="AC153" s="366">
        <v>166.52</v>
      </c>
      <c r="AD153" s="366">
        <v>166.52</v>
      </c>
      <c r="AE153" s="366">
        <v>204.83</v>
      </c>
      <c r="AF153" s="366">
        <v>424.51</v>
      </c>
      <c r="AG153" s="366">
        <v>285.06</v>
      </c>
      <c r="AH153" s="366">
        <v>88.25</v>
      </c>
      <c r="AI153" s="366">
        <v>88.25</v>
      </c>
      <c r="AJ153" s="366">
        <v>88.25</v>
      </c>
      <c r="AK153" s="366">
        <v>379.72</v>
      </c>
      <c r="AL153" s="366">
        <v>379.72</v>
      </c>
      <c r="AM153" s="366">
        <v>166.78</v>
      </c>
      <c r="AN153" s="366">
        <v>189.56</v>
      </c>
      <c r="AO153" s="366">
        <v>417.89</v>
      </c>
      <c r="AP153" s="366">
        <v>128.9</v>
      </c>
      <c r="AQ153" s="366">
        <v>559.74</v>
      </c>
      <c r="AR153" s="366">
        <v>385.9</v>
      </c>
      <c r="AS153" s="366">
        <v>170.89</v>
      </c>
      <c r="AT153" s="366">
        <v>170.89</v>
      </c>
      <c r="AU153" s="366">
        <v>234.64</v>
      </c>
      <c r="AV153" s="366">
        <v>549.86</v>
      </c>
      <c r="AW153" s="366">
        <v>327.37</v>
      </c>
      <c r="AX153" s="366">
        <v>42.16</v>
      </c>
      <c r="AY153" s="366">
        <v>512.99</v>
      </c>
      <c r="AZ153" s="366">
        <v>323.58</v>
      </c>
      <c r="BA153" s="366">
        <v>380.12</v>
      </c>
      <c r="BB153" s="366">
        <v>515.88</v>
      </c>
      <c r="BC153" s="366">
        <v>322.18</v>
      </c>
      <c r="BD153" s="366">
        <v>231.95</v>
      </c>
      <c r="BE153" s="366">
        <v>323.83999999999997</v>
      </c>
      <c r="BF153" s="366">
        <v>161.03</v>
      </c>
      <c r="BG153" s="366">
        <v>365.07</v>
      </c>
      <c r="BH153" s="366">
        <v>230.39</v>
      </c>
      <c r="BI153" s="366">
        <v>385.93</v>
      </c>
      <c r="BJ153" s="366">
        <v>303.19</v>
      </c>
      <c r="BK153" s="366">
        <v>391.36</v>
      </c>
      <c r="BL153" s="366">
        <v>248.73</v>
      </c>
      <c r="BM153" s="366">
        <v>271.94</v>
      </c>
      <c r="BN153" s="366">
        <v>445.13</v>
      </c>
      <c r="BO153" s="366">
        <v>433.56</v>
      </c>
      <c r="BP153" s="366">
        <v>399.42</v>
      </c>
      <c r="BQ153" s="366">
        <v>86.38</v>
      </c>
      <c r="BR153" s="366">
        <v>86.38</v>
      </c>
      <c r="BS153" s="366">
        <v>331.15</v>
      </c>
      <c r="BT153" s="366">
        <v>370.36</v>
      </c>
      <c r="BU153" s="366">
        <v>144.56</v>
      </c>
      <c r="BV153" s="366">
        <v>164.18</v>
      </c>
      <c r="BW153" s="366">
        <v>293.93</v>
      </c>
      <c r="BX153" s="366">
        <v>272.24</v>
      </c>
      <c r="BY153" s="366">
        <v>347.26</v>
      </c>
      <c r="BZ153" s="366">
        <v>347.26</v>
      </c>
      <c r="CA153" s="366">
        <v>288.57</v>
      </c>
      <c r="CB153" s="366">
        <v>290.67</v>
      </c>
      <c r="CC153" s="366">
        <v>13.33</v>
      </c>
      <c r="CD153" s="366">
        <v>15.73</v>
      </c>
      <c r="CE153" s="366">
        <v>374.59</v>
      </c>
      <c r="CF153" s="366">
        <v>423.24</v>
      </c>
      <c r="CG153" s="366">
        <v>423.24</v>
      </c>
      <c r="CH153" s="366">
        <v>71.38</v>
      </c>
      <c r="CI153" s="366">
        <v>103.59</v>
      </c>
      <c r="CJ153" s="366">
        <v>434.19</v>
      </c>
      <c r="CK153" s="366">
        <v>352.35</v>
      </c>
      <c r="CL153" s="366">
        <v>248.43</v>
      </c>
      <c r="CM153" s="366">
        <v>268.45999999999998</v>
      </c>
      <c r="CN153" s="366">
        <v>252.56</v>
      </c>
      <c r="CO153" s="366">
        <v>384.51</v>
      </c>
      <c r="CP153" s="366">
        <v>93.07</v>
      </c>
      <c r="CQ153" s="366">
        <v>93.07</v>
      </c>
      <c r="CR153" s="366">
        <v>336.91</v>
      </c>
      <c r="CS153" s="366">
        <v>336.91</v>
      </c>
      <c r="CT153" s="366">
        <v>345.06</v>
      </c>
      <c r="CU153" s="366">
        <v>338.48</v>
      </c>
      <c r="CV153" s="366">
        <v>341.08</v>
      </c>
      <c r="CW153" s="366">
        <v>319.77999999999997</v>
      </c>
      <c r="CX153" s="366">
        <v>32.4</v>
      </c>
      <c r="CY153" s="366">
        <v>314.88</v>
      </c>
      <c r="CZ153" s="366">
        <v>336.12</v>
      </c>
      <c r="DA153" s="366">
        <v>415.33</v>
      </c>
      <c r="DB153" s="366">
        <v>299.17</v>
      </c>
      <c r="DC153" s="366">
        <v>299.17</v>
      </c>
      <c r="DD153" s="366">
        <v>270.7</v>
      </c>
      <c r="DE153" s="366">
        <v>492.96</v>
      </c>
      <c r="DF153" s="366">
        <v>587.66</v>
      </c>
      <c r="DG153" s="366">
        <v>73.94</v>
      </c>
      <c r="DH153" s="366">
        <v>555.52</v>
      </c>
      <c r="DI153" s="366">
        <v>289.06</v>
      </c>
      <c r="DJ153" s="366">
        <v>352.32</v>
      </c>
      <c r="DK153" s="366">
        <v>234.66</v>
      </c>
      <c r="DL153" s="366">
        <v>150.56</v>
      </c>
      <c r="DM153" s="366">
        <v>342.54</v>
      </c>
      <c r="DN153" s="366">
        <v>303.82</v>
      </c>
      <c r="DO153" s="366">
        <v>261.23</v>
      </c>
      <c r="DP153" s="366">
        <v>232.39</v>
      </c>
      <c r="DQ153" s="366">
        <v>305.27</v>
      </c>
      <c r="DR153" s="366">
        <v>555.52</v>
      </c>
      <c r="DS153" s="366">
        <v>362.38</v>
      </c>
      <c r="DT153" s="366">
        <v>350.67</v>
      </c>
      <c r="DU153" s="366">
        <v>445.67</v>
      </c>
      <c r="DV153" s="366">
        <v>383.36</v>
      </c>
      <c r="DW153" s="366">
        <v>187.31</v>
      </c>
      <c r="DX153" s="366">
        <v>280.25</v>
      </c>
      <c r="DY153" s="366">
        <v>353.64</v>
      </c>
      <c r="DZ153" s="366">
        <v>280.37</v>
      </c>
      <c r="EA153" s="366">
        <v>368.18</v>
      </c>
      <c r="EB153" s="366">
        <v>347.64</v>
      </c>
      <c r="EC153" s="366">
        <v>281.17</v>
      </c>
      <c r="ED153" s="366">
        <v>318.83</v>
      </c>
      <c r="EE153" s="366">
        <v>329.62</v>
      </c>
      <c r="EF153" s="366">
        <v>122.62</v>
      </c>
      <c r="EG153" s="366">
        <v>327.37</v>
      </c>
      <c r="EH153" s="366">
        <v>327.37</v>
      </c>
      <c r="EI153" s="366">
        <v>0.92</v>
      </c>
      <c r="EJ153" s="366">
        <v>543.58000000000004</v>
      </c>
      <c r="EK153" s="366">
        <v>156.27000000000001</v>
      </c>
      <c r="EL153" s="366">
        <v>156.27000000000001</v>
      </c>
      <c r="EM153" s="366">
        <v>250.38</v>
      </c>
      <c r="EN153" s="366">
        <v>250.38</v>
      </c>
      <c r="EO153" s="366">
        <v>166.78</v>
      </c>
      <c r="EP153" s="366">
        <v>81.38</v>
      </c>
      <c r="EQ153" s="366">
        <v>335.57</v>
      </c>
      <c r="ER153" s="366">
        <v>488.85</v>
      </c>
      <c r="ES153" s="366">
        <v>354.86</v>
      </c>
      <c r="ET153" s="366">
        <v>68.41</v>
      </c>
      <c r="EU153" s="366">
        <v>539.29999999999995</v>
      </c>
      <c r="EV153" s="366">
        <v>283.54000000000002</v>
      </c>
      <c r="EW153" s="366">
        <v>0</v>
      </c>
      <c r="EX153" s="366">
        <v>331.6</v>
      </c>
      <c r="EY153" s="366">
        <v>331.6</v>
      </c>
      <c r="EZ153" s="366">
        <v>294.92</v>
      </c>
      <c r="FA153" s="366">
        <v>247.55</v>
      </c>
      <c r="FB153" s="366">
        <v>218.96</v>
      </c>
      <c r="FC153" s="366">
        <v>300.39</v>
      </c>
      <c r="FD153" s="366">
        <v>155.58000000000001</v>
      </c>
      <c r="FE153" s="366">
        <v>4.75</v>
      </c>
      <c r="FF153" s="366">
        <v>91.13</v>
      </c>
      <c r="FG153" s="366">
        <v>371.16</v>
      </c>
      <c r="FH153" s="366">
        <v>371.16</v>
      </c>
      <c r="FI153" s="366">
        <v>264.41000000000003</v>
      </c>
      <c r="FJ153" s="366">
        <v>270.2</v>
      </c>
      <c r="FK153" s="366">
        <v>382.6</v>
      </c>
      <c r="FL153" s="366">
        <v>380.79</v>
      </c>
      <c r="FM153" s="366">
        <v>166.78</v>
      </c>
      <c r="FN153" s="366">
        <v>314.29000000000002</v>
      </c>
      <c r="FO153" s="366">
        <v>376.55</v>
      </c>
      <c r="FP153" s="366">
        <v>332.74</v>
      </c>
      <c r="FQ153" s="366">
        <v>380.42</v>
      </c>
      <c r="FR153" s="366">
        <v>263.68</v>
      </c>
      <c r="FS153" s="366">
        <v>91.84</v>
      </c>
      <c r="FT153" s="366">
        <v>367.48</v>
      </c>
      <c r="FU153" s="366">
        <v>115.98</v>
      </c>
      <c r="FV153" s="366">
        <v>603.20000000000005</v>
      </c>
      <c r="FW153" s="366">
        <v>603.20000000000005</v>
      </c>
      <c r="FX153" s="366">
        <v>603.20000000000005</v>
      </c>
      <c r="FY153" s="366">
        <v>196.69</v>
      </c>
      <c r="FZ153" s="366">
        <v>27.62</v>
      </c>
      <c r="GA153" s="366">
        <v>323.83999999999997</v>
      </c>
      <c r="GB153" s="366">
        <v>130.31</v>
      </c>
      <c r="GC153" s="366">
        <v>318.83</v>
      </c>
      <c r="GD153" s="366">
        <v>254.34</v>
      </c>
      <c r="GE153" s="366">
        <v>344.96</v>
      </c>
      <c r="GF153" s="366">
        <v>129.51</v>
      </c>
      <c r="GG153" s="366">
        <v>129.51</v>
      </c>
      <c r="GH153" s="366">
        <v>372.29</v>
      </c>
      <c r="GI153" s="366">
        <v>166.94</v>
      </c>
      <c r="GJ153" s="366">
        <v>166.78</v>
      </c>
      <c r="GK153" s="366">
        <v>379.15</v>
      </c>
      <c r="GL153" s="366">
        <v>14.59</v>
      </c>
      <c r="GM153" s="366">
        <v>14.59</v>
      </c>
      <c r="GN153" s="366">
        <v>14.59</v>
      </c>
      <c r="GO153" s="366">
        <v>168.08</v>
      </c>
      <c r="GP153" s="366">
        <v>329.25</v>
      </c>
      <c r="GQ153" s="366">
        <v>424.86</v>
      </c>
      <c r="GR153" s="366">
        <v>195.01</v>
      </c>
      <c r="GS153" s="366">
        <v>97.41</v>
      </c>
      <c r="GT153" s="366">
        <v>327.37</v>
      </c>
      <c r="GU153" s="366">
        <v>189.54</v>
      </c>
      <c r="GV153" s="366">
        <v>550.77</v>
      </c>
      <c r="GW153" s="366">
        <v>39.049999999999997</v>
      </c>
      <c r="GX153" s="366">
        <v>323.94</v>
      </c>
      <c r="GY153" s="366">
        <v>89.22</v>
      </c>
      <c r="GZ153" s="366">
        <v>155.30000000000001</v>
      </c>
      <c r="HA153" s="366">
        <v>381.96</v>
      </c>
      <c r="HB153" s="366">
        <v>381.96</v>
      </c>
      <c r="HC153" s="366">
        <v>381.96</v>
      </c>
      <c r="HD153" s="366">
        <v>291.11</v>
      </c>
      <c r="HE153" s="366">
        <v>244.23</v>
      </c>
      <c r="HF153" s="366">
        <v>200.52</v>
      </c>
      <c r="HG153" s="366">
        <v>328.17</v>
      </c>
      <c r="HH153" s="366">
        <v>328.17</v>
      </c>
      <c r="HI153" s="366">
        <v>328.17</v>
      </c>
      <c r="HJ153" s="366">
        <v>108.64</v>
      </c>
      <c r="HK153" s="366">
        <v>253.99</v>
      </c>
      <c r="HL153" s="366">
        <v>263.77</v>
      </c>
      <c r="HM153" s="366">
        <v>164.06</v>
      </c>
      <c r="HN153" s="366">
        <v>166.78</v>
      </c>
      <c r="HO153" s="366">
        <v>572.5</v>
      </c>
      <c r="HP153" s="366">
        <v>156.02000000000001</v>
      </c>
      <c r="HQ153" s="366">
        <v>603.20000000000005</v>
      </c>
      <c r="HR153" s="366">
        <v>424.51</v>
      </c>
      <c r="HS153" s="366">
        <v>163.03</v>
      </c>
      <c r="HT153" s="366">
        <v>81.209999999999994</v>
      </c>
      <c r="HU153" s="366">
        <v>89.86</v>
      </c>
      <c r="HV153" s="366">
        <v>24.2</v>
      </c>
    </row>
    <row r="154" spans="1:230">
      <c r="A154" s="366" t="s">
        <v>173</v>
      </c>
      <c r="B154" s="366">
        <v>843.13</v>
      </c>
      <c r="C154" s="366">
        <v>133.88</v>
      </c>
      <c r="D154" s="366">
        <v>172.73</v>
      </c>
      <c r="E154" s="366">
        <v>172.73</v>
      </c>
      <c r="F154" s="366">
        <v>907.03</v>
      </c>
      <c r="G154" s="366">
        <v>643.54</v>
      </c>
      <c r="H154" s="366">
        <v>216.35</v>
      </c>
      <c r="I154" s="366">
        <v>352.86</v>
      </c>
      <c r="J154" s="366">
        <v>240.13</v>
      </c>
      <c r="K154" s="366">
        <v>240.13</v>
      </c>
      <c r="L154" s="366">
        <v>154.82</v>
      </c>
      <c r="M154" s="366">
        <v>159.30000000000001</v>
      </c>
      <c r="N154" s="366">
        <v>256.2</v>
      </c>
      <c r="O154" s="366">
        <v>317.69</v>
      </c>
      <c r="P154" s="366">
        <v>317.69</v>
      </c>
      <c r="Q154" s="366">
        <v>317.69</v>
      </c>
      <c r="R154" s="366">
        <v>317.69</v>
      </c>
      <c r="S154" s="366">
        <v>317.69</v>
      </c>
      <c r="T154" s="366">
        <v>427.36</v>
      </c>
      <c r="U154" s="366">
        <v>751.58</v>
      </c>
      <c r="V154" s="366">
        <v>372.62</v>
      </c>
      <c r="W154" s="366">
        <v>453.72</v>
      </c>
      <c r="X154" s="366">
        <v>453.72</v>
      </c>
      <c r="Y154" s="366">
        <v>453.72</v>
      </c>
      <c r="Z154" s="366">
        <v>317.14</v>
      </c>
      <c r="AA154" s="366">
        <v>637.71</v>
      </c>
      <c r="AB154" s="366">
        <v>487.1</v>
      </c>
      <c r="AC154" s="366">
        <v>489.56</v>
      </c>
      <c r="AD154" s="366">
        <v>489.56</v>
      </c>
      <c r="AE154" s="366">
        <v>223.63</v>
      </c>
      <c r="AF154" s="366">
        <v>657.28</v>
      </c>
      <c r="AG154" s="366">
        <v>455.24</v>
      </c>
      <c r="AH154" s="366">
        <v>306.81</v>
      </c>
      <c r="AI154" s="366">
        <v>306.81</v>
      </c>
      <c r="AJ154" s="366">
        <v>306.81</v>
      </c>
      <c r="AK154" s="366">
        <v>299.89999999999998</v>
      </c>
      <c r="AL154" s="366">
        <v>299.89999999999998</v>
      </c>
      <c r="AM154" s="366">
        <v>489.82</v>
      </c>
      <c r="AN154" s="366">
        <v>276.86</v>
      </c>
      <c r="AO154" s="366">
        <v>660.15</v>
      </c>
      <c r="AP154" s="366">
        <v>416.08</v>
      </c>
      <c r="AQ154" s="366">
        <v>863.57</v>
      </c>
      <c r="AR154" s="366">
        <v>302.89999999999998</v>
      </c>
      <c r="AS154" s="366">
        <v>160.71</v>
      </c>
      <c r="AT154" s="366">
        <v>160.71</v>
      </c>
      <c r="AU154" s="366">
        <v>287.48</v>
      </c>
      <c r="AV154" s="366">
        <v>782.63</v>
      </c>
      <c r="AW154" s="366">
        <v>284.45</v>
      </c>
      <c r="AX154" s="366">
        <v>373.46</v>
      </c>
      <c r="AY154" s="366">
        <v>291.91000000000003</v>
      </c>
      <c r="AZ154" s="366">
        <v>102.5</v>
      </c>
      <c r="BA154" s="366">
        <v>703.16</v>
      </c>
      <c r="BB154" s="366">
        <v>294.8</v>
      </c>
      <c r="BC154" s="366">
        <v>645.22</v>
      </c>
      <c r="BD154" s="366">
        <v>554.99</v>
      </c>
      <c r="BE154" s="366">
        <v>376.68</v>
      </c>
      <c r="BF154" s="366">
        <v>484.07</v>
      </c>
      <c r="BG154" s="366">
        <v>313.66000000000003</v>
      </c>
      <c r="BH154" s="366">
        <v>317.69</v>
      </c>
      <c r="BI154" s="366">
        <v>302.93</v>
      </c>
      <c r="BJ154" s="366">
        <v>356.03</v>
      </c>
      <c r="BK154" s="366">
        <v>59.78</v>
      </c>
      <c r="BL154" s="366">
        <v>179.73</v>
      </c>
      <c r="BM154" s="366">
        <v>188.94</v>
      </c>
      <c r="BN154" s="366">
        <v>677.9</v>
      </c>
      <c r="BO154" s="366">
        <v>101.98</v>
      </c>
      <c r="BP154" s="366">
        <v>67.84</v>
      </c>
      <c r="BQ154" s="366">
        <v>332.16</v>
      </c>
      <c r="BR154" s="366">
        <v>332.16</v>
      </c>
      <c r="BS154" s="366">
        <v>110.07</v>
      </c>
      <c r="BT154" s="366">
        <v>287.36</v>
      </c>
      <c r="BU154" s="366">
        <v>467.6</v>
      </c>
      <c r="BV154" s="366">
        <v>487.22</v>
      </c>
      <c r="BW154" s="366">
        <v>346.77</v>
      </c>
      <c r="BX154" s="366">
        <v>59.36</v>
      </c>
      <c r="BY154" s="366">
        <v>400.1</v>
      </c>
      <c r="BZ154" s="366">
        <v>400.1</v>
      </c>
      <c r="CA154" s="366">
        <v>316.39</v>
      </c>
      <c r="CB154" s="366">
        <v>41.25</v>
      </c>
      <c r="CC154" s="366">
        <v>344.63</v>
      </c>
      <c r="CD154" s="366">
        <v>347.03</v>
      </c>
      <c r="CE154" s="366">
        <v>43.01</v>
      </c>
      <c r="CF154" s="366">
        <v>656.01</v>
      </c>
      <c r="CG154" s="366">
        <v>656.01</v>
      </c>
      <c r="CH154" s="366">
        <v>347.16</v>
      </c>
      <c r="CI154" s="366">
        <v>260.64999999999998</v>
      </c>
      <c r="CJ154" s="366">
        <v>666.96</v>
      </c>
      <c r="CK154" s="366">
        <v>405.19</v>
      </c>
      <c r="CL154" s="366">
        <v>301.27</v>
      </c>
      <c r="CM154" s="366">
        <v>591.5</v>
      </c>
      <c r="CN154" s="366">
        <v>305.39999999999998</v>
      </c>
      <c r="CO154" s="366">
        <v>301.51</v>
      </c>
      <c r="CP154" s="366">
        <v>325.47000000000003</v>
      </c>
      <c r="CQ154" s="366">
        <v>325.47000000000003</v>
      </c>
      <c r="CR154" s="366">
        <v>253.91</v>
      </c>
      <c r="CS154" s="366">
        <v>253.91</v>
      </c>
      <c r="CT154" s="366">
        <v>263.35000000000002</v>
      </c>
      <c r="CU154" s="366">
        <v>255.48</v>
      </c>
      <c r="CV154" s="366">
        <v>258.08</v>
      </c>
      <c r="CW154" s="366">
        <v>372.62</v>
      </c>
      <c r="CX154" s="366">
        <v>363.7</v>
      </c>
      <c r="CY154" s="366">
        <v>637.91999999999996</v>
      </c>
      <c r="CZ154" s="366">
        <v>659.16</v>
      </c>
      <c r="DA154" s="366">
        <v>194.25</v>
      </c>
      <c r="DB154" s="366">
        <v>352.01</v>
      </c>
      <c r="DC154" s="366">
        <v>352.01</v>
      </c>
      <c r="DD154" s="366">
        <v>440.88</v>
      </c>
      <c r="DE154" s="366">
        <v>271.88</v>
      </c>
      <c r="DF154" s="366">
        <v>891.49</v>
      </c>
      <c r="DG154" s="366">
        <v>290.3</v>
      </c>
      <c r="DH154" s="366">
        <v>334.44</v>
      </c>
      <c r="DI154" s="366">
        <v>521.83000000000004</v>
      </c>
      <c r="DJ154" s="366">
        <v>675.36</v>
      </c>
      <c r="DK154" s="366">
        <v>96.94</v>
      </c>
      <c r="DL154" s="366">
        <v>473.6</v>
      </c>
      <c r="DM154" s="366">
        <v>121.46</v>
      </c>
      <c r="DN154" s="366">
        <v>536.59</v>
      </c>
      <c r="DO154" s="366">
        <v>74.94</v>
      </c>
      <c r="DP154" s="366">
        <v>402.57</v>
      </c>
      <c r="DQ154" s="366">
        <v>358.11</v>
      </c>
      <c r="DR154" s="366">
        <v>334.44</v>
      </c>
      <c r="DS154" s="366">
        <v>279.38</v>
      </c>
      <c r="DT154" s="366">
        <v>267.67</v>
      </c>
      <c r="DU154" s="366">
        <v>224.59</v>
      </c>
      <c r="DV154" s="366">
        <v>291.3</v>
      </c>
      <c r="DW154" s="366">
        <v>144.29</v>
      </c>
      <c r="DX154" s="366">
        <v>333.09</v>
      </c>
      <c r="DY154" s="366">
        <v>406.48</v>
      </c>
      <c r="DZ154" s="366">
        <v>450.55</v>
      </c>
      <c r="EA154" s="366">
        <v>285.18</v>
      </c>
      <c r="EB154" s="366">
        <v>400.48</v>
      </c>
      <c r="EC154" s="366">
        <v>198.17</v>
      </c>
      <c r="ED154" s="366">
        <v>551.6</v>
      </c>
      <c r="EE154" s="366">
        <v>562.39</v>
      </c>
      <c r="EF154" s="366">
        <v>409.8</v>
      </c>
      <c r="EG154" s="366">
        <v>284.45</v>
      </c>
      <c r="EH154" s="366">
        <v>284.45</v>
      </c>
      <c r="EI154" s="366">
        <v>330.68</v>
      </c>
      <c r="EJ154" s="366">
        <v>212</v>
      </c>
      <c r="EK154" s="366">
        <v>209.11</v>
      </c>
      <c r="EL154" s="366">
        <v>209.11</v>
      </c>
      <c r="EM154" s="366">
        <v>303.22000000000003</v>
      </c>
      <c r="EN154" s="366">
        <v>303.22000000000003</v>
      </c>
      <c r="EO154" s="366">
        <v>489.82</v>
      </c>
      <c r="EP154" s="366">
        <v>412.68</v>
      </c>
      <c r="EQ154" s="366">
        <v>272.83999999999997</v>
      </c>
      <c r="ER154" s="366">
        <v>721.62</v>
      </c>
      <c r="ES154" s="366">
        <v>133.78</v>
      </c>
      <c r="ET154" s="366">
        <v>350.13</v>
      </c>
      <c r="EU154" s="366">
        <v>843.13</v>
      </c>
      <c r="EV154" s="366">
        <v>453.72</v>
      </c>
      <c r="EW154" s="366">
        <v>331.6</v>
      </c>
      <c r="EX154" s="366">
        <v>0</v>
      </c>
      <c r="EY154" s="366">
        <v>0</v>
      </c>
      <c r="EZ154" s="366">
        <v>355.03</v>
      </c>
      <c r="FA154" s="366">
        <v>300.39</v>
      </c>
      <c r="FB154" s="366">
        <v>112.64</v>
      </c>
      <c r="FC154" s="366">
        <v>353.23</v>
      </c>
      <c r="FD154" s="366">
        <v>242.88</v>
      </c>
      <c r="FE154" s="366">
        <v>334.51</v>
      </c>
      <c r="FF154" s="366">
        <v>309.69</v>
      </c>
      <c r="FG154" s="366">
        <v>694.2</v>
      </c>
      <c r="FH154" s="366">
        <v>694.2</v>
      </c>
      <c r="FI154" s="366">
        <v>434.59</v>
      </c>
      <c r="FJ154" s="366">
        <v>440.38</v>
      </c>
      <c r="FK154" s="366">
        <v>161.52000000000001</v>
      </c>
      <c r="FL154" s="366">
        <v>159.71</v>
      </c>
      <c r="FM154" s="366">
        <v>489.82</v>
      </c>
      <c r="FN154" s="366">
        <v>484.47</v>
      </c>
      <c r="FO154" s="366">
        <v>293.55</v>
      </c>
      <c r="FP154" s="366">
        <v>385.58</v>
      </c>
      <c r="FQ154" s="366">
        <v>297.42</v>
      </c>
      <c r="FR154" s="366">
        <v>172.16</v>
      </c>
      <c r="FS154" s="366">
        <v>239.76</v>
      </c>
      <c r="FT154" s="366">
        <v>690.52</v>
      </c>
      <c r="FU154" s="366">
        <v>248.26</v>
      </c>
      <c r="FV154" s="366">
        <v>907.03</v>
      </c>
      <c r="FW154" s="366">
        <v>907.03</v>
      </c>
      <c r="FX154" s="366">
        <v>907.03</v>
      </c>
      <c r="FY154" s="366">
        <v>249.53</v>
      </c>
      <c r="FZ154" s="366">
        <v>324.42</v>
      </c>
      <c r="GA154" s="366">
        <v>376.68</v>
      </c>
      <c r="GB154" s="366">
        <v>278.23</v>
      </c>
      <c r="GC154" s="366">
        <v>551.6</v>
      </c>
      <c r="GD154" s="366">
        <v>77.260000000000005</v>
      </c>
      <c r="GE154" s="366">
        <v>263.45</v>
      </c>
      <c r="GF154" s="366">
        <v>234.73</v>
      </c>
      <c r="GG154" s="366">
        <v>234.73</v>
      </c>
      <c r="GH154" s="366">
        <v>425.13</v>
      </c>
      <c r="GI154" s="366">
        <v>489.98</v>
      </c>
      <c r="GJ154" s="366">
        <v>489.82</v>
      </c>
      <c r="GK154" s="366">
        <v>158.07</v>
      </c>
      <c r="GL154" s="366">
        <v>317.01</v>
      </c>
      <c r="GM154" s="366">
        <v>317.01</v>
      </c>
      <c r="GN154" s="366">
        <v>317.01</v>
      </c>
      <c r="GO154" s="366">
        <v>455.26</v>
      </c>
      <c r="GP154" s="366">
        <v>382.09</v>
      </c>
      <c r="GQ154" s="366">
        <v>93.28</v>
      </c>
      <c r="GR154" s="366">
        <v>518.04999999999995</v>
      </c>
      <c r="GS154" s="366">
        <v>384.59</v>
      </c>
      <c r="GT154" s="366">
        <v>284.45</v>
      </c>
      <c r="GU154" s="366">
        <v>241.8</v>
      </c>
      <c r="GV154" s="366">
        <v>219.19</v>
      </c>
      <c r="GW154" s="366">
        <v>292.99</v>
      </c>
      <c r="GX154" s="366">
        <v>281.02</v>
      </c>
      <c r="GY154" s="366">
        <v>307.77999999999997</v>
      </c>
      <c r="GZ154" s="366">
        <v>242.6</v>
      </c>
      <c r="HA154" s="366">
        <v>298.95999999999998</v>
      </c>
      <c r="HB154" s="366">
        <v>298.95999999999998</v>
      </c>
      <c r="HC154" s="366">
        <v>298.95999999999998</v>
      </c>
      <c r="HD154" s="366">
        <v>486.84</v>
      </c>
      <c r="HE154" s="366">
        <v>297.07</v>
      </c>
      <c r="HF154" s="366">
        <v>253.36</v>
      </c>
      <c r="HG154" s="366">
        <v>381.01</v>
      </c>
      <c r="HH154" s="366">
        <v>381.01</v>
      </c>
      <c r="HI154" s="366">
        <v>381.01</v>
      </c>
      <c r="HJ154" s="366">
        <v>255.6</v>
      </c>
      <c r="HK154" s="366">
        <v>356.94</v>
      </c>
      <c r="HL154" s="366">
        <v>351.07</v>
      </c>
      <c r="HM154" s="366">
        <v>487.1</v>
      </c>
      <c r="HN154" s="366">
        <v>489.82</v>
      </c>
      <c r="HO154" s="366">
        <v>811.29</v>
      </c>
      <c r="HP154" s="366">
        <v>243.32</v>
      </c>
      <c r="HQ154" s="366">
        <v>907.03</v>
      </c>
      <c r="HR154" s="366">
        <v>657.28</v>
      </c>
      <c r="HS154" s="366">
        <v>486.07</v>
      </c>
      <c r="HT154" s="366">
        <v>368.39</v>
      </c>
      <c r="HU154" s="366">
        <v>335.64</v>
      </c>
      <c r="HV154" s="366">
        <v>353.96</v>
      </c>
    </row>
    <row r="155" spans="1:230">
      <c r="A155" s="366" t="s">
        <v>174</v>
      </c>
      <c r="B155" s="366">
        <v>843.13</v>
      </c>
      <c r="C155" s="366">
        <v>133.88</v>
      </c>
      <c r="D155" s="366">
        <v>172.73</v>
      </c>
      <c r="E155" s="366">
        <v>172.73</v>
      </c>
      <c r="F155" s="366">
        <v>907.03</v>
      </c>
      <c r="G155" s="366">
        <v>643.54</v>
      </c>
      <c r="H155" s="366">
        <v>216.35</v>
      </c>
      <c r="I155" s="366">
        <v>352.86</v>
      </c>
      <c r="J155" s="366">
        <v>240.13</v>
      </c>
      <c r="K155" s="366">
        <v>240.13</v>
      </c>
      <c r="L155" s="366">
        <v>154.82</v>
      </c>
      <c r="M155" s="366">
        <v>159.30000000000001</v>
      </c>
      <c r="N155" s="366">
        <v>256.2</v>
      </c>
      <c r="O155" s="366">
        <v>317.69</v>
      </c>
      <c r="P155" s="366">
        <v>317.69</v>
      </c>
      <c r="Q155" s="366">
        <v>317.69</v>
      </c>
      <c r="R155" s="366">
        <v>317.69</v>
      </c>
      <c r="S155" s="366">
        <v>317.69</v>
      </c>
      <c r="T155" s="366">
        <v>427.36</v>
      </c>
      <c r="U155" s="366">
        <v>751.58</v>
      </c>
      <c r="V155" s="366">
        <v>372.62</v>
      </c>
      <c r="W155" s="366">
        <v>453.72</v>
      </c>
      <c r="X155" s="366">
        <v>453.72</v>
      </c>
      <c r="Y155" s="366">
        <v>453.72</v>
      </c>
      <c r="Z155" s="366">
        <v>317.14</v>
      </c>
      <c r="AA155" s="366">
        <v>637.71</v>
      </c>
      <c r="AB155" s="366">
        <v>487.1</v>
      </c>
      <c r="AC155" s="366">
        <v>489.56</v>
      </c>
      <c r="AD155" s="366">
        <v>489.56</v>
      </c>
      <c r="AE155" s="366">
        <v>223.63</v>
      </c>
      <c r="AF155" s="366">
        <v>657.28</v>
      </c>
      <c r="AG155" s="366">
        <v>455.24</v>
      </c>
      <c r="AH155" s="366">
        <v>306.81</v>
      </c>
      <c r="AI155" s="366">
        <v>306.81</v>
      </c>
      <c r="AJ155" s="366">
        <v>306.81</v>
      </c>
      <c r="AK155" s="366">
        <v>299.89999999999998</v>
      </c>
      <c r="AL155" s="366">
        <v>299.89999999999998</v>
      </c>
      <c r="AM155" s="366">
        <v>489.82</v>
      </c>
      <c r="AN155" s="366">
        <v>276.86</v>
      </c>
      <c r="AO155" s="366">
        <v>660.15</v>
      </c>
      <c r="AP155" s="366">
        <v>416.08</v>
      </c>
      <c r="AQ155" s="366">
        <v>863.57</v>
      </c>
      <c r="AR155" s="366">
        <v>302.89999999999998</v>
      </c>
      <c r="AS155" s="366">
        <v>160.71</v>
      </c>
      <c r="AT155" s="366">
        <v>160.71</v>
      </c>
      <c r="AU155" s="366">
        <v>287.48</v>
      </c>
      <c r="AV155" s="366">
        <v>782.63</v>
      </c>
      <c r="AW155" s="366">
        <v>284.45</v>
      </c>
      <c r="AX155" s="366">
        <v>373.46</v>
      </c>
      <c r="AY155" s="366">
        <v>291.91000000000003</v>
      </c>
      <c r="AZ155" s="366">
        <v>102.5</v>
      </c>
      <c r="BA155" s="366">
        <v>703.16</v>
      </c>
      <c r="BB155" s="366">
        <v>294.8</v>
      </c>
      <c r="BC155" s="366">
        <v>645.22</v>
      </c>
      <c r="BD155" s="366">
        <v>554.99</v>
      </c>
      <c r="BE155" s="366">
        <v>376.68</v>
      </c>
      <c r="BF155" s="366">
        <v>484.07</v>
      </c>
      <c r="BG155" s="366">
        <v>313.66000000000003</v>
      </c>
      <c r="BH155" s="366">
        <v>317.69</v>
      </c>
      <c r="BI155" s="366">
        <v>302.93</v>
      </c>
      <c r="BJ155" s="366">
        <v>356.03</v>
      </c>
      <c r="BK155" s="366">
        <v>59.78</v>
      </c>
      <c r="BL155" s="366">
        <v>179.73</v>
      </c>
      <c r="BM155" s="366">
        <v>188.94</v>
      </c>
      <c r="BN155" s="366">
        <v>677.9</v>
      </c>
      <c r="BO155" s="366">
        <v>101.98</v>
      </c>
      <c r="BP155" s="366">
        <v>67.84</v>
      </c>
      <c r="BQ155" s="366">
        <v>332.16</v>
      </c>
      <c r="BR155" s="366">
        <v>332.16</v>
      </c>
      <c r="BS155" s="366">
        <v>110.07</v>
      </c>
      <c r="BT155" s="366">
        <v>287.36</v>
      </c>
      <c r="BU155" s="366">
        <v>467.6</v>
      </c>
      <c r="BV155" s="366">
        <v>487.22</v>
      </c>
      <c r="BW155" s="366">
        <v>346.77</v>
      </c>
      <c r="BX155" s="366">
        <v>59.36</v>
      </c>
      <c r="BY155" s="366">
        <v>400.1</v>
      </c>
      <c r="BZ155" s="366">
        <v>400.1</v>
      </c>
      <c r="CA155" s="366">
        <v>316.39</v>
      </c>
      <c r="CB155" s="366">
        <v>41.25</v>
      </c>
      <c r="CC155" s="366">
        <v>344.63</v>
      </c>
      <c r="CD155" s="366">
        <v>347.03</v>
      </c>
      <c r="CE155" s="366">
        <v>43.01</v>
      </c>
      <c r="CF155" s="366">
        <v>656.01</v>
      </c>
      <c r="CG155" s="366">
        <v>656.01</v>
      </c>
      <c r="CH155" s="366">
        <v>347.16</v>
      </c>
      <c r="CI155" s="366">
        <v>260.64999999999998</v>
      </c>
      <c r="CJ155" s="366">
        <v>666.96</v>
      </c>
      <c r="CK155" s="366">
        <v>405.19</v>
      </c>
      <c r="CL155" s="366">
        <v>301.27</v>
      </c>
      <c r="CM155" s="366">
        <v>591.5</v>
      </c>
      <c r="CN155" s="366">
        <v>305.39999999999998</v>
      </c>
      <c r="CO155" s="366">
        <v>301.51</v>
      </c>
      <c r="CP155" s="366">
        <v>325.47000000000003</v>
      </c>
      <c r="CQ155" s="366">
        <v>325.47000000000003</v>
      </c>
      <c r="CR155" s="366">
        <v>253.91</v>
      </c>
      <c r="CS155" s="366">
        <v>253.91</v>
      </c>
      <c r="CT155" s="366">
        <v>263.35000000000002</v>
      </c>
      <c r="CU155" s="366">
        <v>255.48</v>
      </c>
      <c r="CV155" s="366">
        <v>258.08</v>
      </c>
      <c r="CW155" s="366">
        <v>372.62</v>
      </c>
      <c r="CX155" s="366">
        <v>363.7</v>
      </c>
      <c r="CY155" s="366">
        <v>637.91999999999996</v>
      </c>
      <c r="CZ155" s="366">
        <v>659.16</v>
      </c>
      <c r="DA155" s="366">
        <v>194.25</v>
      </c>
      <c r="DB155" s="366">
        <v>352.01</v>
      </c>
      <c r="DC155" s="366">
        <v>352.01</v>
      </c>
      <c r="DD155" s="366">
        <v>440.88</v>
      </c>
      <c r="DE155" s="366">
        <v>271.88</v>
      </c>
      <c r="DF155" s="366">
        <v>891.49</v>
      </c>
      <c r="DG155" s="366">
        <v>290.3</v>
      </c>
      <c r="DH155" s="366">
        <v>334.44</v>
      </c>
      <c r="DI155" s="366">
        <v>521.83000000000004</v>
      </c>
      <c r="DJ155" s="366">
        <v>675.36</v>
      </c>
      <c r="DK155" s="366">
        <v>96.94</v>
      </c>
      <c r="DL155" s="366">
        <v>473.6</v>
      </c>
      <c r="DM155" s="366">
        <v>121.46</v>
      </c>
      <c r="DN155" s="366">
        <v>536.59</v>
      </c>
      <c r="DO155" s="366">
        <v>74.94</v>
      </c>
      <c r="DP155" s="366">
        <v>402.57</v>
      </c>
      <c r="DQ155" s="366">
        <v>358.11</v>
      </c>
      <c r="DR155" s="366">
        <v>334.44</v>
      </c>
      <c r="DS155" s="366">
        <v>279.38</v>
      </c>
      <c r="DT155" s="366">
        <v>267.67</v>
      </c>
      <c r="DU155" s="366">
        <v>224.59</v>
      </c>
      <c r="DV155" s="366">
        <v>291.3</v>
      </c>
      <c r="DW155" s="366">
        <v>144.29</v>
      </c>
      <c r="DX155" s="366">
        <v>333.09</v>
      </c>
      <c r="DY155" s="366">
        <v>406.48</v>
      </c>
      <c r="DZ155" s="366">
        <v>450.55</v>
      </c>
      <c r="EA155" s="366">
        <v>285.18</v>
      </c>
      <c r="EB155" s="366">
        <v>400.48</v>
      </c>
      <c r="EC155" s="366">
        <v>198.17</v>
      </c>
      <c r="ED155" s="366">
        <v>551.6</v>
      </c>
      <c r="EE155" s="366">
        <v>562.39</v>
      </c>
      <c r="EF155" s="366">
        <v>409.8</v>
      </c>
      <c r="EG155" s="366">
        <v>284.45</v>
      </c>
      <c r="EH155" s="366">
        <v>284.45</v>
      </c>
      <c r="EI155" s="366">
        <v>330.68</v>
      </c>
      <c r="EJ155" s="366">
        <v>212</v>
      </c>
      <c r="EK155" s="366">
        <v>209.11</v>
      </c>
      <c r="EL155" s="366">
        <v>209.11</v>
      </c>
      <c r="EM155" s="366">
        <v>303.22000000000003</v>
      </c>
      <c r="EN155" s="366">
        <v>303.22000000000003</v>
      </c>
      <c r="EO155" s="366">
        <v>489.82</v>
      </c>
      <c r="EP155" s="366">
        <v>412.68</v>
      </c>
      <c r="EQ155" s="366">
        <v>272.83999999999997</v>
      </c>
      <c r="ER155" s="366">
        <v>721.62</v>
      </c>
      <c r="ES155" s="366">
        <v>133.78</v>
      </c>
      <c r="ET155" s="366">
        <v>350.13</v>
      </c>
      <c r="EU155" s="366">
        <v>843.13</v>
      </c>
      <c r="EV155" s="366">
        <v>453.72</v>
      </c>
      <c r="EW155" s="366">
        <v>331.6</v>
      </c>
      <c r="EX155" s="366">
        <v>0</v>
      </c>
      <c r="EY155" s="366">
        <v>0</v>
      </c>
      <c r="EZ155" s="366">
        <v>355.03</v>
      </c>
      <c r="FA155" s="366">
        <v>300.39</v>
      </c>
      <c r="FB155" s="366">
        <v>112.64</v>
      </c>
      <c r="FC155" s="366">
        <v>353.23</v>
      </c>
      <c r="FD155" s="366">
        <v>242.88</v>
      </c>
      <c r="FE155" s="366">
        <v>334.51</v>
      </c>
      <c r="FF155" s="366">
        <v>309.69</v>
      </c>
      <c r="FG155" s="366">
        <v>694.2</v>
      </c>
      <c r="FH155" s="366">
        <v>694.2</v>
      </c>
      <c r="FI155" s="366">
        <v>434.59</v>
      </c>
      <c r="FJ155" s="366">
        <v>440.38</v>
      </c>
      <c r="FK155" s="366">
        <v>161.52000000000001</v>
      </c>
      <c r="FL155" s="366">
        <v>159.71</v>
      </c>
      <c r="FM155" s="366">
        <v>489.82</v>
      </c>
      <c r="FN155" s="366">
        <v>484.47</v>
      </c>
      <c r="FO155" s="366">
        <v>293.55</v>
      </c>
      <c r="FP155" s="366">
        <v>385.58</v>
      </c>
      <c r="FQ155" s="366">
        <v>297.42</v>
      </c>
      <c r="FR155" s="366">
        <v>172.16</v>
      </c>
      <c r="FS155" s="366">
        <v>239.76</v>
      </c>
      <c r="FT155" s="366">
        <v>690.52</v>
      </c>
      <c r="FU155" s="366">
        <v>248.26</v>
      </c>
      <c r="FV155" s="366">
        <v>907.03</v>
      </c>
      <c r="FW155" s="366">
        <v>907.03</v>
      </c>
      <c r="FX155" s="366">
        <v>907.03</v>
      </c>
      <c r="FY155" s="366">
        <v>249.53</v>
      </c>
      <c r="FZ155" s="366">
        <v>324.42</v>
      </c>
      <c r="GA155" s="366">
        <v>376.68</v>
      </c>
      <c r="GB155" s="366">
        <v>278.23</v>
      </c>
      <c r="GC155" s="366">
        <v>551.6</v>
      </c>
      <c r="GD155" s="366">
        <v>77.260000000000005</v>
      </c>
      <c r="GE155" s="366">
        <v>263.45</v>
      </c>
      <c r="GF155" s="366">
        <v>234.73</v>
      </c>
      <c r="GG155" s="366">
        <v>234.73</v>
      </c>
      <c r="GH155" s="366">
        <v>425.13</v>
      </c>
      <c r="GI155" s="366">
        <v>489.98</v>
      </c>
      <c r="GJ155" s="366">
        <v>489.82</v>
      </c>
      <c r="GK155" s="366">
        <v>158.07</v>
      </c>
      <c r="GL155" s="366">
        <v>317.01</v>
      </c>
      <c r="GM155" s="366">
        <v>317.01</v>
      </c>
      <c r="GN155" s="366">
        <v>317.01</v>
      </c>
      <c r="GO155" s="366">
        <v>455.26</v>
      </c>
      <c r="GP155" s="366">
        <v>382.09</v>
      </c>
      <c r="GQ155" s="366">
        <v>93.28</v>
      </c>
      <c r="GR155" s="366">
        <v>518.04999999999995</v>
      </c>
      <c r="GS155" s="366">
        <v>384.59</v>
      </c>
      <c r="GT155" s="366">
        <v>284.45</v>
      </c>
      <c r="GU155" s="366">
        <v>241.8</v>
      </c>
      <c r="GV155" s="366">
        <v>219.19</v>
      </c>
      <c r="GW155" s="366">
        <v>292.99</v>
      </c>
      <c r="GX155" s="366">
        <v>281.02</v>
      </c>
      <c r="GY155" s="366">
        <v>307.77999999999997</v>
      </c>
      <c r="GZ155" s="366">
        <v>242.6</v>
      </c>
      <c r="HA155" s="366">
        <v>298.95999999999998</v>
      </c>
      <c r="HB155" s="366">
        <v>298.95999999999998</v>
      </c>
      <c r="HC155" s="366">
        <v>298.95999999999998</v>
      </c>
      <c r="HD155" s="366">
        <v>486.84</v>
      </c>
      <c r="HE155" s="366">
        <v>297.07</v>
      </c>
      <c r="HF155" s="366">
        <v>253.36</v>
      </c>
      <c r="HG155" s="366">
        <v>381.01</v>
      </c>
      <c r="HH155" s="366">
        <v>381.01</v>
      </c>
      <c r="HI155" s="366">
        <v>381.01</v>
      </c>
      <c r="HJ155" s="366">
        <v>255.6</v>
      </c>
      <c r="HK155" s="366">
        <v>356.94</v>
      </c>
      <c r="HL155" s="366">
        <v>351.07</v>
      </c>
      <c r="HM155" s="366">
        <v>487.1</v>
      </c>
      <c r="HN155" s="366">
        <v>489.82</v>
      </c>
      <c r="HO155" s="366">
        <v>811.29</v>
      </c>
      <c r="HP155" s="366">
        <v>243.32</v>
      </c>
      <c r="HQ155" s="366">
        <v>907.03</v>
      </c>
      <c r="HR155" s="366">
        <v>657.28</v>
      </c>
      <c r="HS155" s="366">
        <v>486.07</v>
      </c>
      <c r="HT155" s="366">
        <v>368.39</v>
      </c>
      <c r="HU155" s="366">
        <v>335.64</v>
      </c>
      <c r="HV155" s="366">
        <v>353.96</v>
      </c>
    </row>
    <row r="156" spans="1:230">
      <c r="A156" s="366" t="s">
        <v>175</v>
      </c>
      <c r="B156" s="366">
        <v>825.66</v>
      </c>
      <c r="C156" s="366">
        <v>378.39</v>
      </c>
      <c r="D156" s="366">
        <v>279.16000000000003</v>
      </c>
      <c r="E156" s="366">
        <v>279.16000000000003</v>
      </c>
      <c r="F156" s="366">
        <v>889.56</v>
      </c>
      <c r="G156" s="366">
        <v>697.13</v>
      </c>
      <c r="H156" s="366">
        <v>322.77999999999997</v>
      </c>
      <c r="I156" s="366">
        <v>316.18</v>
      </c>
      <c r="J156" s="366">
        <v>346.56</v>
      </c>
      <c r="K156" s="366">
        <v>346.56</v>
      </c>
      <c r="L156" s="366">
        <v>269.77</v>
      </c>
      <c r="M156" s="366">
        <v>403.81</v>
      </c>
      <c r="N156" s="366">
        <v>454.12</v>
      </c>
      <c r="O156" s="366">
        <v>64.53</v>
      </c>
      <c r="P156" s="366">
        <v>64.53</v>
      </c>
      <c r="Q156" s="366">
        <v>64.53</v>
      </c>
      <c r="R156" s="366">
        <v>64.53</v>
      </c>
      <c r="S156" s="366">
        <v>64.53</v>
      </c>
      <c r="T156" s="366">
        <v>390.68</v>
      </c>
      <c r="U156" s="366">
        <v>805.17</v>
      </c>
      <c r="V156" s="366">
        <v>152.69</v>
      </c>
      <c r="W156" s="366">
        <v>534.04</v>
      </c>
      <c r="X156" s="366">
        <v>534.04</v>
      </c>
      <c r="Y156" s="366">
        <v>534.04</v>
      </c>
      <c r="Z156" s="366">
        <v>269.27999999999997</v>
      </c>
      <c r="AA156" s="366">
        <v>691.3</v>
      </c>
      <c r="AB156" s="366">
        <v>450.42</v>
      </c>
      <c r="AC156" s="366">
        <v>452.88</v>
      </c>
      <c r="AD156" s="366">
        <v>452.88</v>
      </c>
      <c r="AE156" s="366">
        <v>228.26</v>
      </c>
      <c r="AF156" s="366">
        <v>710.87</v>
      </c>
      <c r="AG156" s="366">
        <v>535.55999999999995</v>
      </c>
      <c r="AH156" s="366">
        <v>270.13</v>
      </c>
      <c r="AI156" s="366">
        <v>270.13</v>
      </c>
      <c r="AJ156" s="366">
        <v>270.13</v>
      </c>
      <c r="AK156" s="366">
        <v>291.48</v>
      </c>
      <c r="AL156" s="366">
        <v>291.48</v>
      </c>
      <c r="AM156" s="366">
        <v>453.14</v>
      </c>
      <c r="AN156" s="366">
        <v>105.36</v>
      </c>
      <c r="AO156" s="366">
        <v>704.25</v>
      </c>
      <c r="AP156" s="366">
        <v>379.4</v>
      </c>
      <c r="AQ156" s="366">
        <v>846.1</v>
      </c>
      <c r="AR156" s="366">
        <v>409.33</v>
      </c>
      <c r="AS156" s="366">
        <v>194.32</v>
      </c>
      <c r="AT156" s="366">
        <v>194.32</v>
      </c>
      <c r="AU156" s="366">
        <v>67.55</v>
      </c>
      <c r="AV156" s="366">
        <v>836.22</v>
      </c>
      <c r="AW156" s="366">
        <v>390.88</v>
      </c>
      <c r="AX156" s="366">
        <v>336.78</v>
      </c>
      <c r="AY156" s="366">
        <v>489.83</v>
      </c>
      <c r="AZ156" s="366">
        <v>347.01</v>
      </c>
      <c r="BA156" s="366">
        <v>666.48</v>
      </c>
      <c r="BB156" s="366">
        <v>492.72</v>
      </c>
      <c r="BC156" s="366">
        <v>608.54</v>
      </c>
      <c r="BD156" s="366">
        <v>518.30999999999995</v>
      </c>
      <c r="BE156" s="366">
        <v>156.75</v>
      </c>
      <c r="BF156" s="366">
        <v>447.39</v>
      </c>
      <c r="BG156" s="366">
        <v>276.83</v>
      </c>
      <c r="BH156" s="366">
        <v>64.53</v>
      </c>
      <c r="BI156" s="366">
        <v>409.36</v>
      </c>
      <c r="BJ156" s="366">
        <v>214.95</v>
      </c>
      <c r="BK156" s="366">
        <v>414.79</v>
      </c>
      <c r="BL156" s="366">
        <v>272.16000000000003</v>
      </c>
      <c r="BM156" s="366">
        <v>295.37</v>
      </c>
      <c r="BN156" s="366">
        <v>731.49</v>
      </c>
      <c r="BO156" s="366">
        <v>456.99</v>
      </c>
      <c r="BP156" s="366">
        <v>422.85</v>
      </c>
      <c r="BQ156" s="366">
        <v>295.48</v>
      </c>
      <c r="BR156" s="366">
        <v>295.48</v>
      </c>
      <c r="BS156" s="366">
        <v>354.58</v>
      </c>
      <c r="BT156" s="366">
        <v>393.79</v>
      </c>
      <c r="BU156" s="366">
        <v>430.92</v>
      </c>
      <c r="BV156" s="366">
        <v>450.54</v>
      </c>
      <c r="BW156" s="366">
        <v>126.84</v>
      </c>
      <c r="BX156" s="366">
        <v>295.67</v>
      </c>
      <c r="BY156" s="366">
        <v>180.17</v>
      </c>
      <c r="BZ156" s="366">
        <v>180.17</v>
      </c>
      <c r="CA156" s="366">
        <v>422.82</v>
      </c>
      <c r="CB156" s="366">
        <v>314.10000000000002</v>
      </c>
      <c r="CC156" s="366">
        <v>307.95</v>
      </c>
      <c r="CD156" s="366">
        <v>310.35000000000002</v>
      </c>
      <c r="CE156" s="366">
        <v>398.02</v>
      </c>
      <c r="CF156" s="366">
        <v>709.6</v>
      </c>
      <c r="CG156" s="366">
        <v>709.6</v>
      </c>
      <c r="CH156" s="366">
        <v>310.48</v>
      </c>
      <c r="CI156" s="366">
        <v>191.33</v>
      </c>
      <c r="CJ156" s="366">
        <v>720.55</v>
      </c>
      <c r="CK156" s="366">
        <v>185.26</v>
      </c>
      <c r="CL156" s="366">
        <v>53.76</v>
      </c>
      <c r="CM156" s="366">
        <v>554.82000000000005</v>
      </c>
      <c r="CN156" s="366">
        <v>164.32</v>
      </c>
      <c r="CO156" s="366">
        <v>407.94</v>
      </c>
      <c r="CP156" s="366">
        <v>288.79000000000002</v>
      </c>
      <c r="CQ156" s="366">
        <v>288.79000000000002</v>
      </c>
      <c r="CR156" s="366">
        <v>360.34</v>
      </c>
      <c r="CS156" s="366">
        <v>360.34</v>
      </c>
      <c r="CT156" s="366">
        <v>369.78</v>
      </c>
      <c r="CU156" s="366">
        <v>361.91</v>
      </c>
      <c r="CV156" s="366">
        <v>364.51</v>
      </c>
      <c r="CW156" s="366">
        <v>152.69</v>
      </c>
      <c r="CX156" s="366">
        <v>327.02</v>
      </c>
      <c r="CY156" s="366">
        <v>601.24</v>
      </c>
      <c r="CZ156" s="366">
        <v>622.48</v>
      </c>
      <c r="DA156" s="366">
        <v>392.17</v>
      </c>
      <c r="DB156" s="366">
        <v>210.93</v>
      </c>
      <c r="DC156" s="366">
        <v>210.93</v>
      </c>
      <c r="DD156" s="366">
        <v>521.20000000000005</v>
      </c>
      <c r="DE156" s="366">
        <v>469.8</v>
      </c>
      <c r="DF156" s="366">
        <v>874.02</v>
      </c>
      <c r="DG156" s="366">
        <v>220.98</v>
      </c>
      <c r="DH156" s="366">
        <v>532.36</v>
      </c>
      <c r="DI156" s="366">
        <v>575.41999999999996</v>
      </c>
      <c r="DJ156" s="366">
        <v>638.67999999999995</v>
      </c>
      <c r="DK156" s="366">
        <v>258.08999999999997</v>
      </c>
      <c r="DL156" s="366">
        <v>436.92</v>
      </c>
      <c r="DM156" s="366">
        <v>365.97</v>
      </c>
      <c r="DN156" s="366">
        <v>590.17999999999995</v>
      </c>
      <c r="DO156" s="366">
        <v>284.66000000000003</v>
      </c>
      <c r="DP156" s="366">
        <v>482.89</v>
      </c>
      <c r="DQ156" s="366">
        <v>138.18</v>
      </c>
      <c r="DR156" s="366">
        <v>532.36</v>
      </c>
      <c r="DS156" s="366">
        <v>385.81</v>
      </c>
      <c r="DT156" s="366">
        <v>374.1</v>
      </c>
      <c r="DU156" s="366">
        <v>361.83</v>
      </c>
      <c r="DV156" s="366">
        <v>295.12</v>
      </c>
      <c r="DW156" s="366">
        <v>210.74</v>
      </c>
      <c r="DX156" s="366">
        <v>113.16</v>
      </c>
      <c r="DY156" s="366">
        <v>186.55</v>
      </c>
      <c r="DZ156" s="366">
        <v>530.87</v>
      </c>
      <c r="EA156" s="366">
        <v>391.61</v>
      </c>
      <c r="EB156" s="366">
        <v>180.55</v>
      </c>
      <c r="EC156" s="366">
        <v>304.60000000000002</v>
      </c>
      <c r="ED156" s="366">
        <v>605.19000000000005</v>
      </c>
      <c r="EE156" s="366">
        <v>615.98</v>
      </c>
      <c r="EF156" s="366">
        <v>373.12</v>
      </c>
      <c r="EG156" s="366">
        <v>390.88</v>
      </c>
      <c r="EH156" s="366">
        <v>390.88</v>
      </c>
      <c r="EI156" s="366">
        <v>294</v>
      </c>
      <c r="EJ156" s="366">
        <v>567.01</v>
      </c>
      <c r="EK156" s="366">
        <v>179.7</v>
      </c>
      <c r="EL156" s="366">
        <v>179.7</v>
      </c>
      <c r="EM156" s="366">
        <v>114.58</v>
      </c>
      <c r="EN156" s="366">
        <v>114.58</v>
      </c>
      <c r="EO156" s="366">
        <v>453.14</v>
      </c>
      <c r="EP156" s="366">
        <v>376</v>
      </c>
      <c r="EQ156" s="366">
        <v>379.27</v>
      </c>
      <c r="ER156" s="366">
        <v>775.21</v>
      </c>
      <c r="ES156" s="366">
        <v>378.29</v>
      </c>
      <c r="ET156" s="366">
        <v>313.45</v>
      </c>
      <c r="EU156" s="366">
        <v>825.66</v>
      </c>
      <c r="EV156" s="366">
        <v>534.04</v>
      </c>
      <c r="EW156" s="366">
        <v>294.92</v>
      </c>
      <c r="EX156" s="366">
        <v>355.03</v>
      </c>
      <c r="EY156" s="366">
        <v>355.03</v>
      </c>
      <c r="EZ156" s="366">
        <v>0</v>
      </c>
      <c r="FA156" s="366">
        <v>80.459999999999994</v>
      </c>
      <c r="FB156" s="366">
        <v>242.39</v>
      </c>
      <c r="FC156" s="366">
        <v>133.30000000000001</v>
      </c>
      <c r="FD156" s="366">
        <v>144.61000000000001</v>
      </c>
      <c r="FE156" s="366">
        <v>297.83</v>
      </c>
      <c r="FF156" s="366">
        <v>273.01</v>
      </c>
      <c r="FG156" s="366">
        <v>657.52</v>
      </c>
      <c r="FH156" s="366">
        <v>657.52</v>
      </c>
      <c r="FI156" s="366">
        <v>514.91</v>
      </c>
      <c r="FJ156" s="366">
        <v>520.70000000000005</v>
      </c>
      <c r="FK156" s="366">
        <v>406.03</v>
      </c>
      <c r="FL156" s="366">
        <v>404.22</v>
      </c>
      <c r="FM156" s="366">
        <v>453.14</v>
      </c>
      <c r="FN156" s="366">
        <v>564.79</v>
      </c>
      <c r="FO156" s="366">
        <v>399.98</v>
      </c>
      <c r="FP156" s="366">
        <v>165.65</v>
      </c>
      <c r="FQ156" s="366">
        <v>403.85</v>
      </c>
      <c r="FR156" s="366">
        <v>287.11</v>
      </c>
      <c r="FS156" s="366">
        <v>210.35</v>
      </c>
      <c r="FT156" s="366">
        <v>653.84</v>
      </c>
      <c r="FU156" s="366">
        <v>178.94</v>
      </c>
      <c r="FV156" s="366">
        <v>889.56</v>
      </c>
      <c r="FW156" s="366">
        <v>889.56</v>
      </c>
      <c r="FX156" s="366">
        <v>889.56</v>
      </c>
      <c r="FY156" s="366">
        <v>105.5</v>
      </c>
      <c r="FZ156" s="366">
        <v>287.74</v>
      </c>
      <c r="GA156" s="366">
        <v>156.75</v>
      </c>
      <c r="GB156" s="366">
        <v>248.82</v>
      </c>
      <c r="GC156" s="366">
        <v>605.19000000000005</v>
      </c>
      <c r="GD156" s="366">
        <v>277.77</v>
      </c>
      <c r="GE156" s="366">
        <v>369.88</v>
      </c>
      <c r="GF156" s="366">
        <v>165.41</v>
      </c>
      <c r="GG156" s="366">
        <v>165.41</v>
      </c>
      <c r="GH156" s="366">
        <v>205.2</v>
      </c>
      <c r="GI156" s="366">
        <v>453.3</v>
      </c>
      <c r="GJ156" s="366">
        <v>453.14</v>
      </c>
      <c r="GK156" s="366">
        <v>402.58</v>
      </c>
      <c r="GL156" s="366">
        <v>280.33</v>
      </c>
      <c r="GM156" s="366">
        <v>280.33</v>
      </c>
      <c r="GN156" s="366">
        <v>280.33</v>
      </c>
      <c r="GO156" s="366">
        <v>418.58</v>
      </c>
      <c r="GP156" s="366">
        <v>162.16</v>
      </c>
      <c r="GQ156" s="366">
        <v>448.29</v>
      </c>
      <c r="GR156" s="366">
        <v>481.37</v>
      </c>
      <c r="GS156" s="366">
        <v>347.91</v>
      </c>
      <c r="GT156" s="366">
        <v>390.88</v>
      </c>
      <c r="GU156" s="366">
        <v>212.97</v>
      </c>
      <c r="GV156" s="366">
        <v>574.20000000000005</v>
      </c>
      <c r="GW156" s="366">
        <v>256.31</v>
      </c>
      <c r="GX156" s="366">
        <v>387.45</v>
      </c>
      <c r="GY156" s="366">
        <v>271.10000000000002</v>
      </c>
      <c r="GZ156" s="366">
        <v>139.62</v>
      </c>
      <c r="HA156" s="366">
        <v>405.39</v>
      </c>
      <c r="HB156" s="366">
        <v>405.39</v>
      </c>
      <c r="HC156" s="366">
        <v>405.39</v>
      </c>
      <c r="HD156" s="366">
        <v>567.16</v>
      </c>
      <c r="HE156" s="366">
        <v>108.43</v>
      </c>
      <c r="HF156" s="366">
        <v>145.57</v>
      </c>
      <c r="HG156" s="366">
        <v>239.93</v>
      </c>
      <c r="HH156" s="366">
        <v>239.93</v>
      </c>
      <c r="HI156" s="366">
        <v>239.93</v>
      </c>
      <c r="HJ156" s="366">
        <v>186.28</v>
      </c>
      <c r="HK156" s="366">
        <v>463.37</v>
      </c>
      <c r="HL156" s="366">
        <v>97.91</v>
      </c>
      <c r="HM156" s="366">
        <v>450.42</v>
      </c>
      <c r="HN156" s="366">
        <v>453.14</v>
      </c>
      <c r="HO156" s="366">
        <v>858.86</v>
      </c>
      <c r="HP156" s="366">
        <v>145.05000000000001</v>
      </c>
      <c r="HQ156" s="366">
        <v>889.56</v>
      </c>
      <c r="HR156" s="366">
        <v>710.87</v>
      </c>
      <c r="HS156" s="366">
        <v>449.39</v>
      </c>
      <c r="HT156" s="366">
        <v>331.71</v>
      </c>
      <c r="HU156" s="366">
        <v>298.95999999999998</v>
      </c>
      <c r="HV156" s="366">
        <v>317.27999999999997</v>
      </c>
    </row>
    <row r="157" spans="1:230">
      <c r="A157" s="366" t="s">
        <v>177</v>
      </c>
      <c r="B157" s="366">
        <v>778.29</v>
      </c>
      <c r="C157" s="366">
        <v>323.75</v>
      </c>
      <c r="D157" s="366">
        <v>224.52</v>
      </c>
      <c r="E157" s="366">
        <v>224.52</v>
      </c>
      <c r="F157" s="366">
        <v>842.19</v>
      </c>
      <c r="G157" s="366">
        <v>649.76</v>
      </c>
      <c r="H157" s="366">
        <v>268.14</v>
      </c>
      <c r="I157" s="366">
        <v>268.81</v>
      </c>
      <c r="J157" s="366">
        <v>291.92</v>
      </c>
      <c r="K157" s="366">
        <v>291.92</v>
      </c>
      <c r="L157" s="366">
        <v>215.13</v>
      </c>
      <c r="M157" s="366">
        <v>349.17</v>
      </c>
      <c r="N157" s="366">
        <v>373.66</v>
      </c>
      <c r="O157" s="366">
        <v>144.99</v>
      </c>
      <c r="P157" s="366">
        <v>144.99</v>
      </c>
      <c r="Q157" s="366">
        <v>144.99</v>
      </c>
      <c r="R157" s="366">
        <v>144.99</v>
      </c>
      <c r="S157" s="366">
        <v>144.99</v>
      </c>
      <c r="T157" s="366">
        <v>343.31</v>
      </c>
      <c r="U157" s="366">
        <v>757.8</v>
      </c>
      <c r="V157" s="366">
        <v>98.05</v>
      </c>
      <c r="W157" s="366">
        <v>486.67</v>
      </c>
      <c r="X157" s="366">
        <v>486.67</v>
      </c>
      <c r="Y157" s="366">
        <v>486.67</v>
      </c>
      <c r="Z157" s="366">
        <v>188.82</v>
      </c>
      <c r="AA157" s="366">
        <v>643.92999999999995</v>
      </c>
      <c r="AB157" s="366">
        <v>403.05</v>
      </c>
      <c r="AC157" s="366">
        <v>405.51</v>
      </c>
      <c r="AD157" s="366">
        <v>405.51</v>
      </c>
      <c r="AE157" s="366">
        <v>173.62</v>
      </c>
      <c r="AF157" s="366">
        <v>663.5</v>
      </c>
      <c r="AG157" s="366">
        <v>488.19</v>
      </c>
      <c r="AH157" s="366">
        <v>222.76</v>
      </c>
      <c r="AI157" s="366">
        <v>222.76</v>
      </c>
      <c r="AJ157" s="366">
        <v>222.76</v>
      </c>
      <c r="AK157" s="366">
        <v>211.02</v>
      </c>
      <c r="AL157" s="366">
        <v>211.02</v>
      </c>
      <c r="AM157" s="366">
        <v>405.77</v>
      </c>
      <c r="AN157" s="366">
        <v>185.82</v>
      </c>
      <c r="AO157" s="366">
        <v>656.88</v>
      </c>
      <c r="AP157" s="366">
        <v>332.03</v>
      </c>
      <c r="AQ157" s="366">
        <v>798.73</v>
      </c>
      <c r="AR157" s="366">
        <v>354.69</v>
      </c>
      <c r="AS157" s="366">
        <v>139.68</v>
      </c>
      <c r="AT157" s="366">
        <v>139.68</v>
      </c>
      <c r="AU157" s="366">
        <v>12.91</v>
      </c>
      <c r="AV157" s="366">
        <v>788.85</v>
      </c>
      <c r="AW157" s="366">
        <v>336.24</v>
      </c>
      <c r="AX157" s="366">
        <v>289.41000000000003</v>
      </c>
      <c r="AY157" s="366">
        <v>409.37</v>
      </c>
      <c r="AZ157" s="366">
        <v>292.37</v>
      </c>
      <c r="BA157" s="366">
        <v>619.11</v>
      </c>
      <c r="BB157" s="366">
        <v>412.26</v>
      </c>
      <c r="BC157" s="366">
        <v>561.16999999999996</v>
      </c>
      <c r="BD157" s="366">
        <v>470.94</v>
      </c>
      <c r="BE157" s="366">
        <v>102.11</v>
      </c>
      <c r="BF157" s="366">
        <v>400.02</v>
      </c>
      <c r="BG157" s="366">
        <v>196.37</v>
      </c>
      <c r="BH157" s="366">
        <v>144.99</v>
      </c>
      <c r="BI157" s="366">
        <v>354.72</v>
      </c>
      <c r="BJ157" s="366">
        <v>134.49</v>
      </c>
      <c r="BK157" s="366">
        <v>360.15</v>
      </c>
      <c r="BL157" s="366">
        <v>217.52</v>
      </c>
      <c r="BM157" s="366">
        <v>240.73</v>
      </c>
      <c r="BN157" s="366">
        <v>684.12</v>
      </c>
      <c r="BO157" s="366">
        <v>402.35</v>
      </c>
      <c r="BP157" s="366">
        <v>368.21</v>
      </c>
      <c r="BQ157" s="366">
        <v>248.11</v>
      </c>
      <c r="BR157" s="366">
        <v>248.11</v>
      </c>
      <c r="BS157" s="366">
        <v>299.94</v>
      </c>
      <c r="BT157" s="366">
        <v>339.15</v>
      </c>
      <c r="BU157" s="366">
        <v>383.55</v>
      </c>
      <c r="BV157" s="366">
        <v>403.17</v>
      </c>
      <c r="BW157" s="366">
        <v>72.2</v>
      </c>
      <c r="BX157" s="366">
        <v>241.03</v>
      </c>
      <c r="BY157" s="366">
        <v>125.53</v>
      </c>
      <c r="BZ157" s="366">
        <v>125.53</v>
      </c>
      <c r="CA157" s="366">
        <v>368.18</v>
      </c>
      <c r="CB157" s="366">
        <v>259.45999999999998</v>
      </c>
      <c r="CC157" s="366">
        <v>260.58</v>
      </c>
      <c r="CD157" s="366">
        <v>262.98</v>
      </c>
      <c r="CE157" s="366">
        <v>343.38</v>
      </c>
      <c r="CF157" s="366">
        <v>662.23</v>
      </c>
      <c r="CG157" s="366">
        <v>662.23</v>
      </c>
      <c r="CH157" s="366">
        <v>263.11</v>
      </c>
      <c r="CI157" s="366">
        <v>166.02</v>
      </c>
      <c r="CJ157" s="366">
        <v>673.18</v>
      </c>
      <c r="CK157" s="366">
        <v>130.62</v>
      </c>
      <c r="CL157" s="366">
        <v>26.7</v>
      </c>
      <c r="CM157" s="366">
        <v>507.45</v>
      </c>
      <c r="CN157" s="366">
        <v>83.86</v>
      </c>
      <c r="CO157" s="366">
        <v>353.3</v>
      </c>
      <c r="CP157" s="366">
        <v>241.42</v>
      </c>
      <c r="CQ157" s="366">
        <v>241.42</v>
      </c>
      <c r="CR157" s="366">
        <v>305.7</v>
      </c>
      <c r="CS157" s="366">
        <v>305.7</v>
      </c>
      <c r="CT157" s="366">
        <v>315.14</v>
      </c>
      <c r="CU157" s="366">
        <v>307.27</v>
      </c>
      <c r="CV157" s="366">
        <v>309.87</v>
      </c>
      <c r="CW157" s="366">
        <v>98.05</v>
      </c>
      <c r="CX157" s="366">
        <v>279.64999999999998</v>
      </c>
      <c r="CY157" s="366">
        <v>553.87</v>
      </c>
      <c r="CZ157" s="366">
        <v>575.11</v>
      </c>
      <c r="DA157" s="366">
        <v>311.70999999999998</v>
      </c>
      <c r="DB157" s="366">
        <v>130.47</v>
      </c>
      <c r="DC157" s="366">
        <v>130.47</v>
      </c>
      <c r="DD157" s="366">
        <v>473.83</v>
      </c>
      <c r="DE157" s="366">
        <v>389.34</v>
      </c>
      <c r="DF157" s="366">
        <v>826.65</v>
      </c>
      <c r="DG157" s="366">
        <v>195.67</v>
      </c>
      <c r="DH157" s="366">
        <v>451.9</v>
      </c>
      <c r="DI157" s="366">
        <v>528.04999999999995</v>
      </c>
      <c r="DJ157" s="366">
        <v>591.30999999999995</v>
      </c>
      <c r="DK157" s="366">
        <v>203.45</v>
      </c>
      <c r="DL157" s="366">
        <v>389.55</v>
      </c>
      <c r="DM157" s="366">
        <v>311.33</v>
      </c>
      <c r="DN157" s="366">
        <v>542.80999999999995</v>
      </c>
      <c r="DO157" s="366">
        <v>230.02</v>
      </c>
      <c r="DP157" s="366">
        <v>435.52</v>
      </c>
      <c r="DQ157" s="366">
        <v>83.54</v>
      </c>
      <c r="DR157" s="366">
        <v>451.9</v>
      </c>
      <c r="DS157" s="366">
        <v>331.17</v>
      </c>
      <c r="DT157" s="366">
        <v>319.45999999999998</v>
      </c>
      <c r="DU157" s="366">
        <v>281.37</v>
      </c>
      <c r="DV157" s="366">
        <v>214.66</v>
      </c>
      <c r="DW157" s="366">
        <v>156.1</v>
      </c>
      <c r="DX157" s="366">
        <v>58.52</v>
      </c>
      <c r="DY157" s="366">
        <v>131.91</v>
      </c>
      <c r="DZ157" s="366">
        <v>483.5</v>
      </c>
      <c r="EA157" s="366">
        <v>336.97</v>
      </c>
      <c r="EB157" s="366">
        <v>125.91</v>
      </c>
      <c r="EC157" s="366">
        <v>249.96</v>
      </c>
      <c r="ED157" s="366">
        <v>557.82000000000005</v>
      </c>
      <c r="EE157" s="366">
        <v>568.61</v>
      </c>
      <c r="EF157" s="366">
        <v>325.75</v>
      </c>
      <c r="EG157" s="366">
        <v>336.24</v>
      </c>
      <c r="EH157" s="366">
        <v>336.24</v>
      </c>
      <c r="EI157" s="366">
        <v>246.63</v>
      </c>
      <c r="EJ157" s="366">
        <v>512.37</v>
      </c>
      <c r="EK157" s="366">
        <v>125.06</v>
      </c>
      <c r="EL157" s="366">
        <v>125.06</v>
      </c>
      <c r="EM157" s="366">
        <v>34.119999999999997</v>
      </c>
      <c r="EN157" s="366">
        <v>34.119999999999997</v>
      </c>
      <c r="EO157" s="366">
        <v>405.77</v>
      </c>
      <c r="EP157" s="366">
        <v>328.63</v>
      </c>
      <c r="EQ157" s="366">
        <v>324.63</v>
      </c>
      <c r="ER157" s="366">
        <v>727.84</v>
      </c>
      <c r="ES157" s="366">
        <v>323.64999999999998</v>
      </c>
      <c r="ET157" s="366">
        <v>266.08</v>
      </c>
      <c r="EU157" s="366">
        <v>778.29</v>
      </c>
      <c r="EV157" s="366">
        <v>486.67</v>
      </c>
      <c r="EW157" s="366">
        <v>247.55</v>
      </c>
      <c r="EX157" s="366">
        <v>300.39</v>
      </c>
      <c r="EY157" s="366">
        <v>300.39</v>
      </c>
      <c r="EZ157" s="366">
        <v>80.459999999999994</v>
      </c>
      <c r="FA157" s="366">
        <v>0</v>
      </c>
      <c r="FB157" s="366">
        <v>187.75</v>
      </c>
      <c r="FC157" s="366">
        <v>78.66</v>
      </c>
      <c r="FD157" s="366">
        <v>153.19</v>
      </c>
      <c r="FE157" s="366">
        <v>250.46</v>
      </c>
      <c r="FF157" s="366">
        <v>225.64</v>
      </c>
      <c r="FG157" s="366">
        <v>610.15</v>
      </c>
      <c r="FH157" s="366">
        <v>610.15</v>
      </c>
      <c r="FI157" s="366">
        <v>467.54</v>
      </c>
      <c r="FJ157" s="366">
        <v>473.33</v>
      </c>
      <c r="FK157" s="366">
        <v>351.39</v>
      </c>
      <c r="FL157" s="366">
        <v>349.58</v>
      </c>
      <c r="FM157" s="366">
        <v>405.77</v>
      </c>
      <c r="FN157" s="366">
        <v>517.41999999999996</v>
      </c>
      <c r="FO157" s="366">
        <v>345.34</v>
      </c>
      <c r="FP157" s="366">
        <v>111.01</v>
      </c>
      <c r="FQ157" s="366">
        <v>349.21</v>
      </c>
      <c r="FR157" s="366">
        <v>232.47</v>
      </c>
      <c r="FS157" s="366">
        <v>155.71</v>
      </c>
      <c r="FT157" s="366">
        <v>606.47</v>
      </c>
      <c r="FU157" s="366">
        <v>153.63</v>
      </c>
      <c r="FV157" s="366">
        <v>842.19</v>
      </c>
      <c r="FW157" s="366">
        <v>842.19</v>
      </c>
      <c r="FX157" s="366">
        <v>842.19</v>
      </c>
      <c r="FY157" s="366">
        <v>50.86</v>
      </c>
      <c r="FZ157" s="366">
        <v>240.37</v>
      </c>
      <c r="GA157" s="366">
        <v>102.11</v>
      </c>
      <c r="GB157" s="366">
        <v>194.18</v>
      </c>
      <c r="GC157" s="366">
        <v>557.82000000000005</v>
      </c>
      <c r="GD157" s="366">
        <v>223.13</v>
      </c>
      <c r="GE157" s="366">
        <v>315.24</v>
      </c>
      <c r="GF157" s="366">
        <v>140.1</v>
      </c>
      <c r="GG157" s="366">
        <v>140.1</v>
      </c>
      <c r="GH157" s="366">
        <v>150.56</v>
      </c>
      <c r="GI157" s="366">
        <v>405.93</v>
      </c>
      <c r="GJ157" s="366">
        <v>405.77</v>
      </c>
      <c r="GK157" s="366">
        <v>347.94</v>
      </c>
      <c r="GL157" s="366">
        <v>232.96</v>
      </c>
      <c r="GM157" s="366">
        <v>232.96</v>
      </c>
      <c r="GN157" s="366">
        <v>232.96</v>
      </c>
      <c r="GO157" s="366">
        <v>371.21</v>
      </c>
      <c r="GP157" s="366">
        <v>107.52</v>
      </c>
      <c r="GQ157" s="366">
        <v>393.65</v>
      </c>
      <c r="GR157" s="366">
        <v>434</v>
      </c>
      <c r="GS157" s="366">
        <v>300.54000000000002</v>
      </c>
      <c r="GT157" s="366">
        <v>336.24</v>
      </c>
      <c r="GU157" s="366">
        <v>158.33000000000001</v>
      </c>
      <c r="GV157" s="366">
        <v>519.55999999999995</v>
      </c>
      <c r="GW157" s="366">
        <v>208.94</v>
      </c>
      <c r="GX157" s="366">
        <v>332.81</v>
      </c>
      <c r="GY157" s="366">
        <v>223.73</v>
      </c>
      <c r="GZ157" s="366">
        <v>152.91</v>
      </c>
      <c r="HA157" s="366">
        <v>350.75</v>
      </c>
      <c r="HB157" s="366">
        <v>350.75</v>
      </c>
      <c r="HC157" s="366">
        <v>350.75</v>
      </c>
      <c r="HD157" s="366">
        <v>519.79</v>
      </c>
      <c r="HE157" s="366">
        <v>27.97</v>
      </c>
      <c r="HF157" s="366">
        <v>72.400000000000006</v>
      </c>
      <c r="HG157" s="366">
        <v>159.47</v>
      </c>
      <c r="HH157" s="366">
        <v>159.47</v>
      </c>
      <c r="HI157" s="366">
        <v>159.47</v>
      </c>
      <c r="HJ157" s="366">
        <v>160.97</v>
      </c>
      <c r="HK157" s="366">
        <v>408.73</v>
      </c>
      <c r="HL157" s="366">
        <v>178.37</v>
      </c>
      <c r="HM157" s="366">
        <v>403.05</v>
      </c>
      <c r="HN157" s="366">
        <v>405.77</v>
      </c>
      <c r="HO157" s="366">
        <v>811.49</v>
      </c>
      <c r="HP157" s="366">
        <v>153.63</v>
      </c>
      <c r="HQ157" s="366">
        <v>842.19</v>
      </c>
      <c r="HR157" s="366">
        <v>663.5</v>
      </c>
      <c r="HS157" s="366">
        <v>402.02</v>
      </c>
      <c r="HT157" s="366">
        <v>284.33999999999997</v>
      </c>
      <c r="HU157" s="366">
        <v>251.59</v>
      </c>
      <c r="HV157" s="366">
        <v>269.91000000000003</v>
      </c>
    </row>
    <row r="158" spans="1:230">
      <c r="A158" s="366" t="s">
        <v>178</v>
      </c>
      <c r="B158" s="366">
        <v>730.49</v>
      </c>
      <c r="C158" s="366">
        <v>136</v>
      </c>
      <c r="D158" s="366">
        <v>60.09</v>
      </c>
      <c r="E158" s="366">
        <v>60.09</v>
      </c>
      <c r="F158" s="366">
        <v>794.39</v>
      </c>
      <c r="G158" s="366">
        <v>530.9</v>
      </c>
      <c r="H158" s="366">
        <v>103.71</v>
      </c>
      <c r="I158" s="366">
        <v>240.22</v>
      </c>
      <c r="J158" s="366">
        <v>127.49</v>
      </c>
      <c r="K158" s="366">
        <v>127.49</v>
      </c>
      <c r="L158" s="366">
        <v>42.18</v>
      </c>
      <c r="M158" s="366">
        <v>161.41999999999999</v>
      </c>
      <c r="N158" s="366">
        <v>258.32</v>
      </c>
      <c r="O158" s="366">
        <v>205.05</v>
      </c>
      <c r="P158" s="366">
        <v>205.05</v>
      </c>
      <c r="Q158" s="366">
        <v>205.05</v>
      </c>
      <c r="R158" s="366">
        <v>205.05</v>
      </c>
      <c r="S158" s="366">
        <v>205.05</v>
      </c>
      <c r="T158" s="366">
        <v>314.72000000000003</v>
      </c>
      <c r="U158" s="366">
        <v>638.94000000000005</v>
      </c>
      <c r="V158" s="366">
        <v>259.98</v>
      </c>
      <c r="W158" s="366">
        <v>341.08</v>
      </c>
      <c r="X158" s="366">
        <v>341.08</v>
      </c>
      <c r="Y158" s="366">
        <v>341.08</v>
      </c>
      <c r="Z158" s="366">
        <v>297.72000000000003</v>
      </c>
      <c r="AA158" s="366">
        <v>525.07000000000005</v>
      </c>
      <c r="AB158" s="366">
        <v>374.46</v>
      </c>
      <c r="AC158" s="366">
        <v>376.92</v>
      </c>
      <c r="AD158" s="366">
        <v>376.92</v>
      </c>
      <c r="AE158" s="366">
        <v>110.99</v>
      </c>
      <c r="AF158" s="366">
        <v>544.64</v>
      </c>
      <c r="AG158" s="366">
        <v>342.6</v>
      </c>
      <c r="AH158" s="366">
        <v>194.17</v>
      </c>
      <c r="AI158" s="366">
        <v>194.17</v>
      </c>
      <c r="AJ158" s="366">
        <v>194.17</v>
      </c>
      <c r="AK158" s="366">
        <v>302.02</v>
      </c>
      <c r="AL158" s="366">
        <v>302.02</v>
      </c>
      <c r="AM158" s="366">
        <v>377.18</v>
      </c>
      <c r="AN158" s="366">
        <v>164.22</v>
      </c>
      <c r="AO158" s="366">
        <v>547.51</v>
      </c>
      <c r="AP158" s="366">
        <v>303.44</v>
      </c>
      <c r="AQ158" s="366">
        <v>750.93</v>
      </c>
      <c r="AR158" s="366">
        <v>190.26</v>
      </c>
      <c r="AS158" s="366">
        <v>48.07</v>
      </c>
      <c r="AT158" s="366">
        <v>48.07</v>
      </c>
      <c r="AU158" s="366">
        <v>174.84</v>
      </c>
      <c r="AV158" s="366">
        <v>669.99</v>
      </c>
      <c r="AW158" s="366">
        <v>171.81</v>
      </c>
      <c r="AX158" s="366">
        <v>260.82</v>
      </c>
      <c r="AY158" s="366">
        <v>294.02999999999997</v>
      </c>
      <c r="AZ158" s="366">
        <v>104.62</v>
      </c>
      <c r="BA158" s="366">
        <v>590.52</v>
      </c>
      <c r="BB158" s="366">
        <v>296.92</v>
      </c>
      <c r="BC158" s="366">
        <v>532.58000000000004</v>
      </c>
      <c r="BD158" s="366">
        <v>442.35</v>
      </c>
      <c r="BE158" s="366">
        <v>264.04000000000002</v>
      </c>
      <c r="BF158" s="366">
        <v>371.43</v>
      </c>
      <c r="BG158" s="366">
        <v>305.27</v>
      </c>
      <c r="BH158" s="366">
        <v>205.05</v>
      </c>
      <c r="BI158" s="366">
        <v>190.29</v>
      </c>
      <c r="BJ158" s="366">
        <v>243.39</v>
      </c>
      <c r="BK158" s="366">
        <v>172.4</v>
      </c>
      <c r="BL158" s="366">
        <v>67.09</v>
      </c>
      <c r="BM158" s="366">
        <v>76.3</v>
      </c>
      <c r="BN158" s="366">
        <v>565.26</v>
      </c>
      <c r="BO158" s="366">
        <v>214.6</v>
      </c>
      <c r="BP158" s="366">
        <v>180.46</v>
      </c>
      <c r="BQ158" s="366">
        <v>219.52</v>
      </c>
      <c r="BR158" s="366">
        <v>219.52</v>
      </c>
      <c r="BS158" s="366">
        <v>112.19</v>
      </c>
      <c r="BT158" s="366">
        <v>174.72</v>
      </c>
      <c r="BU158" s="366">
        <v>354.96</v>
      </c>
      <c r="BV158" s="366">
        <v>374.58</v>
      </c>
      <c r="BW158" s="366">
        <v>234.13</v>
      </c>
      <c r="BX158" s="366">
        <v>53.28</v>
      </c>
      <c r="BY158" s="366">
        <v>287.45999999999998</v>
      </c>
      <c r="BZ158" s="366">
        <v>287.45999999999998</v>
      </c>
      <c r="CA158" s="366">
        <v>203.75</v>
      </c>
      <c r="CB158" s="366">
        <v>71.709999999999994</v>
      </c>
      <c r="CC158" s="366">
        <v>231.99</v>
      </c>
      <c r="CD158" s="366">
        <v>234.39</v>
      </c>
      <c r="CE158" s="366">
        <v>155.63</v>
      </c>
      <c r="CF158" s="366">
        <v>543.37</v>
      </c>
      <c r="CG158" s="366">
        <v>543.37</v>
      </c>
      <c r="CH158" s="366">
        <v>234.52</v>
      </c>
      <c r="CI158" s="366">
        <v>148.01</v>
      </c>
      <c r="CJ158" s="366">
        <v>554.32000000000005</v>
      </c>
      <c r="CK158" s="366">
        <v>292.55</v>
      </c>
      <c r="CL158" s="366">
        <v>188.63</v>
      </c>
      <c r="CM158" s="366">
        <v>478.86</v>
      </c>
      <c r="CN158" s="366">
        <v>192.76</v>
      </c>
      <c r="CO158" s="366">
        <v>188.87</v>
      </c>
      <c r="CP158" s="366">
        <v>212.83</v>
      </c>
      <c r="CQ158" s="366">
        <v>212.83</v>
      </c>
      <c r="CR158" s="366">
        <v>141.27000000000001</v>
      </c>
      <c r="CS158" s="366">
        <v>141.27000000000001</v>
      </c>
      <c r="CT158" s="366">
        <v>150.71</v>
      </c>
      <c r="CU158" s="366">
        <v>142.84</v>
      </c>
      <c r="CV158" s="366">
        <v>145.44</v>
      </c>
      <c r="CW158" s="366">
        <v>259.98</v>
      </c>
      <c r="CX158" s="366">
        <v>251.06</v>
      </c>
      <c r="CY158" s="366">
        <v>525.28</v>
      </c>
      <c r="CZ158" s="366">
        <v>546.52</v>
      </c>
      <c r="DA158" s="366">
        <v>196.37</v>
      </c>
      <c r="DB158" s="366">
        <v>239.37</v>
      </c>
      <c r="DC158" s="366">
        <v>239.37</v>
      </c>
      <c r="DD158" s="366">
        <v>328.24</v>
      </c>
      <c r="DE158" s="366">
        <v>274</v>
      </c>
      <c r="DF158" s="366">
        <v>778.85</v>
      </c>
      <c r="DG158" s="366">
        <v>177.66</v>
      </c>
      <c r="DH158" s="366">
        <v>336.56</v>
      </c>
      <c r="DI158" s="366">
        <v>409.19</v>
      </c>
      <c r="DJ158" s="366">
        <v>562.72</v>
      </c>
      <c r="DK158" s="366">
        <v>15.7</v>
      </c>
      <c r="DL158" s="366">
        <v>360.96</v>
      </c>
      <c r="DM158" s="366">
        <v>123.58</v>
      </c>
      <c r="DN158" s="366">
        <v>423.95</v>
      </c>
      <c r="DO158" s="366">
        <v>54.09</v>
      </c>
      <c r="DP158" s="366">
        <v>289.93</v>
      </c>
      <c r="DQ158" s="366">
        <v>245.47</v>
      </c>
      <c r="DR158" s="366">
        <v>336.56</v>
      </c>
      <c r="DS158" s="366">
        <v>166.74</v>
      </c>
      <c r="DT158" s="366">
        <v>155.03</v>
      </c>
      <c r="DU158" s="366">
        <v>226.71</v>
      </c>
      <c r="DV158" s="366">
        <v>293.42</v>
      </c>
      <c r="DW158" s="366">
        <v>31.65</v>
      </c>
      <c r="DX158" s="366">
        <v>220.45</v>
      </c>
      <c r="DY158" s="366">
        <v>293.83999999999997</v>
      </c>
      <c r="DZ158" s="366">
        <v>337.91</v>
      </c>
      <c r="EA158" s="366">
        <v>172.54</v>
      </c>
      <c r="EB158" s="366">
        <v>287.83999999999997</v>
      </c>
      <c r="EC158" s="366">
        <v>85.53</v>
      </c>
      <c r="ED158" s="366">
        <v>438.96</v>
      </c>
      <c r="EE158" s="366">
        <v>449.75</v>
      </c>
      <c r="EF158" s="366">
        <v>297.16000000000003</v>
      </c>
      <c r="EG158" s="366">
        <v>171.81</v>
      </c>
      <c r="EH158" s="366">
        <v>171.81</v>
      </c>
      <c r="EI158" s="366">
        <v>218.04</v>
      </c>
      <c r="EJ158" s="366">
        <v>324.62</v>
      </c>
      <c r="EK158" s="366">
        <v>96.47</v>
      </c>
      <c r="EL158" s="366">
        <v>96.47</v>
      </c>
      <c r="EM158" s="366">
        <v>190.58</v>
      </c>
      <c r="EN158" s="366">
        <v>190.58</v>
      </c>
      <c r="EO158" s="366">
        <v>377.18</v>
      </c>
      <c r="EP158" s="366">
        <v>300.04000000000002</v>
      </c>
      <c r="EQ158" s="366">
        <v>160.19999999999999</v>
      </c>
      <c r="ER158" s="366">
        <v>608.98</v>
      </c>
      <c r="ES158" s="366">
        <v>135.9</v>
      </c>
      <c r="ET158" s="366">
        <v>237.49</v>
      </c>
      <c r="EU158" s="366">
        <v>730.49</v>
      </c>
      <c r="EV158" s="366">
        <v>341.08</v>
      </c>
      <c r="EW158" s="366">
        <v>218.96</v>
      </c>
      <c r="EX158" s="366">
        <v>112.64</v>
      </c>
      <c r="EY158" s="366">
        <v>112.64</v>
      </c>
      <c r="EZ158" s="366">
        <v>242.39</v>
      </c>
      <c r="FA158" s="366">
        <v>187.75</v>
      </c>
      <c r="FB158" s="366">
        <v>0</v>
      </c>
      <c r="FC158" s="366">
        <v>240.59</v>
      </c>
      <c r="FD158" s="366">
        <v>130.24</v>
      </c>
      <c r="FE158" s="366">
        <v>221.87</v>
      </c>
      <c r="FF158" s="366">
        <v>197.05</v>
      </c>
      <c r="FG158" s="366">
        <v>581.55999999999995</v>
      </c>
      <c r="FH158" s="366">
        <v>581.55999999999995</v>
      </c>
      <c r="FI158" s="366">
        <v>321.95</v>
      </c>
      <c r="FJ158" s="366">
        <v>327.74</v>
      </c>
      <c r="FK158" s="366">
        <v>163.63999999999999</v>
      </c>
      <c r="FL158" s="366">
        <v>161.83000000000001</v>
      </c>
      <c r="FM158" s="366">
        <v>377.18</v>
      </c>
      <c r="FN158" s="366">
        <v>371.83</v>
      </c>
      <c r="FO158" s="366">
        <v>180.91</v>
      </c>
      <c r="FP158" s="366">
        <v>272.94</v>
      </c>
      <c r="FQ158" s="366">
        <v>184.78</v>
      </c>
      <c r="FR158" s="366">
        <v>59.52</v>
      </c>
      <c r="FS158" s="366">
        <v>127.12</v>
      </c>
      <c r="FT158" s="366">
        <v>577.88</v>
      </c>
      <c r="FU158" s="366">
        <v>135.62</v>
      </c>
      <c r="FV158" s="366">
        <v>794.39</v>
      </c>
      <c r="FW158" s="366">
        <v>794.39</v>
      </c>
      <c r="FX158" s="366">
        <v>794.39</v>
      </c>
      <c r="FY158" s="366">
        <v>136.88999999999999</v>
      </c>
      <c r="FZ158" s="366">
        <v>211.78</v>
      </c>
      <c r="GA158" s="366">
        <v>264.04000000000002</v>
      </c>
      <c r="GB158" s="366">
        <v>165.59</v>
      </c>
      <c r="GC158" s="366">
        <v>438.96</v>
      </c>
      <c r="GD158" s="366">
        <v>35.380000000000003</v>
      </c>
      <c r="GE158" s="366">
        <v>150.81</v>
      </c>
      <c r="GF158" s="366">
        <v>122.09</v>
      </c>
      <c r="GG158" s="366">
        <v>122.09</v>
      </c>
      <c r="GH158" s="366">
        <v>312.49</v>
      </c>
      <c r="GI158" s="366">
        <v>377.34</v>
      </c>
      <c r="GJ158" s="366">
        <v>377.18</v>
      </c>
      <c r="GK158" s="366">
        <v>160.19</v>
      </c>
      <c r="GL158" s="366">
        <v>204.37</v>
      </c>
      <c r="GM158" s="366">
        <v>204.37</v>
      </c>
      <c r="GN158" s="366">
        <v>204.37</v>
      </c>
      <c r="GO158" s="366">
        <v>342.62</v>
      </c>
      <c r="GP158" s="366">
        <v>269.45</v>
      </c>
      <c r="GQ158" s="366">
        <v>205.9</v>
      </c>
      <c r="GR158" s="366">
        <v>405.41</v>
      </c>
      <c r="GS158" s="366">
        <v>271.95</v>
      </c>
      <c r="GT158" s="366">
        <v>171.81</v>
      </c>
      <c r="GU158" s="366">
        <v>129.16</v>
      </c>
      <c r="GV158" s="366">
        <v>331.81</v>
      </c>
      <c r="GW158" s="366">
        <v>180.35</v>
      </c>
      <c r="GX158" s="366">
        <v>168.38</v>
      </c>
      <c r="GY158" s="366">
        <v>195.14</v>
      </c>
      <c r="GZ158" s="366">
        <v>129.96</v>
      </c>
      <c r="HA158" s="366">
        <v>186.32</v>
      </c>
      <c r="HB158" s="366">
        <v>186.32</v>
      </c>
      <c r="HC158" s="366">
        <v>186.32</v>
      </c>
      <c r="HD158" s="366">
        <v>374.2</v>
      </c>
      <c r="HE158" s="366">
        <v>184.43</v>
      </c>
      <c r="HF158" s="366">
        <v>140.72</v>
      </c>
      <c r="HG158" s="366">
        <v>268.37</v>
      </c>
      <c r="HH158" s="366">
        <v>268.37</v>
      </c>
      <c r="HI158" s="366">
        <v>268.37</v>
      </c>
      <c r="HJ158" s="366">
        <v>142.96</v>
      </c>
      <c r="HK158" s="366">
        <v>244.3</v>
      </c>
      <c r="HL158" s="366">
        <v>238.43</v>
      </c>
      <c r="HM158" s="366">
        <v>374.46</v>
      </c>
      <c r="HN158" s="366">
        <v>377.18</v>
      </c>
      <c r="HO158" s="366">
        <v>698.65</v>
      </c>
      <c r="HP158" s="366">
        <v>130.68</v>
      </c>
      <c r="HQ158" s="366">
        <v>794.39</v>
      </c>
      <c r="HR158" s="366">
        <v>544.64</v>
      </c>
      <c r="HS158" s="366">
        <v>373.43</v>
      </c>
      <c r="HT158" s="366">
        <v>255.75</v>
      </c>
      <c r="HU158" s="366">
        <v>223</v>
      </c>
      <c r="HV158" s="366">
        <v>241.32</v>
      </c>
    </row>
    <row r="159" spans="1:230">
      <c r="A159" s="366" t="s">
        <v>179</v>
      </c>
      <c r="B159" s="366">
        <v>831.13</v>
      </c>
      <c r="C159" s="366">
        <v>376.59</v>
      </c>
      <c r="D159" s="366">
        <v>277.36</v>
      </c>
      <c r="E159" s="366">
        <v>277.36</v>
      </c>
      <c r="F159" s="366">
        <v>895.03</v>
      </c>
      <c r="G159" s="366">
        <v>702.6</v>
      </c>
      <c r="H159" s="366">
        <v>320.98</v>
      </c>
      <c r="I159" s="366">
        <v>321.64999999999998</v>
      </c>
      <c r="J159" s="366">
        <v>344.76</v>
      </c>
      <c r="K159" s="366">
        <v>344.76</v>
      </c>
      <c r="L159" s="366">
        <v>267.97000000000003</v>
      </c>
      <c r="M159" s="366">
        <v>402.01</v>
      </c>
      <c r="N159" s="366">
        <v>452.32</v>
      </c>
      <c r="O159" s="366">
        <v>197.83</v>
      </c>
      <c r="P159" s="366">
        <v>197.83</v>
      </c>
      <c r="Q159" s="366">
        <v>197.83</v>
      </c>
      <c r="R159" s="366">
        <v>197.83</v>
      </c>
      <c r="S159" s="366">
        <v>197.83</v>
      </c>
      <c r="T159" s="366">
        <v>396.15</v>
      </c>
      <c r="U159" s="366">
        <v>810.64</v>
      </c>
      <c r="V159" s="366">
        <v>59.67</v>
      </c>
      <c r="W159" s="366">
        <v>539.51</v>
      </c>
      <c r="X159" s="366">
        <v>539.51</v>
      </c>
      <c r="Y159" s="366">
        <v>539.51</v>
      </c>
      <c r="Z159" s="366">
        <v>267.48</v>
      </c>
      <c r="AA159" s="366">
        <v>696.77</v>
      </c>
      <c r="AB159" s="366">
        <v>455.89</v>
      </c>
      <c r="AC159" s="366">
        <v>458.35</v>
      </c>
      <c r="AD159" s="366">
        <v>458.35</v>
      </c>
      <c r="AE159" s="366">
        <v>226.46</v>
      </c>
      <c r="AF159" s="366">
        <v>716.34</v>
      </c>
      <c r="AG159" s="366">
        <v>541.03</v>
      </c>
      <c r="AH159" s="366">
        <v>275.60000000000002</v>
      </c>
      <c r="AI159" s="366">
        <v>275.60000000000002</v>
      </c>
      <c r="AJ159" s="366">
        <v>275.60000000000002</v>
      </c>
      <c r="AK159" s="366">
        <v>289.68</v>
      </c>
      <c r="AL159" s="366">
        <v>289.68</v>
      </c>
      <c r="AM159" s="366">
        <v>458.61</v>
      </c>
      <c r="AN159" s="366">
        <v>238.66</v>
      </c>
      <c r="AO159" s="366">
        <v>709.72</v>
      </c>
      <c r="AP159" s="366">
        <v>384.87</v>
      </c>
      <c r="AQ159" s="366">
        <v>851.57</v>
      </c>
      <c r="AR159" s="366">
        <v>407.53</v>
      </c>
      <c r="AS159" s="366">
        <v>192.52</v>
      </c>
      <c r="AT159" s="366">
        <v>192.52</v>
      </c>
      <c r="AU159" s="366">
        <v>65.75</v>
      </c>
      <c r="AV159" s="366">
        <v>841.69</v>
      </c>
      <c r="AW159" s="366">
        <v>389.08</v>
      </c>
      <c r="AX159" s="366">
        <v>342.25</v>
      </c>
      <c r="AY159" s="366">
        <v>488.03</v>
      </c>
      <c r="AZ159" s="366">
        <v>345.21</v>
      </c>
      <c r="BA159" s="366">
        <v>671.95</v>
      </c>
      <c r="BB159" s="366">
        <v>490.92</v>
      </c>
      <c r="BC159" s="366">
        <v>614.01</v>
      </c>
      <c r="BD159" s="366">
        <v>523.78</v>
      </c>
      <c r="BE159" s="366">
        <v>63.73</v>
      </c>
      <c r="BF159" s="366">
        <v>452.86</v>
      </c>
      <c r="BG159" s="366">
        <v>275.02999999999997</v>
      </c>
      <c r="BH159" s="366">
        <v>197.83</v>
      </c>
      <c r="BI159" s="366">
        <v>407.56</v>
      </c>
      <c r="BJ159" s="366">
        <v>213.15</v>
      </c>
      <c r="BK159" s="366">
        <v>412.99</v>
      </c>
      <c r="BL159" s="366">
        <v>270.36</v>
      </c>
      <c r="BM159" s="366">
        <v>293.57</v>
      </c>
      <c r="BN159" s="366">
        <v>736.96</v>
      </c>
      <c r="BO159" s="366">
        <v>455.19</v>
      </c>
      <c r="BP159" s="366">
        <v>421.05</v>
      </c>
      <c r="BQ159" s="366">
        <v>300.95</v>
      </c>
      <c r="BR159" s="366">
        <v>300.95</v>
      </c>
      <c r="BS159" s="366">
        <v>352.78</v>
      </c>
      <c r="BT159" s="366">
        <v>391.99</v>
      </c>
      <c r="BU159" s="366">
        <v>436.39</v>
      </c>
      <c r="BV159" s="366">
        <v>456.01</v>
      </c>
      <c r="BW159" s="366">
        <v>6.46</v>
      </c>
      <c r="BX159" s="366">
        <v>293.87</v>
      </c>
      <c r="BY159" s="366">
        <v>87.15</v>
      </c>
      <c r="BZ159" s="366">
        <v>87.15</v>
      </c>
      <c r="CA159" s="366">
        <v>421.02</v>
      </c>
      <c r="CB159" s="366">
        <v>312.3</v>
      </c>
      <c r="CC159" s="366">
        <v>313.42</v>
      </c>
      <c r="CD159" s="366">
        <v>315.82</v>
      </c>
      <c r="CE159" s="366">
        <v>396.22</v>
      </c>
      <c r="CF159" s="366">
        <v>715.07</v>
      </c>
      <c r="CG159" s="366">
        <v>715.07</v>
      </c>
      <c r="CH159" s="366">
        <v>315.95</v>
      </c>
      <c r="CI159" s="366">
        <v>218.86</v>
      </c>
      <c r="CJ159" s="366">
        <v>726.02</v>
      </c>
      <c r="CK159" s="366">
        <v>92.24</v>
      </c>
      <c r="CL159" s="366">
        <v>79.540000000000006</v>
      </c>
      <c r="CM159" s="366">
        <v>560.29</v>
      </c>
      <c r="CN159" s="366">
        <v>162.52000000000001</v>
      </c>
      <c r="CO159" s="366">
        <v>406.14</v>
      </c>
      <c r="CP159" s="366">
        <v>294.26</v>
      </c>
      <c r="CQ159" s="366">
        <v>294.26</v>
      </c>
      <c r="CR159" s="366">
        <v>358.54</v>
      </c>
      <c r="CS159" s="366">
        <v>358.54</v>
      </c>
      <c r="CT159" s="366">
        <v>367.98</v>
      </c>
      <c r="CU159" s="366">
        <v>360.11</v>
      </c>
      <c r="CV159" s="366">
        <v>362.71</v>
      </c>
      <c r="CW159" s="366">
        <v>59.67</v>
      </c>
      <c r="CX159" s="366">
        <v>332.49</v>
      </c>
      <c r="CY159" s="366">
        <v>606.71</v>
      </c>
      <c r="CZ159" s="366">
        <v>627.95000000000005</v>
      </c>
      <c r="DA159" s="366">
        <v>390.37</v>
      </c>
      <c r="DB159" s="366">
        <v>209.13</v>
      </c>
      <c r="DC159" s="366">
        <v>209.13</v>
      </c>
      <c r="DD159" s="366">
        <v>526.66999999999996</v>
      </c>
      <c r="DE159" s="366">
        <v>468</v>
      </c>
      <c r="DF159" s="366">
        <v>879.49</v>
      </c>
      <c r="DG159" s="366">
        <v>248.51</v>
      </c>
      <c r="DH159" s="366">
        <v>530.55999999999995</v>
      </c>
      <c r="DI159" s="366">
        <v>580.89</v>
      </c>
      <c r="DJ159" s="366">
        <v>644.15</v>
      </c>
      <c r="DK159" s="366">
        <v>256.29000000000002</v>
      </c>
      <c r="DL159" s="366">
        <v>442.39</v>
      </c>
      <c r="DM159" s="366">
        <v>364.17</v>
      </c>
      <c r="DN159" s="366">
        <v>595.65</v>
      </c>
      <c r="DO159" s="366">
        <v>282.86</v>
      </c>
      <c r="DP159" s="366">
        <v>488.36</v>
      </c>
      <c r="DQ159" s="366">
        <v>45.16</v>
      </c>
      <c r="DR159" s="366">
        <v>530.55999999999995</v>
      </c>
      <c r="DS159" s="366">
        <v>384.01</v>
      </c>
      <c r="DT159" s="366">
        <v>372.3</v>
      </c>
      <c r="DU159" s="366">
        <v>360.03</v>
      </c>
      <c r="DV159" s="366">
        <v>293.32</v>
      </c>
      <c r="DW159" s="366">
        <v>208.94</v>
      </c>
      <c r="DX159" s="366">
        <v>20.14</v>
      </c>
      <c r="DY159" s="366">
        <v>93.53</v>
      </c>
      <c r="DZ159" s="366">
        <v>536.34</v>
      </c>
      <c r="EA159" s="366">
        <v>389.81</v>
      </c>
      <c r="EB159" s="366">
        <v>87.53</v>
      </c>
      <c r="EC159" s="366">
        <v>302.8</v>
      </c>
      <c r="ED159" s="366">
        <v>610.66</v>
      </c>
      <c r="EE159" s="366">
        <v>621.45000000000005</v>
      </c>
      <c r="EF159" s="366">
        <v>378.59</v>
      </c>
      <c r="EG159" s="366">
        <v>389.08</v>
      </c>
      <c r="EH159" s="366">
        <v>389.08</v>
      </c>
      <c r="EI159" s="366">
        <v>299.47000000000003</v>
      </c>
      <c r="EJ159" s="366">
        <v>565.21</v>
      </c>
      <c r="EK159" s="366">
        <v>177.9</v>
      </c>
      <c r="EL159" s="366">
        <v>177.9</v>
      </c>
      <c r="EM159" s="366">
        <v>112.78</v>
      </c>
      <c r="EN159" s="366">
        <v>112.78</v>
      </c>
      <c r="EO159" s="366">
        <v>458.61</v>
      </c>
      <c r="EP159" s="366">
        <v>381.47</v>
      </c>
      <c r="EQ159" s="366">
        <v>377.47</v>
      </c>
      <c r="ER159" s="366">
        <v>780.68</v>
      </c>
      <c r="ES159" s="366">
        <v>376.49</v>
      </c>
      <c r="ET159" s="366">
        <v>318.92</v>
      </c>
      <c r="EU159" s="366">
        <v>831.13</v>
      </c>
      <c r="EV159" s="366">
        <v>539.51</v>
      </c>
      <c r="EW159" s="366">
        <v>300.39</v>
      </c>
      <c r="EX159" s="366">
        <v>353.23</v>
      </c>
      <c r="EY159" s="366">
        <v>353.23</v>
      </c>
      <c r="EZ159" s="366">
        <v>133.30000000000001</v>
      </c>
      <c r="FA159" s="366">
        <v>78.66</v>
      </c>
      <c r="FB159" s="366">
        <v>240.59</v>
      </c>
      <c r="FC159" s="366">
        <v>0</v>
      </c>
      <c r="FD159" s="366">
        <v>206.03</v>
      </c>
      <c r="FE159" s="366">
        <v>303.3</v>
      </c>
      <c r="FF159" s="366">
        <v>278.48</v>
      </c>
      <c r="FG159" s="366">
        <v>662.99</v>
      </c>
      <c r="FH159" s="366">
        <v>662.99</v>
      </c>
      <c r="FI159" s="366">
        <v>520.38</v>
      </c>
      <c r="FJ159" s="366">
        <v>526.16999999999996</v>
      </c>
      <c r="FK159" s="366">
        <v>404.23</v>
      </c>
      <c r="FL159" s="366">
        <v>402.42</v>
      </c>
      <c r="FM159" s="366">
        <v>458.61</v>
      </c>
      <c r="FN159" s="366">
        <v>570.26</v>
      </c>
      <c r="FO159" s="366">
        <v>398.18</v>
      </c>
      <c r="FP159" s="366">
        <v>72.63</v>
      </c>
      <c r="FQ159" s="366">
        <v>402.05</v>
      </c>
      <c r="FR159" s="366">
        <v>285.31</v>
      </c>
      <c r="FS159" s="366">
        <v>208.55</v>
      </c>
      <c r="FT159" s="366">
        <v>659.31</v>
      </c>
      <c r="FU159" s="366">
        <v>206.47</v>
      </c>
      <c r="FV159" s="366">
        <v>895.03</v>
      </c>
      <c r="FW159" s="366">
        <v>895.03</v>
      </c>
      <c r="FX159" s="366">
        <v>895.03</v>
      </c>
      <c r="FY159" s="366">
        <v>103.7</v>
      </c>
      <c r="FZ159" s="366">
        <v>293.20999999999998</v>
      </c>
      <c r="GA159" s="366">
        <v>63.73</v>
      </c>
      <c r="GB159" s="366">
        <v>247.02</v>
      </c>
      <c r="GC159" s="366">
        <v>610.66</v>
      </c>
      <c r="GD159" s="366">
        <v>275.97000000000003</v>
      </c>
      <c r="GE159" s="366">
        <v>368.08</v>
      </c>
      <c r="GF159" s="366">
        <v>192.94</v>
      </c>
      <c r="GG159" s="366">
        <v>192.94</v>
      </c>
      <c r="GH159" s="366">
        <v>112.18</v>
      </c>
      <c r="GI159" s="366">
        <v>458.77</v>
      </c>
      <c r="GJ159" s="366">
        <v>458.61</v>
      </c>
      <c r="GK159" s="366">
        <v>400.78</v>
      </c>
      <c r="GL159" s="366">
        <v>285.8</v>
      </c>
      <c r="GM159" s="366">
        <v>285.8</v>
      </c>
      <c r="GN159" s="366">
        <v>285.8</v>
      </c>
      <c r="GO159" s="366">
        <v>424.05</v>
      </c>
      <c r="GP159" s="366">
        <v>69.14</v>
      </c>
      <c r="GQ159" s="366">
        <v>446.49</v>
      </c>
      <c r="GR159" s="366">
        <v>486.84</v>
      </c>
      <c r="GS159" s="366">
        <v>353.38</v>
      </c>
      <c r="GT159" s="366">
        <v>389.08</v>
      </c>
      <c r="GU159" s="366">
        <v>211.17</v>
      </c>
      <c r="GV159" s="366">
        <v>572.4</v>
      </c>
      <c r="GW159" s="366">
        <v>261.77999999999997</v>
      </c>
      <c r="GX159" s="366">
        <v>385.65</v>
      </c>
      <c r="GY159" s="366">
        <v>276.57</v>
      </c>
      <c r="GZ159" s="366">
        <v>205.75</v>
      </c>
      <c r="HA159" s="366">
        <v>403.59</v>
      </c>
      <c r="HB159" s="366">
        <v>403.59</v>
      </c>
      <c r="HC159" s="366">
        <v>403.59</v>
      </c>
      <c r="HD159" s="366">
        <v>572.63</v>
      </c>
      <c r="HE159" s="366">
        <v>106.63</v>
      </c>
      <c r="HF159" s="366">
        <v>143.77000000000001</v>
      </c>
      <c r="HG159" s="366">
        <v>238.13</v>
      </c>
      <c r="HH159" s="366">
        <v>238.13</v>
      </c>
      <c r="HI159" s="366">
        <v>238.13</v>
      </c>
      <c r="HJ159" s="366">
        <v>213.81</v>
      </c>
      <c r="HK159" s="366">
        <v>461.57</v>
      </c>
      <c r="HL159" s="366">
        <v>178.25</v>
      </c>
      <c r="HM159" s="366">
        <v>455.89</v>
      </c>
      <c r="HN159" s="366">
        <v>458.61</v>
      </c>
      <c r="HO159" s="366">
        <v>864.33</v>
      </c>
      <c r="HP159" s="366">
        <v>206.47</v>
      </c>
      <c r="HQ159" s="366">
        <v>895.03</v>
      </c>
      <c r="HR159" s="366">
        <v>716.34</v>
      </c>
      <c r="HS159" s="366">
        <v>454.86</v>
      </c>
      <c r="HT159" s="366">
        <v>337.18</v>
      </c>
      <c r="HU159" s="366">
        <v>304.43</v>
      </c>
      <c r="HV159" s="366">
        <v>322.75</v>
      </c>
    </row>
    <row r="160" spans="1:230">
      <c r="A160" s="366" t="s">
        <v>180</v>
      </c>
      <c r="B160" s="366">
        <v>686.32</v>
      </c>
      <c r="C160" s="366">
        <v>266.24</v>
      </c>
      <c r="D160" s="366">
        <v>167.01</v>
      </c>
      <c r="E160" s="366">
        <v>167.01</v>
      </c>
      <c r="F160" s="366">
        <v>750.22</v>
      </c>
      <c r="G160" s="366">
        <v>557.79</v>
      </c>
      <c r="H160" s="366">
        <v>210.63</v>
      </c>
      <c r="I160" s="366">
        <v>176.84</v>
      </c>
      <c r="J160" s="366">
        <v>234.41</v>
      </c>
      <c r="K160" s="366">
        <v>234.41</v>
      </c>
      <c r="L160" s="366">
        <v>157.62</v>
      </c>
      <c r="M160" s="366">
        <v>291.66000000000003</v>
      </c>
      <c r="N160" s="366">
        <v>388.56</v>
      </c>
      <c r="O160" s="366">
        <v>80.08</v>
      </c>
      <c r="P160" s="366">
        <v>80.08</v>
      </c>
      <c r="Q160" s="366">
        <v>80.08</v>
      </c>
      <c r="R160" s="366">
        <v>80.08</v>
      </c>
      <c r="S160" s="366">
        <v>80.08</v>
      </c>
      <c r="T160" s="366">
        <v>251.34</v>
      </c>
      <c r="U160" s="366">
        <v>665.83</v>
      </c>
      <c r="V160" s="366">
        <v>225.42</v>
      </c>
      <c r="W160" s="366">
        <v>394.7</v>
      </c>
      <c r="X160" s="366">
        <v>394.7</v>
      </c>
      <c r="Y160" s="366">
        <v>394.7</v>
      </c>
      <c r="Z160" s="366">
        <v>263.16000000000003</v>
      </c>
      <c r="AA160" s="366">
        <v>551.96</v>
      </c>
      <c r="AB160" s="366">
        <v>311.08</v>
      </c>
      <c r="AC160" s="366">
        <v>313.54000000000002</v>
      </c>
      <c r="AD160" s="366">
        <v>313.54000000000002</v>
      </c>
      <c r="AE160" s="366">
        <v>116.11</v>
      </c>
      <c r="AF160" s="366">
        <v>571.53</v>
      </c>
      <c r="AG160" s="366">
        <v>396.22</v>
      </c>
      <c r="AH160" s="366">
        <v>130.79</v>
      </c>
      <c r="AI160" s="366">
        <v>130.79</v>
      </c>
      <c r="AJ160" s="366">
        <v>130.79</v>
      </c>
      <c r="AK160" s="366">
        <v>285.36</v>
      </c>
      <c r="AL160" s="366">
        <v>285.36</v>
      </c>
      <c r="AM160" s="366">
        <v>313.8</v>
      </c>
      <c r="AN160" s="366">
        <v>67.62</v>
      </c>
      <c r="AO160" s="366">
        <v>564.91</v>
      </c>
      <c r="AP160" s="366">
        <v>240.06</v>
      </c>
      <c r="AQ160" s="366">
        <v>706.76</v>
      </c>
      <c r="AR160" s="366">
        <v>297.18</v>
      </c>
      <c r="AS160" s="366">
        <v>82.17</v>
      </c>
      <c r="AT160" s="366">
        <v>82.17</v>
      </c>
      <c r="AU160" s="366">
        <v>140.28</v>
      </c>
      <c r="AV160" s="366">
        <v>696.88</v>
      </c>
      <c r="AW160" s="366">
        <v>278.73</v>
      </c>
      <c r="AX160" s="366">
        <v>197.44</v>
      </c>
      <c r="AY160" s="366">
        <v>424.27</v>
      </c>
      <c r="AZ160" s="366">
        <v>234.86</v>
      </c>
      <c r="BA160" s="366">
        <v>527.14</v>
      </c>
      <c r="BB160" s="366">
        <v>427.16</v>
      </c>
      <c r="BC160" s="366">
        <v>469.2</v>
      </c>
      <c r="BD160" s="366">
        <v>378.97</v>
      </c>
      <c r="BE160" s="366">
        <v>229.48</v>
      </c>
      <c r="BF160" s="366">
        <v>308.05</v>
      </c>
      <c r="BG160" s="366">
        <v>270.70999999999998</v>
      </c>
      <c r="BH160" s="366">
        <v>80.08</v>
      </c>
      <c r="BI160" s="366">
        <v>297.20999999999998</v>
      </c>
      <c r="BJ160" s="366">
        <v>208.83</v>
      </c>
      <c r="BK160" s="366">
        <v>302.64</v>
      </c>
      <c r="BL160" s="366">
        <v>160.01</v>
      </c>
      <c r="BM160" s="366">
        <v>183.22</v>
      </c>
      <c r="BN160" s="366">
        <v>592.15</v>
      </c>
      <c r="BO160" s="366">
        <v>344.84</v>
      </c>
      <c r="BP160" s="366">
        <v>310.7</v>
      </c>
      <c r="BQ160" s="366">
        <v>156.13999999999999</v>
      </c>
      <c r="BR160" s="366">
        <v>156.13999999999999</v>
      </c>
      <c r="BS160" s="366">
        <v>242.43</v>
      </c>
      <c r="BT160" s="366">
        <v>281.64</v>
      </c>
      <c r="BU160" s="366">
        <v>291.58</v>
      </c>
      <c r="BV160" s="366">
        <v>311.2</v>
      </c>
      <c r="BW160" s="366">
        <v>199.57</v>
      </c>
      <c r="BX160" s="366">
        <v>183.52</v>
      </c>
      <c r="BY160" s="366">
        <v>252.9</v>
      </c>
      <c r="BZ160" s="366">
        <v>252.9</v>
      </c>
      <c r="CA160" s="366">
        <v>310.67</v>
      </c>
      <c r="CB160" s="366">
        <v>201.95</v>
      </c>
      <c r="CC160" s="366">
        <v>168.61</v>
      </c>
      <c r="CD160" s="366">
        <v>171.01</v>
      </c>
      <c r="CE160" s="366">
        <v>285.87</v>
      </c>
      <c r="CF160" s="366">
        <v>570.26</v>
      </c>
      <c r="CG160" s="366">
        <v>570.26</v>
      </c>
      <c r="CH160" s="366">
        <v>171.14</v>
      </c>
      <c r="CI160" s="366">
        <v>51.99</v>
      </c>
      <c r="CJ160" s="366">
        <v>581.21</v>
      </c>
      <c r="CK160" s="366">
        <v>257.99</v>
      </c>
      <c r="CL160" s="366">
        <v>154.07</v>
      </c>
      <c r="CM160" s="366">
        <v>415.48</v>
      </c>
      <c r="CN160" s="366">
        <v>158.19999999999999</v>
      </c>
      <c r="CO160" s="366">
        <v>295.79000000000002</v>
      </c>
      <c r="CP160" s="366">
        <v>149.44999999999999</v>
      </c>
      <c r="CQ160" s="366">
        <v>149.44999999999999</v>
      </c>
      <c r="CR160" s="366">
        <v>248.19</v>
      </c>
      <c r="CS160" s="366">
        <v>248.19</v>
      </c>
      <c r="CT160" s="366">
        <v>257.63</v>
      </c>
      <c r="CU160" s="366">
        <v>249.76</v>
      </c>
      <c r="CV160" s="366">
        <v>252.36</v>
      </c>
      <c r="CW160" s="366">
        <v>225.42</v>
      </c>
      <c r="CX160" s="366">
        <v>187.68</v>
      </c>
      <c r="CY160" s="366">
        <v>461.9</v>
      </c>
      <c r="CZ160" s="366">
        <v>483.14</v>
      </c>
      <c r="DA160" s="366">
        <v>326.61</v>
      </c>
      <c r="DB160" s="366">
        <v>204.81</v>
      </c>
      <c r="DC160" s="366">
        <v>204.81</v>
      </c>
      <c r="DD160" s="366">
        <v>381.86</v>
      </c>
      <c r="DE160" s="366">
        <v>404.24</v>
      </c>
      <c r="DF160" s="366">
        <v>734.68</v>
      </c>
      <c r="DG160" s="366">
        <v>81.64</v>
      </c>
      <c r="DH160" s="366">
        <v>466.8</v>
      </c>
      <c r="DI160" s="366">
        <v>436.08</v>
      </c>
      <c r="DJ160" s="366">
        <v>499.34</v>
      </c>
      <c r="DK160" s="366">
        <v>145.94</v>
      </c>
      <c r="DL160" s="366">
        <v>297.58</v>
      </c>
      <c r="DM160" s="366">
        <v>253.82</v>
      </c>
      <c r="DN160" s="366">
        <v>450.84</v>
      </c>
      <c r="DO160" s="366">
        <v>172.51</v>
      </c>
      <c r="DP160" s="366">
        <v>343.55</v>
      </c>
      <c r="DQ160" s="366">
        <v>210.91</v>
      </c>
      <c r="DR160" s="366">
        <v>466.8</v>
      </c>
      <c r="DS160" s="366">
        <v>273.66000000000003</v>
      </c>
      <c r="DT160" s="366">
        <v>261.95</v>
      </c>
      <c r="DU160" s="366">
        <v>355.71</v>
      </c>
      <c r="DV160" s="366">
        <v>289</v>
      </c>
      <c r="DW160" s="366">
        <v>98.59</v>
      </c>
      <c r="DX160" s="366">
        <v>185.89</v>
      </c>
      <c r="DY160" s="366">
        <v>259.27999999999997</v>
      </c>
      <c r="DZ160" s="366">
        <v>391.53</v>
      </c>
      <c r="EA160" s="366">
        <v>279.45999999999998</v>
      </c>
      <c r="EB160" s="366">
        <v>253.28</v>
      </c>
      <c r="EC160" s="366">
        <v>192.45</v>
      </c>
      <c r="ED160" s="366">
        <v>465.85</v>
      </c>
      <c r="EE160" s="366">
        <v>476.64</v>
      </c>
      <c r="EF160" s="366">
        <v>233.78</v>
      </c>
      <c r="EG160" s="366">
        <v>278.73</v>
      </c>
      <c r="EH160" s="366">
        <v>278.73</v>
      </c>
      <c r="EI160" s="366">
        <v>154.66</v>
      </c>
      <c r="EJ160" s="366">
        <v>454.86</v>
      </c>
      <c r="EK160" s="366">
        <v>48.45</v>
      </c>
      <c r="EL160" s="366">
        <v>48.45</v>
      </c>
      <c r="EM160" s="366">
        <v>156.02000000000001</v>
      </c>
      <c r="EN160" s="366">
        <v>156.02000000000001</v>
      </c>
      <c r="EO160" s="366">
        <v>313.8</v>
      </c>
      <c r="EP160" s="366">
        <v>236.66</v>
      </c>
      <c r="EQ160" s="366">
        <v>267.12</v>
      </c>
      <c r="ER160" s="366">
        <v>635.87</v>
      </c>
      <c r="ES160" s="366">
        <v>266.14</v>
      </c>
      <c r="ET160" s="366">
        <v>174.11</v>
      </c>
      <c r="EU160" s="366">
        <v>686.32</v>
      </c>
      <c r="EV160" s="366">
        <v>394.7</v>
      </c>
      <c r="EW160" s="366">
        <v>155.58000000000001</v>
      </c>
      <c r="EX160" s="366">
        <v>242.88</v>
      </c>
      <c r="EY160" s="366">
        <v>242.88</v>
      </c>
      <c r="EZ160" s="366">
        <v>144.61000000000001</v>
      </c>
      <c r="FA160" s="366">
        <v>153.19</v>
      </c>
      <c r="FB160" s="366">
        <v>130.24</v>
      </c>
      <c r="FC160" s="366">
        <v>206.03</v>
      </c>
      <c r="FD160" s="366">
        <v>0</v>
      </c>
      <c r="FE160" s="366">
        <v>158.49</v>
      </c>
      <c r="FF160" s="366">
        <v>133.66999999999999</v>
      </c>
      <c r="FG160" s="366">
        <v>518.17999999999995</v>
      </c>
      <c r="FH160" s="366">
        <v>518.17999999999995</v>
      </c>
      <c r="FI160" s="366">
        <v>375.57</v>
      </c>
      <c r="FJ160" s="366">
        <v>381.36</v>
      </c>
      <c r="FK160" s="366">
        <v>293.88</v>
      </c>
      <c r="FL160" s="366">
        <v>292.07</v>
      </c>
      <c r="FM160" s="366">
        <v>313.8</v>
      </c>
      <c r="FN160" s="366">
        <v>425.45</v>
      </c>
      <c r="FO160" s="366">
        <v>287.83</v>
      </c>
      <c r="FP160" s="366">
        <v>238.38</v>
      </c>
      <c r="FQ160" s="366">
        <v>291.7</v>
      </c>
      <c r="FR160" s="366">
        <v>174.96</v>
      </c>
      <c r="FS160" s="366">
        <v>98.2</v>
      </c>
      <c r="FT160" s="366">
        <v>514.5</v>
      </c>
      <c r="FU160" s="366">
        <v>39.6</v>
      </c>
      <c r="FV160" s="366">
        <v>750.22</v>
      </c>
      <c r="FW160" s="366">
        <v>750.22</v>
      </c>
      <c r="FX160" s="366">
        <v>750.22</v>
      </c>
      <c r="FY160" s="366">
        <v>102.33</v>
      </c>
      <c r="FZ160" s="366">
        <v>148.4</v>
      </c>
      <c r="GA160" s="366">
        <v>229.48</v>
      </c>
      <c r="GB160" s="366">
        <v>136.66999999999999</v>
      </c>
      <c r="GC160" s="366">
        <v>465.85</v>
      </c>
      <c r="GD160" s="366">
        <v>165.62</v>
      </c>
      <c r="GE160" s="366">
        <v>257.73</v>
      </c>
      <c r="GF160" s="366">
        <v>26.07</v>
      </c>
      <c r="GG160" s="366">
        <v>26.07</v>
      </c>
      <c r="GH160" s="366">
        <v>277.93</v>
      </c>
      <c r="GI160" s="366">
        <v>313.95999999999998</v>
      </c>
      <c r="GJ160" s="366">
        <v>313.8</v>
      </c>
      <c r="GK160" s="366">
        <v>290.43</v>
      </c>
      <c r="GL160" s="366">
        <v>140.99</v>
      </c>
      <c r="GM160" s="366">
        <v>140.99</v>
      </c>
      <c r="GN160" s="366">
        <v>140.99</v>
      </c>
      <c r="GO160" s="366">
        <v>279.24</v>
      </c>
      <c r="GP160" s="366">
        <v>234.89</v>
      </c>
      <c r="GQ160" s="366">
        <v>336.14</v>
      </c>
      <c r="GR160" s="366">
        <v>342.03</v>
      </c>
      <c r="GS160" s="366">
        <v>208.57</v>
      </c>
      <c r="GT160" s="366">
        <v>278.73</v>
      </c>
      <c r="GU160" s="366">
        <v>100.82</v>
      </c>
      <c r="GV160" s="366">
        <v>462.05</v>
      </c>
      <c r="GW160" s="366">
        <v>116.97</v>
      </c>
      <c r="GX160" s="366">
        <v>275.3</v>
      </c>
      <c r="GY160" s="366">
        <v>131.76</v>
      </c>
      <c r="GZ160" s="366">
        <v>33.36</v>
      </c>
      <c r="HA160" s="366">
        <v>293.24</v>
      </c>
      <c r="HB160" s="366">
        <v>293.24</v>
      </c>
      <c r="HC160" s="366">
        <v>293.24</v>
      </c>
      <c r="HD160" s="366">
        <v>427.82</v>
      </c>
      <c r="HE160" s="366">
        <v>149.87</v>
      </c>
      <c r="HF160" s="366">
        <v>106.16</v>
      </c>
      <c r="HG160" s="366">
        <v>233.81</v>
      </c>
      <c r="HH160" s="366">
        <v>233.81</v>
      </c>
      <c r="HI160" s="366">
        <v>233.81</v>
      </c>
      <c r="HJ160" s="366">
        <v>46.94</v>
      </c>
      <c r="HK160" s="366">
        <v>351.22</v>
      </c>
      <c r="HL160" s="366">
        <v>113.46</v>
      </c>
      <c r="HM160" s="366">
        <v>311.08</v>
      </c>
      <c r="HN160" s="366">
        <v>313.8</v>
      </c>
      <c r="HO160" s="366">
        <v>719.52</v>
      </c>
      <c r="HP160" s="366">
        <v>0.44</v>
      </c>
      <c r="HQ160" s="366">
        <v>750.22</v>
      </c>
      <c r="HR160" s="366">
        <v>571.53</v>
      </c>
      <c r="HS160" s="366">
        <v>310.05</v>
      </c>
      <c r="HT160" s="366">
        <v>192.37</v>
      </c>
      <c r="HU160" s="366">
        <v>159.62</v>
      </c>
      <c r="HV160" s="366">
        <v>177.94</v>
      </c>
    </row>
    <row r="161" spans="1:230">
      <c r="A161" s="366" t="s">
        <v>181</v>
      </c>
      <c r="B161" s="366">
        <v>543.75</v>
      </c>
      <c r="C161" s="366">
        <v>357.87</v>
      </c>
      <c r="D161" s="366">
        <v>258.64</v>
      </c>
      <c r="E161" s="366">
        <v>258.64</v>
      </c>
      <c r="F161" s="366">
        <v>607.65</v>
      </c>
      <c r="G161" s="366">
        <v>415.22</v>
      </c>
      <c r="H161" s="366">
        <v>302.26</v>
      </c>
      <c r="I161" s="366">
        <v>70.13</v>
      </c>
      <c r="J161" s="366">
        <v>326.04000000000002</v>
      </c>
      <c r="K161" s="366">
        <v>326.04000000000002</v>
      </c>
      <c r="L161" s="366">
        <v>249.25</v>
      </c>
      <c r="M161" s="366">
        <v>383.29</v>
      </c>
      <c r="N161" s="366">
        <v>480.19</v>
      </c>
      <c r="O161" s="366">
        <v>233.3</v>
      </c>
      <c r="P161" s="366">
        <v>233.3</v>
      </c>
      <c r="Q161" s="366">
        <v>233.3</v>
      </c>
      <c r="R161" s="366">
        <v>233.3</v>
      </c>
      <c r="S161" s="366">
        <v>233.3</v>
      </c>
      <c r="T161" s="366">
        <v>144.63</v>
      </c>
      <c r="U161" s="366">
        <v>523.26</v>
      </c>
      <c r="V161" s="366">
        <v>322.69</v>
      </c>
      <c r="W161" s="366">
        <v>287.99</v>
      </c>
      <c r="X161" s="366">
        <v>287.99</v>
      </c>
      <c r="Y161" s="366">
        <v>287.99</v>
      </c>
      <c r="Z161" s="366">
        <v>360.43</v>
      </c>
      <c r="AA161" s="366">
        <v>409.39</v>
      </c>
      <c r="AB161" s="366">
        <v>168.51</v>
      </c>
      <c r="AC161" s="366">
        <v>170.97</v>
      </c>
      <c r="AD161" s="366">
        <v>170.97</v>
      </c>
      <c r="AE161" s="366">
        <v>207.74</v>
      </c>
      <c r="AF161" s="366">
        <v>428.96</v>
      </c>
      <c r="AG161" s="366">
        <v>289.51</v>
      </c>
      <c r="AH161" s="366">
        <v>91.16</v>
      </c>
      <c r="AI161" s="366">
        <v>91.16</v>
      </c>
      <c r="AJ161" s="366">
        <v>91.16</v>
      </c>
      <c r="AK161" s="366">
        <v>382.63</v>
      </c>
      <c r="AL161" s="366">
        <v>382.63</v>
      </c>
      <c r="AM161" s="366">
        <v>171.23</v>
      </c>
      <c r="AN161" s="366">
        <v>192.47</v>
      </c>
      <c r="AO161" s="366">
        <v>422.34</v>
      </c>
      <c r="AP161" s="366">
        <v>133.35</v>
      </c>
      <c r="AQ161" s="366">
        <v>564.19000000000005</v>
      </c>
      <c r="AR161" s="366">
        <v>388.81</v>
      </c>
      <c r="AS161" s="366">
        <v>173.8</v>
      </c>
      <c r="AT161" s="366">
        <v>173.8</v>
      </c>
      <c r="AU161" s="366">
        <v>237.55</v>
      </c>
      <c r="AV161" s="366">
        <v>554.30999999999995</v>
      </c>
      <c r="AW161" s="366">
        <v>331.82</v>
      </c>
      <c r="AX161" s="366">
        <v>46.61</v>
      </c>
      <c r="AY161" s="366">
        <v>515.9</v>
      </c>
      <c r="AZ161" s="366">
        <v>326.49</v>
      </c>
      <c r="BA161" s="366">
        <v>384.57</v>
      </c>
      <c r="BB161" s="366">
        <v>518.79</v>
      </c>
      <c r="BC161" s="366">
        <v>326.63</v>
      </c>
      <c r="BD161" s="366">
        <v>236.4</v>
      </c>
      <c r="BE161" s="366">
        <v>326.75</v>
      </c>
      <c r="BF161" s="366">
        <v>165.48</v>
      </c>
      <c r="BG161" s="366">
        <v>367.98</v>
      </c>
      <c r="BH161" s="366">
        <v>233.3</v>
      </c>
      <c r="BI161" s="366">
        <v>388.84</v>
      </c>
      <c r="BJ161" s="366">
        <v>306.10000000000002</v>
      </c>
      <c r="BK161" s="366">
        <v>394.27</v>
      </c>
      <c r="BL161" s="366">
        <v>251.64</v>
      </c>
      <c r="BM161" s="366">
        <v>274.85000000000002</v>
      </c>
      <c r="BN161" s="366">
        <v>449.58</v>
      </c>
      <c r="BO161" s="366">
        <v>436.47</v>
      </c>
      <c r="BP161" s="366">
        <v>402.33</v>
      </c>
      <c r="BQ161" s="366">
        <v>90.83</v>
      </c>
      <c r="BR161" s="366">
        <v>90.83</v>
      </c>
      <c r="BS161" s="366">
        <v>334.06</v>
      </c>
      <c r="BT161" s="366">
        <v>373.27</v>
      </c>
      <c r="BU161" s="366">
        <v>149.01</v>
      </c>
      <c r="BV161" s="366">
        <v>168.63</v>
      </c>
      <c r="BW161" s="366">
        <v>296.83999999999997</v>
      </c>
      <c r="BX161" s="366">
        <v>275.14999999999998</v>
      </c>
      <c r="BY161" s="366">
        <v>350.17</v>
      </c>
      <c r="BZ161" s="366">
        <v>350.17</v>
      </c>
      <c r="CA161" s="366">
        <v>293.02</v>
      </c>
      <c r="CB161" s="366">
        <v>293.58</v>
      </c>
      <c r="CC161" s="366">
        <v>17.78</v>
      </c>
      <c r="CD161" s="366">
        <v>20.18</v>
      </c>
      <c r="CE161" s="366">
        <v>377.5</v>
      </c>
      <c r="CF161" s="366">
        <v>427.69</v>
      </c>
      <c r="CG161" s="366">
        <v>427.69</v>
      </c>
      <c r="CH161" s="366">
        <v>75.83</v>
      </c>
      <c r="CI161" s="366">
        <v>106.5</v>
      </c>
      <c r="CJ161" s="366">
        <v>438.64</v>
      </c>
      <c r="CK161" s="366">
        <v>355.26</v>
      </c>
      <c r="CL161" s="366">
        <v>251.34</v>
      </c>
      <c r="CM161" s="366">
        <v>272.91000000000003</v>
      </c>
      <c r="CN161" s="366">
        <v>255.47</v>
      </c>
      <c r="CO161" s="366">
        <v>387.42</v>
      </c>
      <c r="CP161" s="366">
        <v>97.52</v>
      </c>
      <c r="CQ161" s="366">
        <v>97.52</v>
      </c>
      <c r="CR161" s="366">
        <v>339.82</v>
      </c>
      <c r="CS161" s="366">
        <v>339.82</v>
      </c>
      <c r="CT161" s="366">
        <v>349.26</v>
      </c>
      <c r="CU161" s="366">
        <v>341.39</v>
      </c>
      <c r="CV161" s="366">
        <v>343.99</v>
      </c>
      <c r="CW161" s="366">
        <v>322.69</v>
      </c>
      <c r="CX161" s="366">
        <v>36.85</v>
      </c>
      <c r="CY161" s="366">
        <v>319.33</v>
      </c>
      <c r="CZ161" s="366">
        <v>340.57</v>
      </c>
      <c r="DA161" s="366">
        <v>418.24</v>
      </c>
      <c r="DB161" s="366">
        <v>302.08</v>
      </c>
      <c r="DC161" s="366">
        <v>302.08</v>
      </c>
      <c r="DD161" s="366">
        <v>275.14999999999998</v>
      </c>
      <c r="DE161" s="366">
        <v>495.87</v>
      </c>
      <c r="DF161" s="366">
        <v>592.11</v>
      </c>
      <c r="DG161" s="366">
        <v>76.849999999999994</v>
      </c>
      <c r="DH161" s="366">
        <v>558.42999999999995</v>
      </c>
      <c r="DI161" s="366">
        <v>293.51</v>
      </c>
      <c r="DJ161" s="366">
        <v>356.77</v>
      </c>
      <c r="DK161" s="366">
        <v>237.57</v>
      </c>
      <c r="DL161" s="366">
        <v>155.01</v>
      </c>
      <c r="DM161" s="366">
        <v>345.45</v>
      </c>
      <c r="DN161" s="366">
        <v>308.27</v>
      </c>
      <c r="DO161" s="366">
        <v>264.14</v>
      </c>
      <c r="DP161" s="366">
        <v>236.84</v>
      </c>
      <c r="DQ161" s="366">
        <v>308.18</v>
      </c>
      <c r="DR161" s="366">
        <v>558.42999999999995</v>
      </c>
      <c r="DS161" s="366">
        <v>365.29</v>
      </c>
      <c r="DT161" s="366">
        <v>353.58</v>
      </c>
      <c r="DU161" s="366">
        <v>448.58</v>
      </c>
      <c r="DV161" s="366">
        <v>386.27</v>
      </c>
      <c r="DW161" s="366">
        <v>190.22</v>
      </c>
      <c r="DX161" s="366">
        <v>283.16000000000003</v>
      </c>
      <c r="DY161" s="366">
        <v>356.55</v>
      </c>
      <c r="DZ161" s="366">
        <v>284.82</v>
      </c>
      <c r="EA161" s="366">
        <v>371.09</v>
      </c>
      <c r="EB161" s="366">
        <v>350.55</v>
      </c>
      <c r="EC161" s="366">
        <v>284.08</v>
      </c>
      <c r="ED161" s="366">
        <v>323.27999999999997</v>
      </c>
      <c r="EE161" s="366">
        <v>334.07</v>
      </c>
      <c r="EF161" s="366">
        <v>127.07</v>
      </c>
      <c r="EG161" s="366">
        <v>331.82</v>
      </c>
      <c r="EH161" s="366">
        <v>331.82</v>
      </c>
      <c r="EI161" s="366">
        <v>3.83</v>
      </c>
      <c r="EJ161" s="366">
        <v>546.49</v>
      </c>
      <c r="EK161" s="366">
        <v>159.18</v>
      </c>
      <c r="EL161" s="366">
        <v>159.18</v>
      </c>
      <c r="EM161" s="366">
        <v>253.29</v>
      </c>
      <c r="EN161" s="366">
        <v>253.29</v>
      </c>
      <c r="EO161" s="366">
        <v>171.23</v>
      </c>
      <c r="EP161" s="366">
        <v>85.83</v>
      </c>
      <c r="EQ161" s="366">
        <v>340.02</v>
      </c>
      <c r="ER161" s="366">
        <v>493.3</v>
      </c>
      <c r="ES161" s="366">
        <v>357.77</v>
      </c>
      <c r="ET161" s="366">
        <v>72.86</v>
      </c>
      <c r="EU161" s="366">
        <v>543.75</v>
      </c>
      <c r="EV161" s="366">
        <v>287.99</v>
      </c>
      <c r="EW161" s="366">
        <v>4.75</v>
      </c>
      <c r="EX161" s="366">
        <v>334.51</v>
      </c>
      <c r="EY161" s="366">
        <v>334.51</v>
      </c>
      <c r="EZ161" s="366">
        <v>297.83</v>
      </c>
      <c r="FA161" s="366">
        <v>250.46</v>
      </c>
      <c r="FB161" s="366">
        <v>221.87</v>
      </c>
      <c r="FC161" s="366">
        <v>303.3</v>
      </c>
      <c r="FD161" s="366">
        <v>158.49</v>
      </c>
      <c r="FE161" s="366">
        <v>0</v>
      </c>
      <c r="FF161" s="366">
        <v>94.04</v>
      </c>
      <c r="FG161" s="366">
        <v>375.61</v>
      </c>
      <c r="FH161" s="366">
        <v>375.61</v>
      </c>
      <c r="FI161" s="366">
        <v>268.86</v>
      </c>
      <c r="FJ161" s="366">
        <v>274.64999999999998</v>
      </c>
      <c r="FK161" s="366">
        <v>385.51</v>
      </c>
      <c r="FL161" s="366">
        <v>383.7</v>
      </c>
      <c r="FM161" s="366">
        <v>171.23</v>
      </c>
      <c r="FN161" s="366">
        <v>318.74</v>
      </c>
      <c r="FO161" s="366">
        <v>379.46</v>
      </c>
      <c r="FP161" s="366">
        <v>335.65</v>
      </c>
      <c r="FQ161" s="366">
        <v>383.33</v>
      </c>
      <c r="FR161" s="366">
        <v>266.58999999999997</v>
      </c>
      <c r="FS161" s="366">
        <v>94.75</v>
      </c>
      <c r="FT161" s="366">
        <v>371.93</v>
      </c>
      <c r="FU161" s="366">
        <v>118.89</v>
      </c>
      <c r="FV161" s="366">
        <v>607.65</v>
      </c>
      <c r="FW161" s="366">
        <v>607.65</v>
      </c>
      <c r="FX161" s="366">
        <v>607.65</v>
      </c>
      <c r="FY161" s="366">
        <v>199.6</v>
      </c>
      <c r="FZ161" s="366">
        <v>30.53</v>
      </c>
      <c r="GA161" s="366">
        <v>326.75</v>
      </c>
      <c r="GB161" s="366">
        <v>133.22</v>
      </c>
      <c r="GC161" s="366">
        <v>323.27999999999997</v>
      </c>
      <c r="GD161" s="366">
        <v>257.25</v>
      </c>
      <c r="GE161" s="366">
        <v>349.36</v>
      </c>
      <c r="GF161" s="366">
        <v>132.41999999999999</v>
      </c>
      <c r="GG161" s="366">
        <v>132.41999999999999</v>
      </c>
      <c r="GH161" s="366">
        <v>375.2</v>
      </c>
      <c r="GI161" s="366">
        <v>171.39</v>
      </c>
      <c r="GJ161" s="366">
        <v>171.23</v>
      </c>
      <c r="GK161" s="366">
        <v>382.06</v>
      </c>
      <c r="GL161" s="366">
        <v>17.5</v>
      </c>
      <c r="GM161" s="366">
        <v>17.5</v>
      </c>
      <c r="GN161" s="366">
        <v>17.5</v>
      </c>
      <c r="GO161" s="366">
        <v>172.53</v>
      </c>
      <c r="GP161" s="366">
        <v>332.16</v>
      </c>
      <c r="GQ161" s="366">
        <v>427.77</v>
      </c>
      <c r="GR161" s="366">
        <v>199.46</v>
      </c>
      <c r="GS161" s="366">
        <v>101.86</v>
      </c>
      <c r="GT161" s="366">
        <v>331.82</v>
      </c>
      <c r="GU161" s="366">
        <v>192.45</v>
      </c>
      <c r="GV161" s="366">
        <v>553.67999999999995</v>
      </c>
      <c r="GW161" s="366">
        <v>41.96</v>
      </c>
      <c r="GX161" s="366">
        <v>328.39</v>
      </c>
      <c r="GY161" s="366">
        <v>92.13</v>
      </c>
      <c r="GZ161" s="366">
        <v>158.21</v>
      </c>
      <c r="HA161" s="366">
        <v>384.87</v>
      </c>
      <c r="HB161" s="366">
        <v>384.87</v>
      </c>
      <c r="HC161" s="366">
        <v>384.87</v>
      </c>
      <c r="HD161" s="366">
        <v>295.56</v>
      </c>
      <c r="HE161" s="366">
        <v>247.14</v>
      </c>
      <c r="HF161" s="366">
        <v>203.43</v>
      </c>
      <c r="HG161" s="366">
        <v>331.08</v>
      </c>
      <c r="HH161" s="366">
        <v>331.08</v>
      </c>
      <c r="HI161" s="366">
        <v>331.08</v>
      </c>
      <c r="HJ161" s="366">
        <v>111.55</v>
      </c>
      <c r="HK161" s="366">
        <v>258.44</v>
      </c>
      <c r="HL161" s="366">
        <v>266.68</v>
      </c>
      <c r="HM161" s="366">
        <v>168.51</v>
      </c>
      <c r="HN161" s="366">
        <v>171.23</v>
      </c>
      <c r="HO161" s="366">
        <v>576.95000000000005</v>
      </c>
      <c r="HP161" s="366">
        <v>158.93</v>
      </c>
      <c r="HQ161" s="366">
        <v>607.65</v>
      </c>
      <c r="HR161" s="366">
        <v>428.96</v>
      </c>
      <c r="HS161" s="366">
        <v>167.48</v>
      </c>
      <c r="HT161" s="366">
        <v>85.66</v>
      </c>
      <c r="HU161" s="366">
        <v>94.31</v>
      </c>
      <c r="HV161" s="366">
        <v>27.11</v>
      </c>
    </row>
    <row r="162" spans="1:230">
      <c r="A162" s="366" t="s">
        <v>182</v>
      </c>
      <c r="B162" s="366">
        <v>621.87</v>
      </c>
      <c r="C162" s="366">
        <v>333.05</v>
      </c>
      <c r="D162" s="366">
        <v>233.82</v>
      </c>
      <c r="E162" s="366">
        <v>233.82</v>
      </c>
      <c r="F162" s="366">
        <v>685.77</v>
      </c>
      <c r="G162" s="366">
        <v>493.34</v>
      </c>
      <c r="H162" s="366">
        <v>277.44</v>
      </c>
      <c r="I162" s="366">
        <v>112.39</v>
      </c>
      <c r="J162" s="366">
        <v>301.22000000000003</v>
      </c>
      <c r="K162" s="366">
        <v>301.22000000000003</v>
      </c>
      <c r="L162" s="366">
        <v>224.43</v>
      </c>
      <c r="M162" s="366">
        <v>358.47</v>
      </c>
      <c r="N162" s="366">
        <v>455.37</v>
      </c>
      <c r="O162" s="366">
        <v>208.48</v>
      </c>
      <c r="P162" s="366">
        <v>208.48</v>
      </c>
      <c r="Q162" s="366">
        <v>208.48</v>
      </c>
      <c r="R162" s="366">
        <v>208.48</v>
      </c>
      <c r="S162" s="366">
        <v>208.48</v>
      </c>
      <c r="T162" s="366">
        <v>186.89</v>
      </c>
      <c r="U162" s="366">
        <v>601.38</v>
      </c>
      <c r="V162" s="366">
        <v>297.87</v>
      </c>
      <c r="W162" s="366">
        <v>330.25</v>
      </c>
      <c r="X162" s="366">
        <v>330.25</v>
      </c>
      <c r="Y162" s="366">
        <v>330.25</v>
      </c>
      <c r="Z162" s="366">
        <v>335.61</v>
      </c>
      <c r="AA162" s="366">
        <v>487.51</v>
      </c>
      <c r="AB162" s="366">
        <v>246.63</v>
      </c>
      <c r="AC162" s="366">
        <v>249.09</v>
      </c>
      <c r="AD162" s="366">
        <v>249.09</v>
      </c>
      <c r="AE162" s="366">
        <v>182.92</v>
      </c>
      <c r="AF162" s="366">
        <v>507.08</v>
      </c>
      <c r="AG162" s="366">
        <v>331.77</v>
      </c>
      <c r="AH162" s="366">
        <v>66.34</v>
      </c>
      <c r="AI162" s="366">
        <v>66.34</v>
      </c>
      <c r="AJ162" s="366">
        <v>66.34</v>
      </c>
      <c r="AK162" s="366">
        <v>357.81</v>
      </c>
      <c r="AL162" s="366">
        <v>357.81</v>
      </c>
      <c r="AM162" s="366">
        <v>249.35</v>
      </c>
      <c r="AN162" s="366">
        <v>167.65</v>
      </c>
      <c r="AO162" s="366">
        <v>500.46</v>
      </c>
      <c r="AP162" s="366">
        <v>175.61</v>
      </c>
      <c r="AQ162" s="366">
        <v>642.30999999999995</v>
      </c>
      <c r="AR162" s="366">
        <v>363.99</v>
      </c>
      <c r="AS162" s="366">
        <v>148.97999999999999</v>
      </c>
      <c r="AT162" s="366">
        <v>148.97999999999999</v>
      </c>
      <c r="AU162" s="366">
        <v>212.73</v>
      </c>
      <c r="AV162" s="366">
        <v>632.42999999999995</v>
      </c>
      <c r="AW162" s="366">
        <v>345.54</v>
      </c>
      <c r="AX162" s="366">
        <v>132.99</v>
      </c>
      <c r="AY162" s="366">
        <v>491.08</v>
      </c>
      <c r="AZ162" s="366">
        <v>301.67</v>
      </c>
      <c r="BA162" s="366">
        <v>462.69</v>
      </c>
      <c r="BB162" s="366">
        <v>493.97</v>
      </c>
      <c r="BC162" s="366">
        <v>404.75</v>
      </c>
      <c r="BD162" s="366">
        <v>314.52</v>
      </c>
      <c r="BE162" s="366">
        <v>301.93</v>
      </c>
      <c r="BF162" s="366">
        <v>243.6</v>
      </c>
      <c r="BG162" s="366">
        <v>343.16</v>
      </c>
      <c r="BH162" s="366">
        <v>208.48</v>
      </c>
      <c r="BI162" s="366">
        <v>364.02</v>
      </c>
      <c r="BJ162" s="366">
        <v>281.27999999999997</v>
      </c>
      <c r="BK162" s="366">
        <v>369.45</v>
      </c>
      <c r="BL162" s="366">
        <v>226.82</v>
      </c>
      <c r="BM162" s="366">
        <v>250.03</v>
      </c>
      <c r="BN162" s="366">
        <v>527.70000000000005</v>
      </c>
      <c r="BO162" s="366">
        <v>411.65</v>
      </c>
      <c r="BP162" s="366">
        <v>377.51</v>
      </c>
      <c r="BQ162" s="366">
        <v>91.69</v>
      </c>
      <c r="BR162" s="366">
        <v>91.69</v>
      </c>
      <c r="BS162" s="366">
        <v>309.24</v>
      </c>
      <c r="BT162" s="366">
        <v>348.45</v>
      </c>
      <c r="BU162" s="366">
        <v>227.13</v>
      </c>
      <c r="BV162" s="366">
        <v>246.75</v>
      </c>
      <c r="BW162" s="366">
        <v>272.02</v>
      </c>
      <c r="BX162" s="366">
        <v>250.33</v>
      </c>
      <c r="BY162" s="366">
        <v>325.35000000000002</v>
      </c>
      <c r="BZ162" s="366">
        <v>325.35000000000002</v>
      </c>
      <c r="CA162" s="366">
        <v>335.28</v>
      </c>
      <c r="CB162" s="366">
        <v>268.76</v>
      </c>
      <c r="CC162" s="366">
        <v>104.16</v>
      </c>
      <c r="CD162" s="366">
        <v>106.56</v>
      </c>
      <c r="CE162" s="366">
        <v>352.68</v>
      </c>
      <c r="CF162" s="366">
        <v>505.81</v>
      </c>
      <c r="CG162" s="366">
        <v>505.81</v>
      </c>
      <c r="CH162" s="366">
        <v>106.69</v>
      </c>
      <c r="CI162" s="366">
        <v>81.680000000000007</v>
      </c>
      <c r="CJ162" s="366">
        <v>516.76</v>
      </c>
      <c r="CK162" s="366">
        <v>330.44</v>
      </c>
      <c r="CL162" s="366">
        <v>226.52</v>
      </c>
      <c r="CM162" s="366">
        <v>351.03</v>
      </c>
      <c r="CN162" s="366">
        <v>230.65</v>
      </c>
      <c r="CO162" s="366">
        <v>362.6</v>
      </c>
      <c r="CP162" s="366">
        <v>85</v>
      </c>
      <c r="CQ162" s="366">
        <v>85</v>
      </c>
      <c r="CR162" s="366">
        <v>315</v>
      </c>
      <c r="CS162" s="366">
        <v>315</v>
      </c>
      <c r="CT162" s="366">
        <v>324.44</v>
      </c>
      <c r="CU162" s="366">
        <v>316.57</v>
      </c>
      <c r="CV162" s="366">
        <v>319.17</v>
      </c>
      <c r="CW162" s="366">
        <v>297.87</v>
      </c>
      <c r="CX162" s="366">
        <v>123.23</v>
      </c>
      <c r="CY162" s="366">
        <v>397.45</v>
      </c>
      <c r="CZ162" s="366">
        <v>418.69</v>
      </c>
      <c r="DA162" s="366">
        <v>393.42</v>
      </c>
      <c r="DB162" s="366">
        <v>277.26</v>
      </c>
      <c r="DC162" s="366">
        <v>277.26</v>
      </c>
      <c r="DD162" s="366">
        <v>317.41000000000003</v>
      </c>
      <c r="DE162" s="366">
        <v>471.05</v>
      </c>
      <c r="DF162" s="366">
        <v>670.23</v>
      </c>
      <c r="DG162" s="366">
        <v>52.03</v>
      </c>
      <c r="DH162" s="366">
        <v>533.61</v>
      </c>
      <c r="DI162" s="366">
        <v>371.63</v>
      </c>
      <c r="DJ162" s="366">
        <v>434.89</v>
      </c>
      <c r="DK162" s="366">
        <v>212.75</v>
      </c>
      <c r="DL162" s="366">
        <v>233.13</v>
      </c>
      <c r="DM162" s="366">
        <v>320.63</v>
      </c>
      <c r="DN162" s="366">
        <v>386.39</v>
      </c>
      <c r="DO162" s="366">
        <v>239.32</v>
      </c>
      <c r="DP162" s="366">
        <v>279.10000000000002</v>
      </c>
      <c r="DQ162" s="366">
        <v>283.36</v>
      </c>
      <c r="DR162" s="366">
        <v>533.61</v>
      </c>
      <c r="DS162" s="366">
        <v>340.47</v>
      </c>
      <c r="DT162" s="366">
        <v>328.76</v>
      </c>
      <c r="DU162" s="366">
        <v>423.76</v>
      </c>
      <c r="DV162" s="366">
        <v>361.45</v>
      </c>
      <c r="DW162" s="366">
        <v>165.4</v>
      </c>
      <c r="DX162" s="366">
        <v>258.33999999999997</v>
      </c>
      <c r="DY162" s="366">
        <v>331.73</v>
      </c>
      <c r="DZ162" s="366">
        <v>327.08</v>
      </c>
      <c r="EA162" s="366">
        <v>346.27</v>
      </c>
      <c r="EB162" s="366">
        <v>325.73</v>
      </c>
      <c r="EC162" s="366">
        <v>259.26</v>
      </c>
      <c r="ED162" s="366">
        <v>401.4</v>
      </c>
      <c r="EE162" s="366">
        <v>412.19</v>
      </c>
      <c r="EF162" s="366">
        <v>169.33</v>
      </c>
      <c r="EG162" s="366">
        <v>345.54</v>
      </c>
      <c r="EH162" s="366">
        <v>345.54</v>
      </c>
      <c r="EI162" s="366">
        <v>90.21</v>
      </c>
      <c r="EJ162" s="366">
        <v>521.66999999999996</v>
      </c>
      <c r="EK162" s="366">
        <v>134.36000000000001</v>
      </c>
      <c r="EL162" s="366">
        <v>134.36000000000001</v>
      </c>
      <c r="EM162" s="366">
        <v>228.47</v>
      </c>
      <c r="EN162" s="366">
        <v>228.47</v>
      </c>
      <c r="EO162" s="366">
        <v>249.35</v>
      </c>
      <c r="EP162" s="366">
        <v>172.21</v>
      </c>
      <c r="EQ162" s="366">
        <v>333.93</v>
      </c>
      <c r="ER162" s="366">
        <v>571.41999999999996</v>
      </c>
      <c r="ES162" s="366">
        <v>332.95</v>
      </c>
      <c r="ET162" s="366">
        <v>109.66</v>
      </c>
      <c r="EU162" s="366">
        <v>621.87</v>
      </c>
      <c r="EV162" s="366">
        <v>330.25</v>
      </c>
      <c r="EW162" s="366">
        <v>91.13</v>
      </c>
      <c r="EX162" s="366">
        <v>309.69</v>
      </c>
      <c r="EY162" s="366">
        <v>309.69</v>
      </c>
      <c r="EZ162" s="366">
        <v>273.01</v>
      </c>
      <c r="FA162" s="366">
        <v>225.64</v>
      </c>
      <c r="FB162" s="366">
        <v>197.05</v>
      </c>
      <c r="FC162" s="366">
        <v>278.48</v>
      </c>
      <c r="FD162" s="366">
        <v>133.66999999999999</v>
      </c>
      <c r="FE162" s="366">
        <v>94.04</v>
      </c>
      <c r="FF162" s="366">
        <v>0</v>
      </c>
      <c r="FG162" s="366">
        <v>453.73</v>
      </c>
      <c r="FH162" s="366">
        <v>453.73</v>
      </c>
      <c r="FI162" s="366">
        <v>311.12</v>
      </c>
      <c r="FJ162" s="366">
        <v>316.91000000000003</v>
      </c>
      <c r="FK162" s="366">
        <v>360.69</v>
      </c>
      <c r="FL162" s="366">
        <v>358.88</v>
      </c>
      <c r="FM162" s="366">
        <v>249.35</v>
      </c>
      <c r="FN162" s="366">
        <v>361</v>
      </c>
      <c r="FO162" s="366">
        <v>354.64</v>
      </c>
      <c r="FP162" s="366">
        <v>310.83</v>
      </c>
      <c r="FQ162" s="366">
        <v>358.51</v>
      </c>
      <c r="FR162" s="366">
        <v>241.77</v>
      </c>
      <c r="FS162" s="366">
        <v>69.930000000000007</v>
      </c>
      <c r="FT162" s="366">
        <v>450.05</v>
      </c>
      <c r="FU162" s="366">
        <v>94.07</v>
      </c>
      <c r="FV162" s="366">
        <v>685.77</v>
      </c>
      <c r="FW162" s="366">
        <v>685.77</v>
      </c>
      <c r="FX162" s="366">
        <v>685.77</v>
      </c>
      <c r="FY162" s="366">
        <v>174.78</v>
      </c>
      <c r="FZ162" s="366">
        <v>83.95</v>
      </c>
      <c r="GA162" s="366">
        <v>301.93</v>
      </c>
      <c r="GB162" s="366">
        <v>108.4</v>
      </c>
      <c r="GC162" s="366">
        <v>401.4</v>
      </c>
      <c r="GD162" s="366">
        <v>232.43</v>
      </c>
      <c r="GE162" s="366">
        <v>324.54000000000002</v>
      </c>
      <c r="GF162" s="366">
        <v>107.6</v>
      </c>
      <c r="GG162" s="366">
        <v>107.6</v>
      </c>
      <c r="GH162" s="366">
        <v>350.38</v>
      </c>
      <c r="GI162" s="366">
        <v>249.51</v>
      </c>
      <c r="GJ162" s="366">
        <v>249.35</v>
      </c>
      <c r="GK162" s="366">
        <v>357.24</v>
      </c>
      <c r="GL162" s="366">
        <v>76.540000000000006</v>
      </c>
      <c r="GM162" s="366">
        <v>76.540000000000006</v>
      </c>
      <c r="GN162" s="366">
        <v>76.540000000000006</v>
      </c>
      <c r="GO162" s="366">
        <v>214.79</v>
      </c>
      <c r="GP162" s="366">
        <v>307.33999999999997</v>
      </c>
      <c r="GQ162" s="366">
        <v>402.95</v>
      </c>
      <c r="GR162" s="366">
        <v>277.58</v>
      </c>
      <c r="GS162" s="366">
        <v>144.12</v>
      </c>
      <c r="GT162" s="366">
        <v>345.54</v>
      </c>
      <c r="GU162" s="366">
        <v>167.63</v>
      </c>
      <c r="GV162" s="366">
        <v>528.86</v>
      </c>
      <c r="GW162" s="366">
        <v>52.52</v>
      </c>
      <c r="GX162" s="366">
        <v>342.11</v>
      </c>
      <c r="GY162" s="366">
        <v>67.31</v>
      </c>
      <c r="GZ162" s="366">
        <v>133.38999999999999</v>
      </c>
      <c r="HA162" s="366">
        <v>360.05</v>
      </c>
      <c r="HB162" s="366">
        <v>360.05</v>
      </c>
      <c r="HC162" s="366">
        <v>360.05</v>
      </c>
      <c r="HD162" s="366">
        <v>363.37</v>
      </c>
      <c r="HE162" s="366">
        <v>222.32</v>
      </c>
      <c r="HF162" s="366">
        <v>178.61</v>
      </c>
      <c r="HG162" s="366">
        <v>306.26</v>
      </c>
      <c r="HH162" s="366">
        <v>306.26</v>
      </c>
      <c r="HI162" s="366">
        <v>306.26</v>
      </c>
      <c r="HJ162" s="366">
        <v>86.73</v>
      </c>
      <c r="HK162" s="366">
        <v>300.7</v>
      </c>
      <c r="HL162" s="366">
        <v>241.86</v>
      </c>
      <c r="HM162" s="366">
        <v>246.63</v>
      </c>
      <c r="HN162" s="366">
        <v>249.35</v>
      </c>
      <c r="HO162" s="366">
        <v>655.07000000000005</v>
      </c>
      <c r="HP162" s="366">
        <v>134.11000000000001</v>
      </c>
      <c r="HQ162" s="366">
        <v>685.77</v>
      </c>
      <c r="HR162" s="366">
        <v>507.08</v>
      </c>
      <c r="HS162" s="366">
        <v>245.6</v>
      </c>
      <c r="HT162" s="366">
        <v>127.92</v>
      </c>
      <c r="HU162" s="366">
        <v>95.17</v>
      </c>
      <c r="HV162" s="366">
        <v>113.49</v>
      </c>
    </row>
    <row r="163" spans="1:230">
      <c r="A163" s="366" t="s">
        <v>183</v>
      </c>
      <c r="B163" s="366">
        <v>289.06</v>
      </c>
      <c r="C163" s="366">
        <v>717.56</v>
      </c>
      <c r="D163" s="366">
        <v>601.85</v>
      </c>
      <c r="E163" s="366">
        <v>601.85</v>
      </c>
      <c r="F163" s="366">
        <v>352.96</v>
      </c>
      <c r="G163" s="366">
        <v>184.26</v>
      </c>
      <c r="H163" s="366">
        <v>558.23</v>
      </c>
      <c r="I163" s="366">
        <v>341.34</v>
      </c>
      <c r="J163" s="366">
        <v>534.45000000000005</v>
      </c>
      <c r="K163" s="366">
        <v>534.45000000000005</v>
      </c>
      <c r="L163" s="366">
        <v>608.94000000000005</v>
      </c>
      <c r="M163" s="366">
        <v>742.98</v>
      </c>
      <c r="N163" s="366">
        <v>839.88</v>
      </c>
      <c r="O163" s="366">
        <v>592.99</v>
      </c>
      <c r="P163" s="366">
        <v>592.99</v>
      </c>
      <c r="Q163" s="366">
        <v>592.99</v>
      </c>
      <c r="R163" s="366">
        <v>592.99</v>
      </c>
      <c r="S163" s="366">
        <v>592.99</v>
      </c>
      <c r="T163" s="366">
        <v>266.83999999999997</v>
      </c>
      <c r="U163" s="366">
        <v>303.95999999999998</v>
      </c>
      <c r="V163" s="366">
        <v>682.38</v>
      </c>
      <c r="W163" s="366">
        <v>453.16</v>
      </c>
      <c r="X163" s="366">
        <v>453.16</v>
      </c>
      <c r="Y163" s="366">
        <v>453.16</v>
      </c>
      <c r="Z163" s="366">
        <v>720.12</v>
      </c>
      <c r="AA163" s="366">
        <v>190.09</v>
      </c>
      <c r="AB163" s="366">
        <v>236.17</v>
      </c>
      <c r="AC163" s="366">
        <v>204.64</v>
      </c>
      <c r="AD163" s="366">
        <v>204.64</v>
      </c>
      <c r="AE163" s="366">
        <v>567.42999999999995</v>
      </c>
      <c r="AF163" s="366">
        <v>209.66</v>
      </c>
      <c r="AG163" s="366">
        <v>454.68</v>
      </c>
      <c r="AH163" s="366">
        <v>387.39</v>
      </c>
      <c r="AI163" s="366">
        <v>387.39</v>
      </c>
      <c r="AJ163" s="366">
        <v>387.39</v>
      </c>
      <c r="AK163" s="366">
        <v>742.32</v>
      </c>
      <c r="AL163" s="366">
        <v>742.32</v>
      </c>
      <c r="AM163" s="366">
        <v>238.89</v>
      </c>
      <c r="AN163" s="366">
        <v>552.16</v>
      </c>
      <c r="AO163" s="366">
        <v>167.65</v>
      </c>
      <c r="AP163" s="366">
        <v>285.95999999999998</v>
      </c>
      <c r="AQ163" s="366">
        <v>309.5</v>
      </c>
      <c r="AR163" s="366">
        <v>574.19000000000005</v>
      </c>
      <c r="AS163" s="366">
        <v>533.49</v>
      </c>
      <c r="AT163" s="366">
        <v>533.49</v>
      </c>
      <c r="AU163" s="366">
        <v>597.24</v>
      </c>
      <c r="AV163" s="366">
        <v>335.01</v>
      </c>
      <c r="AW163" s="366">
        <v>496.99</v>
      </c>
      <c r="AX163" s="366">
        <v>329</v>
      </c>
      <c r="AY163" s="366">
        <v>875.59</v>
      </c>
      <c r="AZ163" s="366">
        <v>686.18</v>
      </c>
      <c r="BA163" s="366">
        <v>129.88</v>
      </c>
      <c r="BB163" s="366">
        <v>878.48</v>
      </c>
      <c r="BC163" s="366">
        <v>71.94</v>
      </c>
      <c r="BD163" s="366">
        <v>139.21</v>
      </c>
      <c r="BE163" s="366">
        <v>686.44</v>
      </c>
      <c r="BF163" s="366">
        <v>233.14</v>
      </c>
      <c r="BG163" s="366">
        <v>727.67</v>
      </c>
      <c r="BH163" s="366">
        <v>592.99</v>
      </c>
      <c r="BI163" s="366">
        <v>574.22</v>
      </c>
      <c r="BJ163" s="366">
        <v>665.79</v>
      </c>
      <c r="BK163" s="366">
        <v>753.96</v>
      </c>
      <c r="BL163" s="366">
        <v>608.85</v>
      </c>
      <c r="BM163" s="366">
        <v>585.64</v>
      </c>
      <c r="BN163" s="366">
        <v>230.28</v>
      </c>
      <c r="BO163" s="366">
        <v>796.16</v>
      </c>
      <c r="BP163" s="366">
        <v>762.02</v>
      </c>
      <c r="BQ163" s="366">
        <v>362.04</v>
      </c>
      <c r="BR163" s="366">
        <v>362.04</v>
      </c>
      <c r="BS163" s="366">
        <v>693.75</v>
      </c>
      <c r="BT163" s="366">
        <v>566.14</v>
      </c>
      <c r="BU163" s="366">
        <v>226.6</v>
      </c>
      <c r="BV163" s="366">
        <v>236.29</v>
      </c>
      <c r="BW163" s="366">
        <v>656.53</v>
      </c>
      <c r="BX163" s="366">
        <v>634.84</v>
      </c>
      <c r="BY163" s="366">
        <v>709.86</v>
      </c>
      <c r="BZ163" s="366">
        <v>709.86</v>
      </c>
      <c r="CA163" s="366">
        <v>458.19</v>
      </c>
      <c r="CB163" s="366">
        <v>653.27</v>
      </c>
      <c r="CC163" s="366">
        <v>357.83</v>
      </c>
      <c r="CD163" s="366">
        <v>371.31</v>
      </c>
      <c r="CE163" s="366">
        <v>737.19</v>
      </c>
      <c r="CF163" s="366">
        <v>208.39</v>
      </c>
      <c r="CG163" s="366">
        <v>208.39</v>
      </c>
      <c r="CH163" s="366">
        <v>347.04</v>
      </c>
      <c r="CI163" s="366">
        <v>466.19</v>
      </c>
      <c r="CJ163" s="366">
        <v>219.34</v>
      </c>
      <c r="CK163" s="366">
        <v>714.95</v>
      </c>
      <c r="CL163" s="366">
        <v>611.03</v>
      </c>
      <c r="CM163" s="366">
        <v>102.7</v>
      </c>
      <c r="CN163" s="366">
        <v>615.16</v>
      </c>
      <c r="CO163" s="366">
        <v>572.79999999999995</v>
      </c>
      <c r="CP163" s="366">
        <v>368.73</v>
      </c>
      <c r="CQ163" s="366">
        <v>368.73</v>
      </c>
      <c r="CR163" s="366">
        <v>524.12</v>
      </c>
      <c r="CS163" s="366">
        <v>524.12</v>
      </c>
      <c r="CT163" s="366">
        <v>514.67999999999995</v>
      </c>
      <c r="CU163" s="366">
        <v>522.54999999999995</v>
      </c>
      <c r="CV163" s="366">
        <v>516.5</v>
      </c>
      <c r="CW163" s="366">
        <v>682.38</v>
      </c>
      <c r="CX163" s="366">
        <v>345.54</v>
      </c>
      <c r="CY163" s="366">
        <v>56.28</v>
      </c>
      <c r="CZ163" s="366">
        <v>85.88</v>
      </c>
      <c r="DA163" s="366">
        <v>777.93</v>
      </c>
      <c r="DB163" s="366">
        <v>661.77</v>
      </c>
      <c r="DC163" s="366">
        <v>661.77</v>
      </c>
      <c r="DD163" s="366">
        <v>376.5</v>
      </c>
      <c r="DE163" s="366">
        <v>855.56</v>
      </c>
      <c r="DF163" s="366">
        <v>337.42</v>
      </c>
      <c r="DG163" s="366">
        <v>436.54</v>
      </c>
      <c r="DH163" s="366">
        <v>918.12</v>
      </c>
      <c r="DI163" s="366">
        <v>305.97000000000003</v>
      </c>
      <c r="DJ163" s="366">
        <v>102.08</v>
      </c>
      <c r="DK163" s="366">
        <v>597.26</v>
      </c>
      <c r="DL163" s="366">
        <v>222.27</v>
      </c>
      <c r="DM163" s="366">
        <v>705.14</v>
      </c>
      <c r="DN163" s="366">
        <v>293</v>
      </c>
      <c r="DO163" s="366">
        <v>623.83000000000004</v>
      </c>
      <c r="DP163" s="366">
        <v>402.01</v>
      </c>
      <c r="DQ163" s="366">
        <v>667.87</v>
      </c>
      <c r="DR163" s="366">
        <v>918.12</v>
      </c>
      <c r="DS163" s="366">
        <v>573.70000000000005</v>
      </c>
      <c r="DT163" s="366">
        <v>561.99</v>
      </c>
      <c r="DU163" s="366">
        <v>808.27</v>
      </c>
      <c r="DV163" s="366">
        <v>745.96</v>
      </c>
      <c r="DW163" s="366">
        <v>549.91</v>
      </c>
      <c r="DX163" s="366">
        <v>642.85</v>
      </c>
      <c r="DY163" s="366">
        <v>716.24</v>
      </c>
      <c r="DZ163" s="366">
        <v>365.52</v>
      </c>
      <c r="EA163" s="366">
        <v>556.47</v>
      </c>
      <c r="EB163" s="366">
        <v>710.24</v>
      </c>
      <c r="EC163" s="366">
        <v>576.41</v>
      </c>
      <c r="ED163" s="366">
        <v>276.2</v>
      </c>
      <c r="EE163" s="366">
        <v>266.32</v>
      </c>
      <c r="EF163" s="366">
        <v>292.24</v>
      </c>
      <c r="EG163" s="366">
        <v>496.99</v>
      </c>
      <c r="EH163" s="366">
        <v>496.99</v>
      </c>
      <c r="EI163" s="366">
        <v>371.78</v>
      </c>
      <c r="EJ163" s="366">
        <v>906.18</v>
      </c>
      <c r="EK163" s="366">
        <v>518.87</v>
      </c>
      <c r="EL163" s="366">
        <v>518.87</v>
      </c>
      <c r="EM163" s="366">
        <v>612.98</v>
      </c>
      <c r="EN163" s="366">
        <v>612.98</v>
      </c>
      <c r="EO163" s="366">
        <v>238.89</v>
      </c>
      <c r="EP163" s="366">
        <v>289.77999999999997</v>
      </c>
      <c r="EQ163" s="366">
        <v>505.19</v>
      </c>
      <c r="ER163" s="366">
        <v>274</v>
      </c>
      <c r="ES163" s="366">
        <v>717.46</v>
      </c>
      <c r="ET163" s="366">
        <v>344.07</v>
      </c>
      <c r="EU163" s="366">
        <v>289.06</v>
      </c>
      <c r="EV163" s="366">
        <v>453.16</v>
      </c>
      <c r="EW163" s="366">
        <v>371.16</v>
      </c>
      <c r="EX163" s="366">
        <v>694.2</v>
      </c>
      <c r="EY163" s="366">
        <v>694.2</v>
      </c>
      <c r="EZ163" s="366">
        <v>657.52</v>
      </c>
      <c r="FA163" s="366">
        <v>610.15</v>
      </c>
      <c r="FB163" s="366">
        <v>581.55999999999995</v>
      </c>
      <c r="FC163" s="366">
        <v>662.99</v>
      </c>
      <c r="FD163" s="366">
        <v>518.17999999999995</v>
      </c>
      <c r="FE163" s="366">
        <v>375.61</v>
      </c>
      <c r="FF163" s="366">
        <v>453.73</v>
      </c>
      <c r="FG163" s="366">
        <v>0</v>
      </c>
      <c r="FH163" s="366">
        <v>0</v>
      </c>
      <c r="FI163" s="366">
        <v>434.03</v>
      </c>
      <c r="FJ163" s="366">
        <v>439.82</v>
      </c>
      <c r="FK163" s="366">
        <v>745.2</v>
      </c>
      <c r="FL163" s="366">
        <v>743.39</v>
      </c>
      <c r="FM163" s="366">
        <v>238.89</v>
      </c>
      <c r="FN163" s="366">
        <v>483.91</v>
      </c>
      <c r="FO163" s="366">
        <v>564.84</v>
      </c>
      <c r="FP163" s="366">
        <v>695.34</v>
      </c>
      <c r="FQ163" s="366">
        <v>568.71</v>
      </c>
      <c r="FR163" s="366">
        <v>626.28</v>
      </c>
      <c r="FS163" s="366">
        <v>454.44</v>
      </c>
      <c r="FT163" s="366">
        <v>117.24</v>
      </c>
      <c r="FU163" s="366">
        <v>478.58</v>
      </c>
      <c r="FV163" s="366">
        <v>352.96</v>
      </c>
      <c r="FW163" s="366">
        <v>352.96</v>
      </c>
      <c r="FX163" s="366">
        <v>352.96</v>
      </c>
      <c r="FY163" s="366">
        <v>559.29</v>
      </c>
      <c r="FZ163" s="366">
        <v>398.48</v>
      </c>
      <c r="GA163" s="366">
        <v>686.44</v>
      </c>
      <c r="GB163" s="366">
        <v>492.91</v>
      </c>
      <c r="GC163" s="366">
        <v>276.2</v>
      </c>
      <c r="GD163" s="366">
        <v>616.94000000000005</v>
      </c>
      <c r="GE163" s="366">
        <v>514.58000000000004</v>
      </c>
      <c r="GF163" s="366">
        <v>492.11</v>
      </c>
      <c r="GG163" s="366">
        <v>492.11</v>
      </c>
      <c r="GH163" s="366">
        <v>734.89</v>
      </c>
      <c r="GI163" s="366">
        <v>239.05</v>
      </c>
      <c r="GJ163" s="366">
        <v>238.89</v>
      </c>
      <c r="GK163" s="366">
        <v>741.75</v>
      </c>
      <c r="GL163" s="366">
        <v>385.45</v>
      </c>
      <c r="GM163" s="366">
        <v>385.45</v>
      </c>
      <c r="GN163" s="366">
        <v>385.45</v>
      </c>
      <c r="GO163" s="366">
        <v>246.78</v>
      </c>
      <c r="GP163" s="366">
        <v>691.85</v>
      </c>
      <c r="GQ163" s="366">
        <v>787.46</v>
      </c>
      <c r="GR163" s="366">
        <v>233.13</v>
      </c>
      <c r="GS163" s="366">
        <v>309.61</v>
      </c>
      <c r="GT163" s="366">
        <v>496.99</v>
      </c>
      <c r="GU163" s="366">
        <v>552.14</v>
      </c>
      <c r="GV163" s="366">
        <v>913.37</v>
      </c>
      <c r="GW163" s="366">
        <v>409.91</v>
      </c>
      <c r="GX163" s="366">
        <v>493.56</v>
      </c>
      <c r="GY163" s="366">
        <v>386.42</v>
      </c>
      <c r="GZ163" s="366">
        <v>517.9</v>
      </c>
      <c r="HA163" s="366">
        <v>570.25</v>
      </c>
      <c r="HB163" s="366">
        <v>570.25</v>
      </c>
      <c r="HC163" s="366">
        <v>570.25</v>
      </c>
      <c r="HD163" s="366">
        <v>329.23</v>
      </c>
      <c r="HE163" s="366">
        <v>606.83000000000004</v>
      </c>
      <c r="HF163" s="366">
        <v>563.12</v>
      </c>
      <c r="HG163" s="366">
        <v>690.77</v>
      </c>
      <c r="HH163" s="366">
        <v>690.77</v>
      </c>
      <c r="HI163" s="366">
        <v>690.77</v>
      </c>
      <c r="HJ163" s="366">
        <v>471.24</v>
      </c>
      <c r="HK163" s="366">
        <v>423.61</v>
      </c>
      <c r="HL163" s="366">
        <v>626.37</v>
      </c>
      <c r="HM163" s="366">
        <v>236.17</v>
      </c>
      <c r="HN163" s="366">
        <v>238.89</v>
      </c>
      <c r="HO163" s="366">
        <v>322.26</v>
      </c>
      <c r="HP163" s="366">
        <v>518.62</v>
      </c>
      <c r="HQ163" s="366">
        <v>352.96</v>
      </c>
      <c r="HR163" s="366">
        <v>209.66</v>
      </c>
      <c r="HS163" s="366">
        <v>235.14</v>
      </c>
      <c r="HT163" s="366">
        <v>338.84</v>
      </c>
      <c r="HU163" s="366">
        <v>365.52</v>
      </c>
      <c r="HV163" s="366">
        <v>389.99</v>
      </c>
    </row>
    <row r="164" spans="1:230">
      <c r="A164" s="366" t="s">
        <v>184</v>
      </c>
      <c r="B164" s="366">
        <v>289.06</v>
      </c>
      <c r="C164" s="366">
        <v>717.56</v>
      </c>
      <c r="D164" s="366">
        <v>601.85</v>
      </c>
      <c r="E164" s="366">
        <v>601.85</v>
      </c>
      <c r="F164" s="366">
        <v>352.96</v>
      </c>
      <c r="G164" s="366">
        <v>184.26</v>
      </c>
      <c r="H164" s="366">
        <v>558.23</v>
      </c>
      <c r="I164" s="366">
        <v>341.34</v>
      </c>
      <c r="J164" s="366">
        <v>534.45000000000005</v>
      </c>
      <c r="K164" s="366">
        <v>534.45000000000005</v>
      </c>
      <c r="L164" s="366">
        <v>608.94000000000005</v>
      </c>
      <c r="M164" s="366">
        <v>742.98</v>
      </c>
      <c r="N164" s="366">
        <v>839.88</v>
      </c>
      <c r="O164" s="366">
        <v>592.99</v>
      </c>
      <c r="P164" s="366">
        <v>592.99</v>
      </c>
      <c r="Q164" s="366">
        <v>592.99</v>
      </c>
      <c r="R164" s="366">
        <v>592.99</v>
      </c>
      <c r="S164" s="366">
        <v>592.99</v>
      </c>
      <c r="T164" s="366">
        <v>266.83999999999997</v>
      </c>
      <c r="U164" s="366">
        <v>303.95999999999998</v>
      </c>
      <c r="V164" s="366">
        <v>682.38</v>
      </c>
      <c r="W164" s="366">
        <v>453.16</v>
      </c>
      <c r="X164" s="366">
        <v>453.16</v>
      </c>
      <c r="Y164" s="366">
        <v>453.16</v>
      </c>
      <c r="Z164" s="366">
        <v>720.12</v>
      </c>
      <c r="AA164" s="366">
        <v>190.09</v>
      </c>
      <c r="AB164" s="366">
        <v>236.17</v>
      </c>
      <c r="AC164" s="366">
        <v>204.64</v>
      </c>
      <c r="AD164" s="366">
        <v>204.64</v>
      </c>
      <c r="AE164" s="366">
        <v>567.42999999999995</v>
      </c>
      <c r="AF164" s="366">
        <v>209.66</v>
      </c>
      <c r="AG164" s="366">
        <v>454.68</v>
      </c>
      <c r="AH164" s="366">
        <v>387.39</v>
      </c>
      <c r="AI164" s="366">
        <v>387.39</v>
      </c>
      <c r="AJ164" s="366">
        <v>387.39</v>
      </c>
      <c r="AK164" s="366">
        <v>742.32</v>
      </c>
      <c r="AL164" s="366">
        <v>742.32</v>
      </c>
      <c r="AM164" s="366">
        <v>238.89</v>
      </c>
      <c r="AN164" s="366">
        <v>552.16</v>
      </c>
      <c r="AO164" s="366">
        <v>167.65</v>
      </c>
      <c r="AP164" s="366">
        <v>285.95999999999998</v>
      </c>
      <c r="AQ164" s="366">
        <v>309.5</v>
      </c>
      <c r="AR164" s="366">
        <v>574.19000000000005</v>
      </c>
      <c r="AS164" s="366">
        <v>533.49</v>
      </c>
      <c r="AT164" s="366">
        <v>533.49</v>
      </c>
      <c r="AU164" s="366">
        <v>597.24</v>
      </c>
      <c r="AV164" s="366">
        <v>335.01</v>
      </c>
      <c r="AW164" s="366">
        <v>496.99</v>
      </c>
      <c r="AX164" s="366">
        <v>329</v>
      </c>
      <c r="AY164" s="366">
        <v>875.59</v>
      </c>
      <c r="AZ164" s="366">
        <v>686.18</v>
      </c>
      <c r="BA164" s="366">
        <v>129.88</v>
      </c>
      <c r="BB164" s="366">
        <v>878.48</v>
      </c>
      <c r="BC164" s="366">
        <v>71.94</v>
      </c>
      <c r="BD164" s="366">
        <v>139.21</v>
      </c>
      <c r="BE164" s="366">
        <v>686.44</v>
      </c>
      <c r="BF164" s="366">
        <v>233.14</v>
      </c>
      <c r="BG164" s="366">
        <v>727.67</v>
      </c>
      <c r="BH164" s="366">
        <v>592.99</v>
      </c>
      <c r="BI164" s="366">
        <v>574.22</v>
      </c>
      <c r="BJ164" s="366">
        <v>665.79</v>
      </c>
      <c r="BK164" s="366">
        <v>753.96</v>
      </c>
      <c r="BL164" s="366">
        <v>608.85</v>
      </c>
      <c r="BM164" s="366">
        <v>585.64</v>
      </c>
      <c r="BN164" s="366">
        <v>230.28</v>
      </c>
      <c r="BO164" s="366">
        <v>796.16</v>
      </c>
      <c r="BP164" s="366">
        <v>762.02</v>
      </c>
      <c r="BQ164" s="366">
        <v>362.04</v>
      </c>
      <c r="BR164" s="366">
        <v>362.04</v>
      </c>
      <c r="BS164" s="366">
        <v>693.75</v>
      </c>
      <c r="BT164" s="366">
        <v>566.14</v>
      </c>
      <c r="BU164" s="366">
        <v>226.6</v>
      </c>
      <c r="BV164" s="366">
        <v>236.29</v>
      </c>
      <c r="BW164" s="366">
        <v>656.53</v>
      </c>
      <c r="BX164" s="366">
        <v>634.84</v>
      </c>
      <c r="BY164" s="366">
        <v>709.86</v>
      </c>
      <c r="BZ164" s="366">
        <v>709.86</v>
      </c>
      <c r="CA164" s="366">
        <v>458.19</v>
      </c>
      <c r="CB164" s="366">
        <v>653.27</v>
      </c>
      <c r="CC164" s="366">
        <v>357.83</v>
      </c>
      <c r="CD164" s="366">
        <v>371.31</v>
      </c>
      <c r="CE164" s="366">
        <v>737.19</v>
      </c>
      <c r="CF164" s="366">
        <v>208.39</v>
      </c>
      <c r="CG164" s="366">
        <v>208.39</v>
      </c>
      <c r="CH164" s="366">
        <v>347.04</v>
      </c>
      <c r="CI164" s="366">
        <v>466.19</v>
      </c>
      <c r="CJ164" s="366">
        <v>219.34</v>
      </c>
      <c r="CK164" s="366">
        <v>714.95</v>
      </c>
      <c r="CL164" s="366">
        <v>611.03</v>
      </c>
      <c r="CM164" s="366">
        <v>102.7</v>
      </c>
      <c r="CN164" s="366">
        <v>615.16</v>
      </c>
      <c r="CO164" s="366">
        <v>572.79999999999995</v>
      </c>
      <c r="CP164" s="366">
        <v>368.73</v>
      </c>
      <c r="CQ164" s="366">
        <v>368.73</v>
      </c>
      <c r="CR164" s="366">
        <v>524.12</v>
      </c>
      <c r="CS164" s="366">
        <v>524.12</v>
      </c>
      <c r="CT164" s="366">
        <v>514.67999999999995</v>
      </c>
      <c r="CU164" s="366">
        <v>522.54999999999995</v>
      </c>
      <c r="CV164" s="366">
        <v>516.5</v>
      </c>
      <c r="CW164" s="366">
        <v>682.38</v>
      </c>
      <c r="CX164" s="366">
        <v>345.54</v>
      </c>
      <c r="CY164" s="366">
        <v>56.28</v>
      </c>
      <c r="CZ164" s="366">
        <v>85.88</v>
      </c>
      <c r="DA164" s="366">
        <v>777.93</v>
      </c>
      <c r="DB164" s="366">
        <v>661.77</v>
      </c>
      <c r="DC164" s="366">
        <v>661.77</v>
      </c>
      <c r="DD164" s="366">
        <v>376.5</v>
      </c>
      <c r="DE164" s="366">
        <v>855.56</v>
      </c>
      <c r="DF164" s="366">
        <v>337.42</v>
      </c>
      <c r="DG164" s="366">
        <v>436.54</v>
      </c>
      <c r="DH164" s="366">
        <v>918.12</v>
      </c>
      <c r="DI164" s="366">
        <v>305.97000000000003</v>
      </c>
      <c r="DJ164" s="366">
        <v>102.08</v>
      </c>
      <c r="DK164" s="366">
        <v>597.26</v>
      </c>
      <c r="DL164" s="366">
        <v>222.27</v>
      </c>
      <c r="DM164" s="366">
        <v>705.14</v>
      </c>
      <c r="DN164" s="366">
        <v>293</v>
      </c>
      <c r="DO164" s="366">
        <v>623.83000000000004</v>
      </c>
      <c r="DP164" s="366">
        <v>402.01</v>
      </c>
      <c r="DQ164" s="366">
        <v>667.87</v>
      </c>
      <c r="DR164" s="366">
        <v>918.12</v>
      </c>
      <c r="DS164" s="366">
        <v>573.70000000000005</v>
      </c>
      <c r="DT164" s="366">
        <v>561.99</v>
      </c>
      <c r="DU164" s="366">
        <v>808.27</v>
      </c>
      <c r="DV164" s="366">
        <v>745.96</v>
      </c>
      <c r="DW164" s="366">
        <v>549.91</v>
      </c>
      <c r="DX164" s="366">
        <v>642.85</v>
      </c>
      <c r="DY164" s="366">
        <v>716.24</v>
      </c>
      <c r="DZ164" s="366">
        <v>365.52</v>
      </c>
      <c r="EA164" s="366">
        <v>556.47</v>
      </c>
      <c r="EB164" s="366">
        <v>710.24</v>
      </c>
      <c r="EC164" s="366">
        <v>576.41</v>
      </c>
      <c r="ED164" s="366">
        <v>276.2</v>
      </c>
      <c r="EE164" s="366">
        <v>266.32</v>
      </c>
      <c r="EF164" s="366">
        <v>292.24</v>
      </c>
      <c r="EG164" s="366">
        <v>496.99</v>
      </c>
      <c r="EH164" s="366">
        <v>496.99</v>
      </c>
      <c r="EI164" s="366">
        <v>371.78</v>
      </c>
      <c r="EJ164" s="366">
        <v>906.18</v>
      </c>
      <c r="EK164" s="366">
        <v>518.87</v>
      </c>
      <c r="EL164" s="366">
        <v>518.87</v>
      </c>
      <c r="EM164" s="366">
        <v>612.98</v>
      </c>
      <c r="EN164" s="366">
        <v>612.98</v>
      </c>
      <c r="EO164" s="366">
        <v>238.89</v>
      </c>
      <c r="EP164" s="366">
        <v>289.77999999999997</v>
      </c>
      <c r="EQ164" s="366">
        <v>505.19</v>
      </c>
      <c r="ER164" s="366">
        <v>274</v>
      </c>
      <c r="ES164" s="366">
        <v>717.46</v>
      </c>
      <c r="ET164" s="366">
        <v>344.07</v>
      </c>
      <c r="EU164" s="366">
        <v>289.06</v>
      </c>
      <c r="EV164" s="366">
        <v>453.16</v>
      </c>
      <c r="EW164" s="366">
        <v>371.16</v>
      </c>
      <c r="EX164" s="366">
        <v>694.2</v>
      </c>
      <c r="EY164" s="366">
        <v>694.2</v>
      </c>
      <c r="EZ164" s="366">
        <v>657.52</v>
      </c>
      <c r="FA164" s="366">
        <v>610.15</v>
      </c>
      <c r="FB164" s="366">
        <v>581.55999999999995</v>
      </c>
      <c r="FC164" s="366">
        <v>662.99</v>
      </c>
      <c r="FD164" s="366">
        <v>518.17999999999995</v>
      </c>
      <c r="FE164" s="366">
        <v>375.61</v>
      </c>
      <c r="FF164" s="366">
        <v>453.73</v>
      </c>
      <c r="FG164" s="366">
        <v>0</v>
      </c>
      <c r="FH164" s="366">
        <v>0</v>
      </c>
      <c r="FI164" s="366">
        <v>434.03</v>
      </c>
      <c r="FJ164" s="366">
        <v>439.82</v>
      </c>
      <c r="FK164" s="366">
        <v>745.2</v>
      </c>
      <c r="FL164" s="366">
        <v>743.39</v>
      </c>
      <c r="FM164" s="366">
        <v>238.89</v>
      </c>
      <c r="FN164" s="366">
        <v>483.91</v>
      </c>
      <c r="FO164" s="366">
        <v>564.84</v>
      </c>
      <c r="FP164" s="366">
        <v>695.34</v>
      </c>
      <c r="FQ164" s="366">
        <v>568.71</v>
      </c>
      <c r="FR164" s="366">
        <v>626.28</v>
      </c>
      <c r="FS164" s="366">
        <v>454.44</v>
      </c>
      <c r="FT164" s="366">
        <v>117.24</v>
      </c>
      <c r="FU164" s="366">
        <v>478.58</v>
      </c>
      <c r="FV164" s="366">
        <v>352.96</v>
      </c>
      <c r="FW164" s="366">
        <v>352.96</v>
      </c>
      <c r="FX164" s="366">
        <v>352.96</v>
      </c>
      <c r="FY164" s="366">
        <v>559.29</v>
      </c>
      <c r="FZ164" s="366">
        <v>398.48</v>
      </c>
      <c r="GA164" s="366">
        <v>686.44</v>
      </c>
      <c r="GB164" s="366">
        <v>492.91</v>
      </c>
      <c r="GC164" s="366">
        <v>276.2</v>
      </c>
      <c r="GD164" s="366">
        <v>616.94000000000005</v>
      </c>
      <c r="GE164" s="366">
        <v>514.58000000000004</v>
      </c>
      <c r="GF164" s="366">
        <v>492.11</v>
      </c>
      <c r="GG164" s="366">
        <v>492.11</v>
      </c>
      <c r="GH164" s="366">
        <v>734.89</v>
      </c>
      <c r="GI164" s="366">
        <v>239.05</v>
      </c>
      <c r="GJ164" s="366">
        <v>238.89</v>
      </c>
      <c r="GK164" s="366">
        <v>741.75</v>
      </c>
      <c r="GL164" s="366">
        <v>385.45</v>
      </c>
      <c r="GM164" s="366">
        <v>385.45</v>
      </c>
      <c r="GN164" s="366">
        <v>385.45</v>
      </c>
      <c r="GO164" s="366">
        <v>246.78</v>
      </c>
      <c r="GP164" s="366">
        <v>691.85</v>
      </c>
      <c r="GQ164" s="366">
        <v>787.46</v>
      </c>
      <c r="GR164" s="366">
        <v>233.13</v>
      </c>
      <c r="GS164" s="366">
        <v>309.61</v>
      </c>
      <c r="GT164" s="366">
        <v>496.99</v>
      </c>
      <c r="GU164" s="366">
        <v>552.14</v>
      </c>
      <c r="GV164" s="366">
        <v>913.37</v>
      </c>
      <c r="GW164" s="366">
        <v>409.91</v>
      </c>
      <c r="GX164" s="366">
        <v>493.56</v>
      </c>
      <c r="GY164" s="366">
        <v>386.42</v>
      </c>
      <c r="GZ164" s="366">
        <v>517.9</v>
      </c>
      <c r="HA164" s="366">
        <v>570.25</v>
      </c>
      <c r="HB164" s="366">
        <v>570.25</v>
      </c>
      <c r="HC164" s="366">
        <v>570.25</v>
      </c>
      <c r="HD164" s="366">
        <v>329.23</v>
      </c>
      <c r="HE164" s="366">
        <v>606.83000000000004</v>
      </c>
      <c r="HF164" s="366">
        <v>563.12</v>
      </c>
      <c r="HG164" s="366">
        <v>690.77</v>
      </c>
      <c r="HH164" s="366">
        <v>690.77</v>
      </c>
      <c r="HI164" s="366">
        <v>690.77</v>
      </c>
      <c r="HJ164" s="366">
        <v>471.24</v>
      </c>
      <c r="HK164" s="366">
        <v>423.61</v>
      </c>
      <c r="HL164" s="366">
        <v>626.37</v>
      </c>
      <c r="HM164" s="366">
        <v>236.17</v>
      </c>
      <c r="HN164" s="366">
        <v>238.89</v>
      </c>
      <c r="HO164" s="366">
        <v>322.26</v>
      </c>
      <c r="HP164" s="366">
        <v>518.62</v>
      </c>
      <c r="HQ164" s="366">
        <v>352.96</v>
      </c>
      <c r="HR164" s="366">
        <v>209.66</v>
      </c>
      <c r="HS164" s="366">
        <v>235.14</v>
      </c>
      <c r="HT164" s="366">
        <v>338.84</v>
      </c>
      <c r="HU164" s="366">
        <v>365.52</v>
      </c>
      <c r="HV164" s="366">
        <v>389.99</v>
      </c>
    </row>
    <row r="165" spans="1:230">
      <c r="A165" s="366" t="s">
        <v>185</v>
      </c>
      <c r="B165" s="366">
        <v>502.58</v>
      </c>
      <c r="C165" s="366">
        <v>457.95</v>
      </c>
      <c r="D165" s="366">
        <v>261.86</v>
      </c>
      <c r="E165" s="366">
        <v>261.86</v>
      </c>
      <c r="F165" s="366">
        <v>566.48</v>
      </c>
      <c r="G165" s="366">
        <v>302.99</v>
      </c>
      <c r="H165" s="366">
        <v>218.24</v>
      </c>
      <c r="I165" s="366">
        <v>198.73</v>
      </c>
      <c r="J165" s="366">
        <v>194.46</v>
      </c>
      <c r="K165" s="366">
        <v>194.46</v>
      </c>
      <c r="L165" s="366">
        <v>279.77</v>
      </c>
      <c r="M165" s="366">
        <v>483.37</v>
      </c>
      <c r="N165" s="366">
        <v>580.27</v>
      </c>
      <c r="O165" s="366">
        <v>450.38</v>
      </c>
      <c r="P165" s="366">
        <v>450.38</v>
      </c>
      <c r="Q165" s="366">
        <v>450.38</v>
      </c>
      <c r="R165" s="366">
        <v>450.38</v>
      </c>
      <c r="S165" s="366">
        <v>450.38</v>
      </c>
      <c r="T165" s="366">
        <v>209.77</v>
      </c>
      <c r="U165" s="366">
        <v>411.03</v>
      </c>
      <c r="V165" s="366">
        <v>539.77</v>
      </c>
      <c r="W165" s="366">
        <v>113.17</v>
      </c>
      <c r="X165" s="366">
        <v>113.17</v>
      </c>
      <c r="Y165" s="366">
        <v>113.17</v>
      </c>
      <c r="Z165" s="366">
        <v>577.51</v>
      </c>
      <c r="AA165" s="366">
        <v>297.16000000000003</v>
      </c>
      <c r="AB165" s="366">
        <v>237.26</v>
      </c>
      <c r="AC165" s="366">
        <v>229.39</v>
      </c>
      <c r="AD165" s="366">
        <v>229.39</v>
      </c>
      <c r="AE165" s="366">
        <v>312.76</v>
      </c>
      <c r="AF165" s="366">
        <v>316.73</v>
      </c>
      <c r="AG165" s="366">
        <v>20.65</v>
      </c>
      <c r="AH165" s="366">
        <v>244.78</v>
      </c>
      <c r="AI165" s="366">
        <v>244.78</v>
      </c>
      <c r="AJ165" s="366">
        <v>244.78</v>
      </c>
      <c r="AK165" s="366">
        <v>599.71</v>
      </c>
      <c r="AL165" s="366">
        <v>599.71</v>
      </c>
      <c r="AM165" s="366">
        <v>239.98</v>
      </c>
      <c r="AN165" s="366">
        <v>409.55</v>
      </c>
      <c r="AO165" s="366">
        <v>319.60000000000002</v>
      </c>
      <c r="AP165" s="366">
        <v>148.07</v>
      </c>
      <c r="AQ165" s="366">
        <v>523.02</v>
      </c>
      <c r="AR165" s="366">
        <v>234.2</v>
      </c>
      <c r="AS165" s="366">
        <v>355.22</v>
      </c>
      <c r="AT165" s="366">
        <v>355.22</v>
      </c>
      <c r="AU165" s="366">
        <v>454.63</v>
      </c>
      <c r="AV165" s="366">
        <v>442.08</v>
      </c>
      <c r="AW165" s="366">
        <v>157</v>
      </c>
      <c r="AX165" s="366">
        <v>279.91000000000003</v>
      </c>
      <c r="AY165" s="366">
        <v>615.98</v>
      </c>
      <c r="AZ165" s="366">
        <v>426.57</v>
      </c>
      <c r="BA165" s="366">
        <v>442.99</v>
      </c>
      <c r="BB165" s="366">
        <v>618.87</v>
      </c>
      <c r="BC165" s="366">
        <v>385.05</v>
      </c>
      <c r="BD165" s="366">
        <v>294.82</v>
      </c>
      <c r="BE165" s="366">
        <v>543.83000000000004</v>
      </c>
      <c r="BF165" s="366">
        <v>234.23</v>
      </c>
      <c r="BG165" s="366">
        <v>585.05999999999995</v>
      </c>
      <c r="BH165" s="366">
        <v>450.38</v>
      </c>
      <c r="BI165" s="366">
        <v>234.23</v>
      </c>
      <c r="BJ165" s="366">
        <v>523.17999999999995</v>
      </c>
      <c r="BK165" s="366">
        <v>494.35</v>
      </c>
      <c r="BL165" s="366">
        <v>268.86</v>
      </c>
      <c r="BM165" s="366">
        <v>245.65</v>
      </c>
      <c r="BN165" s="366">
        <v>337.35</v>
      </c>
      <c r="BO165" s="366">
        <v>536.54999999999995</v>
      </c>
      <c r="BP165" s="366">
        <v>502.41</v>
      </c>
      <c r="BQ165" s="366">
        <v>219.43</v>
      </c>
      <c r="BR165" s="366">
        <v>219.43</v>
      </c>
      <c r="BS165" s="366">
        <v>434.14</v>
      </c>
      <c r="BT165" s="366">
        <v>226.15</v>
      </c>
      <c r="BU165" s="366">
        <v>217.76</v>
      </c>
      <c r="BV165" s="366">
        <v>237.38</v>
      </c>
      <c r="BW165" s="366">
        <v>513.91999999999996</v>
      </c>
      <c r="BX165" s="366">
        <v>375.23</v>
      </c>
      <c r="BY165" s="366">
        <v>567.25</v>
      </c>
      <c r="BZ165" s="366">
        <v>567.25</v>
      </c>
      <c r="CA165" s="366">
        <v>118.2</v>
      </c>
      <c r="CB165" s="366">
        <v>393.66</v>
      </c>
      <c r="CC165" s="366">
        <v>251.08</v>
      </c>
      <c r="CD165" s="366">
        <v>264.56</v>
      </c>
      <c r="CE165" s="366">
        <v>477.58</v>
      </c>
      <c r="CF165" s="366">
        <v>315.45999999999998</v>
      </c>
      <c r="CG165" s="366">
        <v>315.45999999999998</v>
      </c>
      <c r="CH165" s="366">
        <v>204.43</v>
      </c>
      <c r="CI165" s="366">
        <v>323.58</v>
      </c>
      <c r="CJ165" s="366">
        <v>326.41000000000003</v>
      </c>
      <c r="CK165" s="366">
        <v>572.34</v>
      </c>
      <c r="CL165" s="366">
        <v>468.42</v>
      </c>
      <c r="CM165" s="366">
        <v>331.33</v>
      </c>
      <c r="CN165" s="366">
        <v>472.55</v>
      </c>
      <c r="CO165" s="366">
        <v>232.81</v>
      </c>
      <c r="CP165" s="366">
        <v>226.12</v>
      </c>
      <c r="CQ165" s="366">
        <v>226.12</v>
      </c>
      <c r="CR165" s="366">
        <v>184.13</v>
      </c>
      <c r="CS165" s="366">
        <v>184.13</v>
      </c>
      <c r="CT165" s="366">
        <v>174.69</v>
      </c>
      <c r="CU165" s="366">
        <v>182.56</v>
      </c>
      <c r="CV165" s="366">
        <v>176.51</v>
      </c>
      <c r="CW165" s="366">
        <v>539.77</v>
      </c>
      <c r="CX165" s="366">
        <v>270.14999999999998</v>
      </c>
      <c r="CY165" s="366">
        <v>377.75</v>
      </c>
      <c r="CZ165" s="366">
        <v>398.99</v>
      </c>
      <c r="DA165" s="366">
        <v>518.32000000000005</v>
      </c>
      <c r="DB165" s="366">
        <v>519.16</v>
      </c>
      <c r="DC165" s="366">
        <v>519.16</v>
      </c>
      <c r="DD165" s="366">
        <v>100.33</v>
      </c>
      <c r="DE165" s="366">
        <v>595.95000000000005</v>
      </c>
      <c r="DF165" s="366">
        <v>550.94000000000005</v>
      </c>
      <c r="DG165" s="366">
        <v>293.93</v>
      </c>
      <c r="DH165" s="366">
        <v>658.51</v>
      </c>
      <c r="DI165" s="366">
        <v>181.28</v>
      </c>
      <c r="DJ165" s="366">
        <v>385.17</v>
      </c>
      <c r="DK165" s="366">
        <v>337.65</v>
      </c>
      <c r="DL165" s="366">
        <v>211.76</v>
      </c>
      <c r="DM165" s="366">
        <v>445.53</v>
      </c>
      <c r="DN165" s="366">
        <v>196.04</v>
      </c>
      <c r="DO165" s="366">
        <v>364.22</v>
      </c>
      <c r="DP165" s="366">
        <v>62.02</v>
      </c>
      <c r="DQ165" s="366">
        <v>525.26</v>
      </c>
      <c r="DR165" s="366">
        <v>658.51</v>
      </c>
      <c r="DS165" s="366">
        <v>233.71</v>
      </c>
      <c r="DT165" s="366">
        <v>222</v>
      </c>
      <c r="DU165" s="366">
        <v>548.66</v>
      </c>
      <c r="DV165" s="366">
        <v>603.35</v>
      </c>
      <c r="DW165" s="366">
        <v>338.8</v>
      </c>
      <c r="DX165" s="366">
        <v>500.24</v>
      </c>
      <c r="DY165" s="366">
        <v>573.63</v>
      </c>
      <c r="DZ165" s="366">
        <v>110</v>
      </c>
      <c r="EA165" s="366">
        <v>216.48</v>
      </c>
      <c r="EB165" s="366">
        <v>567.63</v>
      </c>
      <c r="EC165" s="366">
        <v>236.42</v>
      </c>
      <c r="ED165" s="366">
        <v>211.05</v>
      </c>
      <c r="EE165" s="366">
        <v>221.84</v>
      </c>
      <c r="EF165" s="366">
        <v>141.79</v>
      </c>
      <c r="EG165" s="366">
        <v>157</v>
      </c>
      <c r="EH165" s="366">
        <v>157</v>
      </c>
      <c r="EI165" s="366">
        <v>265.02999999999997</v>
      </c>
      <c r="EJ165" s="366">
        <v>646.57000000000005</v>
      </c>
      <c r="EK165" s="366">
        <v>376.26</v>
      </c>
      <c r="EL165" s="366">
        <v>376.26</v>
      </c>
      <c r="EM165" s="366">
        <v>470.37</v>
      </c>
      <c r="EN165" s="366">
        <v>470.37</v>
      </c>
      <c r="EO165" s="366">
        <v>239.98</v>
      </c>
      <c r="EP165" s="366">
        <v>280.94</v>
      </c>
      <c r="EQ165" s="366">
        <v>165.2</v>
      </c>
      <c r="ER165" s="366">
        <v>381.07</v>
      </c>
      <c r="ES165" s="366">
        <v>457.85</v>
      </c>
      <c r="ET165" s="366">
        <v>201.46</v>
      </c>
      <c r="EU165" s="366">
        <v>502.58</v>
      </c>
      <c r="EV165" s="366">
        <v>113.17</v>
      </c>
      <c r="EW165" s="366">
        <v>264.41000000000003</v>
      </c>
      <c r="EX165" s="366">
        <v>434.59</v>
      </c>
      <c r="EY165" s="366">
        <v>434.59</v>
      </c>
      <c r="EZ165" s="366">
        <v>514.91</v>
      </c>
      <c r="FA165" s="366">
        <v>467.54</v>
      </c>
      <c r="FB165" s="366">
        <v>321.95</v>
      </c>
      <c r="FC165" s="366">
        <v>520.38</v>
      </c>
      <c r="FD165" s="366">
        <v>375.57</v>
      </c>
      <c r="FE165" s="366">
        <v>268.86</v>
      </c>
      <c r="FF165" s="366">
        <v>311.12</v>
      </c>
      <c r="FG165" s="366">
        <v>434.03</v>
      </c>
      <c r="FH165" s="366">
        <v>434.03</v>
      </c>
      <c r="FI165" s="366">
        <v>0</v>
      </c>
      <c r="FJ165" s="366">
        <v>5.79</v>
      </c>
      <c r="FK165" s="366">
        <v>485.59</v>
      </c>
      <c r="FL165" s="366">
        <v>483.78</v>
      </c>
      <c r="FM165" s="366">
        <v>239.98</v>
      </c>
      <c r="FN165" s="366">
        <v>143.91999999999999</v>
      </c>
      <c r="FO165" s="366">
        <v>224.85</v>
      </c>
      <c r="FP165" s="366">
        <v>552.73</v>
      </c>
      <c r="FQ165" s="366">
        <v>228.72</v>
      </c>
      <c r="FR165" s="366">
        <v>297.11</v>
      </c>
      <c r="FS165" s="366">
        <v>311.83</v>
      </c>
      <c r="FT165" s="366">
        <v>370.01</v>
      </c>
      <c r="FU165" s="366">
        <v>335.97</v>
      </c>
      <c r="FV165" s="366">
        <v>566.48</v>
      </c>
      <c r="FW165" s="366">
        <v>566.48</v>
      </c>
      <c r="FX165" s="366">
        <v>566.48</v>
      </c>
      <c r="FY165" s="366">
        <v>416.68</v>
      </c>
      <c r="FZ165" s="366">
        <v>291.73</v>
      </c>
      <c r="GA165" s="366">
        <v>543.83000000000004</v>
      </c>
      <c r="GB165" s="366">
        <v>350.3</v>
      </c>
      <c r="GC165" s="366">
        <v>211.05</v>
      </c>
      <c r="GD165" s="366">
        <v>357.33</v>
      </c>
      <c r="GE165" s="366">
        <v>174.59</v>
      </c>
      <c r="GF165" s="366">
        <v>349.5</v>
      </c>
      <c r="GG165" s="366">
        <v>349.5</v>
      </c>
      <c r="GH165" s="366">
        <v>592.28</v>
      </c>
      <c r="GI165" s="366">
        <v>240.14</v>
      </c>
      <c r="GJ165" s="366">
        <v>239.98</v>
      </c>
      <c r="GK165" s="366">
        <v>482.14</v>
      </c>
      <c r="GL165" s="366">
        <v>278.7</v>
      </c>
      <c r="GM165" s="366">
        <v>278.7</v>
      </c>
      <c r="GN165" s="366">
        <v>278.7</v>
      </c>
      <c r="GO165" s="366">
        <v>187.25</v>
      </c>
      <c r="GP165" s="366">
        <v>549.24</v>
      </c>
      <c r="GQ165" s="366">
        <v>527.85</v>
      </c>
      <c r="GR165" s="366">
        <v>242.39</v>
      </c>
      <c r="GS165" s="366">
        <v>167</v>
      </c>
      <c r="GT165" s="366">
        <v>157</v>
      </c>
      <c r="GU165" s="366">
        <v>330.93</v>
      </c>
      <c r="GV165" s="366">
        <v>653.76</v>
      </c>
      <c r="GW165" s="366">
        <v>294.42</v>
      </c>
      <c r="GX165" s="366">
        <v>153.57</v>
      </c>
      <c r="GY165" s="366">
        <v>243.81</v>
      </c>
      <c r="GZ165" s="366">
        <v>375.29</v>
      </c>
      <c r="HA165" s="366">
        <v>230.26</v>
      </c>
      <c r="HB165" s="366">
        <v>230.26</v>
      </c>
      <c r="HC165" s="366">
        <v>230.26</v>
      </c>
      <c r="HD165" s="366">
        <v>146.29</v>
      </c>
      <c r="HE165" s="366">
        <v>464.22</v>
      </c>
      <c r="HF165" s="366">
        <v>420.51</v>
      </c>
      <c r="HG165" s="366">
        <v>548.16</v>
      </c>
      <c r="HH165" s="366">
        <v>548.16</v>
      </c>
      <c r="HI165" s="366">
        <v>548.16</v>
      </c>
      <c r="HJ165" s="366">
        <v>328.63</v>
      </c>
      <c r="HK165" s="366">
        <v>83.62</v>
      </c>
      <c r="HL165" s="366">
        <v>483.76</v>
      </c>
      <c r="HM165" s="366">
        <v>237.26</v>
      </c>
      <c r="HN165" s="366">
        <v>239.98</v>
      </c>
      <c r="HO165" s="366">
        <v>470.74</v>
      </c>
      <c r="HP165" s="366">
        <v>376.01</v>
      </c>
      <c r="HQ165" s="366">
        <v>566.48</v>
      </c>
      <c r="HR165" s="366">
        <v>316.73</v>
      </c>
      <c r="HS165" s="366">
        <v>236.23</v>
      </c>
      <c r="HT165" s="366">
        <v>188.39</v>
      </c>
      <c r="HU165" s="366">
        <v>222.91</v>
      </c>
      <c r="HV165" s="366">
        <v>283.24</v>
      </c>
    </row>
    <row r="166" spans="1:230">
      <c r="A166" s="366" t="s">
        <v>186</v>
      </c>
      <c r="B166" s="366">
        <v>508.37</v>
      </c>
      <c r="C166" s="366">
        <v>463.74</v>
      </c>
      <c r="D166" s="366">
        <v>267.64999999999998</v>
      </c>
      <c r="E166" s="366">
        <v>267.64999999999998</v>
      </c>
      <c r="F166" s="366">
        <v>572.27</v>
      </c>
      <c r="G166" s="366">
        <v>308.77999999999997</v>
      </c>
      <c r="H166" s="366">
        <v>224.03</v>
      </c>
      <c r="I166" s="366">
        <v>204.52</v>
      </c>
      <c r="J166" s="366">
        <v>200.25</v>
      </c>
      <c r="K166" s="366">
        <v>200.25</v>
      </c>
      <c r="L166" s="366">
        <v>285.56</v>
      </c>
      <c r="M166" s="366">
        <v>489.16</v>
      </c>
      <c r="N166" s="366">
        <v>586.05999999999995</v>
      </c>
      <c r="O166" s="366">
        <v>456.17</v>
      </c>
      <c r="P166" s="366">
        <v>456.17</v>
      </c>
      <c r="Q166" s="366">
        <v>456.17</v>
      </c>
      <c r="R166" s="366">
        <v>456.17</v>
      </c>
      <c r="S166" s="366">
        <v>456.17</v>
      </c>
      <c r="T166" s="366">
        <v>215.56</v>
      </c>
      <c r="U166" s="366">
        <v>416.82</v>
      </c>
      <c r="V166" s="366">
        <v>545.55999999999995</v>
      </c>
      <c r="W166" s="366">
        <v>118.96</v>
      </c>
      <c r="X166" s="366">
        <v>118.96</v>
      </c>
      <c r="Y166" s="366">
        <v>118.96</v>
      </c>
      <c r="Z166" s="366">
        <v>583.29999999999995</v>
      </c>
      <c r="AA166" s="366">
        <v>302.95</v>
      </c>
      <c r="AB166" s="366">
        <v>243.05</v>
      </c>
      <c r="AC166" s="366">
        <v>235.18</v>
      </c>
      <c r="AD166" s="366">
        <v>235.18</v>
      </c>
      <c r="AE166" s="366">
        <v>318.55</v>
      </c>
      <c r="AF166" s="366">
        <v>322.52</v>
      </c>
      <c r="AG166" s="366">
        <v>14.94</v>
      </c>
      <c r="AH166" s="366">
        <v>250.57</v>
      </c>
      <c r="AI166" s="366">
        <v>250.57</v>
      </c>
      <c r="AJ166" s="366">
        <v>250.57</v>
      </c>
      <c r="AK166" s="366">
        <v>605.5</v>
      </c>
      <c r="AL166" s="366">
        <v>605.5</v>
      </c>
      <c r="AM166" s="366">
        <v>245.77</v>
      </c>
      <c r="AN166" s="366">
        <v>415.34</v>
      </c>
      <c r="AO166" s="366">
        <v>325.39</v>
      </c>
      <c r="AP166" s="366">
        <v>153.86000000000001</v>
      </c>
      <c r="AQ166" s="366">
        <v>528.80999999999995</v>
      </c>
      <c r="AR166" s="366">
        <v>239.99</v>
      </c>
      <c r="AS166" s="366">
        <v>361.01</v>
      </c>
      <c r="AT166" s="366">
        <v>361.01</v>
      </c>
      <c r="AU166" s="366">
        <v>460.42</v>
      </c>
      <c r="AV166" s="366">
        <v>447.87</v>
      </c>
      <c r="AW166" s="366">
        <v>162.79</v>
      </c>
      <c r="AX166" s="366">
        <v>285.7</v>
      </c>
      <c r="AY166" s="366">
        <v>621.77</v>
      </c>
      <c r="AZ166" s="366">
        <v>432.36</v>
      </c>
      <c r="BA166" s="366">
        <v>448.78</v>
      </c>
      <c r="BB166" s="366">
        <v>624.66</v>
      </c>
      <c r="BC166" s="366">
        <v>390.84</v>
      </c>
      <c r="BD166" s="366">
        <v>300.61</v>
      </c>
      <c r="BE166" s="366">
        <v>549.62</v>
      </c>
      <c r="BF166" s="366">
        <v>240.02</v>
      </c>
      <c r="BG166" s="366">
        <v>590.85</v>
      </c>
      <c r="BH166" s="366">
        <v>456.17</v>
      </c>
      <c r="BI166" s="366">
        <v>240.02</v>
      </c>
      <c r="BJ166" s="366">
        <v>528.97</v>
      </c>
      <c r="BK166" s="366">
        <v>500.14</v>
      </c>
      <c r="BL166" s="366">
        <v>274.64999999999998</v>
      </c>
      <c r="BM166" s="366">
        <v>251.44</v>
      </c>
      <c r="BN166" s="366">
        <v>343.14</v>
      </c>
      <c r="BO166" s="366">
        <v>542.34</v>
      </c>
      <c r="BP166" s="366">
        <v>508.2</v>
      </c>
      <c r="BQ166" s="366">
        <v>225.22</v>
      </c>
      <c r="BR166" s="366">
        <v>225.22</v>
      </c>
      <c r="BS166" s="366">
        <v>439.93</v>
      </c>
      <c r="BT166" s="366">
        <v>231.94</v>
      </c>
      <c r="BU166" s="366">
        <v>223.55</v>
      </c>
      <c r="BV166" s="366">
        <v>243.17</v>
      </c>
      <c r="BW166" s="366">
        <v>519.71</v>
      </c>
      <c r="BX166" s="366">
        <v>381.02</v>
      </c>
      <c r="BY166" s="366">
        <v>573.04</v>
      </c>
      <c r="BZ166" s="366">
        <v>573.04</v>
      </c>
      <c r="CA166" s="366">
        <v>123.99</v>
      </c>
      <c r="CB166" s="366">
        <v>399.45</v>
      </c>
      <c r="CC166" s="366">
        <v>256.87</v>
      </c>
      <c r="CD166" s="366">
        <v>270.35000000000002</v>
      </c>
      <c r="CE166" s="366">
        <v>483.37</v>
      </c>
      <c r="CF166" s="366">
        <v>321.25</v>
      </c>
      <c r="CG166" s="366">
        <v>321.25</v>
      </c>
      <c r="CH166" s="366">
        <v>210.22</v>
      </c>
      <c r="CI166" s="366">
        <v>329.37</v>
      </c>
      <c r="CJ166" s="366">
        <v>332.2</v>
      </c>
      <c r="CK166" s="366">
        <v>578.13</v>
      </c>
      <c r="CL166" s="366">
        <v>474.21</v>
      </c>
      <c r="CM166" s="366">
        <v>337.12</v>
      </c>
      <c r="CN166" s="366">
        <v>478.34</v>
      </c>
      <c r="CO166" s="366">
        <v>238.6</v>
      </c>
      <c r="CP166" s="366">
        <v>231.91</v>
      </c>
      <c r="CQ166" s="366">
        <v>231.91</v>
      </c>
      <c r="CR166" s="366">
        <v>189.92</v>
      </c>
      <c r="CS166" s="366">
        <v>189.92</v>
      </c>
      <c r="CT166" s="366">
        <v>180.48</v>
      </c>
      <c r="CU166" s="366">
        <v>188.35</v>
      </c>
      <c r="CV166" s="366">
        <v>182.3</v>
      </c>
      <c r="CW166" s="366">
        <v>545.55999999999995</v>
      </c>
      <c r="CX166" s="366">
        <v>275.94</v>
      </c>
      <c r="CY166" s="366">
        <v>383.54</v>
      </c>
      <c r="CZ166" s="366">
        <v>404.78</v>
      </c>
      <c r="DA166" s="366">
        <v>524.11</v>
      </c>
      <c r="DB166" s="366">
        <v>524.95000000000005</v>
      </c>
      <c r="DC166" s="366">
        <v>524.95000000000005</v>
      </c>
      <c r="DD166" s="366">
        <v>106.12</v>
      </c>
      <c r="DE166" s="366">
        <v>601.74</v>
      </c>
      <c r="DF166" s="366">
        <v>556.73</v>
      </c>
      <c r="DG166" s="366">
        <v>299.72000000000003</v>
      </c>
      <c r="DH166" s="366">
        <v>664.3</v>
      </c>
      <c r="DI166" s="366">
        <v>187.07</v>
      </c>
      <c r="DJ166" s="366">
        <v>390.96</v>
      </c>
      <c r="DK166" s="366">
        <v>343.44</v>
      </c>
      <c r="DL166" s="366">
        <v>217.55</v>
      </c>
      <c r="DM166" s="366">
        <v>451.32</v>
      </c>
      <c r="DN166" s="366">
        <v>201.83</v>
      </c>
      <c r="DO166" s="366">
        <v>370.01</v>
      </c>
      <c r="DP166" s="366">
        <v>67.81</v>
      </c>
      <c r="DQ166" s="366">
        <v>531.04999999999995</v>
      </c>
      <c r="DR166" s="366">
        <v>664.3</v>
      </c>
      <c r="DS166" s="366">
        <v>239.5</v>
      </c>
      <c r="DT166" s="366">
        <v>227.79</v>
      </c>
      <c r="DU166" s="366">
        <v>554.45000000000005</v>
      </c>
      <c r="DV166" s="366">
        <v>609.14</v>
      </c>
      <c r="DW166" s="366">
        <v>344.59</v>
      </c>
      <c r="DX166" s="366">
        <v>506.03</v>
      </c>
      <c r="DY166" s="366">
        <v>579.41999999999996</v>
      </c>
      <c r="DZ166" s="366">
        <v>115.79</v>
      </c>
      <c r="EA166" s="366">
        <v>222.27</v>
      </c>
      <c r="EB166" s="366">
        <v>573.41999999999996</v>
      </c>
      <c r="EC166" s="366">
        <v>242.21</v>
      </c>
      <c r="ED166" s="366">
        <v>216.84</v>
      </c>
      <c r="EE166" s="366">
        <v>227.63</v>
      </c>
      <c r="EF166" s="366">
        <v>147.58000000000001</v>
      </c>
      <c r="EG166" s="366">
        <v>162.79</v>
      </c>
      <c r="EH166" s="366">
        <v>162.79</v>
      </c>
      <c r="EI166" s="366">
        <v>270.82</v>
      </c>
      <c r="EJ166" s="366">
        <v>652.36</v>
      </c>
      <c r="EK166" s="366">
        <v>382.05</v>
      </c>
      <c r="EL166" s="366">
        <v>382.05</v>
      </c>
      <c r="EM166" s="366">
        <v>476.16</v>
      </c>
      <c r="EN166" s="366">
        <v>476.16</v>
      </c>
      <c r="EO166" s="366">
        <v>245.77</v>
      </c>
      <c r="EP166" s="366">
        <v>286.73</v>
      </c>
      <c r="EQ166" s="366">
        <v>170.99</v>
      </c>
      <c r="ER166" s="366">
        <v>386.86</v>
      </c>
      <c r="ES166" s="366">
        <v>463.64</v>
      </c>
      <c r="ET166" s="366">
        <v>207.25</v>
      </c>
      <c r="EU166" s="366">
        <v>508.37</v>
      </c>
      <c r="EV166" s="366">
        <v>118.96</v>
      </c>
      <c r="EW166" s="366">
        <v>270.2</v>
      </c>
      <c r="EX166" s="366">
        <v>440.38</v>
      </c>
      <c r="EY166" s="366">
        <v>440.38</v>
      </c>
      <c r="EZ166" s="366">
        <v>520.70000000000005</v>
      </c>
      <c r="FA166" s="366">
        <v>473.33</v>
      </c>
      <c r="FB166" s="366">
        <v>327.74</v>
      </c>
      <c r="FC166" s="366">
        <v>526.16999999999996</v>
      </c>
      <c r="FD166" s="366">
        <v>381.36</v>
      </c>
      <c r="FE166" s="366">
        <v>274.64999999999998</v>
      </c>
      <c r="FF166" s="366">
        <v>316.91000000000003</v>
      </c>
      <c r="FG166" s="366">
        <v>439.82</v>
      </c>
      <c r="FH166" s="366">
        <v>439.82</v>
      </c>
      <c r="FI166" s="366">
        <v>5.79</v>
      </c>
      <c r="FJ166" s="366">
        <v>0</v>
      </c>
      <c r="FK166" s="366">
        <v>491.38</v>
      </c>
      <c r="FL166" s="366">
        <v>489.57</v>
      </c>
      <c r="FM166" s="366">
        <v>245.77</v>
      </c>
      <c r="FN166" s="366">
        <v>149.71</v>
      </c>
      <c r="FO166" s="366">
        <v>230.64</v>
      </c>
      <c r="FP166" s="366">
        <v>558.52</v>
      </c>
      <c r="FQ166" s="366">
        <v>234.51</v>
      </c>
      <c r="FR166" s="366">
        <v>302.89999999999998</v>
      </c>
      <c r="FS166" s="366">
        <v>317.62</v>
      </c>
      <c r="FT166" s="366">
        <v>375.8</v>
      </c>
      <c r="FU166" s="366">
        <v>341.76</v>
      </c>
      <c r="FV166" s="366">
        <v>572.27</v>
      </c>
      <c r="FW166" s="366">
        <v>572.27</v>
      </c>
      <c r="FX166" s="366">
        <v>572.27</v>
      </c>
      <c r="FY166" s="366">
        <v>422.47</v>
      </c>
      <c r="FZ166" s="366">
        <v>297.52</v>
      </c>
      <c r="GA166" s="366">
        <v>549.62</v>
      </c>
      <c r="GB166" s="366">
        <v>356.09</v>
      </c>
      <c r="GC166" s="366">
        <v>216.84</v>
      </c>
      <c r="GD166" s="366">
        <v>363.12</v>
      </c>
      <c r="GE166" s="366">
        <v>180.38</v>
      </c>
      <c r="GF166" s="366">
        <v>355.29</v>
      </c>
      <c r="GG166" s="366">
        <v>355.29</v>
      </c>
      <c r="GH166" s="366">
        <v>598.07000000000005</v>
      </c>
      <c r="GI166" s="366">
        <v>245.93</v>
      </c>
      <c r="GJ166" s="366">
        <v>245.77</v>
      </c>
      <c r="GK166" s="366">
        <v>487.93</v>
      </c>
      <c r="GL166" s="366">
        <v>284.49</v>
      </c>
      <c r="GM166" s="366">
        <v>284.49</v>
      </c>
      <c r="GN166" s="366">
        <v>284.49</v>
      </c>
      <c r="GO166" s="366">
        <v>193.04</v>
      </c>
      <c r="GP166" s="366">
        <v>555.03</v>
      </c>
      <c r="GQ166" s="366">
        <v>533.64</v>
      </c>
      <c r="GR166" s="366">
        <v>248.18</v>
      </c>
      <c r="GS166" s="366">
        <v>172.79</v>
      </c>
      <c r="GT166" s="366">
        <v>162.79</v>
      </c>
      <c r="GU166" s="366">
        <v>336.72</v>
      </c>
      <c r="GV166" s="366">
        <v>659.55</v>
      </c>
      <c r="GW166" s="366">
        <v>300.20999999999998</v>
      </c>
      <c r="GX166" s="366">
        <v>159.36000000000001</v>
      </c>
      <c r="GY166" s="366">
        <v>249.6</v>
      </c>
      <c r="GZ166" s="366">
        <v>381.08</v>
      </c>
      <c r="HA166" s="366">
        <v>236.05</v>
      </c>
      <c r="HB166" s="366">
        <v>236.05</v>
      </c>
      <c r="HC166" s="366">
        <v>236.05</v>
      </c>
      <c r="HD166" s="366">
        <v>152.08000000000001</v>
      </c>
      <c r="HE166" s="366">
        <v>470.01</v>
      </c>
      <c r="HF166" s="366">
        <v>426.3</v>
      </c>
      <c r="HG166" s="366">
        <v>553.95000000000005</v>
      </c>
      <c r="HH166" s="366">
        <v>553.95000000000005</v>
      </c>
      <c r="HI166" s="366">
        <v>553.95000000000005</v>
      </c>
      <c r="HJ166" s="366">
        <v>334.42</v>
      </c>
      <c r="HK166" s="366">
        <v>89.41</v>
      </c>
      <c r="HL166" s="366">
        <v>489.55</v>
      </c>
      <c r="HM166" s="366">
        <v>243.05</v>
      </c>
      <c r="HN166" s="366">
        <v>245.77</v>
      </c>
      <c r="HO166" s="366">
        <v>476.53</v>
      </c>
      <c r="HP166" s="366">
        <v>381.8</v>
      </c>
      <c r="HQ166" s="366">
        <v>572.27</v>
      </c>
      <c r="HR166" s="366">
        <v>322.52</v>
      </c>
      <c r="HS166" s="366">
        <v>242.02</v>
      </c>
      <c r="HT166" s="366">
        <v>194.18</v>
      </c>
      <c r="HU166" s="366">
        <v>228.7</v>
      </c>
      <c r="HV166" s="366">
        <v>289.02999999999997</v>
      </c>
    </row>
    <row r="167" spans="1:230">
      <c r="A167" s="366" t="s">
        <v>187</v>
      </c>
      <c r="B167" s="366">
        <v>894.13</v>
      </c>
      <c r="C167" s="366">
        <v>27.84</v>
      </c>
      <c r="D167" s="366">
        <v>223.73</v>
      </c>
      <c r="E167" s="366">
        <v>223.73</v>
      </c>
      <c r="F167" s="366">
        <v>958.03</v>
      </c>
      <c r="G167" s="366">
        <v>694.54</v>
      </c>
      <c r="H167" s="366">
        <v>267.35000000000002</v>
      </c>
      <c r="I167" s="366">
        <v>403.86</v>
      </c>
      <c r="J167" s="366">
        <v>291.13</v>
      </c>
      <c r="K167" s="366">
        <v>291.13</v>
      </c>
      <c r="L167" s="366">
        <v>205.82</v>
      </c>
      <c r="M167" s="366">
        <v>2.2200000000000002</v>
      </c>
      <c r="N167" s="366">
        <v>150.16</v>
      </c>
      <c r="O167" s="366">
        <v>368.69</v>
      </c>
      <c r="P167" s="366">
        <v>368.69</v>
      </c>
      <c r="Q167" s="366">
        <v>368.69</v>
      </c>
      <c r="R167" s="366">
        <v>368.69</v>
      </c>
      <c r="S167" s="366">
        <v>368.69</v>
      </c>
      <c r="T167" s="366">
        <v>478.36</v>
      </c>
      <c r="U167" s="366">
        <v>802.58</v>
      </c>
      <c r="V167" s="366">
        <v>423.62</v>
      </c>
      <c r="W167" s="366">
        <v>504.72</v>
      </c>
      <c r="X167" s="366">
        <v>504.72</v>
      </c>
      <c r="Y167" s="366">
        <v>504.72</v>
      </c>
      <c r="Z167" s="366">
        <v>211.1</v>
      </c>
      <c r="AA167" s="366">
        <v>688.71</v>
      </c>
      <c r="AB167" s="366">
        <v>538.1</v>
      </c>
      <c r="AC167" s="366">
        <v>540.55999999999995</v>
      </c>
      <c r="AD167" s="366">
        <v>540.55999999999995</v>
      </c>
      <c r="AE167" s="366">
        <v>274.63</v>
      </c>
      <c r="AF167" s="366">
        <v>708.28</v>
      </c>
      <c r="AG167" s="366">
        <v>506.24</v>
      </c>
      <c r="AH167" s="366">
        <v>357.81</v>
      </c>
      <c r="AI167" s="366">
        <v>357.81</v>
      </c>
      <c r="AJ167" s="366">
        <v>357.81</v>
      </c>
      <c r="AK167" s="366">
        <v>193.86</v>
      </c>
      <c r="AL167" s="366">
        <v>193.86</v>
      </c>
      <c r="AM167" s="366">
        <v>540.82000000000005</v>
      </c>
      <c r="AN167" s="366">
        <v>327.86</v>
      </c>
      <c r="AO167" s="366">
        <v>711.15</v>
      </c>
      <c r="AP167" s="366">
        <v>467.08</v>
      </c>
      <c r="AQ167" s="366">
        <v>914.57</v>
      </c>
      <c r="AR167" s="366">
        <v>353.9</v>
      </c>
      <c r="AS167" s="366">
        <v>211.71</v>
      </c>
      <c r="AT167" s="366">
        <v>211.71</v>
      </c>
      <c r="AU167" s="366">
        <v>338.48</v>
      </c>
      <c r="AV167" s="366">
        <v>833.63</v>
      </c>
      <c r="AW167" s="366">
        <v>335.45</v>
      </c>
      <c r="AX167" s="366">
        <v>424.46</v>
      </c>
      <c r="AY167" s="366">
        <v>185.87</v>
      </c>
      <c r="AZ167" s="366">
        <v>76.819999999999993</v>
      </c>
      <c r="BA167" s="366">
        <v>754.16</v>
      </c>
      <c r="BB167" s="366">
        <v>188.76</v>
      </c>
      <c r="BC167" s="366">
        <v>696.22</v>
      </c>
      <c r="BD167" s="366">
        <v>605.99</v>
      </c>
      <c r="BE167" s="366">
        <v>427.68</v>
      </c>
      <c r="BF167" s="366">
        <v>535.07000000000005</v>
      </c>
      <c r="BG167" s="366">
        <v>207.62</v>
      </c>
      <c r="BH167" s="366">
        <v>368.69</v>
      </c>
      <c r="BI167" s="366">
        <v>353.93</v>
      </c>
      <c r="BJ167" s="366">
        <v>300.39</v>
      </c>
      <c r="BK167" s="366">
        <v>221.28</v>
      </c>
      <c r="BL167" s="366">
        <v>230.73</v>
      </c>
      <c r="BM167" s="366">
        <v>239.94</v>
      </c>
      <c r="BN167" s="366">
        <v>728.9</v>
      </c>
      <c r="BO167" s="366">
        <v>263.48</v>
      </c>
      <c r="BP167" s="366">
        <v>229.34</v>
      </c>
      <c r="BQ167" s="366">
        <v>383.16</v>
      </c>
      <c r="BR167" s="366">
        <v>383.16</v>
      </c>
      <c r="BS167" s="366">
        <v>51.45</v>
      </c>
      <c r="BT167" s="366">
        <v>338.36</v>
      </c>
      <c r="BU167" s="366">
        <v>518.6</v>
      </c>
      <c r="BV167" s="366">
        <v>538.22</v>
      </c>
      <c r="BW167" s="366">
        <v>397.77</v>
      </c>
      <c r="BX167" s="366">
        <v>110.36</v>
      </c>
      <c r="BY167" s="366">
        <v>451.1</v>
      </c>
      <c r="BZ167" s="366">
        <v>451.1</v>
      </c>
      <c r="CA167" s="366">
        <v>367.39</v>
      </c>
      <c r="CB167" s="366">
        <v>120.59</v>
      </c>
      <c r="CC167" s="366">
        <v>395.63</v>
      </c>
      <c r="CD167" s="366">
        <v>398.03</v>
      </c>
      <c r="CE167" s="366">
        <v>204.51</v>
      </c>
      <c r="CF167" s="366">
        <v>707.01</v>
      </c>
      <c r="CG167" s="366">
        <v>707.01</v>
      </c>
      <c r="CH167" s="366">
        <v>398.16</v>
      </c>
      <c r="CI167" s="366">
        <v>311.64999999999998</v>
      </c>
      <c r="CJ167" s="366">
        <v>717.96</v>
      </c>
      <c r="CK167" s="366">
        <v>456.19</v>
      </c>
      <c r="CL167" s="366">
        <v>352.27</v>
      </c>
      <c r="CM167" s="366">
        <v>642.5</v>
      </c>
      <c r="CN167" s="366">
        <v>316.06</v>
      </c>
      <c r="CO167" s="366">
        <v>352.51</v>
      </c>
      <c r="CP167" s="366">
        <v>376.47</v>
      </c>
      <c r="CQ167" s="366">
        <v>376.47</v>
      </c>
      <c r="CR167" s="366">
        <v>304.91000000000003</v>
      </c>
      <c r="CS167" s="366">
        <v>304.91000000000003</v>
      </c>
      <c r="CT167" s="366">
        <v>314.35000000000002</v>
      </c>
      <c r="CU167" s="366">
        <v>306.48</v>
      </c>
      <c r="CV167" s="366">
        <v>309.08</v>
      </c>
      <c r="CW167" s="366">
        <v>423.62</v>
      </c>
      <c r="CX167" s="366">
        <v>414.7</v>
      </c>
      <c r="CY167" s="366">
        <v>688.92</v>
      </c>
      <c r="CZ167" s="366">
        <v>710.16</v>
      </c>
      <c r="DA167" s="366">
        <v>88.21</v>
      </c>
      <c r="DB167" s="366">
        <v>271.98</v>
      </c>
      <c r="DC167" s="366">
        <v>271.98</v>
      </c>
      <c r="DD167" s="366">
        <v>491.88</v>
      </c>
      <c r="DE167" s="366">
        <v>165.84</v>
      </c>
      <c r="DF167" s="366">
        <v>942.49</v>
      </c>
      <c r="DG167" s="366">
        <v>341.3</v>
      </c>
      <c r="DH167" s="366">
        <v>228.4</v>
      </c>
      <c r="DI167" s="366">
        <v>572.83000000000004</v>
      </c>
      <c r="DJ167" s="366">
        <v>726.36</v>
      </c>
      <c r="DK167" s="366">
        <v>147.94</v>
      </c>
      <c r="DL167" s="366">
        <v>524.6</v>
      </c>
      <c r="DM167" s="366">
        <v>40.06</v>
      </c>
      <c r="DN167" s="366">
        <v>587.59</v>
      </c>
      <c r="DO167" s="366">
        <v>125.94</v>
      </c>
      <c r="DP167" s="366">
        <v>453.57</v>
      </c>
      <c r="DQ167" s="366">
        <v>409.11</v>
      </c>
      <c r="DR167" s="366">
        <v>228.4</v>
      </c>
      <c r="DS167" s="366">
        <v>330.38</v>
      </c>
      <c r="DT167" s="366">
        <v>318.67</v>
      </c>
      <c r="DU167" s="366">
        <v>118.55</v>
      </c>
      <c r="DV167" s="366">
        <v>185.26</v>
      </c>
      <c r="DW167" s="366">
        <v>195.29</v>
      </c>
      <c r="DX167" s="366">
        <v>384.09</v>
      </c>
      <c r="DY167" s="366">
        <v>457.48</v>
      </c>
      <c r="DZ167" s="366">
        <v>501.55</v>
      </c>
      <c r="EA167" s="366">
        <v>336.18</v>
      </c>
      <c r="EB167" s="366">
        <v>451.48</v>
      </c>
      <c r="EC167" s="366">
        <v>249.17</v>
      </c>
      <c r="ED167" s="366">
        <v>602.6</v>
      </c>
      <c r="EE167" s="366">
        <v>613.39</v>
      </c>
      <c r="EF167" s="366">
        <v>460.8</v>
      </c>
      <c r="EG167" s="366">
        <v>335.45</v>
      </c>
      <c r="EH167" s="366">
        <v>335.45</v>
      </c>
      <c r="EI167" s="366">
        <v>381.68</v>
      </c>
      <c r="EJ167" s="366">
        <v>373.5</v>
      </c>
      <c r="EK167" s="366">
        <v>260.11</v>
      </c>
      <c r="EL167" s="366">
        <v>260.11</v>
      </c>
      <c r="EM167" s="366">
        <v>354.22</v>
      </c>
      <c r="EN167" s="366">
        <v>354.22</v>
      </c>
      <c r="EO167" s="366">
        <v>540.82000000000005</v>
      </c>
      <c r="EP167" s="366">
        <v>463.68</v>
      </c>
      <c r="EQ167" s="366">
        <v>323.83999999999997</v>
      </c>
      <c r="ER167" s="366">
        <v>772.62</v>
      </c>
      <c r="ES167" s="366">
        <v>27.74</v>
      </c>
      <c r="ET167" s="366">
        <v>401.13</v>
      </c>
      <c r="EU167" s="366">
        <v>894.13</v>
      </c>
      <c r="EV167" s="366">
        <v>504.72</v>
      </c>
      <c r="EW167" s="366">
        <v>382.6</v>
      </c>
      <c r="EX167" s="366">
        <v>161.52000000000001</v>
      </c>
      <c r="EY167" s="366">
        <v>161.52000000000001</v>
      </c>
      <c r="EZ167" s="366">
        <v>406.03</v>
      </c>
      <c r="FA167" s="366">
        <v>351.39</v>
      </c>
      <c r="FB167" s="366">
        <v>163.63999999999999</v>
      </c>
      <c r="FC167" s="366">
        <v>404.23</v>
      </c>
      <c r="FD167" s="366">
        <v>293.88</v>
      </c>
      <c r="FE167" s="366">
        <v>385.51</v>
      </c>
      <c r="FF167" s="366">
        <v>360.69</v>
      </c>
      <c r="FG167" s="366">
        <v>745.2</v>
      </c>
      <c r="FH167" s="366">
        <v>745.2</v>
      </c>
      <c r="FI167" s="366">
        <v>485.59</v>
      </c>
      <c r="FJ167" s="366">
        <v>491.38</v>
      </c>
      <c r="FK167" s="366">
        <v>0</v>
      </c>
      <c r="FL167" s="366">
        <v>1.81</v>
      </c>
      <c r="FM167" s="366">
        <v>540.82000000000005</v>
      </c>
      <c r="FN167" s="366">
        <v>535.47</v>
      </c>
      <c r="FO167" s="366">
        <v>344.55</v>
      </c>
      <c r="FP167" s="366">
        <v>436.58</v>
      </c>
      <c r="FQ167" s="366">
        <v>348.42</v>
      </c>
      <c r="FR167" s="366">
        <v>223.16</v>
      </c>
      <c r="FS167" s="366">
        <v>290.76</v>
      </c>
      <c r="FT167" s="366">
        <v>741.52</v>
      </c>
      <c r="FU167" s="366">
        <v>299.26</v>
      </c>
      <c r="FV167" s="366">
        <v>958.03</v>
      </c>
      <c r="FW167" s="366">
        <v>958.03</v>
      </c>
      <c r="FX167" s="366">
        <v>958.03</v>
      </c>
      <c r="FY167" s="366">
        <v>300.52999999999997</v>
      </c>
      <c r="FZ167" s="366">
        <v>375.42</v>
      </c>
      <c r="GA167" s="366">
        <v>427.68</v>
      </c>
      <c r="GB167" s="366">
        <v>329.23</v>
      </c>
      <c r="GC167" s="366">
        <v>602.6</v>
      </c>
      <c r="GD167" s="366">
        <v>128.26</v>
      </c>
      <c r="GE167" s="366">
        <v>314.45</v>
      </c>
      <c r="GF167" s="366">
        <v>285.73</v>
      </c>
      <c r="GG167" s="366">
        <v>285.73</v>
      </c>
      <c r="GH167" s="366">
        <v>476.13</v>
      </c>
      <c r="GI167" s="366">
        <v>540.98</v>
      </c>
      <c r="GJ167" s="366">
        <v>540.82000000000005</v>
      </c>
      <c r="GK167" s="366">
        <v>3.45</v>
      </c>
      <c r="GL167" s="366">
        <v>368.01</v>
      </c>
      <c r="GM167" s="366">
        <v>368.01</v>
      </c>
      <c r="GN167" s="366">
        <v>368.01</v>
      </c>
      <c r="GO167" s="366">
        <v>506.26</v>
      </c>
      <c r="GP167" s="366">
        <v>433.09</v>
      </c>
      <c r="GQ167" s="366">
        <v>254.78</v>
      </c>
      <c r="GR167" s="366">
        <v>569.04999999999995</v>
      </c>
      <c r="GS167" s="366">
        <v>435.59</v>
      </c>
      <c r="GT167" s="366">
        <v>335.45</v>
      </c>
      <c r="GU167" s="366">
        <v>292.8</v>
      </c>
      <c r="GV167" s="366">
        <v>380.69</v>
      </c>
      <c r="GW167" s="366">
        <v>343.99</v>
      </c>
      <c r="GX167" s="366">
        <v>332.02</v>
      </c>
      <c r="GY167" s="366">
        <v>358.78</v>
      </c>
      <c r="GZ167" s="366">
        <v>293.60000000000002</v>
      </c>
      <c r="HA167" s="366">
        <v>349.96</v>
      </c>
      <c r="HB167" s="366">
        <v>349.96</v>
      </c>
      <c r="HC167" s="366">
        <v>349.96</v>
      </c>
      <c r="HD167" s="366">
        <v>537.84</v>
      </c>
      <c r="HE167" s="366">
        <v>348.07</v>
      </c>
      <c r="HF167" s="366">
        <v>304.36</v>
      </c>
      <c r="HG167" s="366">
        <v>308.95999999999998</v>
      </c>
      <c r="HH167" s="366">
        <v>308.95999999999998</v>
      </c>
      <c r="HI167" s="366">
        <v>308.95999999999998</v>
      </c>
      <c r="HJ167" s="366">
        <v>306.60000000000002</v>
      </c>
      <c r="HK167" s="366">
        <v>407.94</v>
      </c>
      <c r="HL167" s="366">
        <v>402.07</v>
      </c>
      <c r="HM167" s="366">
        <v>538.1</v>
      </c>
      <c r="HN167" s="366">
        <v>540.82000000000005</v>
      </c>
      <c r="HO167" s="366">
        <v>862.29</v>
      </c>
      <c r="HP167" s="366">
        <v>294.32</v>
      </c>
      <c r="HQ167" s="366">
        <v>958.03</v>
      </c>
      <c r="HR167" s="366">
        <v>708.28</v>
      </c>
      <c r="HS167" s="366">
        <v>537.07000000000005</v>
      </c>
      <c r="HT167" s="366">
        <v>419.39</v>
      </c>
      <c r="HU167" s="366">
        <v>386.64</v>
      </c>
      <c r="HV167" s="366">
        <v>404.96</v>
      </c>
    </row>
    <row r="168" spans="1:230">
      <c r="A168" s="366" t="s">
        <v>188</v>
      </c>
      <c r="B168" s="366">
        <v>892.32</v>
      </c>
      <c r="C168" s="366">
        <v>26.03</v>
      </c>
      <c r="D168" s="366">
        <v>221.92</v>
      </c>
      <c r="E168" s="366">
        <v>221.92</v>
      </c>
      <c r="F168" s="366">
        <v>956.22</v>
      </c>
      <c r="G168" s="366">
        <v>692.73</v>
      </c>
      <c r="H168" s="366">
        <v>265.54000000000002</v>
      </c>
      <c r="I168" s="366">
        <v>402.05</v>
      </c>
      <c r="J168" s="366">
        <v>289.32</v>
      </c>
      <c r="K168" s="366">
        <v>289.32</v>
      </c>
      <c r="L168" s="366">
        <v>204.01</v>
      </c>
      <c r="M168" s="366">
        <v>0.41</v>
      </c>
      <c r="N168" s="366">
        <v>148.35</v>
      </c>
      <c r="O168" s="366">
        <v>366.88</v>
      </c>
      <c r="P168" s="366">
        <v>366.88</v>
      </c>
      <c r="Q168" s="366">
        <v>366.88</v>
      </c>
      <c r="R168" s="366">
        <v>366.88</v>
      </c>
      <c r="S168" s="366">
        <v>366.88</v>
      </c>
      <c r="T168" s="366">
        <v>476.55</v>
      </c>
      <c r="U168" s="366">
        <v>800.77</v>
      </c>
      <c r="V168" s="366">
        <v>421.81</v>
      </c>
      <c r="W168" s="366">
        <v>502.91</v>
      </c>
      <c r="X168" s="366">
        <v>502.91</v>
      </c>
      <c r="Y168" s="366">
        <v>502.91</v>
      </c>
      <c r="Z168" s="366">
        <v>209.29</v>
      </c>
      <c r="AA168" s="366">
        <v>686.9</v>
      </c>
      <c r="AB168" s="366">
        <v>536.29</v>
      </c>
      <c r="AC168" s="366">
        <v>538.75</v>
      </c>
      <c r="AD168" s="366">
        <v>538.75</v>
      </c>
      <c r="AE168" s="366">
        <v>272.82</v>
      </c>
      <c r="AF168" s="366">
        <v>706.47</v>
      </c>
      <c r="AG168" s="366">
        <v>504.43</v>
      </c>
      <c r="AH168" s="366">
        <v>356</v>
      </c>
      <c r="AI168" s="366">
        <v>356</v>
      </c>
      <c r="AJ168" s="366">
        <v>356</v>
      </c>
      <c r="AK168" s="366">
        <v>192.05</v>
      </c>
      <c r="AL168" s="366">
        <v>192.05</v>
      </c>
      <c r="AM168" s="366">
        <v>539.01</v>
      </c>
      <c r="AN168" s="366">
        <v>326.05</v>
      </c>
      <c r="AO168" s="366">
        <v>709.34</v>
      </c>
      <c r="AP168" s="366">
        <v>465.27</v>
      </c>
      <c r="AQ168" s="366">
        <v>912.76</v>
      </c>
      <c r="AR168" s="366">
        <v>352.09</v>
      </c>
      <c r="AS168" s="366">
        <v>209.9</v>
      </c>
      <c r="AT168" s="366">
        <v>209.9</v>
      </c>
      <c r="AU168" s="366">
        <v>336.67</v>
      </c>
      <c r="AV168" s="366">
        <v>831.82</v>
      </c>
      <c r="AW168" s="366">
        <v>333.64</v>
      </c>
      <c r="AX168" s="366">
        <v>422.65</v>
      </c>
      <c r="AY168" s="366">
        <v>184.06</v>
      </c>
      <c r="AZ168" s="366">
        <v>75.010000000000005</v>
      </c>
      <c r="BA168" s="366">
        <v>752.35</v>
      </c>
      <c r="BB168" s="366">
        <v>186.95</v>
      </c>
      <c r="BC168" s="366">
        <v>694.41</v>
      </c>
      <c r="BD168" s="366">
        <v>604.17999999999995</v>
      </c>
      <c r="BE168" s="366">
        <v>425.87</v>
      </c>
      <c r="BF168" s="366">
        <v>533.26</v>
      </c>
      <c r="BG168" s="366">
        <v>205.81</v>
      </c>
      <c r="BH168" s="366">
        <v>366.88</v>
      </c>
      <c r="BI168" s="366">
        <v>352.12</v>
      </c>
      <c r="BJ168" s="366">
        <v>298.58</v>
      </c>
      <c r="BK168" s="366">
        <v>219.47</v>
      </c>
      <c r="BL168" s="366">
        <v>228.92</v>
      </c>
      <c r="BM168" s="366">
        <v>238.13</v>
      </c>
      <c r="BN168" s="366">
        <v>727.09</v>
      </c>
      <c r="BO168" s="366">
        <v>261.67</v>
      </c>
      <c r="BP168" s="366">
        <v>227.53</v>
      </c>
      <c r="BQ168" s="366">
        <v>381.35</v>
      </c>
      <c r="BR168" s="366">
        <v>381.35</v>
      </c>
      <c r="BS168" s="366">
        <v>49.64</v>
      </c>
      <c r="BT168" s="366">
        <v>336.55</v>
      </c>
      <c r="BU168" s="366">
        <v>516.79</v>
      </c>
      <c r="BV168" s="366">
        <v>536.41</v>
      </c>
      <c r="BW168" s="366">
        <v>395.96</v>
      </c>
      <c r="BX168" s="366">
        <v>108.55</v>
      </c>
      <c r="BY168" s="366">
        <v>449.29</v>
      </c>
      <c r="BZ168" s="366">
        <v>449.29</v>
      </c>
      <c r="CA168" s="366">
        <v>365.58</v>
      </c>
      <c r="CB168" s="366">
        <v>118.78</v>
      </c>
      <c r="CC168" s="366">
        <v>393.82</v>
      </c>
      <c r="CD168" s="366">
        <v>396.22</v>
      </c>
      <c r="CE168" s="366">
        <v>202.7</v>
      </c>
      <c r="CF168" s="366">
        <v>705.2</v>
      </c>
      <c r="CG168" s="366">
        <v>705.2</v>
      </c>
      <c r="CH168" s="366">
        <v>396.35</v>
      </c>
      <c r="CI168" s="366">
        <v>309.83999999999997</v>
      </c>
      <c r="CJ168" s="366">
        <v>716.15</v>
      </c>
      <c r="CK168" s="366">
        <v>454.38</v>
      </c>
      <c r="CL168" s="366">
        <v>350.46</v>
      </c>
      <c r="CM168" s="366">
        <v>640.69000000000005</v>
      </c>
      <c r="CN168" s="366">
        <v>314.25</v>
      </c>
      <c r="CO168" s="366">
        <v>350.7</v>
      </c>
      <c r="CP168" s="366">
        <v>374.66</v>
      </c>
      <c r="CQ168" s="366">
        <v>374.66</v>
      </c>
      <c r="CR168" s="366">
        <v>303.10000000000002</v>
      </c>
      <c r="CS168" s="366">
        <v>303.10000000000002</v>
      </c>
      <c r="CT168" s="366">
        <v>312.54000000000002</v>
      </c>
      <c r="CU168" s="366">
        <v>304.67</v>
      </c>
      <c r="CV168" s="366">
        <v>307.27</v>
      </c>
      <c r="CW168" s="366">
        <v>421.81</v>
      </c>
      <c r="CX168" s="366">
        <v>412.89</v>
      </c>
      <c r="CY168" s="366">
        <v>687.11</v>
      </c>
      <c r="CZ168" s="366">
        <v>708.35</v>
      </c>
      <c r="DA168" s="366">
        <v>86.4</v>
      </c>
      <c r="DB168" s="366">
        <v>270.17</v>
      </c>
      <c r="DC168" s="366">
        <v>270.17</v>
      </c>
      <c r="DD168" s="366">
        <v>490.07</v>
      </c>
      <c r="DE168" s="366">
        <v>164.03</v>
      </c>
      <c r="DF168" s="366">
        <v>940.68</v>
      </c>
      <c r="DG168" s="366">
        <v>339.49</v>
      </c>
      <c r="DH168" s="366">
        <v>226.59</v>
      </c>
      <c r="DI168" s="366">
        <v>571.02</v>
      </c>
      <c r="DJ168" s="366">
        <v>724.55</v>
      </c>
      <c r="DK168" s="366">
        <v>146.13</v>
      </c>
      <c r="DL168" s="366">
        <v>522.79</v>
      </c>
      <c r="DM168" s="366">
        <v>38.25</v>
      </c>
      <c r="DN168" s="366">
        <v>585.78</v>
      </c>
      <c r="DO168" s="366">
        <v>124.13</v>
      </c>
      <c r="DP168" s="366">
        <v>451.76</v>
      </c>
      <c r="DQ168" s="366">
        <v>407.3</v>
      </c>
      <c r="DR168" s="366">
        <v>226.59</v>
      </c>
      <c r="DS168" s="366">
        <v>328.57</v>
      </c>
      <c r="DT168" s="366">
        <v>316.86</v>
      </c>
      <c r="DU168" s="366">
        <v>116.74</v>
      </c>
      <c r="DV168" s="366">
        <v>183.45</v>
      </c>
      <c r="DW168" s="366">
        <v>193.48</v>
      </c>
      <c r="DX168" s="366">
        <v>382.28</v>
      </c>
      <c r="DY168" s="366">
        <v>455.67</v>
      </c>
      <c r="DZ168" s="366">
        <v>499.74</v>
      </c>
      <c r="EA168" s="366">
        <v>334.37</v>
      </c>
      <c r="EB168" s="366">
        <v>449.67</v>
      </c>
      <c r="EC168" s="366">
        <v>247.36</v>
      </c>
      <c r="ED168" s="366">
        <v>600.79</v>
      </c>
      <c r="EE168" s="366">
        <v>611.58000000000004</v>
      </c>
      <c r="EF168" s="366">
        <v>458.99</v>
      </c>
      <c r="EG168" s="366">
        <v>333.64</v>
      </c>
      <c r="EH168" s="366">
        <v>333.64</v>
      </c>
      <c r="EI168" s="366">
        <v>379.87</v>
      </c>
      <c r="EJ168" s="366">
        <v>371.69</v>
      </c>
      <c r="EK168" s="366">
        <v>258.3</v>
      </c>
      <c r="EL168" s="366">
        <v>258.3</v>
      </c>
      <c r="EM168" s="366">
        <v>352.41</v>
      </c>
      <c r="EN168" s="366">
        <v>352.41</v>
      </c>
      <c r="EO168" s="366">
        <v>539.01</v>
      </c>
      <c r="EP168" s="366">
        <v>461.87</v>
      </c>
      <c r="EQ168" s="366">
        <v>322.02999999999997</v>
      </c>
      <c r="ER168" s="366">
        <v>770.81</v>
      </c>
      <c r="ES168" s="366">
        <v>25.93</v>
      </c>
      <c r="ET168" s="366">
        <v>399.32</v>
      </c>
      <c r="EU168" s="366">
        <v>892.32</v>
      </c>
      <c r="EV168" s="366">
        <v>502.91</v>
      </c>
      <c r="EW168" s="366">
        <v>380.79</v>
      </c>
      <c r="EX168" s="366">
        <v>159.71</v>
      </c>
      <c r="EY168" s="366">
        <v>159.71</v>
      </c>
      <c r="EZ168" s="366">
        <v>404.22</v>
      </c>
      <c r="FA168" s="366">
        <v>349.58</v>
      </c>
      <c r="FB168" s="366">
        <v>161.83000000000001</v>
      </c>
      <c r="FC168" s="366">
        <v>402.42</v>
      </c>
      <c r="FD168" s="366">
        <v>292.07</v>
      </c>
      <c r="FE168" s="366">
        <v>383.7</v>
      </c>
      <c r="FF168" s="366">
        <v>358.88</v>
      </c>
      <c r="FG168" s="366">
        <v>743.39</v>
      </c>
      <c r="FH168" s="366">
        <v>743.39</v>
      </c>
      <c r="FI168" s="366">
        <v>483.78</v>
      </c>
      <c r="FJ168" s="366">
        <v>489.57</v>
      </c>
      <c r="FK168" s="366">
        <v>1.81</v>
      </c>
      <c r="FL168" s="366">
        <v>0</v>
      </c>
      <c r="FM168" s="366">
        <v>539.01</v>
      </c>
      <c r="FN168" s="366">
        <v>533.66</v>
      </c>
      <c r="FO168" s="366">
        <v>342.74</v>
      </c>
      <c r="FP168" s="366">
        <v>434.77</v>
      </c>
      <c r="FQ168" s="366">
        <v>346.61</v>
      </c>
      <c r="FR168" s="366">
        <v>221.35</v>
      </c>
      <c r="FS168" s="366">
        <v>288.95</v>
      </c>
      <c r="FT168" s="366">
        <v>739.71</v>
      </c>
      <c r="FU168" s="366">
        <v>297.45</v>
      </c>
      <c r="FV168" s="366">
        <v>956.22</v>
      </c>
      <c r="FW168" s="366">
        <v>956.22</v>
      </c>
      <c r="FX168" s="366">
        <v>956.22</v>
      </c>
      <c r="FY168" s="366">
        <v>298.72000000000003</v>
      </c>
      <c r="FZ168" s="366">
        <v>373.61</v>
      </c>
      <c r="GA168" s="366">
        <v>425.87</v>
      </c>
      <c r="GB168" s="366">
        <v>327.42</v>
      </c>
      <c r="GC168" s="366">
        <v>600.79</v>
      </c>
      <c r="GD168" s="366">
        <v>126.45</v>
      </c>
      <c r="GE168" s="366">
        <v>312.64</v>
      </c>
      <c r="GF168" s="366">
        <v>283.92</v>
      </c>
      <c r="GG168" s="366">
        <v>283.92</v>
      </c>
      <c r="GH168" s="366">
        <v>474.32</v>
      </c>
      <c r="GI168" s="366">
        <v>539.16999999999996</v>
      </c>
      <c r="GJ168" s="366">
        <v>539.01</v>
      </c>
      <c r="GK168" s="366">
        <v>1.64</v>
      </c>
      <c r="GL168" s="366">
        <v>366.2</v>
      </c>
      <c r="GM168" s="366">
        <v>366.2</v>
      </c>
      <c r="GN168" s="366">
        <v>366.2</v>
      </c>
      <c r="GO168" s="366">
        <v>504.45</v>
      </c>
      <c r="GP168" s="366">
        <v>431.28</v>
      </c>
      <c r="GQ168" s="366">
        <v>252.97</v>
      </c>
      <c r="GR168" s="366">
        <v>567.24</v>
      </c>
      <c r="GS168" s="366">
        <v>433.78</v>
      </c>
      <c r="GT168" s="366">
        <v>333.64</v>
      </c>
      <c r="GU168" s="366">
        <v>290.99</v>
      </c>
      <c r="GV168" s="366">
        <v>378.88</v>
      </c>
      <c r="GW168" s="366">
        <v>342.18</v>
      </c>
      <c r="GX168" s="366">
        <v>330.21</v>
      </c>
      <c r="GY168" s="366">
        <v>356.97</v>
      </c>
      <c r="GZ168" s="366">
        <v>291.79000000000002</v>
      </c>
      <c r="HA168" s="366">
        <v>348.15</v>
      </c>
      <c r="HB168" s="366">
        <v>348.15</v>
      </c>
      <c r="HC168" s="366">
        <v>348.15</v>
      </c>
      <c r="HD168" s="366">
        <v>536.03</v>
      </c>
      <c r="HE168" s="366">
        <v>346.26</v>
      </c>
      <c r="HF168" s="366">
        <v>302.55</v>
      </c>
      <c r="HG168" s="366">
        <v>307.14999999999998</v>
      </c>
      <c r="HH168" s="366">
        <v>307.14999999999998</v>
      </c>
      <c r="HI168" s="366">
        <v>307.14999999999998</v>
      </c>
      <c r="HJ168" s="366">
        <v>304.79000000000002</v>
      </c>
      <c r="HK168" s="366">
        <v>406.13</v>
      </c>
      <c r="HL168" s="366">
        <v>400.26</v>
      </c>
      <c r="HM168" s="366">
        <v>536.29</v>
      </c>
      <c r="HN168" s="366">
        <v>539.01</v>
      </c>
      <c r="HO168" s="366">
        <v>860.48</v>
      </c>
      <c r="HP168" s="366">
        <v>292.51</v>
      </c>
      <c r="HQ168" s="366">
        <v>956.22</v>
      </c>
      <c r="HR168" s="366">
        <v>706.47</v>
      </c>
      <c r="HS168" s="366">
        <v>535.26</v>
      </c>
      <c r="HT168" s="366">
        <v>417.58</v>
      </c>
      <c r="HU168" s="366">
        <v>384.83</v>
      </c>
      <c r="HV168" s="366">
        <v>403.15</v>
      </c>
    </row>
    <row r="169" spans="1:230">
      <c r="A169" s="366" t="s">
        <v>241</v>
      </c>
      <c r="B169" s="366">
        <v>407.03</v>
      </c>
      <c r="C169" s="366">
        <v>513.17999999999995</v>
      </c>
      <c r="D169" s="366">
        <v>407.8</v>
      </c>
      <c r="E169" s="366">
        <v>407.8</v>
      </c>
      <c r="F169" s="366">
        <v>470.93</v>
      </c>
      <c r="G169" s="366">
        <v>278.5</v>
      </c>
      <c r="H169" s="366">
        <v>364.18</v>
      </c>
      <c r="I169" s="366">
        <v>136.96</v>
      </c>
      <c r="J169" s="366">
        <v>340.4</v>
      </c>
      <c r="K169" s="366">
        <v>340.4</v>
      </c>
      <c r="L169" s="366">
        <v>404.56</v>
      </c>
      <c r="M169" s="366">
        <v>538.6</v>
      </c>
      <c r="N169" s="366">
        <v>635.5</v>
      </c>
      <c r="O169" s="366">
        <v>388.61</v>
      </c>
      <c r="P169" s="366">
        <v>388.61</v>
      </c>
      <c r="Q169" s="366">
        <v>388.61</v>
      </c>
      <c r="R169" s="366">
        <v>388.61</v>
      </c>
      <c r="S169" s="366">
        <v>388.61</v>
      </c>
      <c r="T169" s="366">
        <v>62.46</v>
      </c>
      <c r="U169" s="366">
        <v>386.54</v>
      </c>
      <c r="V169" s="366">
        <v>478</v>
      </c>
      <c r="W169" s="366">
        <v>259.11</v>
      </c>
      <c r="X169" s="366">
        <v>259.11</v>
      </c>
      <c r="Y169" s="366">
        <v>259.11</v>
      </c>
      <c r="Z169" s="366">
        <v>515.74</v>
      </c>
      <c r="AA169" s="366">
        <v>272.67</v>
      </c>
      <c r="AB169" s="366">
        <v>8.7799999999999994</v>
      </c>
      <c r="AC169" s="366">
        <v>34.25</v>
      </c>
      <c r="AD169" s="366">
        <v>34.25</v>
      </c>
      <c r="AE169" s="366">
        <v>363.05</v>
      </c>
      <c r="AF169" s="366">
        <v>292.24</v>
      </c>
      <c r="AG169" s="366">
        <v>260.63</v>
      </c>
      <c r="AH169" s="366">
        <v>183.01</v>
      </c>
      <c r="AI169" s="366">
        <v>183.01</v>
      </c>
      <c r="AJ169" s="366">
        <v>183.01</v>
      </c>
      <c r="AK169" s="366">
        <v>537.94000000000005</v>
      </c>
      <c r="AL169" s="366">
        <v>537.94000000000005</v>
      </c>
      <c r="AM169" s="366">
        <v>0</v>
      </c>
      <c r="AN169" s="366">
        <v>347.78</v>
      </c>
      <c r="AO169" s="366">
        <v>285.62</v>
      </c>
      <c r="AP169" s="366">
        <v>91.91</v>
      </c>
      <c r="AQ169" s="366">
        <v>427.47</v>
      </c>
      <c r="AR169" s="366">
        <v>380.14</v>
      </c>
      <c r="AS169" s="366">
        <v>329.11</v>
      </c>
      <c r="AT169" s="366">
        <v>329.11</v>
      </c>
      <c r="AU169" s="366">
        <v>392.86</v>
      </c>
      <c r="AV169" s="366">
        <v>417.59</v>
      </c>
      <c r="AW169" s="366">
        <v>302.94</v>
      </c>
      <c r="AX169" s="366">
        <v>124.62</v>
      </c>
      <c r="AY169" s="366">
        <v>671.21</v>
      </c>
      <c r="AZ169" s="366">
        <v>481.8</v>
      </c>
      <c r="BA169" s="366">
        <v>247.85</v>
      </c>
      <c r="BB169" s="366">
        <v>674.1</v>
      </c>
      <c r="BC169" s="366">
        <v>189.91</v>
      </c>
      <c r="BD169" s="366">
        <v>99.68</v>
      </c>
      <c r="BE169" s="366">
        <v>482.06</v>
      </c>
      <c r="BF169" s="366">
        <v>5.75</v>
      </c>
      <c r="BG169" s="366">
        <v>523.29</v>
      </c>
      <c r="BH169" s="366">
        <v>388.61</v>
      </c>
      <c r="BI169" s="366">
        <v>380.17</v>
      </c>
      <c r="BJ169" s="366">
        <v>461.41</v>
      </c>
      <c r="BK169" s="366">
        <v>549.58000000000004</v>
      </c>
      <c r="BL169" s="366">
        <v>406.95</v>
      </c>
      <c r="BM169" s="366">
        <v>391.59</v>
      </c>
      <c r="BN169" s="366">
        <v>312.86</v>
      </c>
      <c r="BO169" s="366">
        <v>591.78</v>
      </c>
      <c r="BP169" s="366">
        <v>557.64</v>
      </c>
      <c r="BQ169" s="366">
        <v>157.66</v>
      </c>
      <c r="BR169" s="366">
        <v>157.66</v>
      </c>
      <c r="BS169" s="366">
        <v>489.37</v>
      </c>
      <c r="BT169" s="366">
        <v>372.09</v>
      </c>
      <c r="BU169" s="366">
        <v>22.22</v>
      </c>
      <c r="BV169" s="366">
        <v>8.9</v>
      </c>
      <c r="BW169" s="366">
        <v>452.15</v>
      </c>
      <c r="BX169" s="366">
        <v>430.46</v>
      </c>
      <c r="BY169" s="366">
        <v>505.48</v>
      </c>
      <c r="BZ169" s="366">
        <v>505.48</v>
      </c>
      <c r="CA169" s="366">
        <v>264.14</v>
      </c>
      <c r="CB169" s="366">
        <v>448.89</v>
      </c>
      <c r="CC169" s="366">
        <v>153.44999999999999</v>
      </c>
      <c r="CD169" s="366">
        <v>166.93</v>
      </c>
      <c r="CE169" s="366">
        <v>532.80999999999995</v>
      </c>
      <c r="CF169" s="366">
        <v>290.97000000000003</v>
      </c>
      <c r="CG169" s="366">
        <v>290.97000000000003</v>
      </c>
      <c r="CH169" s="366">
        <v>142.66</v>
      </c>
      <c r="CI169" s="366">
        <v>261.81</v>
      </c>
      <c r="CJ169" s="366">
        <v>301.92</v>
      </c>
      <c r="CK169" s="366">
        <v>510.57</v>
      </c>
      <c r="CL169" s="366">
        <v>406.65</v>
      </c>
      <c r="CM169" s="366">
        <v>136.19</v>
      </c>
      <c r="CN169" s="366">
        <v>410.78</v>
      </c>
      <c r="CO169" s="366">
        <v>378.75</v>
      </c>
      <c r="CP169" s="366">
        <v>164.35</v>
      </c>
      <c r="CQ169" s="366">
        <v>164.35</v>
      </c>
      <c r="CR169" s="366">
        <v>330.07</v>
      </c>
      <c r="CS169" s="366">
        <v>330.07</v>
      </c>
      <c r="CT169" s="366">
        <v>320.63</v>
      </c>
      <c r="CU169" s="366">
        <v>328.5</v>
      </c>
      <c r="CV169" s="366">
        <v>322.45</v>
      </c>
      <c r="CW169" s="366">
        <v>478</v>
      </c>
      <c r="CX169" s="366">
        <v>141.16</v>
      </c>
      <c r="CY169" s="366">
        <v>182.61</v>
      </c>
      <c r="CZ169" s="366">
        <v>203.85</v>
      </c>
      <c r="DA169" s="366">
        <v>573.54999999999995</v>
      </c>
      <c r="DB169" s="366">
        <v>457.39</v>
      </c>
      <c r="DC169" s="366">
        <v>457.39</v>
      </c>
      <c r="DD169" s="366">
        <v>206.11</v>
      </c>
      <c r="DE169" s="366">
        <v>651.17999999999995</v>
      </c>
      <c r="DF169" s="366">
        <v>455.39</v>
      </c>
      <c r="DG169" s="366">
        <v>232.16</v>
      </c>
      <c r="DH169" s="366">
        <v>713.74</v>
      </c>
      <c r="DI169" s="366">
        <v>156.79</v>
      </c>
      <c r="DJ169" s="366">
        <v>220.05</v>
      </c>
      <c r="DK169" s="366">
        <v>392.88</v>
      </c>
      <c r="DL169" s="366">
        <v>28.22</v>
      </c>
      <c r="DM169" s="366">
        <v>500.76</v>
      </c>
      <c r="DN169" s="366">
        <v>171.55</v>
      </c>
      <c r="DO169" s="366">
        <v>419.45</v>
      </c>
      <c r="DP169" s="366">
        <v>207.96</v>
      </c>
      <c r="DQ169" s="366">
        <v>463.49</v>
      </c>
      <c r="DR169" s="366">
        <v>713.74</v>
      </c>
      <c r="DS169" s="366">
        <v>379.65</v>
      </c>
      <c r="DT169" s="366">
        <v>367.94</v>
      </c>
      <c r="DU169" s="366">
        <v>603.89</v>
      </c>
      <c r="DV169" s="366">
        <v>541.58000000000004</v>
      </c>
      <c r="DW169" s="366">
        <v>345.53</v>
      </c>
      <c r="DX169" s="366">
        <v>438.47</v>
      </c>
      <c r="DY169" s="366">
        <v>511.86</v>
      </c>
      <c r="DZ169" s="366">
        <v>195.13</v>
      </c>
      <c r="EA169" s="366">
        <v>362.42</v>
      </c>
      <c r="EB169" s="366">
        <v>505.86</v>
      </c>
      <c r="EC169" s="366">
        <v>382.36</v>
      </c>
      <c r="ED169" s="366">
        <v>186.56</v>
      </c>
      <c r="EE169" s="366">
        <v>197.35</v>
      </c>
      <c r="EF169" s="366">
        <v>98.19</v>
      </c>
      <c r="EG169" s="366">
        <v>302.94</v>
      </c>
      <c r="EH169" s="366">
        <v>302.94</v>
      </c>
      <c r="EI169" s="366">
        <v>167.4</v>
      </c>
      <c r="EJ169" s="366">
        <v>701.8</v>
      </c>
      <c r="EK169" s="366">
        <v>314.49</v>
      </c>
      <c r="EL169" s="366">
        <v>314.49</v>
      </c>
      <c r="EM169" s="366">
        <v>408.6</v>
      </c>
      <c r="EN169" s="366">
        <v>408.6</v>
      </c>
      <c r="EO169" s="366">
        <v>0</v>
      </c>
      <c r="EP169" s="366">
        <v>85.4</v>
      </c>
      <c r="EQ169" s="366">
        <v>311.14</v>
      </c>
      <c r="ER169" s="366">
        <v>356.58</v>
      </c>
      <c r="ES169" s="366">
        <v>513.08000000000004</v>
      </c>
      <c r="ET169" s="366">
        <v>139.69</v>
      </c>
      <c r="EU169" s="366">
        <v>407.03</v>
      </c>
      <c r="EV169" s="366">
        <v>259.11</v>
      </c>
      <c r="EW169" s="366">
        <v>166.78</v>
      </c>
      <c r="EX169" s="366">
        <v>489.82</v>
      </c>
      <c r="EY169" s="366">
        <v>489.82</v>
      </c>
      <c r="EZ169" s="366">
        <v>453.14</v>
      </c>
      <c r="FA169" s="366">
        <v>405.77</v>
      </c>
      <c r="FB169" s="366">
        <v>377.18</v>
      </c>
      <c r="FC169" s="366">
        <v>458.61</v>
      </c>
      <c r="FD169" s="366">
        <v>313.8</v>
      </c>
      <c r="FE169" s="366">
        <v>171.23</v>
      </c>
      <c r="FF169" s="366">
        <v>249.35</v>
      </c>
      <c r="FG169" s="366">
        <v>238.89</v>
      </c>
      <c r="FH169" s="366">
        <v>238.89</v>
      </c>
      <c r="FI169" s="366">
        <v>239.98</v>
      </c>
      <c r="FJ169" s="366">
        <v>245.77</v>
      </c>
      <c r="FK169" s="366">
        <v>540.82000000000005</v>
      </c>
      <c r="FL169" s="366">
        <v>539.01</v>
      </c>
      <c r="FM169" s="366">
        <v>0</v>
      </c>
      <c r="FN169" s="366">
        <v>289.86</v>
      </c>
      <c r="FO169" s="366">
        <v>370.79</v>
      </c>
      <c r="FP169" s="366">
        <v>490.96</v>
      </c>
      <c r="FQ169" s="366">
        <v>374.66</v>
      </c>
      <c r="FR169" s="366">
        <v>421.9</v>
      </c>
      <c r="FS169" s="366">
        <v>250.06</v>
      </c>
      <c r="FT169" s="366">
        <v>235.21</v>
      </c>
      <c r="FU169" s="366">
        <v>274.2</v>
      </c>
      <c r="FV169" s="366">
        <v>470.93</v>
      </c>
      <c r="FW169" s="366">
        <v>470.93</v>
      </c>
      <c r="FX169" s="366">
        <v>470.93</v>
      </c>
      <c r="FY169" s="366">
        <v>354.91</v>
      </c>
      <c r="FZ169" s="366">
        <v>194.1</v>
      </c>
      <c r="GA169" s="366">
        <v>482.06</v>
      </c>
      <c r="GB169" s="366">
        <v>288.52999999999997</v>
      </c>
      <c r="GC169" s="366">
        <v>186.56</v>
      </c>
      <c r="GD169" s="366">
        <v>412.56</v>
      </c>
      <c r="GE169" s="366">
        <v>320.52999999999997</v>
      </c>
      <c r="GF169" s="366">
        <v>287.73</v>
      </c>
      <c r="GG169" s="366">
        <v>287.73</v>
      </c>
      <c r="GH169" s="366">
        <v>530.51</v>
      </c>
      <c r="GI169" s="366">
        <v>0.16</v>
      </c>
      <c r="GJ169" s="366">
        <v>0</v>
      </c>
      <c r="GK169" s="366">
        <v>537.37</v>
      </c>
      <c r="GL169" s="366">
        <v>181.07</v>
      </c>
      <c r="GM169" s="366">
        <v>181.07</v>
      </c>
      <c r="GN169" s="366">
        <v>181.07</v>
      </c>
      <c r="GO169" s="366">
        <v>52.73</v>
      </c>
      <c r="GP169" s="366">
        <v>487.47</v>
      </c>
      <c r="GQ169" s="366">
        <v>583.08000000000004</v>
      </c>
      <c r="GR169" s="366">
        <v>62.74</v>
      </c>
      <c r="GS169" s="366">
        <v>105.23</v>
      </c>
      <c r="GT169" s="366">
        <v>302.94</v>
      </c>
      <c r="GU169" s="366">
        <v>347.76</v>
      </c>
      <c r="GV169" s="366">
        <v>708.99</v>
      </c>
      <c r="GW169" s="366">
        <v>205.53</v>
      </c>
      <c r="GX169" s="366">
        <v>299.51</v>
      </c>
      <c r="GY169" s="366">
        <v>182.04</v>
      </c>
      <c r="GZ169" s="366">
        <v>313.52</v>
      </c>
      <c r="HA169" s="366">
        <v>376.2</v>
      </c>
      <c r="HB169" s="366">
        <v>376.2</v>
      </c>
      <c r="HC169" s="366">
        <v>376.2</v>
      </c>
      <c r="HD169" s="366">
        <v>158.84</v>
      </c>
      <c r="HE169" s="366">
        <v>402.45</v>
      </c>
      <c r="HF169" s="366">
        <v>358.74</v>
      </c>
      <c r="HG169" s="366">
        <v>486.39</v>
      </c>
      <c r="HH169" s="366">
        <v>486.39</v>
      </c>
      <c r="HI169" s="366">
        <v>486.39</v>
      </c>
      <c r="HJ169" s="366">
        <v>266.86</v>
      </c>
      <c r="HK169" s="366">
        <v>229.56</v>
      </c>
      <c r="HL169" s="366">
        <v>421.99</v>
      </c>
      <c r="HM169" s="366">
        <v>8.7799999999999994</v>
      </c>
      <c r="HN169" s="366">
        <v>0</v>
      </c>
      <c r="HO169" s="366">
        <v>440.23</v>
      </c>
      <c r="HP169" s="366">
        <v>314.24</v>
      </c>
      <c r="HQ169" s="366">
        <v>470.93</v>
      </c>
      <c r="HR169" s="366">
        <v>292.24</v>
      </c>
      <c r="HS169" s="366">
        <v>3.75</v>
      </c>
      <c r="HT169" s="366">
        <v>144.79</v>
      </c>
      <c r="HU169" s="366">
        <v>161.13999999999999</v>
      </c>
      <c r="HV169" s="366">
        <v>185.61</v>
      </c>
    </row>
    <row r="170" spans="1:230">
      <c r="A170" s="366" t="s">
        <v>189</v>
      </c>
      <c r="B170" s="366">
        <v>522.46</v>
      </c>
      <c r="C170" s="366">
        <v>507.83</v>
      </c>
      <c r="D170" s="366">
        <v>311.74</v>
      </c>
      <c r="E170" s="366">
        <v>311.74</v>
      </c>
      <c r="F170" s="366">
        <v>586.36</v>
      </c>
      <c r="G170" s="366">
        <v>322.87</v>
      </c>
      <c r="H170" s="366">
        <v>268.12</v>
      </c>
      <c r="I170" s="366">
        <v>248.61</v>
      </c>
      <c r="J170" s="366">
        <v>244.34</v>
      </c>
      <c r="K170" s="366">
        <v>244.34</v>
      </c>
      <c r="L170" s="366">
        <v>329.65</v>
      </c>
      <c r="M170" s="366">
        <v>533.25</v>
      </c>
      <c r="N170" s="366">
        <v>630.15</v>
      </c>
      <c r="O170" s="366">
        <v>500.26</v>
      </c>
      <c r="P170" s="366">
        <v>500.26</v>
      </c>
      <c r="Q170" s="366">
        <v>500.26</v>
      </c>
      <c r="R170" s="366">
        <v>500.26</v>
      </c>
      <c r="S170" s="366">
        <v>500.26</v>
      </c>
      <c r="T170" s="366">
        <v>259.64999999999998</v>
      </c>
      <c r="U170" s="366">
        <v>430.91</v>
      </c>
      <c r="V170" s="366">
        <v>589.65</v>
      </c>
      <c r="W170" s="366">
        <v>58.73</v>
      </c>
      <c r="X170" s="366">
        <v>58.73</v>
      </c>
      <c r="Y170" s="366">
        <v>58.73</v>
      </c>
      <c r="Z170" s="366">
        <v>627.39</v>
      </c>
      <c r="AA170" s="366">
        <v>317.04000000000002</v>
      </c>
      <c r="AB170" s="366">
        <v>287.14</v>
      </c>
      <c r="AC170" s="366">
        <v>279.27</v>
      </c>
      <c r="AD170" s="366">
        <v>279.27</v>
      </c>
      <c r="AE170" s="366">
        <v>362.64</v>
      </c>
      <c r="AF170" s="366">
        <v>336.61</v>
      </c>
      <c r="AG170" s="366">
        <v>164.57</v>
      </c>
      <c r="AH170" s="366">
        <v>294.66000000000003</v>
      </c>
      <c r="AI170" s="366">
        <v>294.66000000000003</v>
      </c>
      <c r="AJ170" s="366">
        <v>294.66000000000003</v>
      </c>
      <c r="AK170" s="366">
        <v>649.59</v>
      </c>
      <c r="AL170" s="366">
        <v>649.59</v>
      </c>
      <c r="AM170" s="366">
        <v>289.86</v>
      </c>
      <c r="AN170" s="366">
        <v>459.43</v>
      </c>
      <c r="AO170" s="366">
        <v>339.48</v>
      </c>
      <c r="AP170" s="366">
        <v>197.95</v>
      </c>
      <c r="AQ170" s="366">
        <v>542.9</v>
      </c>
      <c r="AR170" s="366">
        <v>284.08</v>
      </c>
      <c r="AS170" s="366">
        <v>405.1</v>
      </c>
      <c r="AT170" s="366">
        <v>405.1</v>
      </c>
      <c r="AU170" s="366">
        <v>504.51</v>
      </c>
      <c r="AV170" s="366">
        <v>461.96</v>
      </c>
      <c r="AW170" s="366">
        <v>206.88</v>
      </c>
      <c r="AX170" s="366">
        <v>329.79</v>
      </c>
      <c r="AY170" s="366">
        <v>665.86</v>
      </c>
      <c r="AZ170" s="366">
        <v>476.45</v>
      </c>
      <c r="BA170" s="366">
        <v>492.87</v>
      </c>
      <c r="BB170" s="366">
        <v>668.75</v>
      </c>
      <c r="BC170" s="366">
        <v>434.93</v>
      </c>
      <c r="BD170" s="366">
        <v>344.7</v>
      </c>
      <c r="BE170" s="366">
        <v>593.71</v>
      </c>
      <c r="BF170" s="366">
        <v>284.11</v>
      </c>
      <c r="BG170" s="366">
        <v>634.94000000000005</v>
      </c>
      <c r="BH170" s="366">
        <v>500.26</v>
      </c>
      <c r="BI170" s="366">
        <v>284.11</v>
      </c>
      <c r="BJ170" s="366">
        <v>573.05999999999995</v>
      </c>
      <c r="BK170" s="366">
        <v>544.23</v>
      </c>
      <c r="BL170" s="366">
        <v>318.74</v>
      </c>
      <c r="BM170" s="366">
        <v>295.52999999999997</v>
      </c>
      <c r="BN170" s="366">
        <v>357.23</v>
      </c>
      <c r="BO170" s="366">
        <v>586.42999999999995</v>
      </c>
      <c r="BP170" s="366">
        <v>552.29</v>
      </c>
      <c r="BQ170" s="366">
        <v>269.31</v>
      </c>
      <c r="BR170" s="366">
        <v>269.31</v>
      </c>
      <c r="BS170" s="366">
        <v>484.02</v>
      </c>
      <c r="BT170" s="366">
        <v>276.02999999999997</v>
      </c>
      <c r="BU170" s="366">
        <v>267.64</v>
      </c>
      <c r="BV170" s="366">
        <v>287.26</v>
      </c>
      <c r="BW170" s="366">
        <v>563.79999999999995</v>
      </c>
      <c r="BX170" s="366">
        <v>425.11</v>
      </c>
      <c r="BY170" s="366">
        <v>617.13</v>
      </c>
      <c r="BZ170" s="366">
        <v>617.13</v>
      </c>
      <c r="CA170" s="366">
        <v>168.08</v>
      </c>
      <c r="CB170" s="366">
        <v>443.54</v>
      </c>
      <c r="CC170" s="366">
        <v>300.95999999999998</v>
      </c>
      <c r="CD170" s="366">
        <v>314.44</v>
      </c>
      <c r="CE170" s="366">
        <v>527.46</v>
      </c>
      <c r="CF170" s="366">
        <v>335.34</v>
      </c>
      <c r="CG170" s="366">
        <v>335.34</v>
      </c>
      <c r="CH170" s="366">
        <v>254.31</v>
      </c>
      <c r="CI170" s="366">
        <v>373.46</v>
      </c>
      <c r="CJ170" s="366">
        <v>346.29</v>
      </c>
      <c r="CK170" s="366">
        <v>622.22</v>
      </c>
      <c r="CL170" s="366">
        <v>518.29999999999995</v>
      </c>
      <c r="CM170" s="366">
        <v>381.21</v>
      </c>
      <c r="CN170" s="366">
        <v>522.42999999999995</v>
      </c>
      <c r="CO170" s="366">
        <v>282.69</v>
      </c>
      <c r="CP170" s="366">
        <v>276</v>
      </c>
      <c r="CQ170" s="366">
        <v>276</v>
      </c>
      <c r="CR170" s="366">
        <v>234.01</v>
      </c>
      <c r="CS170" s="366">
        <v>234.01</v>
      </c>
      <c r="CT170" s="366">
        <v>224.57</v>
      </c>
      <c r="CU170" s="366">
        <v>232.44</v>
      </c>
      <c r="CV170" s="366">
        <v>226.39</v>
      </c>
      <c r="CW170" s="366">
        <v>589.65</v>
      </c>
      <c r="CX170" s="366">
        <v>320.02999999999997</v>
      </c>
      <c r="CY170" s="366">
        <v>427.63</v>
      </c>
      <c r="CZ170" s="366">
        <v>421.25</v>
      </c>
      <c r="DA170" s="366">
        <v>568.20000000000005</v>
      </c>
      <c r="DB170" s="366">
        <v>569.04</v>
      </c>
      <c r="DC170" s="366">
        <v>569.04</v>
      </c>
      <c r="DD170" s="366">
        <v>120.21</v>
      </c>
      <c r="DE170" s="366">
        <v>645.83000000000004</v>
      </c>
      <c r="DF170" s="366">
        <v>570.82000000000005</v>
      </c>
      <c r="DG170" s="366">
        <v>343.81</v>
      </c>
      <c r="DH170" s="366">
        <v>708.39</v>
      </c>
      <c r="DI170" s="366">
        <v>201.16</v>
      </c>
      <c r="DJ170" s="366">
        <v>405.05</v>
      </c>
      <c r="DK170" s="366">
        <v>387.53</v>
      </c>
      <c r="DL170" s="366">
        <v>261.64</v>
      </c>
      <c r="DM170" s="366">
        <v>495.41</v>
      </c>
      <c r="DN170" s="366">
        <v>215.92</v>
      </c>
      <c r="DO170" s="366">
        <v>414.1</v>
      </c>
      <c r="DP170" s="366">
        <v>81.900000000000006</v>
      </c>
      <c r="DQ170" s="366">
        <v>575.14</v>
      </c>
      <c r="DR170" s="366">
        <v>708.39</v>
      </c>
      <c r="DS170" s="366">
        <v>283.58999999999997</v>
      </c>
      <c r="DT170" s="366">
        <v>271.88</v>
      </c>
      <c r="DU170" s="366">
        <v>598.54</v>
      </c>
      <c r="DV170" s="366">
        <v>653.23</v>
      </c>
      <c r="DW170" s="366">
        <v>388.68</v>
      </c>
      <c r="DX170" s="366">
        <v>550.12</v>
      </c>
      <c r="DY170" s="366">
        <v>623.51</v>
      </c>
      <c r="DZ170" s="366">
        <v>129.88</v>
      </c>
      <c r="EA170" s="366">
        <v>266.36</v>
      </c>
      <c r="EB170" s="366">
        <v>617.51</v>
      </c>
      <c r="EC170" s="366">
        <v>286.3</v>
      </c>
      <c r="ED170" s="366">
        <v>230.93</v>
      </c>
      <c r="EE170" s="366">
        <v>241.72</v>
      </c>
      <c r="EF170" s="366">
        <v>191.67</v>
      </c>
      <c r="EG170" s="366">
        <v>206.88</v>
      </c>
      <c r="EH170" s="366">
        <v>206.88</v>
      </c>
      <c r="EI170" s="366">
        <v>314.91000000000003</v>
      </c>
      <c r="EJ170" s="366">
        <v>696.45</v>
      </c>
      <c r="EK170" s="366">
        <v>426.14</v>
      </c>
      <c r="EL170" s="366">
        <v>426.14</v>
      </c>
      <c r="EM170" s="366">
        <v>520.25</v>
      </c>
      <c r="EN170" s="366">
        <v>520.25</v>
      </c>
      <c r="EO170" s="366">
        <v>289.86</v>
      </c>
      <c r="EP170" s="366">
        <v>330.82</v>
      </c>
      <c r="EQ170" s="366">
        <v>215.08</v>
      </c>
      <c r="ER170" s="366">
        <v>400.95</v>
      </c>
      <c r="ES170" s="366">
        <v>507.73</v>
      </c>
      <c r="ET170" s="366">
        <v>251.34</v>
      </c>
      <c r="EU170" s="366">
        <v>522.46</v>
      </c>
      <c r="EV170" s="366">
        <v>58.73</v>
      </c>
      <c r="EW170" s="366">
        <v>314.29000000000002</v>
      </c>
      <c r="EX170" s="366">
        <v>484.47</v>
      </c>
      <c r="EY170" s="366">
        <v>484.47</v>
      </c>
      <c r="EZ170" s="366">
        <v>564.79</v>
      </c>
      <c r="FA170" s="366">
        <v>517.41999999999996</v>
      </c>
      <c r="FB170" s="366">
        <v>371.83</v>
      </c>
      <c r="FC170" s="366">
        <v>570.26</v>
      </c>
      <c r="FD170" s="366">
        <v>425.45</v>
      </c>
      <c r="FE170" s="366">
        <v>318.74</v>
      </c>
      <c r="FF170" s="366">
        <v>361</v>
      </c>
      <c r="FG170" s="366">
        <v>483.91</v>
      </c>
      <c r="FH170" s="366">
        <v>483.91</v>
      </c>
      <c r="FI170" s="366">
        <v>143.91999999999999</v>
      </c>
      <c r="FJ170" s="366">
        <v>149.71</v>
      </c>
      <c r="FK170" s="366">
        <v>535.47</v>
      </c>
      <c r="FL170" s="366">
        <v>533.66</v>
      </c>
      <c r="FM170" s="366">
        <v>289.86</v>
      </c>
      <c r="FN170" s="366">
        <v>0</v>
      </c>
      <c r="FO170" s="366">
        <v>274.73</v>
      </c>
      <c r="FP170" s="366">
        <v>602.61</v>
      </c>
      <c r="FQ170" s="366">
        <v>278.60000000000002</v>
      </c>
      <c r="FR170" s="366">
        <v>346.99</v>
      </c>
      <c r="FS170" s="366">
        <v>361.71</v>
      </c>
      <c r="FT170" s="366">
        <v>389.89</v>
      </c>
      <c r="FU170" s="366">
        <v>385.85</v>
      </c>
      <c r="FV170" s="366">
        <v>586.36</v>
      </c>
      <c r="FW170" s="366">
        <v>586.36</v>
      </c>
      <c r="FX170" s="366">
        <v>586.36</v>
      </c>
      <c r="FY170" s="366">
        <v>466.56</v>
      </c>
      <c r="FZ170" s="366">
        <v>341.61</v>
      </c>
      <c r="GA170" s="366">
        <v>593.71</v>
      </c>
      <c r="GB170" s="366">
        <v>400.18</v>
      </c>
      <c r="GC170" s="366">
        <v>230.93</v>
      </c>
      <c r="GD170" s="366">
        <v>407.21</v>
      </c>
      <c r="GE170" s="366">
        <v>224.47</v>
      </c>
      <c r="GF170" s="366">
        <v>399.38</v>
      </c>
      <c r="GG170" s="366">
        <v>399.38</v>
      </c>
      <c r="GH170" s="366">
        <v>642.16</v>
      </c>
      <c r="GI170" s="366">
        <v>290.02</v>
      </c>
      <c r="GJ170" s="366">
        <v>289.86</v>
      </c>
      <c r="GK170" s="366">
        <v>532.02</v>
      </c>
      <c r="GL170" s="366">
        <v>328.58</v>
      </c>
      <c r="GM170" s="366">
        <v>328.58</v>
      </c>
      <c r="GN170" s="366">
        <v>328.58</v>
      </c>
      <c r="GO170" s="366">
        <v>237.13</v>
      </c>
      <c r="GP170" s="366">
        <v>599.12</v>
      </c>
      <c r="GQ170" s="366">
        <v>577.73</v>
      </c>
      <c r="GR170" s="366">
        <v>262.27</v>
      </c>
      <c r="GS170" s="366">
        <v>216.88</v>
      </c>
      <c r="GT170" s="366">
        <v>206.88</v>
      </c>
      <c r="GU170" s="366">
        <v>380.81</v>
      </c>
      <c r="GV170" s="366">
        <v>703.64</v>
      </c>
      <c r="GW170" s="366">
        <v>344.3</v>
      </c>
      <c r="GX170" s="366">
        <v>203.45</v>
      </c>
      <c r="GY170" s="366">
        <v>293.69</v>
      </c>
      <c r="GZ170" s="366">
        <v>425.17</v>
      </c>
      <c r="HA170" s="366">
        <v>280.14</v>
      </c>
      <c r="HB170" s="366">
        <v>280.14</v>
      </c>
      <c r="HC170" s="366">
        <v>280.14</v>
      </c>
      <c r="HD170" s="366">
        <v>166.17</v>
      </c>
      <c r="HE170" s="366">
        <v>514.1</v>
      </c>
      <c r="HF170" s="366">
        <v>470.39</v>
      </c>
      <c r="HG170" s="366">
        <v>598.04</v>
      </c>
      <c r="HH170" s="366">
        <v>598.04</v>
      </c>
      <c r="HI170" s="366">
        <v>598.04</v>
      </c>
      <c r="HJ170" s="366">
        <v>378.51</v>
      </c>
      <c r="HK170" s="366">
        <v>133.5</v>
      </c>
      <c r="HL170" s="366">
        <v>533.64</v>
      </c>
      <c r="HM170" s="366">
        <v>287.14</v>
      </c>
      <c r="HN170" s="366">
        <v>289.86</v>
      </c>
      <c r="HO170" s="366">
        <v>490.62</v>
      </c>
      <c r="HP170" s="366">
        <v>425.89</v>
      </c>
      <c r="HQ170" s="366">
        <v>586.36</v>
      </c>
      <c r="HR170" s="366">
        <v>336.61</v>
      </c>
      <c r="HS170" s="366">
        <v>286.11</v>
      </c>
      <c r="HT170" s="366">
        <v>238.27</v>
      </c>
      <c r="HU170" s="366">
        <v>272.79000000000002</v>
      </c>
      <c r="HV170" s="366">
        <v>333.12</v>
      </c>
    </row>
    <row r="171" spans="1:230">
      <c r="A171" s="366" t="s">
        <v>190</v>
      </c>
      <c r="B171" s="366">
        <v>633.39</v>
      </c>
      <c r="C171" s="366">
        <v>316.91000000000003</v>
      </c>
      <c r="D171" s="366">
        <v>120.82</v>
      </c>
      <c r="E171" s="366">
        <v>120.82</v>
      </c>
      <c r="F171" s="366">
        <v>697.29</v>
      </c>
      <c r="G171" s="366">
        <v>433.8</v>
      </c>
      <c r="H171" s="366">
        <v>77.2</v>
      </c>
      <c r="I171" s="366">
        <v>329.54</v>
      </c>
      <c r="J171" s="366">
        <v>53.42</v>
      </c>
      <c r="K171" s="366">
        <v>53.42</v>
      </c>
      <c r="L171" s="366">
        <v>138.72999999999999</v>
      </c>
      <c r="M171" s="366">
        <v>342.33</v>
      </c>
      <c r="N171" s="366">
        <v>439.23</v>
      </c>
      <c r="O171" s="366">
        <v>362.64</v>
      </c>
      <c r="P171" s="366">
        <v>362.64</v>
      </c>
      <c r="Q171" s="366">
        <v>362.64</v>
      </c>
      <c r="R171" s="366">
        <v>362.64</v>
      </c>
      <c r="S171" s="366">
        <v>362.64</v>
      </c>
      <c r="T171" s="366">
        <v>340.58</v>
      </c>
      <c r="U171" s="366">
        <v>541.84</v>
      </c>
      <c r="V171" s="366">
        <v>417.57</v>
      </c>
      <c r="W171" s="366">
        <v>243.98</v>
      </c>
      <c r="X171" s="366">
        <v>243.98</v>
      </c>
      <c r="Y171" s="366">
        <v>243.98</v>
      </c>
      <c r="Z171" s="366">
        <v>455.31</v>
      </c>
      <c r="AA171" s="366">
        <v>427.97</v>
      </c>
      <c r="AB171" s="366">
        <v>368.07</v>
      </c>
      <c r="AC171" s="366">
        <v>360.2</v>
      </c>
      <c r="AD171" s="366">
        <v>360.2</v>
      </c>
      <c r="AE171" s="366">
        <v>171.72</v>
      </c>
      <c r="AF171" s="366">
        <v>447.54</v>
      </c>
      <c r="AG171" s="366">
        <v>245.5</v>
      </c>
      <c r="AH171" s="366">
        <v>351.76</v>
      </c>
      <c r="AI171" s="366">
        <v>351.76</v>
      </c>
      <c r="AJ171" s="366">
        <v>351.76</v>
      </c>
      <c r="AK171" s="366">
        <v>477.51</v>
      </c>
      <c r="AL171" s="366">
        <v>477.51</v>
      </c>
      <c r="AM171" s="366">
        <v>370.79</v>
      </c>
      <c r="AN171" s="366">
        <v>321.81</v>
      </c>
      <c r="AO171" s="366">
        <v>450.41</v>
      </c>
      <c r="AP171" s="366">
        <v>278.88</v>
      </c>
      <c r="AQ171" s="366">
        <v>653.83000000000004</v>
      </c>
      <c r="AR171" s="366">
        <v>26.09</v>
      </c>
      <c r="AS171" s="366">
        <v>214.18</v>
      </c>
      <c r="AT171" s="366">
        <v>214.18</v>
      </c>
      <c r="AU171" s="366">
        <v>332.43</v>
      </c>
      <c r="AV171" s="366">
        <v>572.89</v>
      </c>
      <c r="AW171" s="366">
        <v>74.709999999999994</v>
      </c>
      <c r="AX171" s="366">
        <v>410.72</v>
      </c>
      <c r="AY171" s="366">
        <v>474.94</v>
      </c>
      <c r="AZ171" s="366">
        <v>285.52999999999997</v>
      </c>
      <c r="BA171" s="366">
        <v>573.79999999999995</v>
      </c>
      <c r="BB171" s="366">
        <v>477.83</v>
      </c>
      <c r="BC171" s="366">
        <v>515.86</v>
      </c>
      <c r="BD171" s="366">
        <v>425.63</v>
      </c>
      <c r="BE171" s="366">
        <v>421.63</v>
      </c>
      <c r="BF171" s="366">
        <v>365.04</v>
      </c>
      <c r="BG171" s="366">
        <v>462.86</v>
      </c>
      <c r="BH171" s="366">
        <v>362.64</v>
      </c>
      <c r="BI171" s="366">
        <v>26.12</v>
      </c>
      <c r="BJ171" s="366">
        <v>400.98</v>
      </c>
      <c r="BK171" s="366">
        <v>353.31</v>
      </c>
      <c r="BL171" s="366">
        <v>127.82</v>
      </c>
      <c r="BM171" s="366">
        <v>104.61</v>
      </c>
      <c r="BN171" s="366">
        <v>468.16</v>
      </c>
      <c r="BO171" s="366">
        <v>395.51</v>
      </c>
      <c r="BP171" s="366">
        <v>361.37</v>
      </c>
      <c r="BQ171" s="366">
        <v>350.24</v>
      </c>
      <c r="BR171" s="366">
        <v>350.24</v>
      </c>
      <c r="BS171" s="366">
        <v>293.10000000000002</v>
      </c>
      <c r="BT171" s="366">
        <v>18.04</v>
      </c>
      <c r="BU171" s="366">
        <v>348.57</v>
      </c>
      <c r="BV171" s="366">
        <v>368.19</v>
      </c>
      <c r="BW171" s="366">
        <v>391.72</v>
      </c>
      <c r="BX171" s="366">
        <v>234.19</v>
      </c>
      <c r="BY171" s="366">
        <v>445.05</v>
      </c>
      <c r="BZ171" s="366">
        <v>445.05</v>
      </c>
      <c r="CA171" s="366">
        <v>106.65</v>
      </c>
      <c r="CB171" s="366">
        <v>252.62</v>
      </c>
      <c r="CC171" s="366">
        <v>381.89</v>
      </c>
      <c r="CD171" s="366">
        <v>391.98</v>
      </c>
      <c r="CE171" s="366">
        <v>336.54</v>
      </c>
      <c r="CF171" s="366">
        <v>446.27</v>
      </c>
      <c r="CG171" s="366">
        <v>446.27</v>
      </c>
      <c r="CH171" s="366">
        <v>335.24</v>
      </c>
      <c r="CI171" s="366">
        <v>305.60000000000002</v>
      </c>
      <c r="CJ171" s="366">
        <v>457.22</v>
      </c>
      <c r="CK171" s="366">
        <v>450.14</v>
      </c>
      <c r="CL171" s="366">
        <v>346.22</v>
      </c>
      <c r="CM171" s="366">
        <v>462.14</v>
      </c>
      <c r="CN171" s="366">
        <v>350.35</v>
      </c>
      <c r="CO171" s="366">
        <v>24.7</v>
      </c>
      <c r="CP171" s="366">
        <v>356.93</v>
      </c>
      <c r="CQ171" s="366">
        <v>356.93</v>
      </c>
      <c r="CR171" s="366">
        <v>42.71</v>
      </c>
      <c r="CS171" s="366">
        <v>42.71</v>
      </c>
      <c r="CT171" s="366">
        <v>50.16</v>
      </c>
      <c r="CU171" s="366">
        <v>42.29</v>
      </c>
      <c r="CV171" s="366">
        <v>71.37</v>
      </c>
      <c r="CW171" s="366">
        <v>417.57</v>
      </c>
      <c r="CX171" s="366">
        <v>400.96</v>
      </c>
      <c r="CY171" s="366">
        <v>508.56</v>
      </c>
      <c r="CZ171" s="366">
        <v>529.79999999999995</v>
      </c>
      <c r="DA171" s="366">
        <v>377.28</v>
      </c>
      <c r="DB171" s="366">
        <v>396.96</v>
      </c>
      <c r="DC171" s="366">
        <v>396.96</v>
      </c>
      <c r="DD171" s="366">
        <v>231.14</v>
      </c>
      <c r="DE171" s="366">
        <v>454.91</v>
      </c>
      <c r="DF171" s="366">
        <v>681.75</v>
      </c>
      <c r="DG171" s="366">
        <v>335.25</v>
      </c>
      <c r="DH171" s="366">
        <v>517.47</v>
      </c>
      <c r="DI171" s="366">
        <v>312.08999999999997</v>
      </c>
      <c r="DJ171" s="366">
        <v>515.98</v>
      </c>
      <c r="DK171" s="366">
        <v>196.61</v>
      </c>
      <c r="DL171" s="366">
        <v>342.57</v>
      </c>
      <c r="DM171" s="366">
        <v>304.49</v>
      </c>
      <c r="DN171" s="366">
        <v>326.85000000000002</v>
      </c>
      <c r="DO171" s="366">
        <v>223.18</v>
      </c>
      <c r="DP171" s="366">
        <v>192.83</v>
      </c>
      <c r="DQ171" s="366">
        <v>403.06</v>
      </c>
      <c r="DR171" s="366">
        <v>517.47</v>
      </c>
      <c r="DS171" s="366">
        <v>38.840000000000003</v>
      </c>
      <c r="DT171" s="366">
        <v>37.729999999999997</v>
      </c>
      <c r="DU171" s="366">
        <v>407.62</v>
      </c>
      <c r="DV171" s="366">
        <v>474.33</v>
      </c>
      <c r="DW171" s="366">
        <v>197.76</v>
      </c>
      <c r="DX171" s="366">
        <v>378.04</v>
      </c>
      <c r="DY171" s="366">
        <v>451.43</v>
      </c>
      <c r="DZ171" s="366">
        <v>240.81</v>
      </c>
      <c r="EA171" s="366">
        <v>8.3699999999999992</v>
      </c>
      <c r="EB171" s="366">
        <v>445.43</v>
      </c>
      <c r="EC171" s="366">
        <v>95.38</v>
      </c>
      <c r="ED171" s="366">
        <v>341.86</v>
      </c>
      <c r="EE171" s="366">
        <v>352.65</v>
      </c>
      <c r="EF171" s="366">
        <v>272.60000000000002</v>
      </c>
      <c r="EG171" s="366">
        <v>74.709999999999994</v>
      </c>
      <c r="EH171" s="366">
        <v>74.709999999999994</v>
      </c>
      <c r="EI171" s="366">
        <v>375.63</v>
      </c>
      <c r="EJ171" s="366">
        <v>505.53</v>
      </c>
      <c r="EK171" s="366">
        <v>254.06</v>
      </c>
      <c r="EL171" s="366">
        <v>254.06</v>
      </c>
      <c r="EM171" s="366">
        <v>348.17</v>
      </c>
      <c r="EN171" s="366">
        <v>348.17</v>
      </c>
      <c r="EO171" s="366">
        <v>370.79</v>
      </c>
      <c r="EP171" s="366">
        <v>411.75</v>
      </c>
      <c r="EQ171" s="366">
        <v>59.65</v>
      </c>
      <c r="ER171" s="366">
        <v>511.88</v>
      </c>
      <c r="ES171" s="366">
        <v>316.81</v>
      </c>
      <c r="ET171" s="366">
        <v>332.27</v>
      </c>
      <c r="EU171" s="366">
        <v>633.39</v>
      </c>
      <c r="EV171" s="366">
        <v>243.98</v>
      </c>
      <c r="EW171" s="366">
        <v>376.55</v>
      </c>
      <c r="EX171" s="366">
        <v>293.55</v>
      </c>
      <c r="EY171" s="366">
        <v>293.55</v>
      </c>
      <c r="EZ171" s="366">
        <v>399.98</v>
      </c>
      <c r="FA171" s="366">
        <v>345.34</v>
      </c>
      <c r="FB171" s="366">
        <v>180.91</v>
      </c>
      <c r="FC171" s="366">
        <v>398.18</v>
      </c>
      <c r="FD171" s="366">
        <v>287.83</v>
      </c>
      <c r="FE171" s="366">
        <v>379.46</v>
      </c>
      <c r="FF171" s="366">
        <v>354.64</v>
      </c>
      <c r="FG171" s="366">
        <v>564.84</v>
      </c>
      <c r="FH171" s="366">
        <v>564.84</v>
      </c>
      <c r="FI171" s="366">
        <v>224.85</v>
      </c>
      <c r="FJ171" s="366">
        <v>230.64</v>
      </c>
      <c r="FK171" s="366">
        <v>344.55</v>
      </c>
      <c r="FL171" s="366">
        <v>342.74</v>
      </c>
      <c r="FM171" s="366">
        <v>370.79</v>
      </c>
      <c r="FN171" s="366">
        <v>274.73</v>
      </c>
      <c r="FO171" s="366">
        <v>0</v>
      </c>
      <c r="FP171" s="366">
        <v>430.53</v>
      </c>
      <c r="FQ171" s="366">
        <v>20.61</v>
      </c>
      <c r="FR171" s="366">
        <v>156.07</v>
      </c>
      <c r="FS171" s="366">
        <v>284.70999999999998</v>
      </c>
      <c r="FT171" s="366">
        <v>500.82</v>
      </c>
      <c r="FU171" s="366">
        <v>293.20999999999998</v>
      </c>
      <c r="FV171" s="366">
        <v>697.29</v>
      </c>
      <c r="FW171" s="366">
        <v>697.29</v>
      </c>
      <c r="FX171" s="366">
        <v>697.29</v>
      </c>
      <c r="FY171" s="366">
        <v>294.48</v>
      </c>
      <c r="FZ171" s="366">
        <v>369.37</v>
      </c>
      <c r="GA171" s="366">
        <v>421.63</v>
      </c>
      <c r="GB171" s="366">
        <v>323.18</v>
      </c>
      <c r="GC171" s="366">
        <v>341.86</v>
      </c>
      <c r="GD171" s="366">
        <v>216.29</v>
      </c>
      <c r="GE171" s="366">
        <v>50.26</v>
      </c>
      <c r="GF171" s="366">
        <v>279.68</v>
      </c>
      <c r="GG171" s="366">
        <v>279.68</v>
      </c>
      <c r="GH171" s="366">
        <v>470.08</v>
      </c>
      <c r="GI171" s="366">
        <v>370.95</v>
      </c>
      <c r="GJ171" s="366">
        <v>370.79</v>
      </c>
      <c r="GK171" s="366">
        <v>341.1</v>
      </c>
      <c r="GL171" s="366">
        <v>361.96</v>
      </c>
      <c r="GM171" s="366">
        <v>361.96</v>
      </c>
      <c r="GN171" s="366">
        <v>361.96</v>
      </c>
      <c r="GO171" s="366">
        <v>318.06</v>
      </c>
      <c r="GP171" s="366">
        <v>427.04</v>
      </c>
      <c r="GQ171" s="366">
        <v>386.81</v>
      </c>
      <c r="GR171" s="366">
        <v>373.2</v>
      </c>
      <c r="GS171" s="366">
        <v>297.81</v>
      </c>
      <c r="GT171" s="366">
        <v>74.709999999999994</v>
      </c>
      <c r="GU171" s="366">
        <v>189.89</v>
      </c>
      <c r="GV171" s="366">
        <v>512.72</v>
      </c>
      <c r="GW171" s="366">
        <v>337.94</v>
      </c>
      <c r="GX171" s="366">
        <v>71.28</v>
      </c>
      <c r="GY171" s="366">
        <v>352.73</v>
      </c>
      <c r="GZ171" s="366">
        <v>287.55</v>
      </c>
      <c r="HA171" s="366">
        <v>8.67</v>
      </c>
      <c r="HB171" s="366">
        <v>8.67</v>
      </c>
      <c r="HC171" s="366">
        <v>8.67</v>
      </c>
      <c r="HD171" s="366">
        <v>277.10000000000002</v>
      </c>
      <c r="HE171" s="366">
        <v>342.02</v>
      </c>
      <c r="HF171" s="366">
        <v>298.31</v>
      </c>
      <c r="HG171" s="366">
        <v>425.96</v>
      </c>
      <c r="HH171" s="366">
        <v>425.96</v>
      </c>
      <c r="HI171" s="366">
        <v>425.96</v>
      </c>
      <c r="HJ171" s="366">
        <v>300.55</v>
      </c>
      <c r="HK171" s="366">
        <v>147.19999999999999</v>
      </c>
      <c r="HL171" s="366">
        <v>396.02</v>
      </c>
      <c r="HM171" s="366">
        <v>368.07</v>
      </c>
      <c r="HN171" s="366">
        <v>370.79</v>
      </c>
      <c r="HO171" s="366">
        <v>601.54999999999995</v>
      </c>
      <c r="HP171" s="366">
        <v>288.27</v>
      </c>
      <c r="HQ171" s="366">
        <v>697.29</v>
      </c>
      <c r="HR171" s="366">
        <v>447.54</v>
      </c>
      <c r="HS171" s="366">
        <v>367.04</v>
      </c>
      <c r="HT171" s="366">
        <v>319.2</v>
      </c>
      <c r="HU171" s="366">
        <v>353.72</v>
      </c>
      <c r="HV171" s="366">
        <v>398.91</v>
      </c>
    </row>
    <row r="172" spans="1:230">
      <c r="A172" s="366" t="s">
        <v>191</v>
      </c>
      <c r="B172" s="366">
        <v>863.48</v>
      </c>
      <c r="C172" s="366">
        <v>408.94</v>
      </c>
      <c r="D172" s="366">
        <v>309.70999999999998</v>
      </c>
      <c r="E172" s="366">
        <v>309.70999999999998</v>
      </c>
      <c r="F172" s="366">
        <v>927.38</v>
      </c>
      <c r="G172" s="366">
        <v>734.95</v>
      </c>
      <c r="H172" s="366">
        <v>353.33</v>
      </c>
      <c r="I172" s="366">
        <v>354</v>
      </c>
      <c r="J172" s="366">
        <v>377.11</v>
      </c>
      <c r="K172" s="366">
        <v>377.11</v>
      </c>
      <c r="L172" s="366">
        <v>300.32</v>
      </c>
      <c r="M172" s="366">
        <v>434.36</v>
      </c>
      <c r="N172" s="366">
        <v>484.67</v>
      </c>
      <c r="O172" s="366">
        <v>197.29</v>
      </c>
      <c r="P172" s="366">
        <v>197.29</v>
      </c>
      <c r="Q172" s="366">
        <v>197.29</v>
      </c>
      <c r="R172" s="366">
        <v>197.29</v>
      </c>
      <c r="S172" s="366">
        <v>197.29</v>
      </c>
      <c r="T172" s="366">
        <v>428.5</v>
      </c>
      <c r="U172" s="366">
        <v>842.99</v>
      </c>
      <c r="V172" s="366">
        <v>12.96</v>
      </c>
      <c r="W172" s="366">
        <v>571.86</v>
      </c>
      <c r="X172" s="366">
        <v>571.86</v>
      </c>
      <c r="Y172" s="366">
        <v>571.86</v>
      </c>
      <c r="Z172" s="366">
        <v>299.83</v>
      </c>
      <c r="AA172" s="366">
        <v>729.12</v>
      </c>
      <c r="AB172" s="366">
        <v>488.24</v>
      </c>
      <c r="AC172" s="366">
        <v>490.7</v>
      </c>
      <c r="AD172" s="366">
        <v>490.7</v>
      </c>
      <c r="AE172" s="366">
        <v>258.81</v>
      </c>
      <c r="AF172" s="366">
        <v>748.69</v>
      </c>
      <c r="AG172" s="366">
        <v>573.38</v>
      </c>
      <c r="AH172" s="366">
        <v>307.95</v>
      </c>
      <c r="AI172" s="366">
        <v>307.95</v>
      </c>
      <c r="AJ172" s="366">
        <v>307.95</v>
      </c>
      <c r="AK172" s="366">
        <v>322.02999999999997</v>
      </c>
      <c r="AL172" s="366">
        <v>322.02999999999997</v>
      </c>
      <c r="AM172" s="366">
        <v>490.96</v>
      </c>
      <c r="AN172" s="366">
        <v>238.12</v>
      </c>
      <c r="AO172" s="366">
        <v>742.07</v>
      </c>
      <c r="AP172" s="366">
        <v>417.22</v>
      </c>
      <c r="AQ172" s="366">
        <v>883.92</v>
      </c>
      <c r="AR172" s="366">
        <v>439.88</v>
      </c>
      <c r="AS172" s="366">
        <v>224.87</v>
      </c>
      <c r="AT172" s="366">
        <v>224.87</v>
      </c>
      <c r="AU172" s="366">
        <v>98.1</v>
      </c>
      <c r="AV172" s="366">
        <v>874.04</v>
      </c>
      <c r="AW172" s="366">
        <v>421.43</v>
      </c>
      <c r="AX172" s="366">
        <v>374.6</v>
      </c>
      <c r="AY172" s="366">
        <v>520.38</v>
      </c>
      <c r="AZ172" s="366">
        <v>377.56</v>
      </c>
      <c r="BA172" s="366">
        <v>704.3</v>
      </c>
      <c r="BB172" s="366">
        <v>523.27</v>
      </c>
      <c r="BC172" s="366">
        <v>646.36</v>
      </c>
      <c r="BD172" s="366">
        <v>556.13</v>
      </c>
      <c r="BE172" s="366">
        <v>8.9</v>
      </c>
      <c r="BF172" s="366">
        <v>485.21</v>
      </c>
      <c r="BG172" s="366">
        <v>307.38</v>
      </c>
      <c r="BH172" s="366">
        <v>197.29</v>
      </c>
      <c r="BI172" s="366">
        <v>439.91</v>
      </c>
      <c r="BJ172" s="366">
        <v>245.5</v>
      </c>
      <c r="BK172" s="366">
        <v>445.34</v>
      </c>
      <c r="BL172" s="366">
        <v>302.70999999999998</v>
      </c>
      <c r="BM172" s="366">
        <v>325.92</v>
      </c>
      <c r="BN172" s="366">
        <v>769.31</v>
      </c>
      <c r="BO172" s="366">
        <v>487.54</v>
      </c>
      <c r="BP172" s="366">
        <v>453.4</v>
      </c>
      <c r="BQ172" s="366">
        <v>333.3</v>
      </c>
      <c r="BR172" s="366">
        <v>333.3</v>
      </c>
      <c r="BS172" s="366">
        <v>385.13</v>
      </c>
      <c r="BT172" s="366">
        <v>424.34</v>
      </c>
      <c r="BU172" s="366">
        <v>468.74</v>
      </c>
      <c r="BV172" s="366">
        <v>488.36</v>
      </c>
      <c r="BW172" s="366">
        <v>66.17</v>
      </c>
      <c r="BX172" s="366">
        <v>326.22000000000003</v>
      </c>
      <c r="BY172" s="366">
        <v>14.52</v>
      </c>
      <c r="BZ172" s="366">
        <v>14.52</v>
      </c>
      <c r="CA172" s="366">
        <v>453.37</v>
      </c>
      <c r="CB172" s="366">
        <v>344.65</v>
      </c>
      <c r="CC172" s="366">
        <v>345.77</v>
      </c>
      <c r="CD172" s="366">
        <v>348.17</v>
      </c>
      <c r="CE172" s="366">
        <v>428.57</v>
      </c>
      <c r="CF172" s="366">
        <v>747.42</v>
      </c>
      <c r="CG172" s="366">
        <v>747.42</v>
      </c>
      <c r="CH172" s="366">
        <v>348.3</v>
      </c>
      <c r="CI172" s="366">
        <v>251.21</v>
      </c>
      <c r="CJ172" s="366">
        <v>758.37</v>
      </c>
      <c r="CK172" s="366">
        <v>19.61</v>
      </c>
      <c r="CL172" s="366">
        <v>111.89</v>
      </c>
      <c r="CM172" s="366">
        <v>592.64</v>
      </c>
      <c r="CN172" s="366">
        <v>194.87</v>
      </c>
      <c r="CO172" s="366">
        <v>438.49</v>
      </c>
      <c r="CP172" s="366">
        <v>326.61</v>
      </c>
      <c r="CQ172" s="366">
        <v>326.61</v>
      </c>
      <c r="CR172" s="366">
        <v>390.89</v>
      </c>
      <c r="CS172" s="366">
        <v>390.89</v>
      </c>
      <c r="CT172" s="366">
        <v>400.33</v>
      </c>
      <c r="CU172" s="366">
        <v>392.46</v>
      </c>
      <c r="CV172" s="366">
        <v>395.06</v>
      </c>
      <c r="CW172" s="366">
        <v>12.96</v>
      </c>
      <c r="CX172" s="366">
        <v>364.84</v>
      </c>
      <c r="CY172" s="366">
        <v>639.05999999999995</v>
      </c>
      <c r="CZ172" s="366">
        <v>660.3</v>
      </c>
      <c r="DA172" s="366">
        <v>422.72</v>
      </c>
      <c r="DB172" s="366">
        <v>241.48</v>
      </c>
      <c r="DC172" s="366">
        <v>241.48</v>
      </c>
      <c r="DD172" s="366">
        <v>559.02</v>
      </c>
      <c r="DE172" s="366">
        <v>500.35</v>
      </c>
      <c r="DF172" s="366">
        <v>911.84</v>
      </c>
      <c r="DG172" s="366">
        <v>280.86</v>
      </c>
      <c r="DH172" s="366">
        <v>562.91</v>
      </c>
      <c r="DI172" s="366">
        <v>613.24</v>
      </c>
      <c r="DJ172" s="366">
        <v>676.5</v>
      </c>
      <c r="DK172" s="366">
        <v>288.64</v>
      </c>
      <c r="DL172" s="366">
        <v>474.74</v>
      </c>
      <c r="DM172" s="366">
        <v>396.52</v>
      </c>
      <c r="DN172" s="366">
        <v>628</v>
      </c>
      <c r="DO172" s="366">
        <v>315.20999999999998</v>
      </c>
      <c r="DP172" s="366">
        <v>520.71</v>
      </c>
      <c r="DQ172" s="366">
        <v>48.39</v>
      </c>
      <c r="DR172" s="366">
        <v>562.91</v>
      </c>
      <c r="DS172" s="366">
        <v>416.36</v>
      </c>
      <c r="DT172" s="366">
        <v>404.65</v>
      </c>
      <c r="DU172" s="366">
        <v>392.38</v>
      </c>
      <c r="DV172" s="366">
        <v>325.67</v>
      </c>
      <c r="DW172" s="366">
        <v>241.29</v>
      </c>
      <c r="DX172" s="366">
        <v>52.49</v>
      </c>
      <c r="DY172" s="366">
        <v>20.9</v>
      </c>
      <c r="DZ172" s="366">
        <v>568.69000000000005</v>
      </c>
      <c r="EA172" s="366">
        <v>422.16</v>
      </c>
      <c r="EB172" s="366">
        <v>14.9</v>
      </c>
      <c r="EC172" s="366">
        <v>335.15</v>
      </c>
      <c r="ED172" s="366">
        <v>643.01</v>
      </c>
      <c r="EE172" s="366">
        <v>653.79999999999995</v>
      </c>
      <c r="EF172" s="366">
        <v>410.94</v>
      </c>
      <c r="EG172" s="366">
        <v>421.43</v>
      </c>
      <c r="EH172" s="366">
        <v>421.43</v>
      </c>
      <c r="EI172" s="366">
        <v>331.82</v>
      </c>
      <c r="EJ172" s="366">
        <v>597.55999999999995</v>
      </c>
      <c r="EK172" s="366">
        <v>210.25</v>
      </c>
      <c r="EL172" s="366">
        <v>210.25</v>
      </c>
      <c r="EM172" s="366">
        <v>145.13</v>
      </c>
      <c r="EN172" s="366">
        <v>145.13</v>
      </c>
      <c r="EO172" s="366">
        <v>490.96</v>
      </c>
      <c r="EP172" s="366">
        <v>413.82</v>
      </c>
      <c r="EQ172" s="366">
        <v>409.82</v>
      </c>
      <c r="ER172" s="366">
        <v>813.03</v>
      </c>
      <c r="ES172" s="366">
        <v>408.84</v>
      </c>
      <c r="ET172" s="366">
        <v>351.27</v>
      </c>
      <c r="EU172" s="366">
        <v>863.48</v>
      </c>
      <c r="EV172" s="366">
        <v>571.86</v>
      </c>
      <c r="EW172" s="366">
        <v>332.74</v>
      </c>
      <c r="EX172" s="366">
        <v>385.58</v>
      </c>
      <c r="EY172" s="366">
        <v>385.58</v>
      </c>
      <c r="EZ172" s="366">
        <v>165.65</v>
      </c>
      <c r="FA172" s="366">
        <v>111.01</v>
      </c>
      <c r="FB172" s="366">
        <v>272.94</v>
      </c>
      <c r="FC172" s="366">
        <v>72.63</v>
      </c>
      <c r="FD172" s="366">
        <v>238.38</v>
      </c>
      <c r="FE172" s="366">
        <v>335.65</v>
      </c>
      <c r="FF172" s="366">
        <v>310.83</v>
      </c>
      <c r="FG172" s="366">
        <v>695.34</v>
      </c>
      <c r="FH172" s="366">
        <v>695.34</v>
      </c>
      <c r="FI172" s="366">
        <v>552.73</v>
      </c>
      <c r="FJ172" s="366">
        <v>558.52</v>
      </c>
      <c r="FK172" s="366">
        <v>436.58</v>
      </c>
      <c r="FL172" s="366">
        <v>434.77</v>
      </c>
      <c r="FM172" s="366">
        <v>490.96</v>
      </c>
      <c r="FN172" s="366">
        <v>602.61</v>
      </c>
      <c r="FO172" s="366">
        <v>430.53</v>
      </c>
      <c r="FP172" s="366">
        <v>0</v>
      </c>
      <c r="FQ172" s="366">
        <v>434.4</v>
      </c>
      <c r="FR172" s="366">
        <v>317.66000000000003</v>
      </c>
      <c r="FS172" s="366">
        <v>240.9</v>
      </c>
      <c r="FT172" s="366">
        <v>691.66</v>
      </c>
      <c r="FU172" s="366">
        <v>238.82</v>
      </c>
      <c r="FV172" s="366">
        <v>927.38</v>
      </c>
      <c r="FW172" s="366">
        <v>927.38</v>
      </c>
      <c r="FX172" s="366">
        <v>927.38</v>
      </c>
      <c r="FY172" s="366">
        <v>136.05000000000001</v>
      </c>
      <c r="FZ172" s="366">
        <v>325.56</v>
      </c>
      <c r="GA172" s="366">
        <v>8.9</v>
      </c>
      <c r="GB172" s="366">
        <v>279.37</v>
      </c>
      <c r="GC172" s="366">
        <v>643.01</v>
      </c>
      <c r="GD172" s="366">
        <v>308.32</v>
      </c>
      <c r="GE172" s="366">
        <v>400.43</v>
      </c>
      <c r="GF172" s="366">
        <v>225.29</v>
      </c>
      <c r="GG172" s="366">
        <v>225.29</v>
      </c>
      <c r="GH172" s="366">
        <v>39.549999999999997</v>
      </c>
      <c r="GI172" s="366">
        <v>491.12</v>
      </c>
      <c r="GJ172" s="366">
        <v>490.96</v>
      </c>
      <c r="GK172" s="366">
        <v>433.13</v>
      </c>
      <c r="GL172" s="366">
        <v>318.14999999999998</v>
      </c>
      <c r="GM172" s="366">
        <v>318.14999999999998</v>
      </c>
      <c r="GN172" s="366">
        <v>318.14999999999998</v>
      </c>
      <c r="GO172" s="366">
        <v>456.4</v>
      </c>
      <c r="GP172" s="366">
        <v>3.49</v>
      </c>
      <c r="GQ172" s="366">
        <v>478.84</v>
      </c>
      <c r="GR172" s="366">
        <v>519.19000000000005</v>
      </c>
      <c r="GS172" s="366">
        <v>385.73</v>
      </c>
      <c r="GT172" s="366">
        <v>421.43</v>
      </c>
      <c r="GU172" s="366">
        <v>243.52</v>
      </c>
      <c r="GV172" s="366">
        <v>604.75</v>
      </c>
      <c r="GW172" s="366">
        <v>294.13</v>
      </c>
      <c r="GX172" s="366">
        <v>418</v>
      </c>
      <c r="GY172" s="366">
        <v>308.92</v>
      </c>
      <c r="GZ172" s="366">
        <v>238.1</v>
      </c>
      <c r="HA172" s="366">
        <v>435.94</v>
      </c>
      <c r="HB172" s="366">
        <v>435.94</v>
      </c>
      <c r="HC172" s="366">
        <v>435.94</v>
      </c>
      <c r="HD172" s="366">
        <v>604.98</v>
      </c>
      <c r="HE172" s="366">
        <v>138.97999999999999</v>
      </c>
      <c r="HF172" s="366">
        <v>176.12</v>
      </c>
      <c r="HG172" s="366">
        <v>270.48</v>
      </c>
      <c r="HH172" s="366">
        <v>270.48</v>
      </c>
      <c r="HI172" s="366">
        <v>270.48</v>
      </c>
      <c r="HJ172" s="366">
        <v>246.16</v>
      </c>
      <c r="HK172" s="366">
        <v>493.92</v>
      </c>
      <c r="HL172" s="366">
        <v>163.91</v>
      </c>
      <c r="HM172" s="366">
        <v>488.24</v>
      </c>
      <c r="HN172" s="366">
        <v>490.96</v>
      </c>
      <c r="HO172" s="366">
        <v>896.68</v>
      </c>
      <c r="HP172" s="366">
        <v>238.82</v>
      </c>
      <c r="HQ172" s="366">
        <v>927.38</v>
      </c>
      <c r="HR172" s="366">
        <v>748.69</v>
      </c>
      <c r="HS172" s="366">
        <v>487.21</v>
      </c>
      <c r="HT172" s="366">
        <v>369.53</v>
      </c>
      <c r="HU172" s="366">
        <v>336.78</v>
      </c>
      <c r="HV172" s="366">
        <v>355.1</v>
      </c>
    </row>
    <row r="173" spans="1:230">
      <c r="A173" s="366" t="s">
        <v>192</v>
      </c>
      <c r="B173" s="366">
        <v>637.26</v>
      </c>
      <c r="C173" s="366">
        <v>320.77999999999997</v>
      </c>
      <c r="D173" s="366">
        <v>124.69</v>
      </c>
      <c r="E173" s="366">
        <v>124.69</v>
      </c>
      <c r="F173" s="366">
        <v>701.16</v>
      </c>
      <c r="G173" s="366">
        <v>437.67</v>
      </c>
      <c r="H173" s="366">
        <v>81.069999999999993</v>
      </c>
      <c r="I173" s="366">
        <v>333.41</v>
      </c>
      <c r="J173" s="366">
        <v>57.29</v>
      </c>
      <c r="K173" s="366">
        <v>57.29</v>
      </c>
      <c r="L173" s="366">
        <v>142.6</v>
      </c>
      <c r="M173" s="366">
        <v>346.2</v>
      </c>
      <c r="N173" s="366">
        <v>443.1</v>
      </c>
      <c r="O173" s="366">
        <v>366.51</v>
      </c>
      <c r="P173" s="366">
        <v>366.51</v>
      </c>
      <c r="Q173" s="366">
        <v>366.51</v>
      </c>
      <c r="R173" s="366">
        <v>366.51</v>
      </c>
      <c r="S173" s="366">
        <v>366.51</v>
      </c>
      <c r="T173" s="366">
        <v>344.45</v>
      </c>
      <c r="U173" s="366">
        <v>545.71</v>
      </c>
      <c r="V173" s="366">
        <v>421.44</v>
      </c>
      <c r="W173" s="366">
        <v>247.85</v>
      </c>
      <c r="X173" s="366">
        <v>247.85</v>
      </c>
      <c r="Y173" s="366">
        <v>247.85</v>
      </c>
      <c r="Z173" s="366">
        <v>459.18</v>
      </c>
      <c r="AA173" s="366">
        <v>431.84</v>
      </c>
      <c r="AB173" s="366">
        <v>371.94</v>
      </c>
      <c r="AC173" s="366">
        <v>364.07</v>
      </c>
      <c r="AD173" s="366">
        <v>364.07</v>
      </c>
      <c r="AE173" s="366">
        <v>175.59</v>
      </c>
      <c r="AF173" s="366">
        <v>451.41</v>
      </c>
      <c r="AG173" s="366">
        <v>249.37</v>
      </c>
      <c r="AH173" s="366">
        <v>355.63</v>
      </c>
      <c r="AI173" s="366">
        <v>355.63</v>
      </c>
      <c r="AJ173" s="366">
        <v>355.63</v>
      </c>
      <c r="AK173" s="366">
        <v>481.38</v>
      </c>
      <c r="AL173" s="366">
        <v>481.38</v>
      </c>
      <c r="AM173" s="366">
        <v>374.66</v>
      </c>
      <c r="AN173" s="366">
        <v>325.68</v>
      </c>
      <c r="AO173" s="366">
        <v>454.28</v>
      </c>
      <c r="AP173" s="366">
        <v>282.75</v>
      </c>
      <c r="AQ173" s="366">
        <v>657.7</v>
      </c>
      <c r="AR173" s="366">
        <v>5.66</v>
      </c>
      <c r="AS173" s="366">
        <v>218.05</v>
      </c>
      <c r="AT173" s="366">
        <v>218.05</v>
      </c>
      <c r="AU173" s="366">
        <v>336.3</v>
      </c>
      <c r="AV173" s="366">
        <v>576.76</v>
      </c>
      <c r="AW173" s="366">
        <v>78.58</v>
      </c>
      <c r="AX173" s="366">
        <v>414.59</v>
      </c>
      <c r="AY173" s="366">
        <v>478.81</v>
      </c>
      <c r="AZ173" s="366">
        <v>289.39999999999998</v>
      </c>
      <c r="BA173" s="366">
        <v>577.66999999999996</v>
      </c>
      <c r="BB173" s="366">
        <v>481.7</v>
      </c>
      <c r="BC173" s="366">
        <v>519.73</v>
      </c>
      <c r="BD173" s="366">
        <v>429.5</v>
      </c>
      <c r="BE173" s="366">
        <v>425.5</v>
      </c>
      <c r="BF173" s="366">
        <v>368.91</v>
      </c>
      <c r="BG173" s="366">
        <v>466.73</v>
      </c>
      <c r="BH173" s="366">
        <v>366.51</v>
      </c>
      <c r="BI173" s="366">
        <v>5.69</v>
      </c>
      <c r="BJ173" s="366">
        <v>404.85</v>
      </c>
      <c r="BK173" s="366">
        <v>357.18</v>
      </c>
      <c r="BL173" s="366">
        <v>131.69</v>
      </c>
      <c r="BM173" s="366">
        <v>108.48</v>
      </c>
      <c r="BN173" s="366">
        <v>472.03</v>
      </c>
      <c r="BO173" s="366">
        <v>399.38</v>
      </c>
      <c r="BP173" s="366">
        <v>365.24</v>
      </c>
      <c r="BQ173" s="366">
        <v>354.11</v>
      </c>
      <c r="BR173" s="366">
        <v>354.11</v>
      </c>
      <c r="BS173" s="366">
        <v>296.97000000000003</v>
      </c>
      <c r="BT173" s="366">
        <v>21.91</v>
      </c>
      <c r="BU173" s="366">
        <v>352.44</v>
      </c>
      <c r="BV173" s="366">
        <v>372.06</v>
      </c>
      <c r="BW173" s="366">
        <v>395.59</v>
      </c>
      <c r="BX173" s="366">
        <v>238.06</v>
      </c>
      <c r="BY173" s="366">
        <v>448.92</v>
      </c>
      <c r="BZ173" s="366">
        <v>448.92</v>
      </c>
      <c r="CA173" s="366">
        <v>110.52</v>
      </c>
      <c r="CB173" s="366">
        <v>256.49</v>
      </c>
      <c r="CC173" s="366">
        <v>385.76</v>
      </c>
      <c r="CD173" s="366">
        <v>395.85</v>
      </c>
      <c r="CE173" s="366">
        <v>340.41</v>
      </c>
      <c r="CF173" s="366">
        <v>450.14</v>
      </c>
      <c r="CG173" s="366">
        <v>450.14</v>
      </c>
      <c r="CH173" s="366">
        <v>339.11</v>
      </c>
      <c r="CI173" s="366">
        <v>309.47000000000003</v>
      </c>
      <c r="CJ173" s="366">
        <v>461.09</v>
      </c>
      <c r="CK173" s="366">
        <v>454.01</v>
      </c>
      <c r="CL173" s="366">
        <v>350.09</v>
      </c>
      <c r="CM173" s="366">
        <v>466.01</v>
      </c>
      <c r="CN173" s="366">
        <v>354.22</v>
      </c>
      <c r="CO173" s="366">
        <v>4.2699999999999996</v>
      </c>
      <c r="CP173" s="366">
        <v>360.8</v>
      </c>
      <c r="CQ173" s="366">
        <v>360.8</v>
      </c>
      <c r="CR173" s="366">
        <v>46.58</v>
      </c>
      <c r="CS173" s="366">
        <v>46.58</v>
      </c>
      <c r="CT173" s="366">
        <v>54.03</v>
      </c>
      <c r="CU173" s="366">
        <v>46.16</v>
      </c>
      <c r="CV173" s="366">
        <v>75.239999999999995</v>
      </c>
      <c r="CW173" s="366">
        <v>421.44</v>
      </c>
      <c r="CX173" s="366">
        <v>404.83</v>
      </c>
      <c r="CY173" s="366">
        <v>512.42999999999995</v>
      </c>
      <c r="CZ173" s="366">
        <v>533.66999999999996</v>
      </c>
      <c r="DA173" s="366">
        <v>381.15</v>
      </c>
      <c r="DB173" s="366">
        <v>400.83</v>
      </c>
      <c r="DC173" s="366">
        <v>400.83</v>
      </c>
      <c r="DD173" s="366">
        <v>235.01</v>
      </c>
      <c r="DE173" s="366">
        <v>458.78</v>
      </c>
      <c r="DF173" s="366">
        <v>685.62</v>
      </c>
      <c r="DG173" s="366">
        <v>339.12</v>
      </c>
      <c r="DH173" s="366">
        <v>521.34</v>
      </c>
      <c r="DI173" s="366">
        <v>315.95999999999998</v>
      </c>
      <c r="DJ173" s="366">
        <v>519.85</v>
      </c>
      <c r="DK173" s="366">
        <v>200.48</v>
      </c>
      <c r="DL173" s="366">
        <v>346.44</v>
      </c>
      <c r="DM173" s="366">
        <v>308.36</v>
      </c>
      <c r="DN173" s="366">
        <v>330.72</v>
      </c>
      <c r="DO173" s="366">
        <v>227.05</v>
      </c>
      <c r="DP173" s="366">
        <v>196.7</v>
      </c>
      <c r="DQ173" s="366">
        <v>406.93</v>
      </c>
      <c r="DR173" s="366">
        <v>521.34</v>
      </c>
      <c r="DS173" s="366">
        <v>42.71</v>
      </c>
      <c r="DT173" s="366">
        <v>41.6</v>
      </c>
      <c r="DU173" s="366">
        <v>411.49</v>
      </c>
      <c r="DV173" s="366">
        <v>478.2</v>
      </c>
      <c r="DW173" s="366">
        <v>201.63</v>
      </c>
      <c r="DX173" s="366">
        <v>381.91</v>
      </c>
      <c r="DY173" s="366">
        <v>455.3</v>
      </c>
      <c r="DZ173" s="366">
        <v>244.68</v>
      </c>
      <c r="EA173" s="366">
        <v>12.24</v>
      </c>
      <c r="EB173" s="366">
        <v>449.3</v>
      </c>
      <c r="EC173" s="366">
        <v>99.25</v>
      </c>
      <c r="ED173" s="366">
        <v>345.73</v>
      </c>
      <c r="EE173" s="366">
        <v>356.52</v>
      </c>
      <c r="EF173" s="366">
        <v>276.47000000000003</v>
      </c>
      <c r="EG173" s="366">
        <v>78.58</v>
      </c>
      <c r="EH173" s="366">
        <v>78.58</v>
      </c>
      <c r="EI173" s="366">
        <v>379.5</v>
      </c>
      <c r="EJ173" s="366">
        <v>509.4</v>
      </c>
      <c r="EK173" s="366">
        <v>257.93</v>
      </c>
      <c r="EL173" s="366">
        <v>257.93</v>
      </c>
      <c r="EM173" s="366">
        <v>352.04</v>
      </c>
      <c r="EN173" s="366">
        <v>352.04</v>
      </c>
      <c r="EO173" s="366">
        <v>374.66</v>
      </c>
      <c r="EP173" s="366">
        <v>415.62</v>
      </c>
      <c r="EQ173" s="366">
        <v>63.52</v>
      </c>
      <c r="ER173" s="366">
        <v>515.75</v>
      </c>
      <c r="ES173" s="366">
        <v>320.68</v>
      </c>
      <c r="ET173" s="366">
        <v>336.14</v>
      </c>
      <c r="EU173" s="366">
        <v>637.26</v>
      </c>
      <c r="EV173" s="366">
        <v>247.85</v>
      </c>
      <c r="EW173" s="366">
        <v>380.42</v>
      </c>
      <c r="EX173" s="366">
        <v>297.42</v>
      </c>
      <c r="EY173" s="366">
        <v>297.42</v>
      </c>
      <c r="EZ173" s="366">
        <v>403.85</v>
      </c>
      <c r="FA173" s="366">
        <v>349.21</v>
      </c>
      <c r="FB173" s="366">
        <v>184.78</v>
      </c>
      <c r="FC173" s="366">
        <v>402.05</v>
      </c>
      <c r="FD173" s="366">
        <v>291.7</v>
      </c>
      <c r="FE173" s="366">
        <v>383.33</v>
      </c>
      <c r="FF173" s="366">
        <v>358.51</v>
      </c>
      <c r="FG173" s="366">
        <v>568.71</v>
      </c>
      <c r="FH173" s="366">
        <v>568.71</v>
      </c>
      <c r="FI173" s="366">
        <v>228.72</v>
      </c>
      <c r="FJ173" s="366">
        <v>234.51</v>
      </c>
      <c r="FK173" s="366">
        <v>348.42</v>
      </c>
      <c r="FL173" s="366">
        <v>346.61</v>
      </c>
      <c r="FM173" s="366">
        <v>374.66</v>
      </c>
      <c r="FN173" s="366">
        <v>278.60000000000002</v>
      </c>
      <c r="FO173" s="366">
        <v>20.61</v>
      </c>
      <c r="FP173" s="366">
        <v>434.4</v>
      </c>
      <c r="FQ173" s="366">
        <v>0</v>
      </c>
      <c r="FR173" s="366">
        <v>159.94</v>
      </c>
      <c r="FS173" s="366">
        <v>288.58</v>
      </c>
      <c r="FT173" s="366">
        <v>504.69</v>
      </c>
      <c r="FU173" s="366">
        <v>297.08</v>
      </c>
      <c r="FV173" s="366">
        <v>701.16</v>
      </c>
      <c r="FW173" s="366">
        <v>701.16</v>
      </c>
      <c r="FX173" s="366">
        <v>701.16</v>
      </c>
      <c r="FY173" s="366">
        <v>298.35000000000002</v>
      </c>
      <c r="FZ173" s="366">
        <v>373.24</v>
      </c>
      <c r="GA173" s="366">
        <v>425.5</v>
      </c>
      <c r="GB173" s="366">
        <v>327.05</v>
      </c>
      <c r="GC173" s="366">
        <v>345.73</v>
      </c>
      <c r="GD173" s="366">
        <v>220.16</v>
      </c>
      <c r="GE173" s="366">
        <v>54.13</v>
      </c>
      <c r="GF173" s="366">
        <v>283.55</v>
      </c>
      <c r="GG173" s="366">
        <v>283.55</v>
      </c>
      <c r="GH173" s="366">
        <v>473.95</v>
      </c>
      <c r="GI173" s="366">
        <v>374.82</v>
      </c>
      <c r="GJ173" s="366">
        <v>374.66</v>
      </c>
      <c r="GK173" s="366">
        <v>344.97</v>
      </c>
      <c r="GL173" s="366">
        <v>365.83</v>
      </c>
      <c r="GM173" s="366">
        <v>365.83</v>
      </c>
      <c r="GN173" s="366">
        <v>365.83</v>
      </c>
      <c r="GO173" s="366">
        <v>321.93</v>
      </c>
      <c r="GP173" s="366">
        <v>430.91</v>
      </c>
      <c r="GQ173" s="366">
        <v>390.68</v>
      </c>
      <c r="GR173" s="366">
        <v>377.07</v>
      </c>
      <c r="GS173" s="366">
        <v>301.68</v>
      </c>
      <c r="GT173" s="366">
        <v>78.58</v>
      </c>
      <c r="GU173" s="366">
        <v>193.76</v>
      </c>
      <c r="GV173" s="366">
        <v>516.59</v>
      </c>
      <c r="GW173" s="366">
        <v>341.81</v>
      </c>
      <c r="GX173" s="366">
        <v>75.150000000000006</v>
      </c>
      <c r="GY173" s="366">
        <v>356.6</v>
      </c>
      <c r="GZ173" s="366">
        <v>291.42</v>
      </c>
      <c r="HA173" s="366">
        <v>26.02</v>
      </c>
      <c r="HB173" s="366">
        <v>26.02</v>
      </c>
      <c r="HC173" s="366">
        <v>26.02</v>
      </c>
      <c r="HD173" s="366">
        <v>280.97000000000003</v>
      </c>
      <c r="HE173" s="366">
        <v>345.89</v>
      </c>
      <c r="HF173" s="366">
        <v>302.18</v>
      </c>
      <c r="HG173" s="366">
        <v>429.83</v>
      </c>
      <c r="HH173" s="366">
        <v>429.83</v>
      </c>
      <c r="HI173" s="366">
        <v>429.83</v>
      </c>
      <c r="HJ173" s="366">
        <v>304.42</v>
      </c>
      <c r="HK173" s="366">
        <v>151.07</v>
      </c>
      <c r="HL173" s="366">
        <v>399.89</v>
      </c>
      <c r="HM173" s="366">
        <v>371.94</v>
      </c>
      <c r="HN173" s="366">
        <v>374.66</v>
      </c>
      <c r="HO173" s="366">
        <v>605.41999999999996</v>
      </c>
      <c r="HP173" s="366">
        <v>292.14</v>
      </c>
      <c r="HQ173" s="366">
        <v>701.16</v>
      </c>
      <c r="HR173" s="366">
        <v>451.41</v>
      </c>
      <c r="HS173" s="366">
        <v>370.91</v>
      </c>
      <c r="HT173" s="366">
        <v>323.07</v>
      </c>
      <c r="HU173" s="366">
        <v>357.59</v>
      </c>
      <c r="HV173" s="366">
        <v>402.78</v>
      </c>
    </row>
    <row r="174" spans="1:230">
      <c r="A174" s="366" t="s">
        <v>193</v>
      </c>
      <c r="B174" s="366">
        <v>705.65</v>
      </c>
      <c r="C174" s="366">
        <v>195.52</v>
      </c>
      <c r="D174" s="366">
        <v>35.25</v>
      </c>
      <c r="E174" s="366">
        <v>35.25</v>
      </c>
      <c r="F174" s="366">
        <v>769.55</v>
      </c>
      <c r="G174" s="366">
        <v>506.06</v>
      </c>
      <c r="H174" s="366">
        <v>78.87</v>
      </c>
      <c r="I174" s="366">
        <v>284.94</v>
      </c>
      <c r="J174" s="366">
        <v>102.65</v>
      </c>
      <c r="K174" s="366">
        <v>102.65</v>
      </c>
      <c r="L174" s="366">
        <v>17.34</v>
      </c>
      <c r="M174" s="366">
        <v>220.94</v>
      </c>
      <c r="N174" s="366">
        <v>317.83999999999997</v>
      </c>
      <c r="O174" s="366">
        <v>249.77</v>
      </c>
      <c r="P174" s="366">
        <v>249.77</v>
      </c>
      <c r="Q174" s="366">
        <v>249.77</v>
      </c>
      <c r="R174" s="366">
        <v>249.77</v>
      </c>
      <c r="S174" s="366">
        <v>249.77</v>
      </c>
      <c r="T174" s="366">
        <v>359.44</v>
      </c>
      <c r="U174" s="366">
        <v>614.1</v>
      </c>
      <c r="V174" s="366">
        <v>304.7</v>
      </c>
      <c r="W174" s="366">
        <v>316.24</v>
      </c>
      <c r="X174" s="366">
        <v>316.24</v>
      </c>
      <c r="Y174" s="366">
        <v>316.24</v>
      </c>
      <c r="Z174" s="366">
        <v>342.44</v>
      </c>
      <c r="AA174" s="366">
        <v>500.23</v>
      </c>
      <c r="AB174" s="366">
        <v>419.18</v>
      </c>
      <c r="AC174" s="366">
        <v>421.64</v>
      </c>
      <c r="AD174" s="366">
        <v>421.64</v>
      </c>
      <c r="AE174" s="366">
        <v>86.15</v>
      </c>
      <c r="AF174" s="366">
        <v>519.79999999999995</v>
      </c>
      <c r="AG174" s="366">
        <v>317.76</v>
      </c>
      <c r="AH174" s="366">
        <v>238.89</v>
      </c>
      <c r="AI174" s="366">
        <v>238.89</v>
      </c>
      <c r="AJ174" s="366">
        <v>238.89</v>
      </c>
      <c r="AK174" s="366">
        <v>361.54</v>
      </c>
      <c r="AL174" s="366">
        <v>361.54</v>
      </c>
      <c r="AM174" s="366">
        <v>421.9</v>
      </c>
      <c r="AN174" s="366">
        <v>208.94</v>
      </c>
      <c r="AO174" s="366">
        <v>522.66999999999996</v>
      </c>
      <c r="AP174" s="366">
        <v>348.16</v>
      </c>
      <c r="AQ174" s="366">
        <v>726.09</v>
      </c>
      <c r="AR174" s="366">
        <v>165.42</v>
      </c>
      <c r="AS174" s="366">
        <v>92.79</v>
      </c>
      <c r="AT174" s="366">
        <v>92.79</v>
      </c>
      <c r="AU174" s="366">
        <v>219.56</v>
      </c>
      <c r="AV174" s="366">
        <v>645.15</v>
      </c>
      <c r="AW174" s="366">
        <v>146.97</v>
      </c>
      <c r="AX174" s="366">
        <v>305.54000000000002</v>
      </c>
      <c r="AY174" s="366">
        <v>353.55</v>
      </c>
      <c r="AZ174" s="366">
        <v>164.14</v>
      </c>
      <c r="BA174" s="366">
        <v>635.24</v>
      </c>
      <c r="BB174" s="366">
        <v>356.44</v>
      </c>
      <c r="BC174" s="366">
        <v>577.29999999999995</v>
      </c>
      <c r="BD174" s="366">
        <v>487.07</v>
      </c>
      <c r="BE174" s="366">
        <v>308.76</v>
      </c>
      <c r="BF174" s="366">
        <v>416.15</v>
      </c>
      <c r="BG174" s="366">
        <v>349.99</v>
      </c>
      <c r="BH174" s="366">
        <v>249.77</v>
      </c>
      <c r="BI174" s="366">
        <v>165.45</v>
      </c>
      <c r="BJ174" s="366">
        <v>288.11</v>
      </c>
      <c r="BK174" s="366">
        <v>231.92</v>
      </c>
      <c r="BL174" s="366">
        <v>42.25</v>
      </c>
      <c r="BM174" s="366">
        <v>51.46</v>
      </c>
      <c r="BN174" s="366">
        <v>540.41999999999996</v>
      </c>
      <c r="BO174" s="366">
        <v>274.12</v>
      </c>
      <c r="BP174" s="366">
        <v>239.98</v>
      </c>
      <c r="BQ174" s="366">
        <v>264.24</v>
      </c>
      <c r="BR174" s="366">
        <v>264.24</v>
      </c>
      <c r="BS174" s="366">
        <v>171.71</v>
      </c>
      <c r="BT174" s="366">
        <v>149.88</v>
      </c>
      <c r="BU174" s="366">
        <v>399.68</v>
      </c>
      <c r="BV174" s="366">
        <v>419.3</v>
      </c>
      <c r="BW174" s="366">
        <v>278.85000000000002</v>
      </c>
      <c r="BX174" s="366">
        <v>112.8</v>
      </c>
      <c r="BY174" s="366">
        <v>332.18</v>
      </c>
      <c r="BZ174" s="366">
        <v>332.18</v>
      </c>
      <c r="CA174" s="366">
        <v>178.91</v>
      </c>
      <c r="CB174" s="366">
        <v>131.22999999999999</v>
      </c>
      <c r="CC174" s="366">
        <v>276.70999999999998</v>
      </c>
      <c r="CD174" s="366">
        <v>279.11</v>
      </c>
      <c r="CE174" s="366">
        <v>215.15</v>
      </c>
      <c r="CF174" s="366">
        <v>518.53</v>
      </c>
      <c r="CG174" s="366">
        <v>518.53</v>
      </c>
      <c r="CH174" s="366">
        <v>279.24</v>
      </c>
      <c r="CI174" s="366">
        <v>192.73</v>
      </c>
      <c r="CJ174" s="366">
        <v>529.48</v>
      </c>
      <c r="CK174" s="366">
        <v>337.27</v>
      </c>
      <c r="CL174" s="366">
        <v>233.35</v>
      </c>
      <c r="CM174" s="366">
        <v>523.58000000000004</v>
      </c>
      <c r="CN174" s="366">
        <v>237.48</v>
      </c>
      <c r="CO174" s="366">
        <v>164.03</v>
      </c>
      <c r="CP174" s="366">
        <v>257.55</v>
      </c>
      <c r="CQ174" s="366">
        <v>257.55</v>
      </c>
      <c r="CR174" s="366">
        <v>116.43</v>
      </c>
      <c r="CS174" s="366">
        <v>116.43</v>
      </c>
      <c r="CT174" s="366">
        <v>125.87</v>
      </c>
      <c r="CU174" s="366">
        <v>118</v>
      </c>
      <c r="CV174" s="366">
        <v>120.6</v>
      </c>
      <c r="CW174" s="366">
        <v>304.7</v>
      </c>
      <c r="CX174" s="366">
        <v>295.77999999999997</v>
      </c>
      <c r="CY174" s="366">
        <v>570</v>
      </c>
      <c r="CZ174" s="366">
        <v>591.24</v>
      </c>
      <c r="DA174" s="366">
        <v>255.89</v>
      </c>
      <c r="DB174" s="366">
        <v>284.08999999999997</v>
      </c>
      <c r="DC174" s="366">
        <v>284.08999999999997</v>
      </c>
      <c r="DD174" s="366">
        <v>303.39999999999998</v>
      </c>
      <c r="DE174" s="366">
        <v>333.52</v>
      </c>
      <c r="DF174" s="366">
        <v>754.01</v>
      </c>
      <c r="DG174" s="366">
        <v>222.38</v>
      </c>
      <c r="DH174" s="366">
        <v>396.08</v>
      </c>
      <c r="DI174" s="366">
        <v>384.35</v>
      </c>
      <c r="DJ174" s="366">
        <v>588.24</v>
      </c>
      <c r="DK174" s="366">
        <v>75.22</v>
      </c>
      <c r="DL174" s="366">
        <v>405.68</v>
      </c>
      <c r="DM174" s="366">
        <v>183.1</v>
      </c>
      <c r="DN174" s="366">
        <v>399.11</v>
      </c>
      <c r="DO174" s="366">
        <v>101.79</v>
      </c>
      <c r="DP174" s="366">
        <v>265.08999999999997</v>
      </c>
      <c r="DQ174" s="366">
        <v>290.19</v>
      </c>
      <c r="DR174" s="366">
        <v>396.08</v>
      </c>
      <c r="DS174" s="366">
        <v>141.9</v>
      </c>
      <c r="DT174" s="366">
        <v>130.19</v>
      </c>
      <c r="DU174" s="366">
        <v>286.23</v>
      </c>
      <c r="DV174" s="366">
        <v>352.94</v>
      </c>
      <c r="DW174" s="366">
        <v>76.37</v>
      </c>
      <c r="DX174" s="366">
        <v>265.17</v>
      </c>
      <c r="DY174" s="366">
        <v>338.56</v>
      </c>
      <c r="DZ174" s="366">
        <v>313.07</v>
      </c>
      <c r="EA174" s="366">
        <v>147.69999999999999</v>
      </c>
      <c r="EB174" s="366">
        <v>332.56</v>
      </c>
      <c r="EC174" s="366">
        <v>60.69</v>
      </c>
      <c r="ED174" s="366">
        <v>414.12</v>
      </c>
      <c r="EE174" s="366">
        <v>424.91</v>
      </c>
      <c r="EF174" s="366">
        <v>341.88</v>
      </c>
      <c r="EG174" s="366">
        <v>146.97</v>
      </c>
      <c r="EH174" s="366">
        <v>146.97</v>
      </c>
      <c r="EI174" s="366">
        <v>262.76</v>
      </c>
      <c r="EJ174" s="366">
        <v>384.14</v>
      </c>
      <c r="EK174" s="366">
        <v>141.19</v>
      </c>
      <c r="EL174" s="366">
        <v>141.19</v>
      </c>
      <c r="EM174" s="366">
        <v>235.3</v>
      </c>
      <c r="EN174" s="366">
        <v>235.3</v>
      </c>
      <c r="EO174" s="366">
        <v>421.9</v>
      </c>
      <c r="EP174" s="366">
        <v>344.76</v>
      </c>
      <c r="EQ174" s="366">
        <v>135.36000000000001</v>
      </c>
      <c r="ER174" s="366">
        <v>584.14</v>
      </c>
      <c r="ES174" s="366">
        <v>195.42</v>
      </c>
      <c r="ET174" s="366">
        <v>282.20999999999998</v>
      </c>
      <c r="EU174" s="366">
        <v>705.65</v>
      </c>
      <c r="EV174" s="366">
        <v>316.24</v>
      </c>
      <c r="EW174" s="366">
        <v>263.68</v>
      </c>
      <c r="EX174" s="366">
        <v>172.16</v>
      </c>
      <c r="EY174" s="366">
        <v>172.16</v>
      </c>
      <c r="EZ174" s="366">
        <v>287.11</v>
      </c>
      <c r="FA174" s="366">
        <v>232.47</v>
      </c>
      <c r="FB174" s="366">
        <v>59.52</v>
      </c>
      <c r="FC174" s="366">
        <v>285.31</v>
      </c>
      <c r="FD174" s="366">
        <v>174.96</v>
      </c>
      <c r="FE174" s="366">
        <v>266.58999999999997</v>
      </c>
      <c r="FF174" s="366">
        <v>241.77</v>
      </c>
      <c r="FG174" s="366">
        <v>626.28</v>
      </c>
      <c r="FH174" s="366">
        <v>626.28</v>
      </c>
      <c r="FI174" s="366">
        <v>297.11</v>
      </c>
      <c r="FJ174" s="366">
        <v>302.89999999999998</v>
      </c>
      <c r="FK174" s="366">
        <v>223.16</v>
      </c>
      <c r="FL174" s="366">
        <v>221.35</v>
      </c>
      <c r="FM174" s="366">
        <v>421.9</v>
      </c>
      <c r="FN174" s="366">
        <v>346.99</v>
      </c>
      <c r="FO174" s="366">
        <v>156.07</v>
      </c>
      <c r="FP174" s="366">
        <v>317.66000000000003</v>
      </c>
      <c r="FQ174" s="366">
        <v>159.94</v>
      </c>
      <c r="FR174" s="366">
        <v>0</v>
      </c>
      <c r="FS174" s="366">
        <v>171.84</v>
      </c>
      <c r="FT174" s="366">
        <v>573.08000000000004</v>
      </c>
      <c r="FU174" s="366">
        <v>180.34</v>
      </c>
      <c r="FV174" s="366">
        <v>769.55</v>
      </c>
      <c r="FW174" s="366">
        <v>769.55</v>
      </c>
      <c r="FX174" s="366">
        <v>769.55</v>
      </c>
      <c r="FY174" s="366">
        <v>181.61</v>
      </c>
      <c r="FZ174" s="366">
        <v>256.5</v>
      </c>
      <c r="GA174" s="366">
        <v>308.76</v>
      </c>
      <c r="GB174" s="366">
        <v>210.31</v>
      </c>
      <c r="GC174" s="366">
        <v>414.12</v>
      </c>
      <c r="GD174" s="366">
        <v>94.9</v>
      </c>
      <c r="GE174" s="366">
        <v>125.97</v>
      </c>
      <c r="GF174" s="366">
        <v>166.81</v>
      </c>
      <c r="GG174" s="366">
        <v>166.81</v>
      </c>
      <c r="GH174" s="366">
        <v>357.21</v>
      </c>
      <c r="GI174" s="366">
        <v>422.06</v>
      </c>
      <c r="GJ174" s="366">
        <v>421.9</v>
      </c>
      <c r="GK174" s="366">
        <v>219.71</v>
      </c>
      <c r="GL174" s="366">
        <v>249.09</v>
      </c>
      <c r="GM174" s="366">
        <v>249.09</v>
      </c>
      <c r="GN174" s="366">
        <v>249.09</v>
      </c>
      <c r="GO174" s="366">
        <v>387.34</v>
      </c>
      <c r="GP174" s="366">
        <v>314.17</v>
      </c>
      <c r="GQ174" s="366">
        <v>265.42</v>
      </c>
      <c r="GR174" s="366">
        <v>445.46</v>
      </c>
      <c r="GS174" s="366">
        <v>316.67</v>
      </c>
      <c r="GT174" s="366">
        <v>146.97</v>
      </c>
      <c r="GU174" s="366">
        <v>104.32</v>
      </c>
      <c r="GV174" s="366">
        <v>391.33</v>
      </c>
      <c r="GW174" s="366">
        <v>225.07</v>
      </c>
      <c r="GX174" s="366">
        <v>143.54</v>
      </c>
      <c r="GY174" s="366">
        <v>239.86</v>
      </c>
      <c r="GZ174" s="366">
        <v>174.68</v>
      </c>
      <c r="HA174" s="366">
        <v>161.47999999999999</v>
      </c>
      <c r="HB174" s="366">
        <v>161.47999999999999</v>
      </c>
      <c r="HC174" s="366">
        <v>161.47999999999999</v>
      </c>
      <c r="HD174" s="366">
        <v>349.36</v>
      </c>
      <c r="HE174" s="366">
        <v>229.15</v>
      </c>
      <c r="HF174" s="366">
        <v>185.44</v>
      </c>
      <c r="HG174" s="366">
        <v>313.08999999999997</v>
      </c>
      <c r="HH174" s="366">
        <v>313.08999999999997</v>
      </c>
      <c r="HI174" s="366">
        <v>313.08999999999997</v>
      </c>
      <c r="HJ174" s="366">
        <v>187.68</v>
      </c>
      <c r="HK174" s="366">
        <v>219.46</v>
      </c>
      <c r="HL174" s="366">
        <v>283.14999999999998</v>
      </c>
      <c r="HM174" s="366">
        <v>419.18</v>
      </c>
      <c r="HN174" s="366">
        <v>421.9</v>
      </c>
      <c r="HO174" s="366">
        <v>673.81</v>
      </c>
      <c r="HP174" s="366">
        <v>175.4</v>
      </c>
      <c r="HQ174" s="366">
        <v>769.55</v>
      </c>
      <c r="HR174" s="366">
        <v>519.79999999999995</v>
      </c>
      <c r="HS174" s="366">
        <v>418.15</v>
      </c>
      <c r="HT174" s="366">
        <v>300.47000000000003</v>
      </c>
      <c r="HU174" s="366">
        <v>267.72000000000003</v>
      </c>
      <c r="HV174" s="366">
        <v>286.04000000000002</v>
      </c>
    </row>
    <row r="175" spans="1:230">
      <c r="A175" s="366" t="s">
        <v>194</v>
      </c>
      <c r="B175" s="366">
        <v>622.58000000000004</v>
      </c>
      <c r="C175" s="366">
        <v>263.12</v>
      </c>
      <c r="D175" s="366">
        <v>163.89</v>
      </c>
      <c r="E175" s="366">
        <v>163.89</v>
      </c>
      <c r="F175" s="366">
        <v>686.48</v>
      </c>
      <c r="G175" s="366">
        <v>494.05</v>
      </c>
      <c r="H175" s="366">
        <v>207.51</v>
      </c>
      <c r="I175" s="366">
        <v>113.1</v>
      </c>
      <c r="J175" s="366">
        <v>231.29</v>
      </c>
      <c r="K175" s="366">
        <v>231.29</v>
      </c>
      <c r="L175" s="366">
        <v>154.5</v>
      </c>
      <c r="M175" s="366">
        <v>288.54000000000002</v>
      </c>
      <c r="N175" s="366">
        <v>385.44</v>
      </c>
      <c r="O175" s="366">
        <v>173.01</v>
      </c>
      <c r="P175" s="366">
        <v>173.01</v>
      </c>
      <c r="Q175" s="366">
        <v>173.01</v>
      </c>
      <c r="R175" s="366">
        <v>173.01</v>
      </c>
      <c r="S175" s="366">
        <v>173.01</v>
      </c>
      <c r="T175" s="366">
        <v>187.6</v>
      </c>
      <c r="U175" s="366">
        <v>602.09</v>
      </c>
      <c r="V175" s="366">
        <v>227.94</v>
      </c>
      <c r="W175" s="366">
        <v>330.96</v>
      </c>
      <c r="X175" s="366">
        <v>330.96</v>
      </c>
      <c r="Y175" s="366">
        <v>330.96</v>
      </c>
      <c r="Z175" s="366">
        <v>265.68</v>
      </c>
      <c r="AA175" s="366">
        <v>488.22</v>
      </c>
      <c r="AB175" s="366">
        <v>247.34</v>
      </c>
      <c r="AC175" s="366">
        <v>249.8</v>
      </c>
      <c r="AD175" s="366">
        <v>249.8</v>
      </c>
      <c r="AE175" s="366">
        <v>112.99</v>
      </c>
      <c r="AF175" s="366">
        <v>507.79</v>
      </c>
      <c r="AG175" s="366">
        <v>332.48</v>
      </c>
      <c r="AH175" s="366">
        <v>67.05</v>
      </c>
      <c r="AI175" s="366">
        <v>67.05</v>
      </c>
      <c r="AJ175" s="366">
        <v>67.05</v>
      </c>
      <c r="AK175" s="366">
        <v>287.88</v>
      </c>
      <c r="AL175" s="366">
        <v>287.88</v>
      </c>
      <c r="AM175" s="366">
        <v>250.06</v>
      </c>
      <c r="AN175" s="366">
        <v>132.18</v>
      </c>
      <c r="AO175" s="366">
        <v>501.17</v>
      </c>
      <c r="AP175" s="366">
        <v>176.32</v>
      </c>
      <c r="AQ175" s="366">
        <v>643.02</v>
      </c>
      <c r="AR175" s="366">
        <v>294.06</v>
      </c>
      <c r="AS175" s="366">
        <v>79.05</v>
      </c>
      <c r="AT175" s="366">
        <v>79.05</v>
      </c>
      <c r="AU175" s="366">
        <v>142.80000000000001</v>
      </c>
      <c r="AV175" s="366">
        <v>633.14</v>
      </c>
      <c r="AW175" s="366">
        <v>275.61</v>
      </c>
      <c r="AX175" s="366">
        <v>133.69999999999999</v>
      </c>
      <c r="AY175" s="366">
        <v>421.15</v>
      </c>
      <c r="AZ175" s="366">
        <v>231.74</v>
      </c>
      <c r="BA175" s="366">
        <v>463.4</v>
      </c>
      <c r="BB175" s="366">
        <v>424.04</v>
      </c>
      <c r="BC175" s="366">
        <v>405.46</v>
      </c>
      <c r="BD175" s="366">
        <v>315.23</v>
      </c>
      <c r="BE175" s="366">
        <v>232</v>
      </c>
      <c r="BF175" s="366">
        <v>244.31</v>
      </c>
      <c r="BG175" s="366">
        <v>273.23</v>
      </c>
      <c r="BH175" s="366">
        <v>173.01</v>
      </c>
      <c r="BI175" s="366">
        <v>294.08999999999997</v>
      </c>
      <c r="BJ175" s="366">
        <v>211.35</v>
      </c>
      <c r="BK175" s="366">
        <v>299.52</v>
      </c>
      <c r="BL175" s="366">
        <v>156.88999999999999</v>
      </c>
      <c r="BM175" s="366">
        <v>180.1</v>
      </c>
      <c r="BN175" s="366">
        <v>528.41</v>
      </c>
      <c r="BO175" s="366">
        <v>341.72</v>
      </c>
      <c r="BP175" s="366">
        <v>307.58</v>
      </c>
      <c r="BQ175" s="366">
        <v>92.4</v>
      </c>
      <c r="BR175" s="366">
        <v>92.4</v>
      </c>
      <c r="BS175" s="366">
        <v>239.31</v>
      </c>
      <c r="BT175" s="366">
        <v>278.52</v>
      </c>
      <c r="BU175" s="366">
        <v>227.84</v>
      </c>
      <c r="BV175" s="366">
        <v>247.46</v>
      </c>
      <c r="BW175" s="366">
        <v>202.09</v>
      </c>
      <c r="BX175" s="366">
        <v>180.4</v>
      </c>
      <c r="BY175" s="366">
        <v>255.42</v>
      </c>
      <c r="BZ175" s="366">
        <v>255.42</v>
      </c>
      <c r="CA175" s="366">
        <v>307.55</v>
      </c>
      <c r="CB175" s="366">
        <v>198.83</v>
      </c>
      <c r="CC175" s="366">
        <v>104.87</v>
      </c>
      <c r="CD175" s="366">
        <v>107.27</v>
      </c>
      <c r="CE175" s="366">
        <v>282.75</v>
      </c>
      <c r="CF175" s="366">
        <v>506.52</v>
      </c>
      <c r="CG175" s="366">
        <v>506.52</v>
      </c>
      <c r="CH175" s="366">
        <v>107.4</v>
      </c>
      <c r="CI175" s="366">
        <v>82.39</v>
      </c>
      <c r="CJ175" s="366">
        <v>517.47</v>
      </c>
      <c r="CK175" s="366">
        <v>260.51</v>
      </c>
      <c r="CL175" s="366">
        <v>156.59</v>
      </c>
      <c r="CM175" s="366">
        <v>351.74</v>
      </c>
      <c r="CN175" s="366">
        <v>160.72</v>
      </c>
      <c r="CO175" s="366">
        <v>292.67</v>
      </c>
      <c r="CP175" s="366">
        <v>85.71</v>
      </c>
      <c r="CQ175" s="366">
        <v>85.71</v>
      </c>
      <c r="CR175" s="366">
        <v>245.07</v>
      </c>
      <c r="CS175" s="366">
        <v>245.07</v>
      </c>
      <c r="CT175" s="366">
        <v>254.51</v>
      </c>
      <c r="CU175" s="366">
        <v>246.64</v>
      </c>
      <c r="CV175" s="366">
        <v>249.24</v>
      </c>
      <c r="CW175" s="366">
        <v>227.94</v>
      </c>
      <c r="CX175" s="366">
        <v>123.94</v>
      </c>
      <c r="CY175" s="366">
        <v>398.16</v>
      </c>
      <c r="CZ175" s="366">
        <v>419.4</v>
      </c>
      <c r="DA175" s="366">
        <v>323.49</v>
      </c>
      <c r="DB175" s="366">
        <v>207.33</v>
      </c>
      <c r="DC175" s="366">
        <v>207.33</v>
      </c>
      <c r="DD175" s="366">
        <v>318.12</v>
      </c>
      <c r="DE175" s="366">
        <v>401.12</v>
      </c>
      <c r="DF175" s="366">
        <v>670.94</v>
      </c>
      <c r="DG175" s="366">
        <v>52.74</v>
      </c>
      <c r="DH175" s="366">
        <v>463.68</v>
      </c>
      <c r="DI175" s="366">
        <v>372.34</v>
      </c>
      <c r="DJ175" s="366">
        <v>435.6</v>
      </c>
      <c r="DK175" s="366">
        <v>142.82</v>
      </c>
      <c r="DL175" s="366">
        <v>233.84</v>
      </c>
      <c r="DM175" s="366">
        <v>250.7</v>
      </c>
      <c r="DN175" s="366">
        <v>387.1</v>
      </c>
      <c r="DO175" s="366">
        <v>169.39</v>
      </c>
      <c r="DP175" s="366">
        <v>279.81</v>
      </c>
      <c r="DQ175" s="366">
        <v>213.43</v>
      </c>
      <c r="DR175" s="366">
        <v>463.68</v>
      </c>
      <c r="DS175" s="366">
        <v>270.54000000000002</v>
      </c>
      <c r="DT175" s="366">
        <v>258.83</v>
      </c>
      <c r="DU175" s="366">
        <v>353.83</v>
      </c>
      <c r="DV175" s="366">
        <v>291.52</v>
      </c>
      <c r="DW175" s="366">
        <v>95.47</v>
      </c>
      <c r="DX175" s="366">
        <v>188.41</v>
      </c>
      <c r="DY175" s="366">
        <v>261.8</v>
      </c>
      <c r="DZ175" s="366">
        <v>327.79</v>
      </c>
      <c r="EA175" s="366">
        <v>276.33999999999997</v>
      </c>
      <c r="EB175" s="366">
        <v>255.8</v>
      </c>
      <c r="EC175" s="366">
        <v>189.33</v>
      </c>
      <c r="ED175" s="366">
        <v>402.11</v>
      </c>
      <c r="EE175" s="366">
        <v>412.9</v>
      </c>
      <c r="EF175" s="366">
        <v>170.04</v>
      </c>
      <c r="EG175" s="366">
        <v>275.61</v>
      </c>
      <c r="EH175" s="366">
        <v>275.61</v>
      </c>
      <c r="EI175" s="366">
        <v>90.92</v>
      </c>
      <c r="EJ175" s="366">
        <v>451.74</v>
      </c>
      <c r="EK175" s="366">
        <v>64.430000000000007</v>
      </c>
      <c r="EL175" s="366">
        <v>64.430000000000007</v>
      </c>
      <c r="EM175" s="366">
        <v>158.54</v>
      </c>
      <c r="EN175" s="366">
        <v>158.54</v>
      </c>
      <c r="EO175" s="366">
        <v>250.06</v>
      </c>
      <c r="EP175" s="366">
        <v>172.92</v>
      </c>
      <c r="EQ175" s="366">
        <v>264</v>
      </c>
      <c r="ER175" s="366">
        <v>572.13</v>
      </c>
      <c r="ES175" s="366">
        <v>263.02</v>
      </c>
      <c r="ET175" s="366">
        <v>110.37</v>
      </c>
      <c r="EU175" s="366">
        <v>622.58000000000004</v>
      </c>
      <c r="EV175" s="366">
        <v>330.96</v>
      </c>
      <c r="EW175" s="366">
        <v>91.84</v>
      </c>
      <c r="EX175" s="366">
        <v>239.76</v>
      </c>
      <c r="EY175" s="366">
        <v>239.76</v>
      </c>
      <c r="EZ175" s="366">
        <v>210.35</v>
      </c>
      <c r="FA175" s="366">
        <v>155.71</v>
      </c>
      <c r="FB175" s="366">
        <v>127.12</v>
      </c>
      <c r="FC175" s="366">
        <v>208.55</v>
      </c>
      <c r="FD175" s="366">
        <v>98.2</v>
      </c>
      <c r="FE175" s="366">
        <v>94.75</v>
      </c>
      <c r="FF175" s="366">
        <v>69.930000000000007</v>
      </c>
      <c r="FG175" s="366">
        <v>454.44</v>
      </c>
      <c r="FH175" s="366">
        <v>454.44</v>
      </c>
      <c r="FI175" s="366">
        <v>311.83</v>
      </c>
      <c r="FJ175" s="366">
        <v>317.62</v>
      </c>
      <c r="FK175" s="366">
        <v>290.76</v>
      </c>
      <c r="FL175" s="366">
        <v>288.95</v>
      </c>
      <c r="FM175" s="366">
        <v>250.06</v>
      </c>
      <c r="FN175" s="366">
        <v>361.71</v>
      </c>
      <c r="FO175" s="366">
        <v>284.70999999999998</v>
      </c>
      <c r="FP175" s="366">
        <v>240.9</v>
      </c>
      <c r="FQ175" s="366">
        <v>288.58</v>
      </c>
      <c r="FR175" s="366">
        <v>171.84</v>
      </c>
      <c r="FS175" s="366">
        <v>0</v>
      </c>
      <c r="FT175" s="366">
        <v>450.76</v>
      </c>
      <c r="FU175" s="366">
        <v>94.78</v>
      </c>
      <c r="FV175" s="366">
        <v>686.48</v>
      </c>
      <c r="FW175" s="366">
        <v>686.48</v>
      </c>
      <c r="FX175" s="366">
        <v>686.48</v>
      </c>
      <c r="FY175" s="366">
        <v>104.85</v>
      </c>
      <c r="FZ175" s="366">
        <v>84.66</v>
      </c>
      <c r="GA175" s="366">
        <v>232</v>
      </c>
      <c r="GB175" s="366">
        <v>38.47</v>
      </c>
      <c r="GC175" s="366">
        <v>402.11</v>
      </c>
      <c r="GD175" s="366">
        <v>162.5</v>
      </c>
      <c r="GE175" s="366">
        <v>254.61</v>
      </c>
      <c r="GF175" s="366">
        <v>90.05</v>
      </c>
      <c r="GG175" s="366">
        <v>90.05</v>
      </c>
      <c r="GH175" s="366">
        <v>280.45</v>
      </c>
      <c r="GI175" s="366">
        <v>250.22</v>
      </c>
      <c r="GJ175" s="366">
        <v>250.06</v>
      </c>
      <c r="GK175" s="366">
        <v>287.31</v>
      </c>
      <c r="GL175" s="366">
        <v>77.25</v>
      </c>
      <c r="GM175" s="366">
        <v>77.25</v>
      </c>
      <c r="GN175" s="366">
        <v>77.25</v>
      </c>
      <c r="GO175" s="366">
        <v>215.5</v>
      </c>
      <c r="GP175" s="366">
        <v>237.41</v>
      </c>
      <c r="GQ175" s="366">
        <v>333.02</v>
      </c>
      <c r="GR175" s="366">
        <v>278.29000000000002</v>
      </c>
      <c r="GS175" s="366">
        <v>144.83000000000001</v>
      </c>
      <c r="GT175" s="366">
        <v>275.61</v>
      </c>
      <c r="GU175" s="366">
        <v>97.7</v>
      </c>
      <c r="GV175" s="366">
        <v>458.93</v>
      </c>
      <c r="GW175" s="366">
        <v>53.23</v>
      </c>
      <c r="GX175" s="366">
        <v>272.18</v>
      </c>
      <c r="GY175" s="366">
        <v>68.02</v>
      </c>
      <c r="GZ175" s="366">
        <v>97.92</v>
      </c>
      <c r="HA175" s="366">
        <v>290.12</v>
      </c>
      <c r="HB175" s="366">
        <v>290.12</v>
      </c>
      <c r="HC175" s="366">
        <v>290.12</v>
      </c>
      <c r="HD175" s="366">
        <v>364.08</v>
      </c>
      <c r="HE175" s="366">
        <v>152.38999999999999</v>
      </c>
      <c r="HF175" s="366">
        <v>108.68</v>
      </c>
      <c r="HG175" s="366">
        <v>236.33</v>
      </c>
      <c r="HH175" s="366">
        <v>236.33</v>
      </c>
      <c r="HI175" s="366">
        <v>236.33</v>
      </c>
      <c r="HJ175" s="366">
        <v>87.44</v>
      </c>
      <c r="HK175" s="366">
        <v>301.41000000000003</v>
      </c>
      <c r="HL175" s="366">
        <v>206.39</v>
      </c>
      <c r="HM175" s="366">
        <v>247.34</v>
      </c>
      <c r="HN175" s="366">
        <v>250.06</v>
      </c>
      <c r="HO175" s="366">
        <v>655.78</v>
      </c>
      <c r="HP175" s="366">
        <v>98.64</v>
      </c>
      <c r="HQ175" s="366">
        <v>686.48</v>
      </c>
      <c r="HR175" s="366">
        <v>507.79</v>
      </c>
      <c r="HS175" s="366">
        <v>246.31</v>
      </c>
      <c r="HT175" s="366">
        <v>128.63</v>
      </c>
      <c r="HU175" s="366">
        <v>95.88</v>
      </c>
      <c r="HV175" s="366">
        <v>114.2</v>
      </c>
    </row>
    <row r="176" spans="1:230">
      <c r="A176" s="366" t="s">
        <v>195</v>
      </c>
      <c r="B176" s="366">
        <v>278.27</v>
      </c>
      <c r="C176" s="366">
        <v>713.88</v>
      </c>
      <c r="D176" s="366">
        <v>537.83000000000004</v>
      </c>
      <c r="E176" s="366">
        <v>537.83000000000004</v>
      </c>
      <c r="F176" s="366">
        <v>342.17</v>
      </c>
      <c r="G176" s="366">
        <v>67.02</v>
      </c>
      <c r="H176" s="366">
        <v>494.21</v>
      </c>
      <c r="I176" s="366">
        <v>337.66</v>
      </c>
      <c r="J176" s="366">
        <v>470.43</v>
      </c>
      <c r="K176" s="366">
        <v>470.43</v>
      </c>
      <c r="L176" s="366">
        <v>555.74</v>
      </c>
      <c r="M176" s="366">
        <v>739.3</v>
      </c>
      <c r="N176" s="366">
        <v>836.2</v>
      </c>
      <c r="O176" s="366">
        <v>589.30999999999995</v>
      </c>
      <c r="P176" s="366">
        <v>589.30999999999995</v>
      </c>
      <c r="Q176" s="366">
        <v>589.30999999999995</v>
      </c>
      <c r="R176" s="366">
        <v>589.30999999999995</v>
      </c>
      <c r="S176" s="366">
        <v>589.30999999999995</v>
      </c>
      <c r="T176" s="366">
        <v>263.16000000000003</v>
      </c>
      <c r="U176" s="366">
        <v>186.72</v>
      </c>
      <c r="V176" s="366">
        <v>678.7</v>
      </c>
      <c r="W176" s="366">
        <v>359.14</v>
      </c>
      <c r="X176" s="366">
        <v>359.14</v>
      </c>
      <c r="Y176" s="366">
        <v>359.14</v>
      </c>
      <c r="Z176" s="366">
        <v>716.44</v>
      </c>
      <c r="AA176" s="366">
        <v>72.849999999999994</v>
      </c>
      <c r="AB176" s="366">
        <v>232.49</v>
      </c>
      <c r="AC176" s="366">
        <v>200.96</v>
      </c>
      <c r="AD176" s="366">
        <v>200.96</v>
      </c>
      <c r="AE176" s="366">
        <v>563.75</v>
      </c>
      <c r="AF176" s="366">
        <v>92.42</v>
      </c>
      <c r="AG176" s="366">
        <v>390.66</v>
      </c>
      <c r="AH176" s="366">
        <v>383.71</v>
      </c>
      <c r="AI176" s="366">
        <v>383.71</v>
      </c>
      <c r="AJ176" s="366">
        <v>383.71</v>
      </c>
      <c r="AK176" s="366">
        <v>738.64</v>
      </c>
      <c r="AL176" s="366">
        <v>738.64</v>
      </c>
      <c r="AM176" s="366">
        <v>235.21</v>
      </c>
      <c r="AN176" s="366">
        <v>548.48</v>
      </c>
      <c r="AO176" s="366">
        <v>50.41</v>
      </c>
      <c r="AP176" s="366">
        <v>282.27999999999997</v>
      </c>
      <c r="AQ176" s="366">
        <v>298.70999999999998</v>
      </c>
      <c r="AR176" s="366">
        <v>510.17</v>
      </c>
      <c r="AS176" s="366">
        <v>529.80999999999995</v>
      </c>
      <c r="AT176" s="366">
        <v>529.80999999999995</v>
      </c>
      <c r="AU176" s="366">
        <v>593.55999999999995</v>
      </c>
      <c r="AV176" s="366">
        <v>217.77</v>
      </c>
      <c r="AW176" s="366">
        <v>432.97</v>
      </c>
      <c r="AX176" s="366">
        <v>325.32</v>
      </c>
      <c r="AY176" s="366">
        <v>871.91</v>
      </c>
      <c r="AZ176" s="366">
        <v>682.5</v>
      </c>
      <c r="BA176" s="366">
        <v>126.2</v>
      </c>
      <c r="BB176" s="366">
        <v>874.8</v>
      </c>
      <c r="BC176" s="366">
        <v>45.3</v>
      </c>
      <c r="BD176" s="366">
        <v>135.53</v>
      </c>
      <c r="BE176" s="366">
        <v>682.76</v>
      </c>
      <c r="BF176" s="366">
        <v>229.46</v>
      </c>
      <c r="BG176" s="366">
        <v>723.99</v>
      </c>
      <c r="BH176" s="366">
        <v>589.30999999999995</v>
      </c>
      <c r="BI176" s="366">
        <v>510.2</v>
      </c>
      <c r="BJ176" s="366">
        <v>662.11</v>
      </c>
      <c r="BK176" s="366">
        <v>750.28</v>
      </c>
      <c r="BL176" s="366">
        <v>544.83000000000004</v>
      </c>
      <c r="BM176" s="366">
        <v>521.62</v>
      </c>
      <c r="BN176" s="366">
        <v>113.04</v>
      </c>
      <c r="BO176" s="366">
        <v>792.48</v>
      </c>
      <c r="BP176" s="366">
        <v>758.34</v>
      </c>
      <c r="BQ176" s="366">
        <v>358.36</v>
      </c>
      <c r="BR176" s="366">
        <v>358.36</v>
      </c>
      <c r="BS176" s="366">
        <v>690.07</v>
      </c>
      <c r="BT176" s="366">
        <v>502.12</v>
      </c>
      <c r="BU176" s="366">
        <v>222.92</v>
      </c>
      <c r="BV176" s="366">
        <v>232.61</v>
      </c>
      <c r="BW176" s="366">
        <v>652.85</v>
      </c>
      <c r="BX176" s="366">
        <v>631.16</v>
      </c>
      <c r="BY176" s="366">
        <v>706.18</v>
      </c>
      <c r="BZ176" s="366">
        <v>706.18</v>
      </c>
      <c r="CA176" s="366">
        <v>394.17</v>
      </c>
      <c r="CB176" s="366">
        <v>649.59</v>
      </c>
      <c r="CC176" s="366">
        <v>354.15</v>
      </c>
      <c r="CD176" s="366">
        <v>367.63</v>
      </c>
      <c r="CE176" s="366">
        <v>733.51</v>
      </c>
      <c r="CF176" s="366">
        <v>91.15</v>
      </c>
      <c r="CG176" s="366">
        <v>91.15</v>
      </c>
      <c r="CH176" s="366">
        <v>343.36</v>
      </c>
      <c r="CI176" s="366">
        <v>462.51</v>
      </c>
      <c r="CJ176" s="366">
        <v>102.1</v>
      </c>
      <c r="CK176" s="366">
        <v>711.27</v>
      </c>
      <c r="CL176" s="366">
        <v>607.35</v>
      </c>
      <c r="CM176" s="366">
        <v>99.02</v>
      </c>
      <c r="CN176" s="366">
        <v>611.48</v>
      </c>
      <c r="CO176" s="366">
        <v>508.78</v>
      </c>
      <c r="CP176" s="366">
        <v>365.05</v>
      </c>
      <c r="CQ176" s="366">
        <v>365.05</v>
      </c>
      <c r="CR176" s="366">
        <v>460.1</v>
      </c>
      <c r="CS176" s="366">
        <v>460.1</v>
      </c>
      <c r="CT176" s="366">
        <v>450.66</v>
      </c>
      <c r="CU176" s="366">
        <v>458.53</v>
      </c>
      <c r="CV176" s="366">
        <v>452.48</v>
      </c>
      <c r="CW176" s="366">
        <v>678.7</v>
      </c>
      <c r="CX176" s="366">
        <v>341.86</v>
      </c>
      <c r="CY176" s="366">
        <v>60.96</v>
      </c>
      <c r="CZ176" s="366">
        <v>31.36</v>
      </c>
      <c r="DA176" s="366">
        <v>774.25</v>
      </c>
      <c r="DB176" s="366">
        <v>658.09</v>
      </c>
      <c r="DC176" s="366">
        <v>658.09</v>
      </c>
      <c r="DD176" s="366">
        <v>270.99</v>
      </c>
      <c r="DE176" s="366">
        <v>851.88</v>
      </c>
      <c r="DF176" s="366">
        <v>326.63</v>
      </c>
      <c r="DG176" s="366">
        <v>432.86</v>
      </c>
      <c r="DH176" s="366">
        <v>914.44</v>
      </c>
      <c r="DI176" s="366">
        <v>188.73</v>
      </c>
      <c r="DJ176" s="366">
        <v>15.16</v>
      </c>
      <c r="DK176" s="366">
        <v>593.58000000000004</v>
      </c>
      <c r="DL176" s="366">
        <v>218.59</v>
      </c>
      <c r="DM176" s="366">
        <v>701.46</v>
      </c>
      <c r="DN176" s="366">
        <v>175.76</v>
      </c>
      <c r="DO176" s="366">
        <v>620.15</v>
      </c>
      <c r="DP176" s="366">
        <v>307.99</v>
      </c>
      <c r="DQ176" s="366">
        <v>664.19</v>
      </c>
      <c r="DR176" s="366">
        <v>914.44</v>
      </c>
      <c r="DS176" s="366">
        <v>509.68</v>
      </c>
      <c r="DT176" s="366">
        <v>497.97</v>
      </c>
      <c r="DU176" s="366">
        <v>804.59</v>
      </c>
      <c r="DV176" s="366">
        <v>742.28</v>
      </c>
      <c r="DW176" s="366">
        <v>546.23</v>
      </c>
      <c r="DX176" s="366">
        <v>639.16999999999996</v>
      </c>
      <c r="DY176" s="366">
        <v>712.56</v>
      </c>
      <c r="DZ176" s="366">
        <v>260.01</v>
      </c>
      <c r="EA176" s="366">
        <v>492.45</v>
      </c>
      <c r="EB176" s="366">
        <v>706.56</v>
      </c>
      <c r="EC176" s="366">
        <v>512.39</v>
      </c>
      <c r="ED176" s="366">
        <v>158.96</v>
      </c>
      <c r="EE176" s="366">
        <v>149.08000000000001</v>
      </c>
      <c r="EF176" s="366">
        <v>288.56</v>
      </c>
      <c r="EG176" s="366">
        <v>432.97</v>
      </c>
      <c r="EH176" s="366">
        <v>432.97</v>
      </c>
      <c r="EI176" s="366">
        <v>368.1</v>
      </c>
      <c r="EJ176" s="366">
        <v>902.5</v>
      </c>
      <c r="EK176" s="366">
        <v>515.19000000000005</v>
      </c>
      <c r="EL176" s="366">
        <v>515.19000000000005</v>
      </c>
      <c r="EM176" s="366">
        <v>609.29999999999995</v>
      </c>
      <c r="EN176" s="366">
        <v>609.29999999999995</v>
      </c>
      <c r="EO176" s="366">
        <v>235.21</v>
      </c>
      <c r="EP176" s="366">
        <v>286.10000000000002</v>
      </c>
      <c r="EQ176" s="366">
        <v>441.17</v>
      </c>
      <c r="ER176" s="366">
        <v>156.76</v>
      </c>
      <c r="ES176" s="366">
        <v>713.78</v>
      </c>
      <c r="ET176" s="366">
        <v>340.39</v>
      </c>
      <c r="EU176" s="366">
        <v>278.27</v>
      </c>
      <c r="EV176" s="366">
        <v>359.14</v>
      </c>
      <c r="EW176" s="366">
        <v>367.48</v>
      </c>
      <c r="EX176" s="366">
        <v>690.52</v>
      </c>
      <c r="EY176" s="366">
        <v>690.52</v>
      </c>
      <c r="EZ176" s="366">
        <v>653.84</v>
      </c>
      <c r="FA176" s="366">
        <v>606.47</v>
      </c>
      <c r="FB176" s="366">
        <v>577.88</v>
      </c>
      <c r="FC176" s="366">
        <v>659.31</v>
      </c>
      <c r="FD176" s="366">
        <v>514.5</v>
      </c>
      <c r="FE176" s="366">
        <v>371.93</v>
      </c>
      <c r="FF176" s="366">
        <v>450.05</v>
      </c>
      <c r="FG176" s="366">
        <v>117.24</v>
      </c>
      <c r="FH176" s="366">
        <v>117.24</v>
      </c>
      <c r="FI176" s="366">
        <v>370.01</v>
      </c>
      <c r="FJ176" s="366">
        <v>375.8</v>
      </c>
      <c r="FK176" s="366">
        <v>741.52</v>
      </c>
      <c r="FL176" s="366">
        <v>739.71</v>
      </c>
      <c r="FM176" s="366">
        <v>235.21</v>
      </c>
      <c r="FN176" s="366">
        <v>389.89</v>
      </c>
      <c r="FO176" s="366">
        <v>500.82</v>
      </c>
      <c r="FP176" s="366">
        <v>691.66</v>
      </c>
      <c r="FQ176" s="366">
        <v>504.69</v>
      </c>
      <c r="FR176" s="366">
        <v>573.08000000000004</v>
      </c>
      <c r="FS176" s="366">
        <v>450.76</v>
      </c>
      <c r="FT176" s="366">
        <v>0</v>
      </c>
      <c r="FU176" s="366">
        <v>474.9</v>
      </c>
      <c r="FV176" s="366">
        <v>342.17</v>
      </c>
      <c r="FW176" s="366">
        <v>342.17</v>
      </c>
      <c r="FX176" s="366">
        <v>342.17</v>
      </c>
      <c r="FY176" s="366">
        <v>555.61</v>
      </c>
      <c r="FZ176" s="366">
        <v>394.8</v>
      </c>
      <c r="GA176" s="366">
        <v>682.76</v>
      </c>
      <c r="GB176" s="366">
        <v>489.23</v>
      </c>
      <c r="GC176" s="366">
        <v>158.96</v>
      </c>
      <c r="GD176" s="366">
        <v>613.26</v>
      </c>
      <c r="GE176" s="366">
        <v>450.56</v>
      </c>
      <c r="GF176" s="366">
        <v>488.43</v>
      </c>
      <c r="GG176" s="366">
        <v>488.43</v>
      </c>
      <c r="GH176" s="366">
        <v>731.21</v>
      </c>
      <c r="GI176" s="366">
        <v>235.37</v>
      </c>
      <c r="GJ176" s="366">
        <v>235.21</v>
      </c>
      <c r="GK176" s="366">
        <v>738.07</v>
      </c>
      <c r="GL176" s="366">
        <v>381.77</v>
      </c>
      <c r="GM176" s="366">
        <v>381.77</v>
      </c>
      <c r="GN176" s="366">
        <v>381.77</v>
      </c>
      <c r="GO176" s="366">
        <v>243.1</v>
      </c>
      <c r="GP176" s="366">
        <v>688.17</v>
      </c>
      <c r="GQ176" s="366">
        <v>783.78</v>
      </c>
      <c r="GR176" s="366">
        <v>229.45</v>
      </c>
      <c r="GS176" s="366">
        <v>305.93</v>
      </c>
      <c r="GT176" s="366">
        <v>432.97</v>
      </c>
      <c r="GU176" s="366">
        <v>548.46</v>
      </c>
      <c r="GV176" s="366">
        <v>909.69</v>
      </c>
      <c r="GW176" s="366">
        <v>406.23</v>
      </c>
      <c r="GX176" s="366">
        <v>429.54</v>
      </c>
      <c r="GY176" s="366">
        <v>382.74</v>
      </c>
      <c r="GZ176" s="366">
        <v>514.22</v>
      </c>
      <c r="HA176" s="366">
        <v>506.23</v>
      </c>
      <c r="HB176" s="366">
        <v>506.23</v>
      </c>
      <c r="HC176" s="366">
        <v>506.23</v>
      </c>
      <c r="HD176" s="366">
        <v>223.72</v>
      </c>
      <c r="HE176" s="366">
        <v>603.15</v>
      </c>
      <c r="HF176" s="366">
        <v>559.44000000000005</v>
      </c>
      <c r="HG176" s="366">
        <v>687.09</v>
      </c>
      <c r="HH176" s="366">
        <v>687.09</v>
      </c>
      <c r="HI176" s="366">
        <v>687.09</v>
      </c>
      <c r="HJ176" s="366">
        <v>467.56</v>
      </c>
      <c r="HK176" s="366">
        <v>359.59</v>
      </c>
      <c r="HL176" s="366">
        <v>622.69000000000005</v>
      </c>
      <c r="HM176" s="366">
        <v>232.49</v>
      </c>
      <c r="HN176" s="366">
        <v>235.21</v>
      </c>
      <c r="HO176" s="366">
        <v>246.43</v>
      </c>
      <c r="HP176" s="366">
        <v>514.94000000000005</v>
      </c>
      <c r="HQ176" s="366">
        <v>342.17</v>
      </c>
      <c r="HR176" s="366">
        <v>92.42</v>
      </c>
      <c r="HS176" s="366">
        <v>231.46</v>
      </c>
      <c r="HT176" s="366">
        <v>335.16</v>
      </c>
      <c r="HU176" s="366">
        <v>361.84</v>
      </c>
      <c r="HV176" s="366">
        <v>386.31</v>
      </c>
    </row>
    <row r="177" spans="1:230">
      <c r="A177" s="366" t="s">
        <v>196</v>
      </c>
      <c r="B177" s="366">
        <v>646.72</v>
      </c>
      <c r="C177" s="366">
        <v>271.62</v>
      </c>
      <c r="D177" s="366">
        <v>172.39</v>
      </c>
      <c r="E177" s="366">
        <v>172.39</v>
      </c>
      <c r="F177" s="366">
        <v>710.62</v>
      </c>
      <c r="G177" s="366">
        <v>518.19000000000005</v>
      </c>
      <c r="H177" s="366">
        <v>216.01</v>
      </c>
      <c r="I177" s="366">
        <v>137.24</v>
      </c>
      <c r="J177" s="366">
        <v>239.79</v>
      </c>
      <c r="K177" s="366">
        <v>239.79</v>
      </c>
      <c r="L177" s="366">
        <v>163</v>
      </c>
      <c r="M177" s="366">
        <v>297.04000000000002</v>
      </c>
      <c r="N177" s="366">
        <v>393.94</v>
      </c>
      <c r="O177" s="366">
        <v>114.41</v>
      </c>
      <c r="P177" s="366">
        <v>114.41</v>
      </c>
      <c r="Q177" s="366">
        <v>114.41</v>
      </c>
      <c r="R177" s="366">
        <v>114.41</v>
      </c>
      <c r="S177" s="366">
        <v>114.41</v>
      </c>
      <c r="T177" s="366">
        <v>211.74</v>
      </c>
      <c r="U177" s="366">
        <v>626.23</v>
      </c>
      <c r="V177" s="366">
        <v>225.86</v>
      </c>
      <c r="W177" s="366">
        <v>355.1</v>
      </c>
      <c r="X177" s="366">
        <v>355.1</v>
      </c>
      <c r="Y177" s="366">
        <v>355.1</v>
      </c>
      <c r="Z177" s="366">
        <v>263.60000000000002</v>
      </c>
      <c r="AA177" s="366">
        <v>512.36</v>
      </c>
      <c r="AB177" s="366">
        <v>271.48</v>
      </c>
      <c r="AC177" s="366">
        <v>273.94</v>
      </c>
      <c r="AD177" s="366">
        <v>273.94</v>
      </c>
      <c r="AE177" s="366">
        <v>121.49</v>
      </c>
      <c r="AF177" s="366">
        <v>531.92999999999995</v>
      </c>
      <c r="AG177" s="366">
        <v>356.62</v>
      </c>
      <c r="AH177" s="366">
        <v>91.19</v>
      </c>
      <c r="AI177" s="366">
        <v>91.19</v>
      </c>
      <c r="AJ177" s="366">
        <v>91.19</v>
      </c>
      <c r="AK177" s="366">
        <v>285.8</v>
      </c>
      <c r="AL177" s="366">
        <v>285.8</v>
      </c>
      <c r="AM177" s="366">
        <v>274.2</v>
      </c>
      <c r="AN177" s="366">
        <v>73.58</v>
      </c>
      <c r="AO177" s="366">
        <v>525.30999999999995</v>
      </c>
      <c r="AP177" s="366">
        <v>200.46</v>
      </c>
      <c r="AQ177" s="366">
        <v>667.16</v>
      </c>
      <c r="AR177" s="366">
        <v>302.56</v>
      </c>
      <c r="AS177" s="366">
        <v>87.55</v>
      </c>
      <c r="AT177" s="366">
        <v>87.55</v>
      </c>
      <c r="AU177" s="366">
        <v>140.72</v>
      </c>
      <c r="AV177" s="366">
        <v>657.28</v>
      </c>
      <c r="AW177" s="366">
        <v>284.11</v>
      </c>
      <c r="AX177" s="366">
        <v>157.84</v>
      </c>
      <c r="AY177" s="366">
        <v>429.65</v>
      </c>
      <c r="AZ177" s="366">
        <v>240.24</v>
      </c>
      <c r="BA177" s="366">
        <v>487.54</v>
      </c>
      <c r="BB177" s="366">
        <v>432.54</v>
      </c>
      <c r="BC177" s="366">
        <v>429.6</v>
      </c>
      <c r="BD177" s="366">
        <v>339.37</v>
      </c>
      <c r="BE177" s="366">
        <v>229.92</v>
      </c>
      <c r="BF177" s="366">
        <v>268.45</v>
      </c>
      <c r="BG177" s="366">
        <v>271.14999999999998</v>
      </c>
      <c r="BH177" s="366">
        <v>114.41</v>
      </c>
      <c r="BI177" s="366">
        <v>302.58999999999997</v>
      </c>
      <c r="BJ177" s="366">
        <v>209.27</v>
      </c>
      <c r="BK177" s="366">
        <v>308.02</v>
      </c>
      <c r="BL177" s="366">
        <v>165.39</v>
      </c>
      <c r="BM177" s="366">
        <v>188.6</v>
      </c>
      <c r="BN177" s="366">
        <v>552.54999999999995</v>
      </c>
      <c r="BO177" s="366">
        <v>350.22</v>
      </c>
      <c r="BP177" s="366">
        <v>316.08</v>
      </c>
      <c r="BQ177" s="366">
        <v>116.54</v>
      </c>
      <c r="BR177" s="366">
        <v>116.54</v>
      </c>
      <c r="BS177" s="366">
        <v>247.81</v>
      </c>
      <c r="BT177" s="366">
        <v>287.02</v>
      </c>
      <c r="BU177" s="366">
        <v>251.98</v>
      </c>
      <c r="BV177" s="366">
        <v>271.60000000000002</v>
      </c>
      <c r="BW177" s="366">
        <v>200.01</v>
      </c>
      <c r="BX177" s="366">
        <v>188.9</v>
      </c>
      <c r="BY177" s="366">
        <v>253.34</v>
      </c>
      <c r="BZ177" s="366">
        <v>253.34</v>
      </c>
      <c r="CA177" s="366">
        <v>316.05</v>
      </c>
      <c r="CB177" s="366">
        <v>207.33</v>
      </c>
      <c r="CC177" s="366">
        <v>129.01</v>
      </c>
      <c r="CD177" s="366">
        <v>131.41</v>
      </c>
      <c r="CE177" s="366">
        <v>291.25</v>
      </c>
      <c r="CF177" s="366">
        <v>530.66</v>
      </c>
      <c r="CG177" s="366">
        <v>530.66</v>
      </c>
      <c r="CH177" s="366">
        <v>131.54</v>
      </c>
      <c r="CI177" s="366">
        <v>12.39</v>
      </c>
      <c r="CJ177" s="366">
        <v>541.61</v>
      </c>
      <c r="CK177" s="366">
        <v>258.43</v>
      </c>
      <c r="CL177" s="366">
        <v>154.51</v>
      </c>
      <c r="CM177" s="366">
        <v>375.88</v>
      </c>
      <c r="CN177" s="366">
        <v>158.63999999999999</v>
      </c>
      <c r="CO177" s="366">
        <v>301.17</v>
      </c>
      <c r="CP177" s="366">
        <v>109.85</v>
      </c>
      <c r="CQ177" s="366">
        <v>109.85</v>
      </c>
      <c r="CR177" s="366">
        <v>253.57</v>
      </c>
      <c r="CS177" s="366">
        <v>253.57</v>
      </c>
      <c r="CT177" s="366">
        <v>263.01</v>
      </c>
      <c r="CU177" s="366">
        <v>255.14</v>
      </c>
      <c r="CV177" s="366">
        <v>257.74</v>
      </c>
      <c r="CW177" s="366">
        <v>225.86</v>
      </c>
      <c r="CX177" s="366">
        <v>148.08000000000001</v>
      </c>
      <c r="CY177" s="366">
        <v>422.3</v>
      </c>
      <c r="CZ177" s="366">
        <v>443.54</v>
      </c>
      <c r="DA177" s="366">
        <v>331.99</v>
      </c>
      <c r="DB177" s="366">
        <v>205.25</v>
      </c>
      <c r="DC177" s="366">
        <v>205.25</v>
      </c>
      <c r="DD177" s="366">
        <v>342.26</v>
      </c>
      <c r="DE177" s="366">
        <v>409.62</v>
      </c>
      <c r="DF177" s="366">
        <v>695.08</v>
      </c>
      <c r="DG177" s="366">
        <v>42.04</v>
      </c>
      <c r="DH177" s="366">
        <v>472.18</v>
      </c>
      <c r="DI177" s="366">
        <v>396.48</v>
      </c>
      <c r="DJ177" s="366">
        <v>459.74</v>
      </c>
      <c r="DK177" s="366">
        <v>151.32</v>
      </c>
      <c r="DL177" s="366">
        <v>257.98</v>
      </c>
      <c r="DM177" s="366">
        <v>259.2</v>
      </c>
      <c r="DN177" s="366">
        <v>411.24</v>
      </c>
      <c r="DO177" s="366">
        <v>177.89</v>
      </c>
      <c r="DP177" s="366">
        <v>303.95</v>
      </c>
      <c r="DQ177" s="366">
        <v>211.35</v>
      </c>
      <c r="DR177" s="366">
        <v>472.18</v>
      </c>
      <c r="DS177" s="366">
        <v>279.04000000000002</v>
      </c>
      <c r="DT177" s="366">
        <v>267.33</v>
      </c>
      <c r="DU177" s="366">
        <v>356.15</v>
      </c>
      <c r="DV177" s="366">
        <v>289.44</v>
      </c>
      <c r="DW177" s="366">
        <v>103.97</v>
      </c>
      <c r="DX177" s="366">
        <v>186.33</v>
      </c>
      <c r="DY177" s="366">
        <v>259.72000000000003</v>
      </c>
      <c r="DZ177" s="366">
        <v>351.93</v>
      </c>
      <c r="EA177" s="366">
        <v>284.83999999999997</v>
      </c>
      <c r="EB177" s="366">
        <v>253.72</v>
      </c>
      <c r="EC177" s="366">
        <v>197.83</v>
      </c>
      <c r="ED177" s="366">
        <v>426.25</v>
      </c>
      <c r="EE177" s="366">
        <v>437.04</v>
      </c>
      <c r="EF177" s="366">
        <v>194.18</v>
      </c>
      <c r="EG177" s="366">
        <v>284.11</v>
      </c>
      <c r="EH177" s="366">
        <v>284.11</v>
      </c>
      <c r="EI177" s="366">
        <v>115.06</v>
      </c>
      <c r="EJ177" s="366">
        <v>460.24</v>
      </c>
      <c r="EK177" s="366">
        <v>53.83</v>
      </c>
      <c r="EL177" s="366">
        <v>53.83</v>
      </c>
      <c r="EM177" s="366">
        <v>156.46</v>
      </c>
      <c r="EN177" s="366">
        <v>156.46</v>
      </c>
      <c r="EO177" s="366">
        <v>274.2</v>
      </c>
      <c r="EP177" s="366">
        <v>197.06</v>
      </c>
      <c r="EQ177" s="366">
        <v>272.5</v>
      </c>
      <c r="ER177" s="366">
        <v>596.27</v>
      </c>
      <c r="ES177" s="366">
        <v>271.52</v>
      </c>
      <c r="ET177" s="366">
        <v>134.51</v>
      </c>
      <c r="EU177" s="366">
        <v>646.72</v>
      </c>
      <c r="EV177" s="366">
        <v>355.1</v>
      </c>
      <c r="EW177" s="366">
        <v>115.98</v>
      </c>
      <c r="EX177" s="366">
        <v>248.26</v>
      </c>
      <c r="EY177" s="366">
        <v>248.26</v>
      </c>
      <c r="EZ177" s="366">
        <v>178.94</v>
      </c>
      <c r="FA177" s="366">
        <v>153.63</v>
      </c>
      <c r="FB177" s="366">
        <v>135.62</v>
      </c>
      <c r="FC177" s="366">
        <v>206.47</v>
      </c>
      <c r="FD177" s="366">
        <v>39.6</v>
      </c>
      <c r="FE177" s="366">
        <v>118.89</v>
      </c>
      <c r="FF177" s="366">
        <v>94.07</v>
      </c>
      <c r="FG177" s="366">
        <v>478.58</v>
      </c>
      <c r="FH177" s="366">
        <v>478.58</v>
      </c>
      <c r="FI177" s="366">
        <v>335.97</v>
      </c>
      <c r="FJ177" s="366">
        <v>341.76</v>
      </c>
      <c r="FK177" s="366">
        <v>299.26</v>
      </c>
      <c r="FL177" s="366">
        <v>297.45</v>
      </c>
      <c r="FM177" s="366">
        <v>274.2</v>
      </c>
      <c r="FN177" s="366">
        <v>385.85</v>
      </c>
      <c r="FO177" s="366">
        <v>293.20999999999998</v>
      </c>
      <c r="FP177" s="366">
        <v>238.82</v>
      </c>
      <c r="FQ177" s="366">
        <v>297.08</v>
      </c>
      <c r="FR177" s="366">
        <v>180.34</v>
      </c>
      <c r="FS177" s="366">
        <v>94.78</v>
      </c>
      <c r="FT177" s="366">
        <v>474.9</v>
      </c>
      <c r="FU177" s="366">
        <v>0</v>
      </c>
      <c r="FV177" s="366">
        <v>710.62</v>
      </c>
      <c r="FW177" s="366">
        <v>710.62</v>
      </c>
      <c r="FX177" s="366">
        <v>710.62</v>
      </c>
      <c r="FY177" s="366">
        <v>102.77</v>
      </c>
      <c r="FZ177" s="366">
        <v>108.8</v>
      </c>
      <c r="GA177" s="366">
        <v>229.92</v>
      </c>
      <c r="GB177" s="366">
        <v>133.25</v>
      </c>
      <c r="GC177" s="366">
        <v>426.25</v>
      </c>
      <c r="GD177" s="366">
        <v>171</v>
      </c>
      <c r="GE177" s="366">
        <v>263.11</v>
      </c>
      <c r="GF177" s="366">
        <v>13.53</v>
      </c>
      <c r="GG177" s="366">
        <v>13.53</v>
      </c>
      <c r="GH177" s="366">
        <v>278.37</v>
      </c>
      <c r="GI177" s="366">
        <v>274.36</v>
      </c>
      <c r="GJ177" s="366">
        <v>274.2</v>
      </c>
      <c r="GK177" s="366">
        <v>295.81</v>
      </c>
      <c r="GL177" s="366">
        <v>101.39</v>
      </c>
      <c r="GM177" s="366">
        <v>101.39</v>
      </c>
      <c r="GN177" s="366">
        <v>101.39</v>
      </c>
      <c r="GO177" s="366">
        <v>239.64</v>
      </c>
      <c r="GP177" s="366">
        <v>235.33</v>
      </c>
      <c r="GQ177" s="366">
        <v>341.52</v>
      </c>
      <c r="GR177" s="366">
        <v>302.43</v>
      </c>
      <c r="GS177" s="366">
        <v>168.97</v>
      </c>
      <c r="GT177" s="366">
        <v>284.11</v>
      </c>
      <c r="GU177" s="366">
        <v>106.2</v>
      </c>
      <c r="GV177" s="366">
        <v>467.43</v>
      </c>
      <c r="GW177" s="366">
        <v>77.37</v>
      </c>
      <c r="GX177" s="366">
        <v>280.68</v>
      </c>
      <c r="GY177" s="366">
        <v>92.16</v>
      </c>
      <c r="GZ177" s="366">
        <v>39.32</v>
      </c>
      <c r="HA177" s="366">
        <v>298.62</v>
      </c>
      <c r="HB177" s="366">
        <v>298.62</v>
      </c>
      <c r="HC177" s="366">
        <v>298.62</v>
      </c>
      <c r="HD177" s="366">
        <v>388.22</v>
      </c>
      <c r="HE177" s="366">
        <v>150.31</v>
      </c>
      <c r="HF177" s="366">
        <v>106.6</v>
      </c>
      <c r="HG177" s="366">
        <v>234.25</v>
      </c>
      <c r="HH177" s="366">
        <v>234.25</v>
      </c>
      <c r="HI177" s="366">
        <v>234.25</v>
      </c>
      <c r="HJ177" s="366">
        <v>7.34</v>
      </c>
      <c r="HK177" s="366">
        <v>325.55</v>
      </c>
      <c r="HL177" s="366">
        <v>147.79</v>
      </c>
      <c r="HM177" s="366">
        <v>271.48</v>
      </c>
      <c r="HN177" s="366">
        <v>274.2</v>
      </c>
      <c r="HO177" s="366">
        <v>679.92</v>
      </c>
      <c r="HP177" s="366">
        <v>40.04</v>
      </c>
      <c r="HQ177" s="366">
        <v>710.62</v>
      </c>
      <c r="HR177" s="366">
        <v>531.92999999999995</v>
      </c>
      <c r="HS177" s="366">
        <v>270.45</v>
      </c>
      <c r="HT177" s="366">
        <v>152.77000000000001</v>
      </c>
      <c r="HU177" s="366">
        <v>120.02</v>
      </c>
      <c r="HV177" s="366">
        <v>138.34</v>
      </c>
    </row>
    <row r="178" spans="1:230">
      <c r="A178" s="366" t="s">
        <v>21</v>
      </c>
      <c r="B178" s="366">
        <v>63.9</v>
      </c>
      <c r="C178" s="366">
        <v>930.39</v>
      </c>
      <c r="D178" s="366">
        <v>734.3</v>
      </c>
      <c r="E178" s="366">
        <v>734.3</v>
      </c>
      <c r="F178" s="366">
        <v>0</v>
      </c>
      <c r="G178" s="366">
        <v>275.14999999999998</v>
      </c>
      <c r="H178" s="366">
        <v>690.68</v>
      </c>
      <c r="I178" s="366">
        <v>573.38</v>
      </c>
      <c r="J178" s="366">
        <v>666.9</v>
      </c>
      <c r="K178" s="366">
        <v>666.9</v>
      </c>
      <c r="L178" s="366">
        <v>752.21</v>
      </c>
      <c r="M178" s="366">
        <v>955.81</v>
      </c>
      <c r="N178" s="366">
        <v>1052.71</v>
      </c>
      <c r="O178" s="366">
        <v>825.03</v>
      </c>
      <c r="P178" s="366">
        <v>825.03</v>
      </c>
      <c r="Q178" s="366">
        <v>825.03</v>
      </c>
      <c r="R178" s="366">
        <v>825.03</v>
      </c>
      <c r="S178" s="366">
        <v>825.03</v>
      </c>
      <c r="T178" s="366">
        <v>498.88</v>
      </c>
      <c r="U178" s="366">
        <v>155.44999999999999</v>
      </c>
      <c r="V178" s="366">
        <v>914.42</v>
      </c>
      <c r="W178" s="366">
        <v>555.61</v>
      </c>
      <c r="X178" s="366">
        <v>555.61</v>
      </c>
      <c r="Y178" s="366">
        <v>555.61</v>
      </c>
      <c r="Z178" s="366">
        <v>952.16</v>
      </c>
      <c r="AA178" s="366">
        <v>269.32</v>
      </c>
      <c r="AB178" s="366">
        <v>468.21</v>
      </c>
      <c r="AC178" s="366">
        <v>436.68</v>
      </c>
      <c r="AD178" s="366">
        <v>436.68</v>
      </c>
      <c r="AE178" s="366">
        <v>785.2</v>
      </c>
      <c r="AF178" s="366">
        <v>249.75</v>
      </c>
      <c r="AG178" s="366">
        <v>587.13</v>
      </c>
      <c r="AH178" s="366">
        <v>619.42999999999995</v>
      </c>
      <c r="AI178" s="366">
        <v>619.42999999999995</v>
      </c>
      <c r="AJ178" s="366">
        <v>619.42999999999995</v>
      </c>
      <c r="AK178" s="366">
        <v>974.36</v>
      </c>
      <c r="AL178" s="366">
        <v>974.36</v>
      </c>
      <c r="AM178" s="366">
        <v>470.93</v>
      </c>
      <c r="AN178" s="366">
        <v>784.2</v>
      </c>
      <c r="AO178" s="366">
        <v>291.76</v>
      </c>
      <c r="AP178" s="366">
        <v>518</v>
      </c>
      <c r="AQ178" s="366">
        <v>57.93</v>
      </c>
      <c r="AR178" s="366">
        <v>706.64</v>
      </c>
      <c r="AS178" s="366">
        <v>765.53</v>
      </c>
      <c r="AT178" s="366">
        <v>765.53</v>
      </c>
      <c r="AU178" s="366">
        <v>829.28</v>
      </c>
      <c r="AV178" s="366">
        <v>125.76</v>
      </c>
      <c r="AW178" s="366">
        <v>629.44000000000005</v>
      </c>
      <c r="AX178" s="366">
        <v>561.04</v>
      </c>
      <c r="AY178" s="366">
        <v>1088.42</v>
      </c>
      <c r="AZ178" s="366">
        <v>899.01</v>
      </c>
      <c r="BA178" s="366">
        <v>223.08</v>
      </c>
      <c r="BB178" s="366">
        <v>1091.31</v>
      </c>
      <c r="BC178" s="366">
        <v>303.98</v>
      </c>
      <c r="BD178" s="366">
        <v>371.25</v>
      </c>
      <c r="BE178" s="366">
        <v>918.48</v>
      </c>
      <c r="BF178" s="366">
        <v>465.18</v>
      </c>
      <c r="BG178" s="366">
        <v>959.71</v>
      </c>
      <c r="BH178" s="366">
        <v>825.03</v>
      </c>
      <c r="BI178" s="366">
        <v>706.67</v>
      </c>
      <c r="BJ178" s="366">
        <v>897.83</v>
      </c>
      <c r="BK178" s="366">
        <v>966.79</v>
      </c>
      <c r="BL178" s="366">
        <v>741.3</v>
      </c>
      <c r="BM178" s="366">
        <v>718.09</v>
      </c>
      <c r="BN178" s="366">
        <v>229.13</v>
      </c>
      <c r="BO178" s="366">
        <v>1008.99</v>
      </c>
      <c r="BP178" s="366">
        <v>974.85</v>
      </c>
      <c r="BQ178" s="366">
        <v>594.08000000000004</v>
      </c>
      <c r="BR178" s="366">
        <v>594.08000000000004</v>
      </c>
      <c r="BS178" s="366">
        <v>906.58</v>
      </c>
      <c r="BT178" s="366">
        <v>698.59</v>
      </c>
      <c r="BU178" s="366">
        <v>458.64</v>
      </c>
      <c r="BV178" s="366">
        <v>468.33</v>
      </c>
      <c r="BW178" s="366">
        <v>888.57</v>
      </c>
      <c r="BX178" s="366">
        <v>847.67</v>
      </c>
      <c r="BY178" s="366">
        <v>941.9</v>
      </c>
      <c r="BZ178" s="366">
        <v>941.9</v>
      </c>
      <c r="CA178" s="366">
        <v>590.64</v>
      </c>
      <c r="CB178" s="366">
        <v>866.1</v>
      </c>
      <c r="CC178" s="366">
        <v>589.87</v>
      </c>
      <c r="CD178" s="366">
        <v>603.35</v>
      </c>
      <c r="CE178" s="366">
        <v>950.02</v>
      </c>
      <c r="CF178" s="366">
        <v>287.62</v>
      </c>
      <c r="CG178" s="366">
        <v>287.62</v>
      </c>
      <c r="CH178" s="366">
        <v>579.08000000000004</v>
      </c>
      <c r="CI178" s="366">
        <v>698.23</v>
      </c>
      <c r="CJ178" s="366">
        <v>240.21</v>
      </c>
      <c r="CK178" s="366">
        <v>946.99</v>
      </c>
      <c r="CL178" s="366">
        <v>843.07</v>
      </c>
      <c r="CM178" s="366">
        <v>334.74</v>
      </c>
      <c r="CN178" s="366">
        <v>847.2</v>
      </c>
      <c r="CO178" s="366">
        <v>705.25</v>
      </c>
      <c r="CP178" s="366">
        <v>600.77</v>
      </c>
      <c r="CQ178" s="366">
        <v>600.77</v>
      </c>
      <c r="CR178" s="366">
        <v>656.57</v>
      </c>
      <c r="CS178" s="366">
        <v>656.57</v>
      </c>
      <c r="CT178" s="366">
        <v>647.13</v>
      </c>
      <c r="CU178" s="366">
        <v>655</v>
      </c>
      <c r="CV178" s="366">
        <v>648.95000000000005</v>
      </c>
      <c r="CW178" s="366">
        <v>914.42</v>
      </c>
      <c r="CX178" s="366">
        <v>577.58000000000004</v>
      </c>
      <c r="CY178" s="366">
        <v>296.68</v>
      </c>
      <c r="CZ178" s="366">
        <v>317.92</v>
      </c>
      <c r="DA178" s="366">
        <v>990.76</v>
      </c>
      <c r="DB178" s="366">
        <v>893.81</v>
      </c>
      <c r="DC178" s="366">
        <v>893.81</v>
      </c>
      <c r="DD178" s="366">
        <v>467.46</v>
      </c>
      <c r="DE178" s="366">
        <v>1068.3900000000001</v>
      </c>
      <c r="DF178" s="366">
        <v>15.54</v>
      </c>
      <c r="DG178" s="366">
        <v>668.58</v>
      </c>
      <c r="DH178" s="366">
        <v>1130.95</v>
      </c>
      <c r="DI178" s="366">
        <v>385.2</v>
      </c>
      <c r="DJ178" s="366">
        <v>334.12</v>
      </c>
      <c r="DK178" s="366">
        <v>810.09</v>
      </c>
      <c r="DL178" s="366">
        <v>454.31</v>
      </c>
      <c r="DM178" s="366">
        <v>917.97</v>
      </c>
      <c r="DN178" s="366">
        <v>372.23</v>
      </c>
      <c r="DO178" s="366">
        <v>836.66</v>
      </c>
      <c r="DP178" s="366">
        <v>504.46</v>
      </c>
      <c r="DQ178" s="366">
        <v>899.91</v>
      </c>
      <c r="DR178" s="366">
        <v>1130.95</v>
      </c>
      <c r="DS178" s="366">
        <v>706.15</v>
      </c>
      <c r="DT178" s="366">
        <v>694.44</v>
      </c>
      <c r="DU178" s="366">
        <v>1021.1</v>
      </c>
      <c r="DV178" s="366">
        <v>978</v>
      </c>
      <c r="DW178" s="366">
        <v>781.95</v>
      </c>
      <c r="DX178" s="366">
        <v>874.89</v>
      </c>
      <c r="DY178" s="366">
        <v>948.28</v>
      </c>
      <c r="DZ178" s="366">
        <v>456.48</v>
      </c>
      <c r="EA178" s="366">
        <v>688.92</v>
      </c>
      <c r="EB178" s="366">
        <v>942.28</v>
      </c>
      <c r="EC178" s="366">
        <v>708.86</v>
      </c>
      <c r="ED178" s="366">
        <v>355.43</v>
      </c>
      <c r="EE178" s="366">
        <v>345.55</v>
      </c>
      <c r="EF178" s="366">
        <v>524.28</v>
      </c>
      <c r="EG178" s="366">
        <v>629.44000000000005</v>
      </c>
      <c r="EH178" s="366">
        <v>629.44000000000005</v>
      </c>
      <c r="EI178" s="366">
        <v>603.82000000000005</v>
      </c>
      <c r="EJ178" s="366">
        <v>1119.01</v>
      </c>
      <c r="EK178" s="366">
        <v>750.91</v>
      </c>
      <c r="EL178" s="366">
        <v>750.91</v>
      </c>
      <c r="EM178" s="366">
        <v>845.02</v>
      </c>
      <c r="EN178" s="366">
        <v>845.02</v>
      </c>
      <c r="EO178" s="366">
        <v>470.93</v>
      </c>
      <c r="EP178" s="366">
        <v>521.82000000000005</v>
      </c>
      <c r="EQ178" s="366">
        <v>637.64</v>
      </c>
      <c r="ER178" s="366">
        <v>188.97</v>
      </c>
      <c r="ES178" s="366">
        <v>930.29</v>
      </c>
      <c r="ET178" s="366">
        <v>576.11</v>
      </c>
      <c r="EU178" s="366">
        <v>63.9</v>
      </c>
      <c r="EV178" s="366">
        <v>555.61</v>
      </c>
      <c r="EW178" s="366">
        <v>603.20000000000005</v>
      </c>
      <c r="EX178" s="366">
        <v>907.03</v>
      </c>
      <c r="EY178" s="366">
        <v>907.03</v>
      </c>
      <c r="EZ178" s="366">
        <v>889.56</v>
      </c>
      <c r="FA178" s="366">
        <v>842.19</v>
      </c>
      <c r="FB178" s="366">
        <v>794.39</v>
      </c>
      <c r="FC178" s="366">
        <v>895.03</v>
      </c>
      <c r="FD178" s="366">
        <v>750.22</v>
      </c>
      <c r="FE178" s="366">
        <v>607.65</v>
      </c>
      <c r="FF178" s="366">
        <v>685.77</v>
      </c>
      <c r="FG178" s="366">
        <v>352.96</v>
      </c>
      <c r="FH178" s="366">
        <v>352.96</v>
      </c>
      <c r="FI178" s="366">
        <v>566.48</v>
      </c>
      <c r="FJ178" s="366">
        <v>572.27</v>
      </c>
      <c r="FK178" s="366">
        <v>958.03</v>
      </c>
      <c r="FL178" s="366">
        <v>956.22</v>
      </c>
      <c r="FM178" s="366">
        <v>470.93</v>
      </c>
      <c r="FN178" s="366">
        <v>586.36</v>
      </c>
      <c r="FO178" s="366">
        <v>697.29</v>
      </c>
      <c r="FP178" s="366">
        <v>927.38</v>
      </c>
      <c r="FQ178" s="366">
        <v>701.16</v>
      </c>
      <c r="FR178" s="366">
        <v>769.55</v>
      </c>
      <c r="FS178" s="366">
        <v>686.48</v>
      </c>
      <c r="FT178" s="366">
        <v>342.17</v>
      </c>
      <c r="FU178" s="366">
        <v>710.62</v>
      </c>
      <c r="FV178" s="366">
        <v>0</v>
      </c>
      <c r="FW178" s="366">
        <v>0</v>
      </c>
      <c r="FX178" s="366">
        <v>0</v>
      </c>
      <c r="FY178" s="366">
        <v>791.33</v>
      </c>
      <c r="FZ178" s="366">
        <v>630.52</v>
      </c>
      <c r="GA178" s="366">
        <v>918.48</v>
      </c>
      <c r="GB178" s="366">
        <v>724.95</v>
      </c>
      <c r="GC178" s="366">
        <v>355.43</v>
      </c>
      <c r="GD178" s="366">
        <v>829.77</v>
      </c>
      <c r="GE178" s="366">
        <v>647.03</v>
      </c>
      <c r="GF178" s="366">
        <v>724.15</v>
      </c>
      <c r="GG178" s="366">
        <v>724.15</v>
      </c>
      <c r="GH178" s="366">
        <v>966.93</v>
      </c>
      <c r="GI178" s="366">
        <v>471.09</v>
      </c>
      <c r="GJ178" s="366">
        <v>470.93</v>
      </c>
      <c r="GK178" s="366">
        <v>954.58</v>
      </c>
      <c r="GL178" s="366">
        <v>617.49</v>
      </c>
      <c r="GM178" s="366">
        <v>617.49</v>
      </c>
      <c r="GN178" s="366">
        <v>617.49</v>
      </c>
      <c r="GO178" s="366">
        <v>478.82</v>
      </c>
      <c r="GP178" s="366">
        <v>923.89</v>
      </c>
      <c r="GQ178" s="366">
        <v>1000.29</v>
      </c>
      <c r="GR178" s="366">
        <v>465.17</v>
      </c>
      <c r="GS178" s="366">
        <v>541.65</v>
      </c>
      <c r="GT178" s="366">
        <v>629.44000000000005</v>
      </c>
      <c r="GU178" s="366">
        <v>784.18</v>
      </c>
      <c r="GV178" s="366">
        <v>1126.2</v>
      </c>
      <c r="GW178" s="366">
        <v>641.95000000000005</v>
      </c>
      <c r="GX178" s="366">
        <v>626.01</v>
      </c>
      <c r="GY178" s="366">
        <v>618.46</v>
      </c>
      <c r="GZ178" s="366">
        <v>749.94</v>
      </c>
      <c r="HA178" s="366">
        <v>702.7</v>
      </c>
      <c r="HB178" s="366">
        <v>702.7</v>
      </c>
      <c r="HC178" s="366">
        <v>702.7</v>
      </c>
      <c r="HD178" s="366">
        <v>420.19</v>
      </c>
      <c r="HE178" s="366">
        <v>838.87</v>
      </c>
      <c r="HF178" s="366">
        <v>795.16</v>
      </c>
      <c r="HG178" s="366">
        <v>922.81</v>
      </c>
      <c r="HH178" s="366">
        <v>922.81</v>
      </c>
      <c r="HI178" s="366">
        <v>922.81</v>
      </c>
      <c r="HJ178" s="366">
        <v>703.28</v>
      </c>
      <c r="HK178" s="366">
        <v>556.05999999999995</v>
      </c>
      <c r="HL178" s="366">
        <v>858.41</v>
      </c>
      <c r="HM178" s="366">
        <v>468.21</v>
      </c>
      <c r="HN178" s="366">
        <v>470.93</v>
      </c>
      <c r="HO178" s="366">
        <v>97.1</v>
      </c>
      <c r="HP178" s="366">
        <v>750.66</v>
      </c>
      <c r="HQ178" s="366">
        <v>0</v>
      </c>
      <c r="HR178" s="366">
        <v>249.75</v>
      </c>
      <c r="HS178" s="366">
        <v>467.18</v>
      </c>
      <c r="HT178" s="366">
        <v>570.88</v>
      </c>
      <c r="HU178" s="366">
        <v>597.55999999999995</v>
      </c>
      <c r="HV178" s="366">
        <v>622.03</v>
      </c>
    </row>
    <row r="179" spans="1:230">
      <c r="A179" s="366" t="s">
        <v>197</v>
      </c>
      <c r="B179" s="366">
        <v>63.9</v>
      </c>
      <c r="C179" s="366">
        <v>930.39</v>
      </c>
      <c r="D179" s="366">
        <v>734.3</v>
      </c>
      <c r="E179" s="366">
        <v>734.3</v>
      </c>
      <c r="F179" s="366">
        <v>0</v>
      </c>
      <c r="G179" s="366">
        <v>275.14999999999998</v>
      </c>
      <c r="H179" s="366">
        <v>690.68</v>
      </c>
      <c r="I179" s="366">
        <v>573.38</v>
      </c>
      <c r="J179" s="366">
        <v>666.9</v>
      </c>
      <c r="K179" s="366">
        <v>666.9</v>
      </c>
      <c r="L179" s="366">
        <v>752.21</v>
      </c>
      <c r="M179" s="366">
        <v>955.81</v>
      </c>
      <c r="N179" s="366">
        <v>1052.71</v>
      </c>
      <c r="O179" s="366">
        <v>825.03</v>
      </c>
      <c r="P179" s="366">
        <v>825.03</v>
      </c>
      <c r="Q179" s="366">
        <v>825.03</v>
      </c>
      <c r="R179" s="366">
        <v>825.03</v>
      </c>
      <c r="S179" s="366">
        <v>825.03</v>
      </c>
      <c r="T179" s="366">
        <v>498.88</v>
      </c>
      <c r="U179" s="366">
        <v>155.44999999999999</v>
      </c>
      <c r="V179" s="366">
        <v>914.42</v>
      </c>
      <c r="W179" s="366">
        <v>555.61</v>
      </c>
      <c r="X179" s="366">
        <v>555.61</v>
      </c>
      <c r="Y179" s="366">
        <v>555.61</v>
      </c>
      <c r="Z179" s="366">
        <v>952.16</v>
      </c>
      <c r="AA179" s="366">
        <v>269.32</v>
      </c>
      <c r="AB179" s="366">
        <v>468.21</v>
      </c>
      <c r="AC179" s="366">
        <v>436.68</v>
      </c>
      <c r="AD179" s="366">
        <v>436.68</v>
      </c>
      <c r="AE179" s="366">
        <v>785.2</v>
      </c>
      <c r="AF179" s="366">
        <v>249.75</v>
      </c>
      <c r="AG179" s="366">
        <v>587.13</v>
      </c>
      <c r="AH179" s="366">
        <v>619.42999999999995</v>
      </c>
      <c r="AI179" s="366">
        <v>619.42999999999995</v>
      </c>
      <c r="AJ179" s="366">
        <v>619.42999999999995</v>
      </c>
      <c r="AK179" s="366">
        <v>974.36</v>
      </c>
      <c r="AL179" s="366">
        <v>974.36</v>
      </c>
      <c r="AM179" s="366">
        <v>470.93</v>
      </c>
      <c r="AN179" s="366">
        <v>784.2</v>
      </c>
      <c r="AO179" s="366">
        <v>291.76</v>
      </c>
      <c r="AP179" s="366">
        <v>518</v>
      </c>
      <c r="AQ179" s="366">
        <v>57.93</v>
      </c>
      <c r="AR179" s="366">
        <v>706.64</v>
      </c>
      <c r="AS179" s="366">
        <v>765.53</v>
      </c>
      <c r="AT179" s="366">
        <v>765.53</v>
      </c>
      <c r="AU179" s="366">
        <v>829.28</v>
      </c>
      <c r="AV179" s="366">
        <v>125.76</v>
      </c>
      <c r="AW179" s="366">
        <v>629.44000000000005</v>
      </c>
      <c r="AX179" s="366">
        <v>561.04</v>
      </c>
      <c r="AY179" s="366">
        <v>1088.42</v>
      </c>
      <c r="AZ179" s="366">
        <v>899.01</v>
      </c>
      <c r="BA179" s="366">
        <v>223.08</v>
      </c>
      <c r="BB179" s="366">
        <v>1091.31</v>
      </c>
      <c r="BC179" s="366">
        <v>303.98</v>
      </c>
      <c r="BD179" s="366">
        <v>371.25</v>
      </c>
      <c r="BE179" s="366">
        <v>918.48</v>
      </c>
      <c r="BF179" s="366">
        <v>465.18</v>
      </c>
      <c r="BG179" s="366">
        <v>959.71</v>
      </c>
      <c r="BH179" s="366">
        <v>825.03</v>
      </c>
      <c r="BI179" s="366">
        <v>706.67</v>
      </c>
      <c r="BJ179" s="366">
        <v>897.83</v>
      </c>
      <c r="BK179" s="366">
        <v>966.79</v>
      </c>
      <c r="BL179" s="366">
        <v>741.3</v>
      </c>
      <c r="BM179" s="366">
        <v>718.09</v>
      </c>
      <c r="BN179" s="366">
        <v>229.13</v>
      </c>
      <c r="BO179" s="366">
        <v>1008.99</v>
      </c>
      <c r="BP179" s="366">
        <v>974.85</v>
      </c>
      <c r="BQ179" s="366">
        <v>594.08000000000004</v>
      </c>
      <c r="BR179" s="366">
        <v>594.08000000000004</v>
      </c>
      <c r="BS179" s="366">
        <v>906.58</v>
      </c>
      <c r="BT179" s="366">
        <v>698.59</v>
      </c>
      <c r="BU179" s="366">
        <v>458.64</v>
      </c>
      <c r="BV179" s="366">
        <v>468.33</v>
      </c>
      <c r="BW179" s="366">
        <v>888.57</v>
      </c>
      <c r="BX179" s="366">
        <v>847.67</v>
      </c>
      <c r="BY179" s="366">
        <v>941.9</v>
      </c>
      <c r="BZ179" s="366">
        <v>941.9</v>
      </c>
      <c r="CA179" s="366">
        <v>590.64</v>
      </c>
      <c r="CB179" s="366">
        <v>866.1</v>
      </c>
      <c r="CC179" s="366">
        <v>589.87</v>
      </c>
      <c r="CD179" s="366">
        <v>603.35</v>
      </c>
      <c r="CE179" s="366">
        <v>950.02</v>
      </c>
      <c r="CF179" s="366">
        <v>287.62</v>
      </c>
      <c r="CG179" s="366">
        <v>287.62</v>
      </c>
      <c r="CH179" s="366">
        <v>579.08000000000004</v>
      </c>
      <c r="CI179" s="366">
        <v>698.23</v>
      </c>
      <c r="CJ179" s="366">
        <v>240.21</v>
      </c>
      <c r="CK179" s="366">
        <v>946.99</v>
      </c>
      <c r="CL179" s="366">
        <v>843.07</v>
      </c>
      <c r="CM179" s="366">
        <v>334.74</v>
      </c>
      <c r="CN179" s="366">
        <v>847.2</v>
      </c>
      <c r="CO179" s="366">
        <v>705.25</v>
      </c>
      <c r="CP179" s="366">
        <v>600.77</v>
      </c>
      <c r="CQ179" s="366">
        <v>600.77</v>
      </c>
      <c r="CR179" s="366">
        <v>656.57</v>
      </c>
      <c r="CS179" s="366">
        <v>656.57</v>
      </c>
      <c r="CT179" s="366">
        <v>647.13</v>
      </c>
      <c r="CU179" s="366">
        <v>655</v>
      </c>
      <c r="CV179" s="366">
        <v>648.95000000000005</v>
      </c>
      <c r="CW179" s="366">
        <v>914.42</v>
      </c>
      <c r="CX179" s="366">
        <v>577.58000000000004</v>
      </c>
      <c r="CY179" s="366">
        <v>296.68</v>
      </c>
      <c r="CZ179" s="366">
        <v>317.92</v>
      </c>
      <c r="DA179" s="366">
        <v>990.76</v>
      </c>
      <c r="DB179" s="366">
        <v>893.81</v>
      </c>
      <c r="DC179" s="366">
        <v>893.81</v>
      </c>
      <c r="DD179" s="366">
        <v>467.46</v>
      </c>
      <c r="DE179" s="366">
        <v>1068.3900000000001</v>
      </c>
      <c r="DF179" s="366">
        <v>15.54</v>
      </c>
      <c r="DG179" s="366">
        <v>668.58</v>
      </c>
      <c r="DH179" s="366">
        <v>1130.95</v>
      </c>
      <c r="DI179" s="366">
        <v>385.2</v>
      </c>
      <c r="DJ179" s="366">
        <v>334.12</v>
      </c>
      <c r="DK179" s="366">
        <v>810.09</v>
      </c>
      <c r="DL179" s="366">
        <v>454.31</v>
      </c>
      <c r="DM179" s="366">
        <v>917.97</v>
      </c>
      <c r="DN179" s="366">
        <v>372.23</v>
      </c>
      <c r="DO179" s="366">
        <v>836.66</v>
      </c>
      <c r="DP179" s="366">
        <v>504.46</v>
      </c>
      <c r="DQ179" s="366">
        <v>899.91</v>
      </c>
      <c r="DR179" s="366">
        <v>1130.95</v>
      </c>
      <c r="DS179" s="366">
        <v>706.15</v>
      </c>
      <c r="DT179" s="366">
        <v>694.44</v>
      </c>
      <c r="DU179" s="366">
        <v>1021.1</v>
      </c>
      <c r="DV179" s="366">
        <v>978</v>
      </c>
      <c r="DW179" s="366">
        <v>781.95</v>
      </c>
      <c r="DX179" s="366">
        <v>874.89</v>
      </c>
      <c r="DY179" s="366">
        <v>948.28</v>
      </c>
      <c r="DZ179" s="366">
        <v>456.48</v>
      </c>
      <c r="EA179" s="366">
        <v>688.92</v>
      </c>
      <c r="EB179" s="366">
        <v>942.28</v>
      </c>
      <c r="EC179" s="366">
        <v>708.86</v>
      </c>
      <c r="ED179" s="366">
        <v>355.43</v>
      </c>
      <c r="EE179" s="366">
        <v>345.55</v>
      </c>
      <c r="EF179" s="366">
        <v>524.28</v>
      </c>
      <c r="EG179" s="366">
        <v>629.44000000000005</v>
      </c>
      <c r="EH179" s="366">
        <v>629.44000000000005</v>
      </c>
      <c r="EI179" s="366">
        <v>603.82000000000005</v>
      </c>
      <c r="EJ179" s="366">
        <v>1119.01</v>
      </c>
      <c r="EK179" s="366">
        <v>750.91</v>
      </c>
      <c r="EL179" s="366">
        <v>750.91</v>
      </c>
      <c r="EM179" s="366">
        <v>845.02</v>
      </c>
      <c r="EN179" s="366">
        <v>845.02</v>
      </c>
      <c r="EO179" s="366">
        <v>470.93</v>
      </c>
      <c r="EP179" s="366">
        <v>521.82000000000005</v>
      </c>
      <c r="EQ179" s="366">
        <v>637.64</v>
      </c>
      <c r="ER179" s="366">
        <v>188.97</v>
      </c>
      <c r="ES179" s="366">
        <v>930.29</v>
      </c>
      <c r="ET179" s="366">
        <v>576.11</v>
      </c>
      <c r="EU179" s="366">
        <v>63.9</v>
      </c>
      <c r="EV179" s="366">
        <v>555.61</v>
      </c>
      <c r="EW179" s="366">
        <v>603.20000000000005</v>
      </c>
      <c r="EX179" s="366">
        <v>907.03</v>
      </c>
      <c r="EY179" s="366">
        <v>907.03</v>
      </c>
      <c r="EZ179" s="366">
        <v>889.56</v>
      </c>
      <c r="FA179" s="366">
        <v>842.19</v>
      </c>
      <c r="FB179" s="366">
        <v>794.39</v>
      </c>
      <c r="FC179" s="366">
        <v>895.03</v>
      </c>
      <c r="FD179" s="366">
        <v>750.22</v>
      </c>
      <c r="FE179" s="366">
        <v>607.65</v>
      </c>
      <c r="FF179" s="366">
        <v>685.77</v>
      </c>
      <c r="FG179" s="366">
        <v>352.96</v>
      </c>
      <c r="FH179" s="366">
        <v>352.96</v>
      </c>
      <c r="FI179" s="366">
        <v>566.48</v>
      </c>
      <c r="FJ179" s="366">
        <v>572.27</v>
      </c>
      <c r="FK179" s="366">
        <v>958.03</v>
      </c>
      <c r="FL179" s="366">
        <v>956.22</v>
      </c>
      <c r="FM179" s="366">
        <v>470.93</v>
      </c>
      <c r="FN179" s="366">
        <v>586.36</v>
      </c>
      <c r="FO179" s="366">
        <v>697.29</v>
      </c>
      <c r="FP179" s="366">
        <v>927.38</v>
      </c>
      <c r="FQ179" s="366">
        <v>701.16</v>
      </c>
      <c r="FR179" s="366">
        <v>769.55</v>
      </c>
      <c r="FS179" s="366">
        <v>686.48</v>
      </c>
      <c r="FT179" s="366">
        <v>342.17</v>
      </c>
      <c r="FU179" s="366">
        <v>710.62</v>
      </c>
      <c r="FV179" s="366">
        <v>0</v>
      </c>
      <c r="FW179" s="366">
        <v>0</v>
      </c>
      <c r="FX179" s="366">
        <v>0</v>
      </c>
      <c r="FY179" s="366">
        <v>791.33</v>
      </c>
      <c r="FZ179" s="366">
        <v>630.52</v>
      </c>
      <c r="GA179" s="366">
        <v>918.48</v>
      </c>
      <c r="GB179" s="366">
        <v>724.95</v>
      </c>
      <c r="GC179" s="366">
        <v>355.43</v>
      </c>
      <c r="GD179" s="366">
        <v>829.77</v>
      </c>
      <c r="GE179" s="366">
        <v>647.03</v>
      </c>
      <c r="GF179" s="366">
        <v>724.15</v>
      </c>
      <c r="GG179" s="366">
        <v>724.15</v>
      </c>
      <c r="GH179" s="366">
        <v>966.93</v>
      </c>
      <c r="GI179" s="366">
        <v>471.09</v>
      </c>
      <c r="GJ179" s="366">
        <v>470.93</v>
      </c>
      <c r="GK179" s="366">
        <v>954.58</v>
      </c>
      <c r="GL179" s="366">
        <v>617.49</v>
      </c>
      <c r="GM179" s="366">
        <v>617.49</v>
      </c>
      <c r="GN179" s="366">
        <v>617.49</v>
      </c>
      <c r="GO179" s="366">
        <v>478.82</v>
      </c>
      <c r="GP179" s="366">
        <v>923.89</v>
      </c>
      <c r="GQ179" s="366">
        <v>1000.29</v>
      </c>
      <c r="GR179" s="366">
        <v>465.17</v>
      </c>
      <c r="GS179" s="366">
        <v>541.65</v>
      </c>
      <c r="GT179" s="366">
        <v>629.44000000000005</v>
      </c>
      <c r="GU179" s="366">
        <v>784.18</v>
      </c>
      <c r="GV179" s="366">
        <v>1126.2</v>
      </c>
      <c r="GW179" s="366">
        <v>641.95000000000005</v>
      </c>
      <c r="GX179" s="366">
        <v>626.01</v>
      </c>
      <c r="GY179" s="366">
        <v>618.46</v>
      </c>
      <c r="GZ179" s="366">
        <v>749.94</v>
      </c>
      <c r="HA179" s="366">
        <v>702.7</v>
      </c>
      <c r="HB179" s="366">
        <v>702.7</v>
      </c>
      <c r="HC179" s="366">
        <v>702.7</v>
      </c>
      <c r="HD179" s="366">
        <v>420.19</v>
      </c>
      <c r="HE179" s="366">
        <v>838.87</v>
      </c>
      <c r="HF179" s="366">
        <v>795.16</v>
      </c>
      <c r="HG179" s="366">
        <v>922.81</v>
      </c>
      <c r="HH179" s="366">
        <v>922.81</v>
      </c>
      <c r="HI179" s="366">
        <v>922.81</v>
      </c>
      <c r="HJ179" s="366">
        <v>703.28</v>
      </c>
      <c r="HK179" s="366">
        <v>556.05999999999995</v>
      </c>
      <c r="HL179" s="366">
        <v>858.41</v>
      </c>
      <c r="HM179" s="366">
        <v>468.21</v>
      </c>
      <c r="HN179" s="366">
        <v>470.93</v>
      </c>
      <c r="HO179" s="366">
        <v>97.1</v>
      </c>
      <c r="HP179" s="366">
        <v>750.66</v>
      </c>
      <c r="HQ179" s="366">
        <v>0</v>
      </c>
      <c r="HR179" s="366">
        <v>249.75</v>
      </c>
      <c r="HS179" s="366">
        <v>467.18</v>
      </c>
      <c r="HT179" s="366">
        <v>570.88</v>
      </c>
      <c r="HU179" s="366">
        <v>597.55999999999995</v>
      </c>
      <c r="HV179" s="366">
        <v>622.03</v>
      </c>
    </row>
    <row r="180" spans="1:230">
      <c r="A180" s="366" t="s">
        <v>198</v>
      </c>
      <c r="B180" s="366">
        <v>63.9</v>
      </c>
      <c r="C180" s="366">
        <v>930.39</v>
      </c>
      <c r="D180" s="366">
        <v>734.3</v>
      </c>
      <c r="E180" s="366">
        <v>734.3</v>
      </c>
      <c r="F180" s="366">
        <v>0</v>
      </c>
      <c r="G180" s="366">
        <v>275.14999999999998</v>
      </c>
      <c r="H180" s="366">
        <v>690.68</v>
      </c>
      <c r="I180" s="366">
        <v>573.38</v>
      </c>
      <c r="J180" s="366">
        <v>666.9</v>
      </c>
      <c r="K180" s="366">
        <v>666.9</v>
      </c>
      <c r="L180" s="366">
        <v>752.21</v>
      </c>
      <c r="M180" s="366">
        <v>955.81</v>
      </c>
      <c r="N180" s="366">
        <v>1052.71</v>
      </c>
      <c r="O180" s="366">
        <v>825.03</v>
      </c>
      <c r="P180" s="366">
        <v>825.03</v>
      </c>
      <c r="Q180" s="366">
        <v>825.03</v>
      </c>
      <c r="R180" s="366">
        <v>825.03</v>
      </c>
      <c r="S180" s="366">
        <v>825.03</v>
      </c>
      <c r="T180" s="366">
        <v>498.88</v>
      </c>
      <c r="U180" s="366">
        <v>155.44999999999999</v>
      </c>
      <c r="V180" s="366">
        <v>914.42</v>
      </c>
      <c r="W180" s="366">
        <v>555.61</v>
      </c>
      <c r="X180" s="366">
        <v>555.61</v>
      </c>
      <c r="Y180" s="366">
        <v>555.61</v>
      </c>
      <c r="Z180" s="366">
        <v>952.16</v>
      </c>
      <c r="AA180" s="366">
        <v>269.32</v>
      </c>
      <c r="AB180" s="366">
        <v>468.21</v>
      </c>
      <c r="AC180" s="366">
        <v>436.68</v>
      </c>
      <c r="AD180" s="366">
        <v>436.68</v>
      </c>
      <c r="AE180" s="366">
        <v>785.2</v>
      </c>
      <c r="AF180" s="366">
        <v>249.75</v>
      </c>
      <c r="AG180" s="366">
        <v>587.13</v>
      </c>
      <c r="AH180" s="366">
        <v>619.42999999999995</v>
      </c>
      <c r="AI180" s="366">
        <v>619.42999999999995</v>
      </c>
      <c r="AJ180" s="366">
        <v>619.42999999999995</v>
      </c>
      <c r="AK180" s="366">
        <v>974.36</v>
      </c>
      <c r="AL180" s="366">
        <v>974.36</v>
      </c>
      <c r="AM180" s="366">
        <v>470.93</v>
      </c>
      <c r="AN180" s="366">
        <v>784.2</v>
      </c>
      <c r="AO180" s="366">
        <v>291.76</v>
      </c>
      <c r="AP180" s="366">
        <v>518</v>
      </c>
      <c r="AQ180" s="366">
        <v>57.93</v>
      </c>
      <c r="AR180" s="366">
        <v>706.64</v>
      </c>
      <c r="AS180" s="366">
        <v>765.53</v>
      </c>
      <c r="AT180" s="366">
        <v>765.53</v>
      </c>
      <c r="AU180" s="366">
        <v>829.28</v>
      </c>
      <c r="AV180" s="366">
        <v>125.76</v>
      </c>
      <c r="AW180" s="366">
        <v>629.44000000000005</v>
      </c>
      <c r="AX180" s="366">
        <v>561.04</v>
      </c>
      <c r="AY180" s="366">
        <v>1088.42</v>
      </c>
      <c r="AZ180" s="366">
        <v>899.01</v>
      </c>
      <c r="BA180" s="366">
        <v>223.08</v>
      </c>
      <c r="BB180" s="366">
        <v>1091.31</v>
      </c>
      <c r="BC180" s="366">
        <v>303.98</v>
      </c>
      <c r="BD180" s="366">
        <v>371.25</v>
      </c>
      <c r="BE180" s="366">
        <v>918.48</v>
      </c>
      <c r="BF180" s="366">
        <v>465.18</v>
      </c>
      <c r="BG180" s="366">
        <v>959.71</v>
      </c>
      <c r="BH180" s="366">
        <v>825.03</v>
      </c>
      <c r="BI180" s="366">
        <v>706.67</v>
      </c>
      <c r="BJ180" s="366">
        <v>897.83</v>
      </c>
      <c r="BK180" s="366">
        <v>966.79</v>
      </c>
      <c r="BL180" s="366">
        <v>741.3</v>
      </c>
      <c r="BM180" s="366">
        <v>718.09</v>
      </c>
      <c r="BN180" s="366">
        <v>229.13</v>
      </c>
      <c r="BO180" s="366">
        <v>1008.99</v>
      </c>
      <c r="BP180" s="366">
        <v>974.85</v>
      </c>
      <c r="BQ180" s="366">
        <v>594.08000000000004</v>
      </c>
      <c r="BR180" s="366">
        <v>594.08000000000004</v>
      </c>
      <c r="BS180" s="366">
        <v>906.58</v>
      </c>
      <c r="BT180" s="366">
        <v>698.59</v>
      </c>
      <c r="BU180" s="366">
        <v>458.64</v>
      </c>
      <c r="BV180" s="366">
        <v>468.33</v>
      </c>
      <c r="BW180" s="366">
        <v>888.57</v>
      </c>
      <c r="BX180" s="366">
        <v>847.67</v>
      </c>
      <c r="BY180" s="366">
        <v>941.9</v>
      </c>
      <c r="BZ180" s="366">
        <v>941.9</v>
      </c>
      <c r="CA180" s="366">
        <v>590.64</v>
      </c>
      <c r="CB180" s="366">
        <v>866.1</v>
      </c>
      <c r="CC180" s="366">
        <v>589.87</v>
      </c>
      <c r="CD180" s="366">
        <v>603.35</v>
      </c>
      <c r="CE180" s="366">
        <v>950.02</v>
      </c>
      <c r="CF180" s="366">
        <v>287.62</v>
      </c>
      <c r="CG180" s="366">
        <v>287.62</v>
      </c>
      <c r="CH180" s="366">
        <v>579.08000000000004</v>
      </c>
      <c r="CI180" s="366">
        <v>698.23</v>
      </c>
      <c r="CJ180" s="366">
        <v>240.21</v>
      </c>
      <c r="CK180" s="366">
        <v>946.99</v>
      </c>
      <c r="CL180" s="366">
        <v>843.07</v>
      </c>
      <c r="CM180" s="366">
        <v>334.74</v>
      </c>
      <c r="CN180" s="366">
        <v>847.2</v>
      </c>
      <c r="CO180" s="366">
        <v>705.25</v>
      </c>
      <c r="CP180" s="366">
        <v>600.77</v>
      </c>
      <c r="CQ180" s="366">
        <v>600.77</v>
      </c>
      <c r="CR180" s="366">
        <v>656.57</v>
      </c>
      <c r="CS180" s="366">
        <v>656.57</v>
      </c>
      <c r="CT180" s="366">
        <v>647.13</v>
      </c>
      <c r="CU180" s="366">
        <v>655</v>
      </c>
      <c r="CV180" s="366">
        <v>648.95000000000005</v>
      </c>
      <c r="CW180" s="366">
        <v>914.42</v>
      </c>
      <c r="CX180" s="366">
        <v>577.58000000000004</v>
      </c>
      <c r="CY180" s="366">
        <v>296.68</v>
      </c>
      <c r="CZ180" s="366">
        <v>317.92</v>
      </c>
      <c r="DA180" s="366">
        <v>990.76</v>
      </c>
      <c r="DB180" s="366">
        <v>893.81</v>
      </c>
      <c r="DC180" s="366">
        <v>893.81</v>
      </c>
      <c r="DD180" s="366">
        <v>467.46</v>
      </c>
      <c r="DE180" s="366">
        <v>1068.3900000000001</v>
      </c>
      <c r="DF180" s="366">
        <v>15.54</v>
      </c>
      <c r="DG180" s="366">
        <v>668.58</v>
      </c>
      <c r="DH180" s="366">
        <v>1130.95</v>
      </c>
      <c r="DI180" s="366">
        <v>385.2</v>
      </c>
      <c r="DJ180" s="366">
        <v>334.12</v>
      </c>
      <c r="DK180" s="366">
        <v>810.09</v>
      </c>
      <c r="DL180" s="366">
        <v>454.31</v>
      </c>
      <c r="DM180" s="366">
        <v>917.97</v>
      </c>
      <c r="DN180" s="366">
        <v>372.23</v>
      </c>
      <c r="DO180" s="366">
        <v>836.66</v>
      </c>
      <c r="DP180" s="366">
        <v>504.46</v>
      </c>
      <c r="DQ180" s="366">
        <v>899.91</v>
      </c>
      <c r="DR180" s="366">
        <v>1130.95</v>
      </c>
      <c r="DS180" s="366">
        <v>706.15</v>
      </c>
      <c r="DT180" s="366">
        <v>694.44</v>
      </c>
      <c r="DU180" s="366">
        <v>1021.1</v>
      </c>
      <c r="DV180" s="366">
        <v>978</v>
      </c>
      <c r="DW180" s="366">
        <v>781.95</v>
      </c>
      <c r="DX180" s="366">
        <v>874.89</v>
      </c>
      <c r="DY180" s="366">
        <v>948.28</v>
      </c>
      <c r="DZ180" s="366">
        <v>456.48</v>
      </c>
      <c r="EA180" s="366">
        <v>688.92</v>
      </c>
      <c r="EB180" s="366">
        <v>942.28</v>
      </c>
      <c r="EC180" s="366">
        <v>708.86</v>
      </c>
      <c r="ED180" s="366">
        <v>355.43</v>
      </c>
      <c r="EE180" s="366">
        <v>345.55</v>
      </c>
      <c r="EF180" s="366">
        <v>524.28</v>
      </c>
      <c r="EG180" s="366">
        <v>629.44000000000005</v>
      </c>
      <c r="EH180" s="366">
        <v>629.44000000000005</v>
      </c>
      <c r="EI180" s="366">
        <v>603.82000000000005</v>
      </c>
      <c r="EJ180" s="366">
        <v>1119.01</v>
      </c>
      <c r="EK180" s="366">
        <v>750.91</v>
      </c>
      <c r="EL180" s="366">
        <v>750.91</v>
      </c>
      <c r="EM180" s="366">
        <v>845.02</v>
      </c>
      <c r="EN180" s="366">
        <v>845.02</v>
      </c>
      <c r="EO180" s="366">
        <v>470.93</v>
      </c>
      <c r="EP180" s="366">
        <v>521.82000000000005</v>
      </c>
      <c r="EQ180" s="366">
        <v>637.64</v>
      </c>
      <c r="ER180" s="366">
        <v>188.97</v>
      </c>
      <c r="ES180" s="366">
        <v>930.29</v>
      </c>
      <c r="ET180" s="366">
        <v>576.11</v>
      </c>
      <c r="EU180" s="366">
        <v>63.9</v>
      </c>
      <c r="EV180" s="366">
        <v>555.61</v>
      </c>
      <c r="EW180" s="366">
        <v>603.20000000000005</v>
      </c>
      <c r="EX180" s="366">
        <v>907.03</v>
      </c>
      <c r="EY180" s="366">
        <v>907.03</v>
      </c>
      <c r="EZ180" s="366">
        <v>889.56</v>
      </c>
      <c r="FA180" s="366">
        <v>842.19</v>
      </c>
      <c r="FB180" s="366">
        <v>794.39</v>
      </c>
      <c r="FC180" s="366">
        <v>895.03</v>
      </c>
      <c r="FD180" s="366">
        <v>750.22</v>
      </c>
      <c r="FE180" s="366">
        <v>607.65</v>
      </c>
      <c r="FF180" s="366">
        <v>685.77</v>
      </c>
      <c r="FG180" s="366">
        <v>352.96</v>
      </c>
      <c r="FH180" s="366">
        <v>352.96</v>
      </c>
      <c r="FI180" s="366">
        <v>566.48</v>
      </c>
      <c r="FJ180" s="366">
        <v>572.27</v>
      </c>
      <c r="FK180" s="366">
        <v>958.03</v>
      </c>
      <c r="FL180" s="366">
        <v>956.22</v>
      </c>
      <c r="FM180" s="366">
        <v>470.93</v>
      </c>
      <c r="FN180" s="366">
        <v>586.36</v>
      </c>
      <c r="FO180" s="366">
        <v>697.29</v>
      </c>
      <c r="FP180" s="366">
        <v>927.38</v>
      </c>
      <c r="FQ180" s="366">
        <v>701.16</v>
      </c>
      <c r="FR180" s="366">
        <v>769.55</v>
      </c>
      <c r="FS180" s="366">
        <v>686.48</v>
      </c>
      <c r="FT180" s="366">
        <v>342.17</v>
      </c>
      <c r="FU180" s="366">
        <v>710.62</v>
      </c>
      <c r="FV180" s="366">
        <v>0</v>
      </c>
      <c r="FW180" s="366">
        <v>0</v>
      </c>
      <c r="FX180" s="366">
        <v>0</v>
      </c>
      <c r="FY180" s="366">
        <v>791.33</v>
      </c>
      <c r="FZ180" s="366">
        <v>630.52</v>
      </c>
      <c r="GA180" s="366">
        <v>918.48</v>
      </c>
      <c r="GB180" s="366">
        <v>724.95</v>
      </c>
      <c r="GC180" s="366">
        <v>355.43</v>
      </c>
      <c r="GD180" s="366">
        <v>829.77</v>
      </c>
      <c r="GE180" s="366">
        <v>647.03</v>
      </c>
      <c r="GF180" s="366">
        <v>724.15</v>
      </c>
      <c r="GG180" s="366">
        <v>724.15</v>
      </c>
      <c r="GH180" s="366">
        <v>966.93</v>
      </c>
      <c r="GI180" s="366">
        <v>471.09</v>
      </c>
      <c r="GJ180" s="366">
        <v>470.93</v>
      </c>
      <c r="GK180" s="366">
        <v>954.58</v>
      </c>
      <c r="GL180" s="366">
        <v>617.49</v>
      </c>
      <c r="GM180" s="366">
        <v>617.49</v>
      </c>
      <c r="GN180" s="366">
        <v>617.49</v>
      </c>
      <c r="GO180" s="366">
        <v>478.82</v>
      </c>
      <c r="GP180" s="366">
        <v>923.89</v>
      </c>
      <c r="GQ180" s="366">
        <v>1000.29</v>
      </c>
      <c r="GR180" s="366">
        <v>465.17</v>
      </c>
      <c r="GS180" s="366">
        <v>541.65</v>
      </c>
      <c r="GT180" s="366">
        <v>629.44000000000005</v>
      </c>
      <c r="GU180" s="366">
        <v>784.18</v>
      </c>
      <c r="GV180" s="366">
        <v>1126.2</v>
      </c>
      <c r="GW180" s="366">
        <v>641.95000000000005</v>
      </c>
      <c r="GX180" s="366">
        <v>626.01</v>
      </c>
      <c r="GY180" s="366">
        <v>618.46</v>
      </c>
      <c r="GZ180" s="366">
        <v>749.94</v>
      </c>
      <c r="HA180" s="366">
        <v>702.7</v>
      </c>
      <c r="HB180" s="366">
        <v>702.7</v>
      </c>
      <c r="HC180" s="366">
        <v>702.7</v>
      </c>
      <c r="HD180" s="366">
        <v>420.19</v>
      </c>
      <c r="HE180" s="366">
        <v>838.87</v>
      </c>
      <c r="HF180" s="366">
        <v>795.16</v>
      </c>
      <c r="HG180" s="366">
        <v>922.81</v>
      </c>
      <c r="HH180" s="366">
        <v>922.81</v>
      </c>
      <c r="HI180" s="366">
        <v>922.81</v>
      </c>
      <c r="HJ180" s="366">
        <v>703.28</v>
      </c>
      <c r="HK180" s="366">
        <v>556.05999999999995</v>
      </c>
      <c r="HL180" s="366">
        <v>858.41</v>
      </c>
      <c r="HM180" s="366">
        <v>468.21</v>
      </c>
      <c r="HN180" s="366">
        <v>470.93</v>
      </c>
      <c r="HO180" s="366">
        <v>97.1</v>
      </c>
      <c r="HP180" s="366">
        <v>750.66</v>
      </c>
      <c r="HQ180" s="366">
        <v>0</v>
      </c>
      <c r="HR180" s="366">
        <v>249.75</v>
      </c>
      <c r="HS180" s="366">
        <v>467.18</v>
      </c>
      <c r="HT180" s="366">
        <v>570.88</v>
      </c>
      <c r="HU180" s="366">
        <v>597.55999999999995</v>
      </c>
      <c r="HV180" s="366">
        <v>622.03</v>
      </c>
    </row>
    <row r="181" spans="1:230">
      <c r="A181" s="366" t="s">
        <v>199</v>
      </c>
      <c r="B181" s="366">
        <v>727.43</v>
      </c>
      <c r="C181" s="366">
        <v>272.89</v>
      </c>
      <c r="D181" s="366">
        <v>173.66</v>
      </c>
      <c r="E181" s="366">
        <v>173.66</v>
      </c>
      <c r="F181" s="366">
        <v>791.33</v>
      </c>
      <c r="G181" s="366">
        <v>598.9</v>
      </c>
      <c r="H181" s="366">
        <v>217.28</v>
      </c>
      <c r="I181" s="366">
        <v>217.95</v>
      </c>
      <c r="J181" s="366">
        <v>241.06</v>
      </c>
      <c r="K181" s="366">
        <v>241.06</v>
      </c>
      <c r="L181" s="366">
        <v>164.27</v>
      </c>
      <c r="M181" s="366">
        <v>298.31</v>
      </c>
      <c r="N181" s="366">
        <v>381.91</v>
      </c>
      <c r="O181" s="366">
        <v>170.03</v>
      </c>
      <c r="P181" s="366">
        <v>170.03</v>
      </c>
      <c r="Q181" s="366">
        <v>170.03</v>
      </c>
      <c r="R181" s="366">
        <v>170.03</v>
      </c>
      <c r="S181" s="366">
        <v>170.03</v>
      </c>
      <c r="T181" s="366">
        <v>292.45</v>
      </c>
      <c r="U181" s="366">
        <v>706.94</v>
      </c>
      <c r="V181" s="366">
        <v>123.09</v>
      </c>
      <c r="W181" s="366">
        <v>435.81</v>
      </c>
      <c r="X181" s="366">
        <v>435.81</v>
      </c>
      <c r="Y181" s="366">
        <v>435.81</v>
      </c>
      <c r="Z181" s="366">
        <v>197.07</v>
      </c>
      <c r="AA181" s="366">
        <v>593.07000000000005</v>
      </c>
      <c r="AB181" s="366">
        <v>352.19</v>
      </c>
      <c r="AC181" s="366">
        <v>354.65</v>
      </c>
      <c r="AD181" s="366">
        <v>354.65</v>
      </c>
      <c r="AE181" s="366">
        <v>122.76</v>
      </c>
      <c r="AF181" s="366">
        <v>612.64</v>
      </c>
      <c r="AG181" s="366">
        <v>437.33</v>
      </c>
      <c r="AH181" s="366">
        <v>171.9</v>
      </c>
      <c r="AI181" s="366">
        <v>171.9</v>
      </c>
      <c r="AJ181" s="366">
        <v>171.9</v>
      </c>
      <c r="AK181" s="366">
        <v>219.27</v>
      </c>
      <c r="AL181" s="366">
        <v>219.27</v>
      </c>
      <c r="AM181" s="366">
        <v>354.91</v>
      </c>
      <c r="AN181" s="366">
        <v>136.31</v>
      </c>
      <c r="AO181" s="366">
        <v>606.02</v>
      </c>
      <c r="AP181" s="366">
        <v>281.17</v>
      </c>
      <c r="AQ181" s="366">
        <v>747.87</v>
      </c>
      <c r="AR181" s="366">
        <v>303.83</v>
      </c>
      <c r="AS181" s="366">
        <v>88.82</v>
      </c>
      <c r="AT181" s="366">
        <v>88.82</v>
      </c>
      <c r="AU181" s="366">
        <v>37.950000000000003</v>
      </c>
      <c r="AV181" s="366">
        <v>737.99</v>
      </c>
      <c r="AW181" s="366">
        <v>285.38</v>
      </c>
      <c r="AX181" s="366">
        <v>238.55</v>
      </c>
      <c r="AY181" s="366">
        <v>417.62</v>
      </c>
      <c r="AZ181" s="366">
        <v>241.51</v>
      </c>
      <c r="BA181" s="366">
        <v>568.25</v>
      </c>
      <c r="BB181" s="366">
        <v>420.51</v>
      </c>
      <c r="BC181" s="366">
        <v>510.31</v>
      </c>
      <c r="BD181" s="366">
        <v>420.08</v>
      </c>
      <c r="BE181" s="366">
        <v>127.15</v>
      </c>
      <c r="BF181" s="366">
        <v>349.16</v>
      </c>
      <c r="BG181" s="366">
        <v>204.62</v>
      </c>
      <c r="BH181" s="366">
        <v>170.03</v>
      </c>
      <c r="BI181" s="366">
        <v>303.86</v>
      </c>
      <c r="BJ181" s="366">
        <v>142.74</v>
      </c>
      <c r="BK181" s="366">
        <v>309.29000000000002</v>
      </c>
      <c r="BL181" s="366">
        <v>166.66</v>
      </c>
      <c r="BM181" s="366">
        <v>189.87</v>
      </c>
      <c r="BN181" s="366">
        <v>633.26</v>
      </c>
      <c r="BO181" s="366">
        <v>351.49</v>
      </c>
      <c r="BP181" s="366">
        <v>317.35000000000002</v>
      </c>
      <c r="BQ181" s="366">
        <v>197.25</v>
      </c>
      <c r="BR181" s="366">
        <v>197.25</v>
      </c>
      <c r="BS181" s="366">
        <v>249.08</v>
      </c>
      <c r="BT181" s="366">
        <v>288.29000000000002</v>
      </c>
      <c r="BU181" s="366">
        <v>332.69</v>
      </c>
      <c r="BV181" s="366">
        <v>352.31</v>
      </c>
      <c r="BW181" s="366">
        <v>97.24</v>
      </c>
      <c r="BX181" s="366">
        <v>190.17</v>
      </c>
      <c r="BY181" s="366">
        <v>150.57</v>
      </c>
      <c r="BZ181" s="366">
        <v>150.57</v>
      </c>
      <c r="CA181" s="366">
        <v>317.32</v>
      </c>
      <c r="CB181" s="366">
        <v>208.6</v>
      </c>
      <c r="CC181" s="366">
        <v>209.72</v>
      </c>
      <c r="CD181" s="366">
        <v>212.12</v>
      </c>
      <c r="CE181" s="366">
        <v>292.52</v>
      </c>
      <c r="CF181" s="366">
        <v>611.37</v>
      </c>
      <c r="CG181" s="366">
        <v>611.37</v>
      </c>
      <c r="CH181" s="366">
        <v>212.25</v>
      </c>
      <c r="CI181" s="366">
        <v>115.16</v>
      </c>
      <c r="CJ181" s="366">
        <v>622.32000000000005</v>
      </c>
      <c r="CK181" s="366">
        <v>155.66</v>
      </c>
      <c r="CL181" s="366">
        <v>51.74</v>
      </c>
      <c r="CM181" s="366">
        <v>456.59</v>
      </c>
      <c r="CN181" s="366">
        <v>92.11</v>
      </c>
      <c r="CO181" s="366">
        <v>302.44</v>
      </c>
      <c r="CP181" s="366">
        <v>190.56</v>
      </c>
      <c r="CQ181" s="366">
        <v>190.56</v>
      </c>
      <c r="CR181" s="366">
        <v>254.84</v>
      </c>
      <c r="CS181" s="366">
        <v>254.84</v>
      </c>
      <c r="CT181" s="366">
        <v>264.27999999999997</v>
      </c>
      <c r="CU181" s="366">
        <v>256.41000000000003</v>
      </c>
      <c r="CV181" s="366">
        <v>259.01</v>
      </c>
      <c r="CW181" s="366">
        <v>123.09</v>
      </c>
      <c r="CX181" s="366">
        <v>228.79</v>
      </c>
      <c r="CY181" s="366">
        <v>503.01</v>
      </c>
      <c r="CZ181" s="366">
        <v>524.25</v>
      </c>
      <c r="DA181" s="366">
        <v>319.95999999999998</v>
      </c>
      <c r="DB181" s="366">
        <v>138.72</v>
      </c>
      <c r="DC181" s="366">
        <v>138.72</v>
      </c>
      <c r="DD181" s="366">
        <v>422.97</v>
      </c>
      <c r="DE181" s="366">
        <v>397.59</v>
      </c>
      <c r="DF181" s="366">
        <v>775.79</v>
      </c>
      <c r="DG181" s="366">
        <v>144.81</v>
      </c>
      <c r="DH181" s="366">
        <v>460.15</v>
      </c>
      <c r="DI181" s="366">
        <v>477.19</v>
      </c>
      <c r="DJ181" s="366">
        <v>540.45000000000005</v>
      </c>
      <c r="DK181" s="366">
        <v>152.59</v>
      </c>
      <c r="DL181" s="366">
        <v>338.69</v>
      </c>
      <c r="DM181" s="366">
        <v>260.47000000000003</v>
      </c>
      <c r="DN181" s="366">
        <v>491.95</v>
      </c>
      <c r="DO181" s="366">
        <v>179.16</v>
      </c>
      <c r="DP181" s="366">
        <v>384.66</v>
      </c>
      <c r="DQ181" s="366">
        <v>108.58</v>
      </c>
      <c r="DR181" s="366">
        <v>460.15</v>
      </c>
      <c r="DS181" s="366">
        <v>280.31</v>
      </c>
      <c r="DT181" s="366">
        <v>268.60000000000002</v>
      </c>
      <c r="DU181" s="366">
        <v>289.62</v>
      </c>
      <c r="DV181" s="366">
        <v>222.91</v>
      </c>
      <c r="DW181" s="366">
        <v>105.24</v>
      </c>
      <c r="DX181" s="366">
        <v>83.56</v>
      </c>
      <c r="DY181" s="366">
        <v>156.94999999999999</v>
      </c>
      <c r="DZ181" s="366">
        <v>432.64</v>
      </c>
      <c r="EA181" s="366">
        <v>286.11</v>
      </c>
      <c r="EB181" s="366">
        <v>150.94999999999999</v>
      </c>
      <c r="EC181" s="366">
        <v>199.1</v>
      </c>
      <c r="ED181" s="366">
        <v>506.96</v>
      </c>
      <c r="EE181" s="366">
        <v>517.75</v>
      </c>
      <c r="EF181" s="366">
        <v>274.89</v>
      </c>
      <c r="EG181" s="366">
        <v>285.38</v>
      </c>
      <c r="EH181" s="366">
        <v>285.38</v>
      </c>
      <c r="EI181" s="366">
        <v>195.77</v>
      </c>
      <c r="EJ181" s="366">
        <v>461.51</v>
      </c>
      <c r="EK181" s="366">
        <v>74.2</v>
      </c>
      <c r="EL181" s="366">
        <v>74.2</v>
      </c>
      <c r="EM181" s="366">
        <v>84.98</v>
      </c>
      <c r="EN181" s="366">
        <v>84.98</v>
      </c>
      <c r="EO181" s="366">
        <v>354.91</v>
      </c>
      <c r="EP181" s="366">
        <v>277.77</v>
      </c>
      <c r="EQ181" s="366">
        <v>273.77</v>
      </c>
      <c r="ER181" s="366">
        <v>676.98</v>
      </c>
      <c r="ES181" s="366">
        <v>272.79000000000002</v>
      </c>
      <c r="ET181" s="366">
        <v>215.22</v>
      </c>
      <c r="EU181" s="366">
        <v>727.43</v>
      </c>
      <c r="EV181" s="366">
        <v>435.81</v>
      </c>
      <c r="EW181" s="366">
        <v>196.69</v>
      </c>
      <c r="EX181" s="366">
        <v>249.53</v>
      </c>
      <c r="EY181" s="366">
        <v>249.53</v>
      </c>
      <c r="EZ181" s="366">
        <v>105.5</v>
      </c>
      <c r="FA181" s="366">
        <v>50.86</v>
      </c>
      <c r="FB181" s="366">
        <v>136.88999999999999</v>
      </c>
      <c r="FC181" s="366">
        <v>103.7</v>
      </c>
      <c r="FD181" s="366">
        <v>102.33</v>
      </c>
      <c r="FE181" s="366">
        <v>199.6</v>
      </c>
      <c r="FF181" s="366">
        <v>174.78</v>
      </c>
      <c r="FG181" s="366">
        <v>559.29</v>
      </c>
      <c r="FH181" s="366">
        <v>559.29</v>
      </c>
      <c r="FI181" s="366">
        <v>416.68</v>
      </c>
      <c r="FJ181" s="366">
        <v>422.47</v>
      </c>
      <c r="FK181" s="366">
        <v>300.52999999999997</v>
      </c>
      <c r="FL181" s="366">
        <v>298.72000000000003</v>
      </c>
      <c r="FM181" s="366">
        <v>354.91</v>
      </c>
      <c r="FN181" s="366">
        <v>466.56</v>
      </c>
      <c r="FO181" s="366">
        <v>294.48</v>
      </c>
      <c r="FP181" s="366">
        <v>136.05000000000001</v>
      </c>
      <c r="FQ181" s="366">
        <v>298.35000000000002</v>
      </c>
      <c r="FR181" s="366">
        <v>181.61</v>
      </c>
      <c r="FS181" s="366">
        <v>104.85</v>
      </c>
      <c r="FT181" s="366">
        <v>555.61</v>
      </c>
      <c r="FU181" s="366">
        <v>102.77</v>
      </c>
      <c r="FV181" s="366">
        <v>791.33</v>
      </c>
      <c r="FW181" s="366">
        <v>791.33</v>
      </c>
      <c r="FX181" s="366">
        <v>791.33</v>
      </c>
      <c r="FY181" s="366">
        <v>0</v>
      </c>
      <c r="FZ181" s="366">
        <v>189.51</v>
      </c>
      <c r="GA181" s="366">
        <v>127.15</v>
      </c>
      <c r="GB181" s="366">
        <v>143.32</v>
      </c>
      <c r="GC181" s="366">
        <v>506.96</v>
      </c>
      <c r="GD181" s="366">
        <v>172.27</v>
      </c>
      <c r="GE181" s="366">
        <v>264.38</v>
      </c>
      <c r="GF181" s="366">
        <v>89.24</v>
      </c>
      <c r="GG181" s="366">
        <v>89.24</v>
      </c>
      <c r="GH181" s="366">
        <v>175.6</v>
      </c>
      <c r="GI181" s="366">
        <v>355.07</v>
      </c>
      <c r="GJ181" s="366">
        <v>354.91</v>
      </c>
      <c r="GK181" s="366">
        <v>297.08</v>
      </c>
      <c r="GL181" s="366">
        <v>182.1</v>
      </c>
      <c r="GM181" s="366">
        <v>182.1</v>
      </c>
      <c r="GN181" s="366">
        <v>182.1</v>
      </c>
      <c r="GO181" s="366">
        <v>320.35000000000002</v>
      </c>
      <c r="GP181" s="366">
        <v>132.56</v>
      </c>
      <c r="GQ181" s="366">
        <v>342.79</v>
      </c>
      <c r="GR181" s="366">
        <v>383.14</v>
      </c>
      <c r="GS181" s="366">
        <v>249.68</v>
      </c>
      <c r="GT181" s="366">
        <v>285.38</v>
      </c>
      <c r="GU181" s="366">
        <v>107.47</v>
      </c>
      <c r="GV181" s="366">
        <v>468.7</v>
      </c>
      <c r="GW181" s="366">
        <v>158.08000000000001</v>
      </c>
      <c r="GX181" s="366">
        <v>281.95</v>
      </c>
      <c r="GY181" s="366">
        <v>172.87</v>
      </c>
      <c r="GZ181" s="366">
        <v>102.05</v>
      </c>
      <c r="HA181" s="366">
        <v>299.89</v>
      </c>
      <c r="HB181" s="366">
        <v>299.89</v>
      </c>
      <c r="HC181" s="366">
        <v>299.89</v>
      </c>
      <c r="HD181" s="366">
        <v>468.93</v>
      </c>
      <c r="HE181" s="366">
        <v>78.83</v>
      </c>
      <c r="HF181" s="366">
        <v>40.07</v>
      </c>
      <c r="HG181" s="366">
        <v>167.72</v>
      </c>
      <c r="HH181" s="366">
        <v>167.72</v>
      </c>
      <c r="HI181" s="366">
        <v>167.72</v>
      </c>
      <c r="HJ181" s="366">
        <v>110.11</v>
      </c>
      <c r="HK181" s="366">
        <v>357.87</v>
      </c>
      <c r="HL181" s="366">
        <v>203.41</v>
      </c>
      <c r="HM181" s="366">
        <v>352.19</v>
      </c>
      <c r="HN181" s="366">
        <v>354.91</v>
      </c>
      <c r="HO181" s="366">
        <v>760.63</v>
      </c>
      <c r="HP181" s="366">
        <v>102.77</v>
      </c>
      <c r="HQ181" s="366">
        <v>791.33</v>
      </c>
      <c r="HR181" s="366">
        <v>612.64</v>
      </c>
      <c r="HS181" s="366">
        <v>351.16</v>
      </c>
      <c r="HT181" s="366">
        <v>233.48</v>
      </c>
      <c r="HU181" s="366">
        <v>200.73</v>
      </c>
      <c r="HV181" s="366">
        <v>219.05</v>
      </c>
    </row>
    <row r="182" spans="1:230">
      <c r="A182" s="366" t="s">
        <v>200</v>
      </c>
      <c r="B182" s="366">
        <v>566.62</v>
      </c>
      <c r="C182" s="366">
        <v>347.78</v>
      </c>
      <c r="D182" s="366">
        <v>248.55</v>
      </c>
      <c r="E182" s="366">
        <v>248.55</v>
      </c>
      <c r="F182" s="366">
        <v>630.52</v>
      </c>
      <c r="G182" s="366">
        <v>438.09</v>
      </c>
      <c r="H182" s="366">
        <v>292.17</v>
      </c>
      <c r="I182" s="366">
        <v>93</v>
      </c>
      <c r="J182" s="366">
        <v>315.95</v>
      </c>
      <c r="K182" s="366">
        <v>315.95</v>
      </c>
      <c r="L182" s="366">
        <v>239.16</v>
      </c>
      <c r="M182" s="366">
        <v>373.2</v>
      </c>
      <c r="N182" s="366">
        <v>470.1</v>
      </c>
      <c r="O182" s="366">
        <v>223.21</v>
      </c>
      <c r="P182" s="366">
        <v>223.21</v>
      </c>
      <c r="Q182" s="366">
        <v>223.21</v>
      </c>
      <c r="R182" s="366">
        <v>223.21</v>
      </c>
      <c r="S182" s="366">
        <v>223.21</v>
      </c>
      <c r="T182" s="366">
        <v>167.5</v>
      </c>
      <c r="U182" s="366">
        <v>546.13</v>
      </c>
      <c r="V182" s="366">
        <v>312.60000000000002</v>
      </c>
      <c r="W182" s="366">
        <v>310.86</v>
      </c>
      <c r="X182" s="366">
        <v>310.86</v>
      </c>
      <c r="Y182" s="366">
        <v>310.86</v>
      </c>
      <c r="Z182" s="366">
        <v>350.34</v>
      </c>
      <c r="AA182" s="366">
        <v>432.26</v>
      </c>
      <c r="AB182" s="366">
        <v>191.38</v>
      </c>
      <c r="AC182" s="366">
        <v>193.84</v>
      </c>
      <c r="AD182" s="366">
        <v>193.84</v>
      </c>
      <c r="AE182" s="366">
        <v>197.65</v>
      </c>
      <c r="AF182" s="366">
        <v>451.83</v>
      </c>
      <c r="AG182" s="366">
        <v>312.38</v>
      </c>
      <c r="AH182" s="366">
        <v>81.069999999999993</v>
      </c>
      <c r="AI182" s="366">
        <v>81.069999999999993</v>
      </c>
      <c r="AJ182" s="366">
        <v>81.069999999999993</v>
      </c>
      <c r="AK182" s="366">
        <v>372.54</v>
      </c>
      <c r="AL182" s="366">
        <v>372.54</v>
      </c>
      <c r="AM182" s="366">
        <v>194.1</v>
      </c>
      <c r="AN182" s="366">
        <v>182.38</v>
      </c>
      <c r="AO182" s="366">
        <v>445.21</v>
      </c>
      <c r="AP182" s="366">
        <v>156.22</v>
      </c>
      <c r="AQ182" s="366">
        <v>587.05999999999995</v>
      </c>
      <c r="AR182" s="366">
        <v>378.72</v>
      </c>
      <c r="AS182" s="366">
        <v>163.71</v>
      </c>
      <c r="AT182" s="366">
        <v>163.71</v>
      </c>
      <c r="AU182" s="366">
        <v>227.46</v>
      </c>
      <c r="AV182" s="366">
        <v>577.17999999999995</v>
      </c>
      <c r="AW182" s="366">
        <v>354.69</v>
      </c>
      <c r="AX182" s="366">
        <v>69.48</v>
      </c>
      <c r="AY182" s="366">
        <v>505.81</v>
      </c>
      <c r="AZ182" s="366">
        <v>316.39999999999998</v>
      </c>
      <c r="BA182" s="366">
        <v>407.44</v>
      </c>
      <c r="BB182" s="366">
        <v>508.7</v>
      </c>
      <c r="BC182" s="366">
        <v>349.5</v>
      </c>
      <c r="BD182" s="366">
        <v>259.27</v>
      </c>
      <c r="BE182" s="366">
        <v>316.66000000000003</v>
      </c>
      <c r="BF182" s="366">
        <v>188.35</v>
      </c>
      <c r="BG182" s="366">
        <v>357.89</v>
      </c>
      <c r="BH182" s="366">
        <v>223.21</v>
      </c>
      <c r="BI182" s="366">
        <v>378.75</v>
      </c>
      <c r="BJ182" s="366">
        <v>296.01</v>
      </c>
      <c r="BK182" s="366">
        <v>384.18</v>
      </c>
      <c r="BL182" s="366">
        <v>241.55</v>
      </c>
      <c r="BM182" s="366">
        <v>264.76</v>
      </c>
      <c r="BN182" s="366">
        <v>472.45</v>
      </c>
      <c r="BO182" s="366">
        <v>426.38</v>
      </c>
      <c r="BP182" s="366">
        <v>392.24</v>
      </c>
      <c r="BQ182" s="366">
        <v>106.42</v>
      </c>
      <c r="BR182" s="366">
        <v>106.42</v>
      </c>
      <c r="BS182" s="366">
        <v>323.97000000000003</v>
      </c>
      <c r="BT182" s="366">
        <v>363.18</v>
      </c>
      <c r="BU182" s="366">
        <v>171.88</v>
      </c>
      <c r="BV182" s="366">
        <v>191.5</v>
      </c>
      <c r="BW182" s="366">
        <v>286.75</v>
      </c>
      <c r="BX182" s="366">
        <v>265.06</v>
      </c>
      <c r="BY182" s="366">
        <v>340.08</v>
      </c>
      <c r="BZ182" s="366">
        <v>340.08</v>
      </c>
      <c r="CA182" s="366">
        <v>315.89</v>
      </c>
      <c r="CB182" s="366">
        <v>283.49</v>
      </c>
      <c r="CC182" s="366">
        <v>40.65</v>
      </c>
      <c r="CD182" s="366">
        <v>43.05</v>
      </c>
      <c r="CE182" s="366">
        <v>367.41</v>
      </c>
      <c r="CF182" s="366">
        <v>450.56</v>
      </c>
      <c r="CG182" s="366">
        <v>450.56</v>
      </c>
      <c r="CH182" s="366">
        <v>98.7</v>
      </c>
      <c r="CI182" s="366">
        <v>96.41</v>
      </c>
      <c r="CJ182" s="366">
        <v>461.51</v>
      </c>
      <c r="CK182" s="366">
        <v>345.17</v>
      </c>
      <c r="CL182" s="366">
        <v>241.25</v>
      </c>
      <c r="CM182" s="366">
        <v>295.77999999999997</v>
      </c>
      <c r="CN182" s="366">
        <v>245.38</v>
      </c>
      <c r="CO182" s="366">
        <v>377.33</v>
      </c>
      <c r="CP182" s="366">
        <v>99.73</v>
      </c>
      <c r="CQ182" s="366">
        <v>99.73</v>
      </c>
      <c r="CR182" s="366">
        <v>329.73</v>
      </c>
      <c r="CS182" s="366">
        <v>329.73</v>
      </c>
      <c r="CT182" s="366">
        <v>339.17</v>
      </c>
      <c r="CU182" s="366">
        <v>331.3</v>
      </c>
      <c r="CV182" s="366">
        <v>333.9</v>
      </c>
      <c r="CW182" s="366">
        <v>312.60000000000002</v>
      </c>
      <c r="CX182" s="366">
        <v>59.72</v>
      </c>
      <c r="CY182" s="366">
        <v>342.2</v>
      </c>
      <c r="CZ182" s="366">
        <v>363.44</v>
      </c>
      <c r="DA182" s="366">
        <v>408.15</v>
      </c>
      <c r="DB182" s="366">
        <v>291.99</v>
      </c>
      <c r="DC182" s="366">
        <v>291.99</v>
      </c>
      <c r="DD182" s="366">
        <v>298.02</v>
      </c>
      <c r="DE182" s="366">
        <v>485.78</v>
      </c>
      <c r="DF182" s="366">
        <v>614.98</v>
      </c>
      <c r="DG182" s="366">
        <v>66.760000000000005</v>
      </c>
      <c r="DH182" s="366">
        <v>548.34</v>
      </c>
      <c r="DI182" s="366">
        <v>316.38</v>
      </c>
      <c r="DJ182" s="366">
        <v>379.64</v>
      </c>
      <c r="DK182" s="366">
        <v>227.48</v>
      </c>
      <c r="DL182" s="366">
        <v>177.88</v>
      </c>
      <c r="DM182" s="366">
        <v>335.36</v>
      </c>
      <c r="DN182" s="366">
        <v>331.14</v>
      </c>
      <c r="DO182" s="366">
        <v>254.05</v>
      </c>
      <c r="DP182" s="366">
        <v>259.70999999999998</v>
      </c>
      <c r="DQ182" s="366">
        <v>298.08999999999997</v>
      </c>
      <c r="DR182" s="366">
        <v>548.34</v>
      </c>
      <c r="DS182" s="366">
        <v>355.2</v>
      </c>
      <c r="DT182" s="366">
        <v>343.49</v>
      </c>
      <c r="DU182" s="366">
        <v>438.49</v>
      </c>
      <c r="DV182" s="366">
        <v>376.18</v>
      </c>
      <c r="DW182" s="366">
        <v>180.13</v>
      </c>
      <c r="DX182" s="366">
        <v>273.07</v>
      </c>
      <c r="DY182" s="366">
        <v>346.46</v>
      </c>
      <c r="DZ182" s="366">
        <v>307.69</v>
      </c>
      <c r="EA182" s="366">
        <v>361</v>
      </c>
      <c r="EB182" s="366">
        <v>340.46</v>
      </c>
      <c r="EC182" s="366">
        <v>273.99</v>
      </c>
      <c r="ED182" s="366">
        <v>346.15</v>
      </c>
      <c r="EE182" s="366">
        <v>356.94</v>
      </c>
      <c r="EF182" s="366">
        <v>149.94</v>
      </c>
      <c r="EG182" s="366">
        <v>354.69</v>
      </c>
      <c r="EH182" s="366">
        <v>354.69</v>
      </c>
      <c r="EI182" s="366">
        <v>26.7</v>
      </c>
      <c r="EJ182" s="366">
        <v>536.4</v>
      </c>
      <c r="EK182" s="366">
        <v>149.09</v>
      </c>
      <c r="EL182" s="366">
        <v>149.09</v>
      </c>
      <c r="EM182" s="366">
        <v>243.2</v>
      </c>
      <c r="EN182" s="366">
        <v>243.2</v>
      </c>
      <c r="EO182" s="366">
        <v>194.1</v>
      </c>
      <c r="EP182" s="366">
        <v>108.7</v>
      </c>
      <c r="EQ182" s="366">
        <v>348.66</v>
      </c>
      <c r="ER182" s="366">
        <v>516.16999999999996</v>
      </c>
      <c r="ES182" s="366">
        <v>347.68</v>
      </c>
      <c r="ET182" s="366">
        <v>95.73</v>
      </c>
      <c r="EU182" s="366">
        <v>566.62</v>
      </c>
      <c r="EV182" s="366">
        <v>310.86</v>
      </c>
      <c r="EW182" s="366">
        <v>27.62</v>
      </c>
      <c r="EX182" s="366">
        <v>324.42</v>
      </c>
      <c r="EY182" s="366">
        <v>324.42</v>
      </c>
      <c r="EZ182" s="366">
        <v>287.74</v>
      </c>
      <c r="FA182" s="366">
        <v>240.37</v>
      </c>
      <c r="FB182" s="366">
        <v>211.78</v>
      </c>
      <c r="FC182" s="366">
        <v>293.20999999999998</v>
      </c>
      <c r="FD182" s="366">
        <v>148.4</v>
      </c>
      <c r="FE182" s="366">
        <v>30.53</v>
      </c>
      <c r="FF182" s="366">
        <v>83.95</v>
      </c>
      <c r="FG182" s="366">
        <v>398.48</v>
      </c>
      <c r="FH182" s="366">
        <v>398.48</v>
      </c>
      <c r="FI182" s="366">
        <v>291.73</v>
      </c>
      <c r="FJ182" s="366">
        <v>297.52</v>
      </c>
      <c r="FK182" s="366">
        <v>375.42</v>
      </c>
      <c r="FL182" s="366">
        <v>373.61</v>
      </c>
      <c r="FM182" s="366">
        <v>194.1</v>
      </c>
      <c r="FN182" s="366">
        <v>341.61</v>
      </c>
      <c r="FO182" s="366">
        <v>369.37</v>
      </c>
      <c r="FP182" s="366">
        <v>325.56</v>
      </c>
      <c r="FQ182" s="366">
        <v>373.24</v>
      </c>
      <c r="FR182" s="366">
        <v>256.5</v>
      </c>
      <c r="FS182" s="366">
        <v>84.66</v>
      </c>
      <c r="FT182" s="366">
        <v>394.8</v>
      </c>
      <c r="FU182" s="366">
        <v>108.8</v>
      </c>
      <c r="FV182" s="366">
        <v>630.52</v>
      </c>
      <c r="FW182" s="366">
        <v>630.52</v>
      </c>
      <c r="FX182" s="366">
        <v>630.52</v>
      </c>
      <c r="FY182" s="366">
        <v>189.51</v>
      </c>
      <c r="FZ182" s="366">
        <v>0</v>
      </c>
      <c r="GA182" s="366">
        <v>316.66000000000003</v>
      </c>
      <c r="GB182" s="366">
        <v>123.13</v>
      </c>
      <c r="GC182" s="366">
        <v>346.15</v>
      </c>
      <c r="GD182" s="366">
        <v>247.16</v>
      </c>
      <c r="GE182" s="366">
        <v>339.27</v>
      </c>
      <c r="GF182" s="366">
        <v>122.33</v>
      </c>
      <c r="GG182" s="366">
        <v>122.33</v>
      </c>
      <c r="GH182" s="366">
        <v>365.11</v>
      </c>
      <c r="GI182" s="366">
        <v>194.26</v>
      </c>
      <c r="GJ182" s="366">
        <v>194.1</v>
      </c>
      <c r="GK182" s="366">
        <v>371.97</v>
      </c>
      <c r="GL182" s="366">
        <v>13.03</v>
      </c>
      <c r="GM182" s="366">
        <v>13.03</v>
      </c>
      <c r="GN182" s="366">
        <v>13.03</v>
      </c>
      <c r="GO182" s="366">
        <v>195.4</v>
      </c>
      <c r="GP182" s="366">
        <v>322.07</v>
      </c>
      <c r="GQ182" s="366">
        <v>417.68</v>
      </c>
      <c r="GR182" s="366">
        <v>222.33</v>
      </c>
      <c r="GS182" s="366">
        <v>124.73</v>
      </c>
      <c r="GT182" s="366">
        <v>354.69</v>
      </c>
      <c r="GU182" s="366">
        <v>182.36</v>
      </c>
      <c r="GV182" s="366">
        <v>543.59</v>
      </c>
      <c r="GW182" s="366">
        <v>53.97</v>
      </c>
      <c r="GX182" s="366">
        <v>351.26</v>
      </c>
      <c r="GY182" s="366">
        <v>82.04</v>
      </c>
      <c r="GZ182" s="366">
        <v>148.12</v>
      </c>
      <c r="HA182" s="366">
        <v>374.78</v>
      </c>
      <c r="HB182" s="366">
        <v>374.78</v>
      </c>
      <c r="HC182" s="366">
        <v>374.78</v>
      </c>
      <c r="HD182" s="366">
        <v>318.43</v>
      </c>
      <c r="HE182" s="366">
        <v>237.05</v>
      </c>
      <c r="HF182" s="366">
        <v>193.34</v>
      </c>
      <c r="HG182" s="366">
        <v>320.99</v>
      </c>
      <c r="HH182" s="366">
        <v>320.99</v>
      </c>
      <c r="HI182" s="366">
        <v>320.99</v>
      </c>
      <c r="HJ182" s="366">
        <v>101.46</v>
      </c>
      <c r="HK182" s="366">
        <v>281.31</v>
      </c>
      <c r="HL182" s="366">
        <v>256.58999999999997</v>
      </c>
      <c r="HM182" s="366">
        <v>191.38</v>
      </c>
      <c r="HN182" s="366">
        <v>194.1</v>
      </c>
      <c r="HO182" s="366">
        <v>599.82000000000005</v>
      </c>
      <c r="HP182" s="366">
        <v>148.84</v>
      </c>
      <c r="HQ182" s="366">
        <v>630.52</v>
      </c>
      <c r="HR182" s="366">
        <v>451.83</v>
      </c>
      <c r="HS182" s="366">
        <v>190.35</v>
      </c>
      <c r="HT182" s="366">
        <v>108.53</v>
      </c>
      <c r="HU182" s="366">
        <v>109.9</v>
      </c>
      <c r="HV182" s="366">
        <v>49.98</v>
      </c>
    </row>
    <row r="183" spans="1:230">
      <c r="A183" s="366" t="s">
        <v>201</v>
      </c>
      <c r="B183" s="366">
        <v>854.58</v>
      </c>
      <c r="C183" s="366">
        <v>400.04</v>
      </c>
      <c r="D183" s="366">
        <v>300.81</v>
      </c>
      <c r="E183" s="366">
        <v>300.81</v>
      </c>
      <c r="F183" s="366">
        <v>918.48</v>
      </c>
      <c r="G183" s="366">
        <v>726.05</v>
      </c>
      <c r="H183" s="366">
        <v>344.43</v>
      </c>
      <c r="I183" s="366">
        <v>345.1</v>
      </c>
      <c r="J183" s="366">
        <v>368.21</v>
      </c>
      <c r="K183" s="366">
        <v>368.21</v>
      </c>
      <c r="L183" s="366">
        <v>291.42</v>
      </c>
      <c r="M183" s="366">
        <v>425.46</v>
      </c>
      <c r="N183" s="366">
        <v>475.77</v>
      </c>
      <c r="O183" s="366">
        <v>188.39</v>
      </c>
      <c r="P183" s="366">
        <v>188.39</v>
      </c>
      <c r="Q183" s="366">
        <v>188.39</v>
      </c>
      <c r="R183" s="366">
        <v>188.39</v>
      </c>
      <c r="S183" s="366">
        <v>188.39</v>
      </c>
      <c r="T183" s="366">
        <v>419.6</v>
      </c>
      <c r="U183" s="366">
        <v>834.09</v>
      </c>
      <c r="V183" s="366">
        <v>4.0599999999999996</v>
      </c>
      <c r="W183" s="366">
        <v>562.96</v>
      </c>
      <c r="X183" s="366">
        <v>562.96</v>
      </c>
      <c r="Y183" s="366">
        <v>562.96</v>
      </c>
      <c r="Z183" s="366">
        <v>290.93</v>
      </c>
      <c r="AA183" s="366">
        <v>720.22</v>
      </c>
      <c r="AB183" s="366">
        <v>479.34</v>
      </c>
      <c r="AC183" s="366">
        <v>481.8</v>
      </c>
      <c r="AD183" s="366">
        <v>481.8</v>
      </c>
      <c r="AE183" s="366">
        <v>249.91</v>
      </c>
      <c r="AF183" s="366">
        <v>739.79</v>
      </c>
      <c r="AG183" s="366">
        <v>564.48</v>
      </c>
      <c r="AH183" s="366">
        <v>299.05</v>
      </c>
      <c r="AI183" s="366">
        <v>299.05</v>
      </c>
      <c r="AJ183" s="366">
        <v>299.05</v>
      </c>
      <c r="AK183" s="366">
        <v>313.13</v>
      </c>
      <c r="AL183" s="366">
        <v>313.13</v>
      </c>
      <c r="AM183" s="366">
        <v>482.06</v>
      </c>
      <c r="AN183" s="366">
        <v>229.22</v>
      </c>
      <c r="AO183" s="366">
        <v>733.17</v>
      </c>
      <c r="AP183" s="366">
        <v>408.32</v>
      </c>
      <c r="AQ183" s="366">
        <v>875.02</v>
      </c>
      <c r="AR183" s="366">
        <v>430.98</v>
      </c>
      <c r="AS183" s="366">
        <v>215.97</v>
      </c>
      <c r="AT183" s="366">
        <v>215.97</v>
      </c>
      <c r="AU183" s="366">
        <v>89.2</v>
      </c>
      <c r="AV183" s="366">
        <v>865.14</v>
      </c>
      <c r="AW183" s="366">
        <v>412.53</v>
      </c>
      <c r="AX183" s="366">
        <v>365.7</v>
      </c>
      <c r="AY183" s="366">
        <v>511.48</v>
      </c>
      <c r="AZ183" s="366">
        <v>368.66</v>
      </c>
      <c r="BA183" s="366">
        <v>695.4</v>
      </c>
      <c r="BB183" s="366">
        <v>514.37</v>
      </c>
      <c r="BC183" s="366">
        <v>637.46</v>
      </c>
      <c r="BD183" s="366">
        <v>547.23</v>
      </c>
      <c r="BE183" s="366">
        <v>0</v>
      </c>
      <c r="BF183" s="366">
        <v>476.31</v>
      </c>
      <c r="BG183" s="366">
        <v>298.48</v>
      </c>
      <c r="BH183" s="366">
        <v>188.39</v>
      </c>
      <c r="BI183" s="366">
        <v>431.01</v>
      </c>
      <c r="BJ183" s="366">
        <v>236.6</v>
      </c>
      <c r="BK183" s="366">
        <v>436.44</v>
      </c>
      <c r="BL183" s="366">
        <v>293.81</v>
      </c>
      <c r="BM183" s="366">
        <v>317.02</v>
      </c>
      <c r="BN183" s="366">
        <v>760.41</v>
      </c>
      <c r="BO183" s="366">
        <v>478.64</v>
      </c>
      <c r="BP183" s="366">
        <v>444.5</v>
      </c>
      <c r="BQ183" s="366">
        <v>324.39999999999998</v>
      </c>
      <c r="BR183" s="366">
        <v>324.39999999999998</v>
      </c>
      <c r="BS183" s="366">
        <v>376.23</v>
      </c>
      <c r="BT183" s="366">
        <v>415.44</v>
      </c>
      <c r="BU183" s="366">
        <v>459.84</v>
      </c>
      <c r="BV183" s="366">
        <v>479.46</v>
      </c>
      <c r="BW183" s="366">
        <v>57.27</v>
      </c>
      <c r="BX183" s="366">
        <v>317.32</v>
      </c>
      <c r="BY183" s="366">
        <v>23.42</v>
      </c>
      <c r="BZ183" s="366">
        <v>23.42</v>
      </c>
      <c r="CA183" s="366">
        <v>444.47</v>
      </c>
      <c r="CB183" s="366">
        <v>335.75</v>
      </c>
      <c r="CC183" s="366">
        <v>336.87</v>
      </c>
      <c r="CD183" s="366">
        <v>339.27</v>
      </c>
      <c r="CE183" s="366">
        <v>419.67</v>
      </c>
      <c r="CF183" s="366">
        <v>738.52</v>
      </c>
      <c r="CG183" s="366">
        <v>738.52</v>
      </c>
      <c r="CH183" s="366">
        <v>339.4</v>
      </c>
      <c r="CI183" s="366">
        <v>242.31</v>
      </c>
      <c r="CJ183" s="366">
        <v>749.47</v>
      </c>
      <c r="CK183" s="366">
        <v>28.51</v>
      </c>
      <c r="CL183" s="366">
        <v>102.99</v>
      </c>
      <c r="CM183" s="366">
        <v>583.74</v>
      </c>
      <c r="CN183" s="366">
        <v>185.97</v>
      </c>
      <c r="CO183" s="366">
        <v>429.59</v>
      </c>
      <c r="CP183" s="366">
        <v>317.70999999999998</v>
      </c>
      <c r="CQ183" s="366">
        <v>317.70999999999998</v>
      </c>
      <c r="CR183" s="366">
        <v>381.99</v>
      </c>
      <c r="CS183" s="366">
        <v>381.99</v>
      </c>
      <c r="CT183" s="366">
        <v>391.43</v>
      </c>
      <c r="CU183" s="366">
        <v>383.56</v>
      </c>
      <c r="CV183" s="366">
        <v>386.16</v>
      </c>
      <c r="CW183" s="366">
        <v>4.0599999999999996</v>
      </c>
      <c r="CX183" s="366">
        <v>355.94</v>
      </c>
      <c r="CY183" s="366">
        <v>630.16</v>
      </c>
      <c r="CZ183" s="366">
        <v>651.4</v>
      </c>
      <c r="DA183" s="366">
        <v>413.82</v>
      </c>
      <c r="DB183" s="366">
        <v>232.58</v>
      </c>
      <c r="DC183" s="366">
        <v>232.58</v>
      </c>
      <c r="DD183" s="366">
        <v>550.12</v>
      </c>
      <c r="DE183" s="366">
        <v>491.45</v>
      </c>
      <c r="DF183" s="366">
        <v>902.94</v>
      </c>
      <c r="DG183" s="366">
        <v>271.95999999999998</v>
      </c>
      <c r="DH183" s="366">
        <v>554.01</v>
      </c>
      <c r="DI183" s="366">
        <v>604.34</v>
      </c>
      <c r="DJ183" s="366">
        <v>667.6</v>
      </c>
      <c r="DK183" s="366">
        <v>279.74</v>
      </c>
      <c r="DL183" s="366">
        <v>465.84</v>
      </c>
      <c r="DM183" s="366">
        <v>387.62</v>
      </c>
      <c r="DN183" s="366">
        <v>619.1</v>
      </c>
      <c r="DO183" s="366">
        <v>306.31</v>
      </c>
      <c r="DP183" s="366">
        <v>511.81</v>
      </c>
      <c r="DQ183" s="366">
        <v>39.49</v>
      </c>
      <c r="DR183" s="366">
        <v>554.01</v>
      </c>
      <c r="DS183" s="366">
        <v>407.46</v>
      </c>
      <c r="DT183" s="366">
        <v>395.75</v>
      </c>
      <c r="DU183" s="366">
        <v>383.48</v>
      </c>
      <c r="DV183" s="366">
        <v>316.77</v>
      </c>
      <c r="DW183" s="366">
        <v>232.39</v>
      </c>
      <c r="DX183" s="366">
        <v>43.59</v>
      </c>
      <c r="DY183" s="366">
        <v>29.8</v>
      </c>
      <c r="DZ183" s="366">
        <v>559.79</v>
      </c>
      <c r="EA183" s="366">
        <v>413.26</v>
      </c>
      <c r="EB183" s="366">
        <v>23.8</v>
      </c>
      <c r="EC183" s="366">
        <v>326.25</v>
      </c>
      <c r="ED183" s="366">
        <v>634.11</v>
      </c>
      <c r="EE183" s="366">
        <v>644.9</v>
      </c>
      <c r="EF183" s="366">
        <v>402.04</v>
      </c>
      <c r="EG183" s="366">
        <v>412.53</v>
      </c>
      <c r="EH183" s="366">
        <v>412.53</v>
      </c>
      <c r="EI183" s="366">
        <v>322.92</v>
      </c>
      <c r="EJ183" s="366">
        <v>588.66</v>
      </c>
      <c r="EK183" s="366">
        <v>201.35</v>
      </c>
      <c r="EL183" s="366">
        <v>201.35</v>
      </c>
      <c r="EM183" s="366">
        <v>136.22999999999999</v>
      </c>
      <c r="EN183" s="366">
        <v>136.22999999999999</v>
      </c>
      <c r="EO183" s="366">
        <v>482.06</v>
      </c>
      <c r="EP183" s="366">
        <v>404.92</v>
      </c>
      <c r="EQ183" s="366">
        <v>400.92</v>
      </c>
      <c r="ER183" s="366">
        <v>804.13</v>
      </c>
      <c r="ES183" s="366">
        <v>399.94</v>
      </c>
      <c r="ET183" s="366">
        <v>342.37</v>
      </c>
      <c r="EU183" s="366">
        <v>854.58</v>
      </c>
      <c r="EV183" s="366">
        <v>562.96</v>
      </c>
      <c r="EW183" s="366">
        <v>323.83999999999997</v>
      </c>
      <c r="EX183" s="366">
        <v>376.68</v>
      </c>
      <c r="EY183" s="366">
        <v>376.68</v>
      </c>
      <c r="EZ183" s="366">
        <v>156.75</v>
      </c>
      <c r="FA183" s="366">
        <v>102.11</v>
      </c>
      <c r="FB183" s="366">
        <v>264.04000000000002</v>
      </c>
      <c r="FC183" s="366">
        <v>63.73</v>
      </c>
      <c r="FD183" s="366">
        <v>229.48</v>
      </c>
      <c r="FE183" s="366">
        <v>326.75</v>
      </c>
      <c r="FF183" s="366">
        <v>301.93</v>
      </c>
      <c r="FG183" s="366">
        <v>686.44</v>
      </c>
      <c r="FH183" s="366">
        <v>686.44</v>
      </c>
      <c r="FI183" s="366">
        <v>543.83000000000004</v>
      </c>
      <c r="FJ183" s="366">
        <v>549.62</v>
      </c>
      <c r="FK183" s="366">
        <v>427.68</v>
      </c>
      <c r="FL183" s="366">
        <v>425.87</v>
      </c>
      <c r="FM183" s="366">
        <v>482.06</v>
      </c>
      <c r="FN183" s="366">
        <v>593.71</v>
      </c>
      <c r="FO183" s="366">
        <v>421.63</v>
      </c>
      <c r="FP183" s="366">
        <v>8.9</v>
      </c>
      <c r="FQ183" s="366">
        <v>425.5</v>
      </c>
      <c r="FR183" s="366">
        <v>308.76</v>
      </c>
      <c r="FS183" s="366">
        <v>232</v>
      </c>
      <c r="FT183" s="366">
        <v>682.76</v>
      </c>
      <c r="FU183" s="366">
        <v>229.92</v>
      </c>
      <c r="FV183" s="366">
        <v>918.48</v>
      </c>
      <c r="FW183" s="366">
        <v>918.48</v>
      </c>
      <c r="FX183" s="366">
        <v>918.48</v>
      </c>
      <c r="FY183" s="366">
        <v>127.15</v>
      </c>
      <c r="FZ183" s="366">
        <v>316.66000000000003</v>
      </c>
      <c r="GA183" s="366">
        <v>0</v>
      </c>
      <c r="GB183" s="366">
        <v>270.47000000000003</v>
      </c>
      <c r="GC183" s="366">
        <v>634.11</v>
      </c>
      <c r="GD183" s="366">
        <v>299.42</v>
      </c>
      <c r="GE183" s="366">
        <v>391.53</v>
      </c>
      <c r="GF183" s="366">
        <v>216.39</v>
      </c>
      <c r="GG183" s="366">
        <v>216.39</v>
      </c>
      <c r="GH183" s="366">
        <v>48.45</v>
      </c>
      <c r="GI183" s="366">
        <v>482.22</v>
      </c>
      <c r="GJ183" s="366">
        <v>482.06</v>
      </c>
      <c r="GK183" s="366">
        <v>424.23</v>
      </c>
      <c r="GL183" s="366">
        <v>309.25</v>
      </c>
      <c r="GM183" s="366">
        <v>309.25</v>
      </c>
      <c r="GN183" s="366">
        <v>309.25</v>
      </c>
      <c r="GO183" s="366">
        <v>447.5</v>
      </c>
      <c r="GP183" s="366">
        <v>5.41</v>
      </c>
      <c r="GQ183" s="366">
        <v>469.94</v>
      </c>
      <c r="GR183" s="366">
        <v>510.29</v>
      </c>
      <c r="GS183" s="366">
        <v>376.83</v>
      </c>
      <c r="GT183" s="366">
        <v>412.53</v>
      </c>
      <c r="GU183" s="366">
        <v>234.62</v>
      </c>
      <c r="GV183" s="366">
        <v>595.85</v>
      </c>
      <c r="GW183" s="366">
        <v>285.23</v>
      </c>
      <c r="GX183" s="366">
        <v>409.1</v>
      </c>
      <c r="GY183" s="366">
        <v>300.02</v>
      </c>
      <c r="GZ183" s="366">
        <v>229.2</v>
      </c>
      <c r="HA183" s="366">
        <v>427.04</v>
      </c>
      <c r="HB183" s="366">
        <v>427.04</v>
      </c>
      <c r="HC183" s="366">
        <v>427.04</v>
      </c>
      <c r="HD183" s="366">
        <v>596.08000000000004</v>
      </c>
      <c r="HE183" s="366">
        <v>130.08000000000001</v>
      </c>
      <c r="HF183" s="366">
        <v>167.22</v>
      </c>
      <c r="HG183" s="366">
        <v>261.58</v>
      </c>
      <c r="HH183" s="366">
        <v>261.58</v>
      </c>
      <c r="HI183" s="366">
        <v>261.58</v>
      </c>
      <c r="HJ183" s="366">
        <v>237.26</v>
      </c>
      <c r="HK183" s="366">
        <v>485.02</v>
      </c>
      <c r="HL183" s="366">
        <v>155.01</v>
      </c>
      <c r="HM183" s="366">
        <v>479.34</v>
      </c>
      <c r="HN183" s="366">
        <v>482.06</v>
      </c>
      <c r="HO183" s="366">
        <v>887.78</v>
      </c>
      <c r="HP183" s="366">
        <v>229.92</v>
      </c>
      <c r="HQ183" s="366">
        <v>918.48</v>
      </c>
      <c r="HR183" s="366">
        <v>739.79</v>
      </c>
      <c r="HS183" s="366">
        <v>478.31</v>
      </c>
      <c r="HT183" s="366">
        <v>360.63</v>
      </c>
      <c r="HU183" s="366">
        <v>327.88</v>
      </c>
      <c r="HV183" s="366">
        <v>346.2</v>
      </c>
    </row>
    <row r="184" spans="1:230">
      <c r="A184" s="366" t="s">
        <v>202</v>
      </c>
      <c r="B184" s="366">
        <v>661.05</v>
      </c>
      <c r="C184" s="366">
        <v>301.58999999999997</v>
      </c>
      <c r="D184" s="366">
        <v>202.36</v>
      </c>
      <c r="E184" s="366">
        <v>202.36</v>
      </c>
      <c r="F184" s="366">
        <v>724.95</v>
      </c>
      <c r="G184" s="366">
        <v>532.52</v>
      </c>
      <c r="H184" s="366">
        <v>245.98</v>
      </c>
      <c r="I184" s="366">
        <v>151.57</v>
      </c>
      <c r="J184" s="366">
        <v>269.76</v>
      </c>
      <c r="K184" s="366">
        <v>269.76</v>
      </c>
      <c r="L184" s="366">
        <v>192.97</v>
      </c>
      <c r="M184" s="366">
        <v>327.01</v>
      </c>
      <c r="N184" s="366">
        <v>423.91</v>
      </c>
      <c r="O184" s="366">
        <v>211.48</v>
      </c>
      <c r="P184" s="366">
        <v>211.48</v>
      </c>
      <c r="Q184" s="366">
        <v>211.48</v>
      </c>
      <c r="R184" s="366">
        <v>211.48</v>
      </c>
      <c r="S184" s="366">
        <v>211.48</v>
      </c>
      <c r="T184" s="366">
        <v>226.07</v>
      </c>
      <c r="U184" s="366">
        <v>640.55999999999995</v>
      </c>
      <c r="V184" s="366">
        <v>266.41000000000003</v>
      </c>
      <c r="W184" s="366">
        <v>369.43</v>
      </c>
      <c r="X184" s="366">
        <v>369.43</v>
      </c>
      <c r="Y184" s="366">
        <v>369.43</v>
      </c>
      <c r="Z184" s="366">
        <v>304.14999999999998</v>
      </c>
      <c r="AA184" s="366">
        <v>526.69000000000005</v>
      </c>
      <c r="AB184" s="366">
        <v>285.81</v>
      </c>
      <c r="AC184" s="366">
        <v>288.27</v>
      </c>
      <c r="AD184" s="366">
        <v>288.27</v>
      </c>
      <c r="AE184" s="366">
        <v>151.46</v>
      </c>
      <c r="AF184" s="366">
        <v>546.26</v>
      </c>
      <c r="AG184" s="366">
        <v>370.95</v>
      </c>
      <c r="AH184" s="366">
        <v>105.52</v>
      </c>
      <c r="AI184" s="366">
        <v>105.52</v>
      </c>
      <c r="AJ184" s="366">
        <v>105.52</v>
      </c>
      <c r="AK184" s="366">
        <v>326.35000000000002</v>
      </c>
      <c r="AL184" s="366">
        <v>326.35000000000002</v>
      </c>
      <c r="AM184" s="366">
        <v>288.52999999999997</v>
      </c>
      <c r="AN184" s="366">
        <v>170.65</v>
      </c>
      <c r="AO184" s="366">
        <v>539.64</v>
      </c>
      <c r="AP184" s="366">
        <v>214.79</v>
      </c>
      <c r="AQ184" s="366">
        <v>681.49</v>
      </c>
      <c r="AR184" s="366">
        <v>332.53</v>
      </c>
      <c r="AS184" s="366">
        <v>117.52</v>
      </c>
      <c r="AT184" s="366">
        <v>117.52</v>
      </c>
      <c r="AU184" s="366">
        <v>181.27</v>
      </c>
      <c r="AV184" s="366">
        <v>671.61</v>
      </c>
      <c r="AW184" s="366">
        <v>314.08</v>
      </c>
      <c r="AX184" s="366">
        <v>172.17</v>
      </c>
      <c r="AY184" s="366">
        <v>459.62</v>
      </c>
      <c r="AZ184" s="366">
        <v>270.20999999999998</v>
      </c>
      <c r="BA184" s="366">
        <v>501.87</v>
      </c>
      <c r="BB184" s="366">
        <v>462.51</v>
      </c>
      <c r="BC184" s="366">
        <v>443.93</v>
      </c>
      <c r="BD184" s="366">
        <v>353.7</v>
      </c>
      <c r="BE184" s="366">
        <v>270.47000000000003</v>
      </c>
      <c r="BF184" s="366">
        <v>282.77999999999997</v>
      </c>
      <c r="BG184" s="366">
        <v>311.7</v>
      </c>
      <c r="BH184" s="366">
        <v>211.48</v>
      </c>
      <c r="BI184" s="366">
        <v>332.56</v>
      </c>
      <c r="BJ184" s="366">
        <v>249.82</v>
      </c>
      <c r="BK184" s="366">
        <v>337.99</v>
      </c>
      <c r="BL184" s="366">
        <v>195.36</v>
      </c>
      <c r="BM184" s="366">
        <v>218.57</v>
      </c>
      <c r="BN184" s="366">
        <v>566.88</v>
      </c>
      <c r="BO184" s="366">
        <v>380.19</v>
      </c>
      <c r="BP184" s="366">
        <v>346.05</v>
      </c>
      <c r="BQ184" s="366">
        <v>130.87</v>
      </c>
      <c r="BR184" s="366">
        <v>130.87</v>
      </c>
      <c r="BS184" s="366">
        <v>277.77999999999997</v>
      </c>
      <c r="BT184" s="366">
        <v>316.99</v>
      </c>
      <c r="BU184" s="366">
        <v>266.31</v>
      </c>
      <c r="BV184" s="366">
        <v>285.93</v>
      </c>
      <c r="BW184" s="366">
        <v>240.56</v>
      </c>
      <c r="BX184" s="366">
        <v>218.87</v>
      </c>
      <c r="BY184" s="366">
        <v>293.89</v>
      </c>
      <c r="BZ184" s="366">
        <v>293.89</v>
      </c>
      <c r="CA184" s="366">
        <v>346.02</v>
      </c>
      <c r="CB184" s="366">
        <v>237.3</v>
      </c>
      <c r="CC184" s="366">
        <v>143.34</v>
      </c>
      <c r="CD184" s="366">
        <v>145.74</v>
      </c>
      <c r="CE184" s="366">
        <v>321.22000000000003</v>
      </c>
      <c r="CF184" s="366">
        <v>544.99</v>
      </c>
      <c r="CG184" s="366">
        <v>544.99</v>
      </c>
      <c r="CH184" s="366">
        <v>145.87</v>
      </c>
      <c r="CI184" s="366">
        <v>120.86</v>
      </c>
      <c r="CJ184" s="366">
        <v>555.94000000000005</v>
      </c>
      <c r="CK184" s="366">
        <v>298.98</v>
      </c>
      <c r="CL184" s="366">
        <v>195.06</v>
      </c>
      <c r="CM184" s="366">
        <v>390.21</v>
      </c>
      <c r="CN184" s="366">
        <v>199.19</v>
      </c>
      <c r="CO184" s="366">
        <v>331.14</v>
      </c>
      <c r="CP184" s="366">
        <v>124.18</v>
      </c>
      <c r="CQ184" s="366">
        <v>124.18</v>
      </c>
      <c r="CR184" s="366">
        <v>283.54000000000002</v>
      </c>
      <c r="CS184" s="366">
        <v>283.54000000000002</v>
      </c>
      <c r="CT184" s="366">
        <v>292.98</v>
      </c>
      <c r="CU184" s="366">
        <v>285.11</v>
      </c>
      <c r="CV184" s="366">
        <v>287.70999999999998</v>
      </c>
      <c r="CW184" s="366">
        <v>266.41000000000003</v>
      </c>
      <c r="CX184" s="366">
        <v>162.41</v>
      </c>
      <c r="CY184" s="366">
        <v>436.63</v>
      </c>
      <c r="CZ184" s="366">
        <v>457.87</v>
      </c>
      <c r="DA184" s="366">
        <v>361.96</v>
      </c>
      <c r="DB184" s="366">
        <v>245.8</v>
      </c>
      <c r="DC184" s="366">
        <v>245.8</v>
      </c>
      <c r="DD184" s="366">
        <v>356.59</v>
      </c>
      <c r="DE184" s="366">
        <v>439.59</v>
      </c>
      <c r="DF184" s="366">
        <v>709.41</v>
      </c>
      <c r="DG184" s="366">
        <v>91.21</v>
      </c>
      <c r="DH184" s="366">
        <v>502.15</v>
      </c>
      <c r="DI184" s="366">
        <v>410.81</v>
      </c>
      <c r="DJ184" s="366">
        <v>474.07</v>
      </c>
      <c r="DK184" s="366">
        <v>181.29</v>
      </c>
      <c r="DL184" s="366">
        <v>272.31</v>
      </c>
      <c r="DM184" s="366">
        <v>289.17</v>
      </c>
      <c r="DN184" s="366">
        <v>425.57</v>
      </c>
      <c r="DO184" s="366">
        <v>207.86</v>
      </c>
      <c r="DP184" s="366">
        <v>318.27999999999997</v>
      </c>
      <c r="DQ184" s="366">
        <v>251.9</v>
      </c>
      <c r="DR184" s="366">
        <v>502.15</v>
      </c>
      <c r="DS184" s="366">
        <v>309.01</v>
      </c>
      <c r="DT184" s="366">
        <v>297.3</v>
      </c>
      <c r="DU184" s="366">
        <v>392.3</v>
      </c>
      <c r="DV184" s="366">
        <v>329.99</v>
      </c>
      <c r="DW184" s="366">
        <v>133.94</v>
      </c>
      <c r="DX184" s="366">
        <v>226.88</v>
      </c>
      <c r="DY184" s="366">
        <v>300.27</v>
      </c>
      <c r="DZ184" s="366">
        <v>366.26</v>
      </c>
      <c r="EA184" s="366">
        <v>314.81</v>
      </c>
      <c r="EB184" s="366">
        <v>294.27</v>
      </c>
      <c r="EC184" s="366">
        <v>227.8</v>
      </c>
      <c r="ED184" s="366">
        <v>440.58</v>
      </c>
      <c r="EE184" s="366">
        <v>451.37</v>
      </c>
      <c r="EF184" s="366">
        <v>208.51</v>
      </c>
      <c r="EG184" s="366">
        <v>314.08</v>
      </c>
      <c r="EH184" s="366">
        <v>314.08</v>
      </c>
      <c r="EI184" s="366">
        <v>129.38999999999999</v>
      </c>
      <c r="EJ184" s="366">
        <v>490.21</v>
      </c>
      <c r="EK184" s="366">
        <v>102.9</v>
      </c>
      <c r="EL184" s="366">
        <v>102.9</v>
      </c>
      <c r="EM184" s="366">
        <v>197.01</v>
      </c>
      <c r="EN184" s="366">
        <v>197.01</v>
      </c>
      <c r="EO184" s="366">
        <v>288.52999999999997</v>
      </c>
      <c r="EP184" s="366">
        <v>211.39</v>
      </c>
      <c r="EQ184" s="366">
        <v>302.47000000000003</v>
      </c>
      <c r="ER184" s="366">
        <v>610.6</v>
      </c>
      <c r="ES184" s="366">
        <v>301.49</v>
      </c>
      <c r="ET184" s="366">
        <v>148.84</v>
      </c>
      <c r="EU184" s="366">
        <v>661.05</v>
      </c>
      <c r="EV184" s="366">
        <v>369.43</v>
      </c>
      <c r="EW184" s="366">
        <v>130.31</v>
      </c>
      <c r="EX184" s="366">
        <v>278.23</v>
      </c>
      <c r="EY184" s="366">
        <v>278.23</v>
      </c>
      <c r="EZ184" s="366">
        <v>248.82</v>
      </c>
      <c r="FA184" s="366">
        <v>194.18</v>
      </c>
      <c r="FB184" s="366">
        <v>165.59</v>
      </c>
      <c r="FC184" s="366">
        <v>247.02</v>
      </c>
      <c r="FD184" s="366">
        <v>136.66999999999999</v>
      </c>
      <c r="FE184" s="366">
        <v>133.22</v>
      </c>
      <c r="FF184" s="366">
        <v>108.4</v>
      </c>
      <c r="FG184" s="366">
        <v>492.91</v>
      </c>
      <c r="FH184" s="366">
        <v>492.91</v>
      </c>
      <c r="FI184" s="366">
        <v>350.3</v>
      </c>
      <c r="FJ184" s="366">
        <v>356.09</v>
      </c>
      <c r="FK184" s="366">
        <v>329.23</v>
      </c>
      <c r="FL184" s="366">
        <v>327.42</v>
      </c>
      <c r="FM184" s="366">
        <v>288.52999999999997</v>
      </c>
      <c r="FN184" s="366">
        <v>400.18</v>
      </c>
      <c r="FO184" s="366">
        <v>323.18</v>
      </c>
      <c r="FP184" s="366">
        <v>279.37</v>
      </c>
      <c r="FQ184" s="366">
        <v>327.05</v>
      </c>
      <c r="FR184" s="366">
        <v>210.31</v>
      </c>
      <c r="FS184" s="366">
        <v>38.47</v>
      </c>
      <c r="FT184" s="366">
        <v>489.23</v>
      </c>
      <c r="FU184" s="366">
        <v>133.25</v>
      </c>
      <c r="FV184" s="366">
        <v>724.95</v>
      </c>
      <c r="FW184" s="366">
        <v>724.95</v>
      </c>
      <c r="FX184" s="366">
        <v>724.95</v>
      </c>
      <c r="FY184" s="366">
        <v>143.32</v>
      </c>
      <c r="FZ184" s="366">
        <v>123.13</v>
      </c>
      <c r="GA184" s="366">
        <v>270.47000000000003</v>
      </c>
      <c r="GB184" s="366">
        <v>0</v>
      </c>
      <c r="GC184" s="366">
        <v>440.58</v>
      </c>
      <c r="GD184" s="366">
        <v>200.97</v>
      </c>
      <c r="GE184" s="366">
        <v>293.08</v>
      </c>
      <c r="GF184" s="366">
        <v>128.52000000000001</v>
      </c>
      <c r="GG184" s="366">
        <v>128.52000000000001</v>
      </c>
      <c r="GH184" s="366">
        <v>318.92</v>
      </c>
      <c r="GI184" s="366">
        <v>288.69</v>
      </c>
      <c r="GJ184" s="366">
        <v>288.52999999999997</v>
      </c>
      <c r="GK184" s="366">
        <v>325.77999999999997</v>
      </c>
      <c r="GL184" s="366">
        <v>115.72</v>
      </c>
      <c r="GM184" s="366">
        <v>115.72</v>
      </c>
      <c r="GN184" s="366">
        <v>115.72</v>
      </c>
      <c r="GO184" s="366">
        <v>253.97</v>
      </c>
      <c r="GP184" s="366">
        <v>275.88</v>
      </c>
      <c r="GQ184" s="366">
        <v>371.49</v>
      </c>
      <c r="GR184" s="366">
        <v>316.76</v>
      </c>
      <c r="GS184" s="366">
        <v>183.3</v>
      </c>
      <c r="GT184" s="366">
        <v>314.08</v>
      </c>
      <c r="GU184" s="366">
        <v>136.16999999999999</v>
      </c>
      <c r="GV184" s="366">
        <v>497.4</v>
      </c>
      <c r="GW184" s="366">
        <v>91.7</v>
      </c>
      <c r="GX184" s="366">
        <v>310.64999999999998</v>
      </c>
      <c r="GY184" s="366">
        <v>106.49</v>
      </c>
      <c r="GZ184" s="366">
        <v>136.38999999999999</v>
      </c>
      <c r="HA184" s="366">
        <v>328.59</v>
      </c>
      <c r="HB184" s="366">
        <v>328.59</v>
      </c>
      <c r="HC184" s="366">
        <v>328.59</v>
      </c>
      <c r="HD184" s="366">
        <v>402.55</v>
      </c>
      <c r="HE184" s="366">
        <v>190.86</v>
      </c>
      <c r="HF184" s="366">
        <v>147.15</v>
      </c>
      <c r="HG184" s="366">
        <v>274.8</v>
      </c>
      <c r="HH184" s="366">
        <v>274.8</v>
      </c>
      <c r="HI184" s="366">
        <v>274.8</v>
      </c>
      <c r="HJ184" s="366">
        <v>125.91</v>
      </c>
      <c r="HK184" s="366">
        <v>339.88</v>
      </c>
      <c r="HL184" s="366">
        <v>244.86</v>
      </c>
      <c r="HM184" s="366">
        <v>285.81</v>
      </c>
      <c r="HN184" s="366">
        <v>288.52999999999997</v>
      </c>
      <c r="HO184" s="366">
        <v>694.25</v>
      </c>
      <c r="HP184" s="366">
        <v>137.11000000000001</v>
      </c>
      <c r="HQ184" s="366">
        <v>724.95</v>
      </c>
      <c r="HR184" s="366">
        <v>546.26</v>
      </c>
      <c r="HS184" s="366">
        <v>284.77999999999997</v>
      </c>
      <c r="HT184" s="366">
        <v>167.1</v>
      </c>
      <c r="HU184" s="366">
        <v>134.35</v>
      </c>
      <c r="HV184" s="366">
        <v>152.66999999999999</v>
      </c>
    </row>
    <row r="185" spans="1:230">
      <c r="A185" s="366" t="s">
        <v>203</v>
      </c>
      <c r="B185" s="366">
        <v>291.52999999999997</v>
      </c>
      <c r="C185" s="366">
        <v>574.96</v>
      </c>
      <c r="D185" s="366">
        <v>378.87</v>
      </c>
      <c r="E185" s="366">
        <v>378.87</v>
      </c>
      <c r="F185" s="366">
        <v>355.43</v>
      </c>
      <c r="G185" s="366">
        <v>91.94</v>
      </c>
      <c r="H185" s="366">
        <v>335.25</v>
      </c>
      <c r="I185" s="366">
        <v>289.01</v>
      </c>
      <c r="J185" s="366">
        <v>311.47000000000003</v>
      </c>
      <c r="K185" s="366">
        <v>311.47000000000003</v>
      </c>
      <c r="L185" s="366">
        <v>396.78</v>
      </c>
      <c r="M185" s="366">
        <v>600.38</v>
      </c>
      <c r="N185" s="366">
        <v>697.28</v>
      </c>
      <c r="O185" s="366">
        <v>540.66</v>
      </c>
      <c r="P185" s="366">
        <v>540.66</v>
      </c>
      <c r="Q185" s="366">
        <v>540.66</v>
      </c>
      <c r="R185" s="366">
        <v>540.66</v>
      </c>
      <c r="S185" s="366">
        <v>540.66</v>
      </c>
      <c r="T185" s="366">
        <v>214.51</v>
      </c>
      <c r="U185" s="366">
        <v>199.98</v>
      </c>
      <c r="V185" s="366">
        <v>630.04999999999995</v>
      </c>
      <c r="W185" s="366">
        <v>200.18</v>
      </c>
      <c r="X185" s="366">
        <v>200.18</v>
      </c>
      <c r="Y185" s="366">
        <v>200.18</v>
      </c>
      <c r="Z185" s="366">
        <v>667.79</v>
      </c>
      <c r="AA185" s="366">
        <v>86.11</v>
      </c>
      <c r="AB185" s="366">
        <v>183.84</v>
      </c>
      <c r="AC185" s="366">
        <v>152.31</v>
      </c>
      <c r="AD185" s="366">
        <v>152.31</v>
      </c>
      <c r="AE185" s="366">
        <v>429.77</v>
      </c>
      <c r="AF185" s="366">
        <v>105.68</v>
      </c>
      <c r="AG185" s="366">
        <v>231.7</v>
      </c>
      <c r="AH185" s="366">
        <v>335.06</v>
      </c>
      <c r="AI185" s="366">
        <v>335.06</v>
      </c>
      <c r="AJ185" s="366">
        <v>335.06</v>
      </c>
      <c r="AK185" s="366">
        <v>689.99</v>
      </c>
      <c r="AL185" s="366">
        <v>689.99</v>
      </c>
      <c r="AM185" s="366">
        <v>186.56</v>
      </c>
      <c r="AN185" s="366">
        <v>499.83</v>
      </c>
      <c r="AO185" s="366">
        <v>108.55</v>
      </c>
      <c r="AP185" s="366">
        <v>233.63</v>
      </c>
      <c r="AQ185" s="366">
        <v>311.97000000000003</v>
      </c>
      <c r="AR185" s="366">
        <v>351.21</v>
      </c>
      <c r="AS185" s="366">
        <v>472.23</v>
      </c>
      <c r="AT185" s="366">
        <v>472.23</v>
      </c>
      <c r="AU185" s="366">
        <v>544.91</v>
      </c>
      <c r="AV185" s="366">
        <v>231.03</v>
      </c>
      <c r="AW185" s="366">
        <v>274.01</v>
      </c>
      <c r="AX185" s="366">
        <v>276.67</v>
      </c>
      <c r="AY185" s="366">
        <v>732.99</v>
      </c>
      <c r="AZ185" s="366">
        <v>543.58000000000004</v>
      </c>
      <c r="BA185" s="366">
        <v>285.16000000000003</v>
      </c>
      <c r="BB185" s="366">
        <v>735.88</v>
      </c>
      <c r="BC185" s="366">
        <v>204.26</v>
      </c>
      <c r="BD185" s="366">
        <v>217.74</v>
      </c>
      <c r="BE185" s="366">
        <v>634.11</v>
      </c>
      <c r="BF185" s="366">
        <v>180.81</v>
      </c>
      <c r="BG185" s="366">
        <v>675.34</v>
      </c>
      <c r="BH185" s="366">
        <v>540.66</v>
      </c>
      <c r="BI185" s="366">
        <v>351.24</v>
      </c>
      <c r="BJ185" s="366">
        <v>613.46</v>
      </c>
      <c r="BK185" s="366">
        <v>611.36</v>
      </c>
      <c r="BL185" s="366">
        <v>385.87</v>
      </c>
      <c r="BM185" s="366">
        <v>362.66</v>
      </c>
      <c r="BN185" s="366">
        <v>126.3</v>
      </c>
      <c r="BO185" s="366">
        <v>653.55999999999995</v>
      </c>
      <c r="BP185" s="366">
        <v>619.41999999999996</v>
      </c>
      <c r="BQ185" s="366">
        <v>309.70999999999998</v>
      </c>
      <c r="BR185" s="366">
        <v>309.70999999999998</v>
      </c>
      <c r="BS185" s="366">
        <v>551.15</v>
      </c>
      <c r="BT185" s="366">
        <v>343.16</v>
      </c>
      <c r="BU185" s="366">
        <v>174.27</v>
      </c>
      <c r="BV185" s="366">
        <v>183.96</v>
      </c>
      <c r="BW185" s="366">
        <v>604.20000000000005</v>
      </c>
      <c r="BX185" s="366">
        <v>492.24</v>
      </c>
      <c r="BY185" s="366">
        <v>657.53</v>
      </c>
      <c r="BZ185" s="366">
        <v>657.53</v>
      </c>
      <c r="CA185" s="366">
        <v>235.21</v>
      </c>
      <c r="CB185" s="366">
        <v>510.67</v>
      </c>
      <c r="CC185" s="366">
        <v>305.5</v>
      </c>
      <c r="CD185" s="366">
        <v>318.98</v>
      </c>
      <c r="CE185" s="366">
        <v>594.59</v>
      </c>
      <c r="CF185" s="366">
        <v>104.41</v>
      </c>
      <c r="CG185" s="366">
        <v>104.41</v>
      </c>
      <c r="CH185" s="366">
        <v>294.70999999999998</v>
      </c>
      <c r="CI185" s="366">
        <v>413.86</v>
      </c>
      <c r="CJ185" s="366">
        <v>115.36</v>
      </c>
      <c r="CK185" s="366">
        <v>662.62</v>
      </c>
      <c r="CL185" s="366">
        <v>558.70000000000005</v>
      </c>
      <c r="CM185" s="366">
        <v>254.25</v>
      </c>
      <c r="CN185" s="366">
        <v>562.83000000000004</v>
      </c>
      <c r="CO185" s="366">
        <v>349.82</v>
      </c>
      <c r="CP185" s="366">
        <v>316.39999999999998</v>
      </c>
      <c r="CQ185" s="366">
        <v>316.39999999999998</v>
      </c>
      <c r="CR185" s="366">
        <v>301.14</v>
      </c>
      <c r="CS185" s="366">
        <v>301.14</v>
      </c>
      <c r="CT185" s="366">
        <v>291.7</v>
      </c>
      <c r="CU185" s="366">
        <v>299.57</v>
      </c>
      <c r="CV185" s="366">
        <v>293.52</v>
      </c>
      <c r="CW185" s="366">
        <v>630.04999999999995</v>
      </c>
      <c r="CX185" s="366">
        <v>293.20999999999998</v>
      </c>
      <c r="CY185" s="366">
        <v>219.92</v>
      </c>
      <c r="CZ185" s="366">
        <v>190.32</v>
      </c>
      <c r="DA185" s="366">
        <v>635.33000000000004</v>
      </c>
      <c r="DB185" s="366">
        <v>609.44000000000005</v>
      </c>
      <c r="DC185" s="366">
        <v>609.44000000000005</v>
      </c>
      <c r="DD185" s="366">
        <v>112.03</v>
      </c>
      <c r="DE185" s="366">
        <v>712.96</v>
      </c>
      <c r="DF185" s="366">
        <v>339.89</v>
      </c>
      <c r="DG185" s="366">
        <v>384.21</v>
      </c>
      <c r="DH185" s="366">
        <v>775.52</v>
      </c>
      <c r="DI185" s="366">
        <v>29.77</v>
      </c>
      <c r="DJ185" s="366">
        <v>174.12</v>
      </c>
      <c r="DK185" s="366">
        <v>454.66</v>
      </c>
      <c r="DL185" s="366">
        <v>169.94</v>
      </c>
      <c r="DM185" s="366">
        <v>562.54</v>
      </c>
      <c r="DN185" s="366">
        <v>16.8</v>
      </c>
      <c r="DO185" s="366">
        <v>481.23</v>
      </c>
      <c r="DP185" s="366">
        <v>149.03</v>
      </c>
      <c r="DQ185" s="366">
        <v>615.54</v>
      </c>
      <c r="DR185" s="366">
        <v>775.52</v>
      </c>
      <c r="DS185" s="366">
        <v>350.72</v>
      </c>
      <c r="DT185" s="366">
        <v>339.01</v>
      </c>
      <c r="DU185" s="366">
        <v>665.67</v>
      </c>
      <c r="DV185" s="366">
        <v>693.63</v>
      </c>
      <c r="DW185" s="366">
        <v>455.81</v>
      </c>
      <c r="DX185" s="366">
        <v>590.52</v>
      </c>
      <c r="DY185" s="366">
        <v>663.91</v>
      </c>
      <c r="DZ185" s="366">
        <v>101.05</v>
      </c>
      <c r="EA185" s="366">
        <v>333.49</v>
      </c>
      <c r="EB185" s="366">
        <v>657.91</v>
      </c>
      <c r="EC185" s="366">
        <v>353.43</v>
      </c>
      <c r="ED185" s="366">
        <v>0</v>
      </c>
      <c r="EE185" s="366">
        <v>10.79</v>
      </c>
      <c r="EF185" s="366">
        <v>239.91</v>
      </c>
      <c r="EG185" s="366">
        <v>274.01</v>
      </c>
      <c r="EH185" s="366">
        <v>274.01</v>
      </c>
      <c r="EI185" s="366">
        <v>319.45</v>
      </c>
      <c r="EJ185" s="366">
        <v>763.58</v>
      </c>
      <c r="EK185" s="366">
        <v>466.54</v>
      </c>
      <c r="EL185" s="366">
        <v>466.54</v>
      </c>
      <c r="EM185" s="366">
        <v>560.65</v>
      </c>
      <c r="EN185" s="366">
        <v>560.65</v>
      </c>
      <c r="EO185" s="366">
        <v>186.56</v>
      </c>
      <c r="EP185" s="366">
        <v>237.45</v>
      </c>
      <c r="EQ185" s="366">
        <v>282.20999999999998</v>
      </c>
      <c r="ER185" s="366">
        <v>170.02</v>
      </c>
      <c r="ES185" s="366">
        <v>574.86</v>
      </c>
      <c r="ET185" s="366">
        <v>291.74</v>
      </c>
      <c r="EU185" s="366">
        <v>291.52999999999997</v>
      </c>
      <c r="EV185" s="366">
        <v>200.18</v>
      </c>
      <c r="EW185" s="366">
        <v>318.83</v>
      </c>
      <c r="EX185" s="366">
        <v>551.6</v>
      </c>
      <c r="EY185" s="366">
        <v>551.6</v>
      </c>
      <c r="EZ185" s="366">
        <v>605.19000000000005</v>
      </c>
      <c r="FA185" s="366">
        <v>557.82000000000005</v>
      </c>
      <c r="FB185" s="366">
        <v>438.96</v>
      </c>
      <c r="FC185" s="366">
        <v>610.66</v>
      </c>
      <c r="FD185" s="366">
        <v>465.85</v>
      </c>
      <c r="FE185" s="366">
        <v>323.27999999999997</v>
      </c>
      <c r="FF185" s="366">
        <v>401.4</v>
      </c>
      <c r="FG185" s="366">
        <v>276.2</v>
      </c>
      <c r="FH185" s="366">
        <v>276.2</v>
      </c>
      <c r="FI185" s="366">
        <v>211.05</v>
      </c>
      <c r="FJ185" s="366">
        <v>216.84</v>
      </c>
      <c r="FK185" s="366">
        <v>602.6</v>
      </c>
      <c r="FL185" s="366">
        <v>600.79</v>
      </c>
      <c r="FM185" s="366">
        <v>186.56</v>
      </c>
      <c r="FN185" s="366">
        <v>230.93</v>
      </c>
      <c r="FO185" s="366">
        <v>341.86</v>
      </c>
      <c r="FP185" s="366">
        <v>643.01</v>
      </c>
      <c r="FQ185" s="366">
        <v>345.73</v>
      </c>
      <c r="FR185" s="366">
        <v>414.12</v>
      </c>
      <c r="FS185" s="366">
        <v>402.11</v>
      </c>
      <c r="FT185" s="366">
        <v>158.96</v>
      </c>
      <c r="FU185" s="366">
        <v>426.25</v>
      </c>
      <c r="FV185" s="366">
        <v>355.43</v>
      </c>
      <c r="FW185" s="366">
        <v>355.43</v>
      </c>
      <c r="FX185" s="366">
        <v>355.43</v>
      </c>
      <c r="FY185" s="366">
        <v>506.96</v>
      </c>
      <c r="FZ185" s="366">
        <v>346.15</v>
      </c>
      <c r="GA185" s="366">
        <v>634.11</v>
      </c>
      <c r="GB185" s="366">
        <v>440.58</v>
      </c>
      <c r="GC185" s="366">
        <v>0</v>
      </c>
      <c r="GD185" s="366">
        <v>474.34</v>
      </c>
      <c r="GE185" s="366">
        <v>291.60000000000002</v>
      </c>
      <c r="GF185" s="366">
        <v>439.78</v>
      </c>
      <c r="GG185" s="366">
        <v>439.78</v>
      </c>
      <c r="GH185" s="366">
        <v>682.56</v>
      </c>
      <c r="GI185" s="366">
        <v>186.72</v>
      </c>
      <c r="GJ185" s="366">
        <v>186.56</v>
      </c>
      <c r="GK185" s="366">
        <v>599.15</v>
      </c>
      <c r="GL185" s="366">
        <v>333.12</v>
      </c>
      <c r="GM185" s="366">
        <v>333.12</v>
      </c>
      <c r="GN185" s="366">
        <v>333.12</v>
      </c>
      <c r="GO185" s="366">
        <v>194.45</v>
      </c>
      <c r="GP185" s="366">
        <v>639.52</v>
      </c>
      <c r="GQ185" s="366">
        <v>644.86</v>
      </c>
      <c r="GR185" s="366">
        <v>123.82</v>
      </c>
      <c r="GS185" s="366">
        <v>257.27999999999997</v>
      </c>
      <c r="GT185" s="366">
        <v>274.01</v>
      </c>
      <c r="GU185" s="366">
        <v>447.94</v>
      </c>
      <c r="GV185" s="366">
        <v>770.77</v>
      </c>
      <c r="GW185" s="366">
        <v>357.58</v>
      </c>
      <c r="GX185" s="366">
        <v>270.58</v>
      </c>
      <c r="GY185" s="366">
        <v>334.09</v>
      </c>
      <c r="GZ185" s="366">
        <v>465.57</v>
      </c>
      <c r="HA185" s="366">
        <v>347.27</v>
      </c>
      <c r="HB185" s="366">
        <v>347.27</v>
      </c>
      <c r="HC185" s="366">
        <v>347.27</v>
      </c>
      <c r="HD185" s="366">
        <v>64.760000000000005</v>
      </c>
      <c r="HE185" s="366">
        <v>554.5</v>
      </c>
      <c r="HF185" s="366">
        <v>510.79</v>
      </c>
      <c r="HG185" s="366">
        <v>638.44000000000005</v>
      </c>
      <c r="HH185" s="366">
        <v>638.44000000000005</v>
      </c>
      <c r="HI185" s="366">
        <v>638.44000000000005</v>
      </c>
      <c r="HJ185" s="366">
        <v>418.91</v>
      </c>
      <c r="HK185" s="366">
        <v>200.63</v>
      </c>
      <c r="HL185" s="366">
        <v>574.04</v>
      </c>
      <c r="HM185" s="366">
        <v>183.84</v>
      </c>
      <c r="HN185" s="366">
        <v>186.56</v>
      </c>
      <c r="HO185" s="366">
        <v>259.69</v>
      </c>
      <c r="HP185" s="366">
        <v>466.29</v>
      </c>
      <c r="HQ185" s="366">
        <v>355.43</v>
      </c>
      <c r="HR185" s="366">
        <v>105.68</v>
      </c>
      <c r="HS185" s="366">
        <v>182.81</v>
      </c>
      <c r="HT185" s="366">
        <v>286.51</v>
      </c>
      <c r="HU185" s="366">
        <v>313.19</v>
      </c>
      <c r="HV185" s="366">
        <v>337.66</v>
      </c>
    </row>
    <row r="186" spans="1:230">
      <c r="A186" s="366" t="s">
        <v>204</v>
      </c>
      <c r="B186" s="366">
        <v>765.87</v>
      </c>
      <c r="C186" s="366">
        <v>100.62</v>
      </c>
      <c r="D186" s="366">
        <v>95.47</v>
      </c>
      <c r="E186" s="366">
        <v>95.47</v>
      </c>
      <c r="F186" s="366">
        <v>829.77</v>
      </c>
      <c r="G186" s="366">
        <v>566.28</v>
      </c>
      <c r="H186" s="366">
        <v>139.09</v>
      </c>
      <c r="I186" s="366">
        <v>275.60000000000002</v>
      </c>
      <c r="J186" s="366">
        <v>162.87</v>
      </c>
      <c r="K186" s="366">
        <v>162.87</v>
      </c>
      <c r="L186" s="366">
        <v>77.56</v>
      </c>
      <c r="M186" s="366">
        <v>126.04</v>
      </c>
      <c r="N186" s="366">
        <v>222.94</v>
      </c>
      <c r="O186" s="366">
        <v>240.43</v>
      </c>
      <c r="P186" s="366">
        <v>240.43</v>
      </c>
      <c r="Q186" s="366">
        <v>240.43</v>
      </c>
      <c r="R186" s="366">
        <v>240.43</v>
      </c>
      <c r="S186" s="366">
        <v>240.43</v>
      </c>
      <c r="T186" s="366">
        <v>350.1</v>
      </c>
      <c r="U186" s="366">
        <v>674.32</v>
      </c>
      <c r="V186" s="366">
        <v>295.36</v>
      </c>
      <c r="W186" s="366">
        <v>376.46</v>
      </c>
      <c r="X186" s="366">
        <v>376.46</v>
      </c>
      <c r="Y186" s="366">
        <v>376.46</v>
      </c>
      <c r="Z186" s="366">
        <v>283.88</v>
      </c>
      <c r="AA186" s="366">
        <v>560.45000000000005</v>
      </c>
      <c r="AB186" s="366">
        <v>409.84</v>
      </c>
      <c r="AC186" s="366">
        <v>412.3</v>
      </c>
      <c r="AD186" s="366">
        <v>412.3</v>
      </c>
      <c r="AE186" s="366">
        <v>146.37</v>
      </c>
      <c r="AF186" s="366">
        <v>580.02</v>
      </c>
      <c r="AG186" s="366">
        <v>377.98</v>
      </c>
      <c r="AH186" s="366">
        <v>229.55</v>
      </c>
      <c r="AI186" s="366">
        <v>229.55</v>
      </c>
      <c r="AJ186" s="366">
        <v>229.55</v>
      </c>
      <c r="AK186" s="366">
        <v>266.64</v>
      </c>
      <c r="AL186" s="366">
        <v>266.64</v>
      </c>
      <c r="AM186" s="366">
        <v>412.56</v>
      </c>
      <c r="AN186" s="366">
        <v>199.6</v>
      </c>
      <c r="AO186" s="366">
        <v>582.89</v>
      </c>
      <c r="AP186" s="366">
        <v>338.82</v>
      </c>
      <c r="AQ186" s="366">
        <v>786.31</v>
      </c>
      <c r="AR186" s="366">
        <v>225.64</v>
      </c>
      <c r="AS186" s="366">
        <v>83.45</v>
      </c>
      <c r="AT186" s="366">
        <v>83.45</v>
      </c>
      <c r="AU186" s="366">
        <v>210.22</v>
      </c>
      <c r="AV186" s="366">
        <v>705.37</v>
      </c>
      <c r="AW186" s="366">
        <v>207.19</v>
      </c>
      <c r="AX186" s="366">
        <v>296.2</v>
      </c>
      <c r="AY186" s="366">
        <v>258.64999999999998</v>
      </c>
      <c r="AZ186" s="366">
        <v>69.239999999999995</v>
      </c>
      <c r="BA186" s="366">
        <v>625.9</v>
      </c>
      <c r="BB186" s="366">
        <v>261.54000000000002</v>
      </c>
      <c r="BC186" s="366">
        <v>567.96</v>
      </c>
      <c r="BD186" s="366">
        <v>477.73</v>
      </c>
      <c r="BE186" s="366">
        <v>299.42</v>
      </c>
      <c r="BF186" s="366">
        <v>406.81</v>
      </c>
      <c r="BG186" s="366">
        <v>280.39999999999998</v>
      </c>
      <c r="BH186" s="366">
        <v>240.43</v>
      </c>
      <c r="BI186" s="366">
        <v>225.67</v>
      </c>
      <c r="BJ186" s="366">
        <v>278.77</v>
      </c>
      <c r="BK186" s="366">
        <v>137.02000000000001</v>
      </c>
      <c r="BL186" s="366">
        <v>102.47</v>
      </c>
      <c r="BM186" s="366">
        <v>111.68</v>
      </c>
      <c r="BN186" s="366">
        <v>600.64</v>
      </c>
      <c r="BO186" s="366">
        <v>179.22</v>
      </c>
      <c r="BP186" s="366">
        <v>145.08000000000001</v>
      </c>
      <c r="BQ186" s="366">
        <v>254.9</v>
      </c>
      <c r="BR186" s="366">
        <v>254.9</v>
      </c>
      <c r="BS186" s="366">
        <v>76.81</v>
      </c>
      <c r="BT186" s="366">
        <v>210.1</v>
      </c>
      <c r="BU186" s="366">
        <v>390.34</v>
      </c>
      <c r="BV186" s="366">
        <v>409.96</v>
      </c>
      <c r="BW186" s="366">
        <v>269.51</v>
      </c>
      <c r="BX186" s="366">
        <v>17.899999999999999</v>
      </c>
      <c r="BY186" s="366">
        <v>322.83999999999997</v>
      </c>
      <c r="BZ186" s="366">
        <v>322.83999999999997</v>
      </c>
      <c r="CA186" s="366">
        <v>239.13</v>
      </c>
      <c r="CB186" s="366">
        <v>36.33</v>
      </c>
      <c r="CC186" s="366">
        <v>267.37</v>
      </c>
      <c r="CD186" s="366">
        <v>269.77</v>
      </c>
      <c r="CE186" s="366">
        <v>120.25</v>
      </c>
      <c r="CF186" s="366">
        <v>578.75</v>
      </c>
      <c r="CG186" s="366">
        <v>578.75</v>
      </c>
      <c r="CH186" s="366">
        <v>269.89999999999998</v>
      </c>
      <c r="CI186" s="366">
        <v>183.39</v>
      </c>
      <c r="CJ186" s="366">
        <v>589.70000000000005</v>
      </c>
      <c r="CK186" s="366">
        <v>327.93</v>
      </c>
      <c r="CL186" s="366">
        <v>224.01</v>
      </c>
      <c r="CM186" s="366">
        <v>514.24</v>
      </c>
      <c r="CN186" s="366">
        <v>228.14</v>
      </c>
      <c r="CO186" s="366">
        <v>224.25</v>
      </c>
      <c r="CP186" s="366">
        <v>248.21</v>
      </c>
      <c r="CQ186" s="366">
        <v>248.21</v>
      </c>
      <c r="CR186" s="366">
        <v>176.65</v>
      </c>
      <c r="CS186" s="366">
        <v>176.65</v>
      </c>
      <c r="CT186" s="366">
        <v>186.09</v>
      </c>
      <c r="CU186" s="366">
        <v>178.22</v>
      </c>
      <c r="CV186" s="366">
        <v>180.82</v>
      </c>
      <c r="CW186" s="366">
        <v>295.36</v>
      </c>
      <c r="CX186" s="366">
        <v>286.44</v>
      </c>
      <c r="CY186" s="366">
        <v>560.66</v>
      </c>
      <c r="CZ186" s="366">
        <v>581.9</v>
      </c>
      <c r="DA186" s="366">
        <v>160.99</v>
      </c>
      <c r="DB186" s="366">
        <v>274.75</v>
      </c>
      <c r="DC186" s="366">
        <v>274.75</v>
      </c>
      <c r="DD186" s="366">
        <v>363.62</v>
      </c>
      <c r="DE186" s="366">
        <v>238.62</v>
      </c>
      <c r="DF186" s="366">
        <v>814.23</v>
      </c>
      <c r="DG186" s="366">
        <v>213.04</v>
      </c>
      <c r="DH186" s="366">
        <v>301.18</v>
      </c>
      <c r="DI186" s="366">
        <v>444.57</v>
      </c>
      <c r="DJ186" s="366">
        <v>598.1</v>
      </c>
      <c r="DK186" s="366">
        <v>19.68</v>
      </c>
      <c r="DL186" s="366">
        <v>396.34</v>
      </c>
      <c r="DM186" s="366">
        <v>88.2</v>
      </c>
      <c r="DN186" s="366">
        <v>459.33</v>
      </c>
      <c r="DO186" s="366">
        <v>41.68</v>
      </c>
      <c r="DP186" s="366">
        <v>325.31</v>
      </c>
      <c r="DQ186" s="366">
        <v>280.85000000000002</v>
      </c>
      <c r="DR186" s="366">
        <v>301.18</v>
      </c>
      <c r="DS186" s="366">
        <v>202.12</v>
      </c>
      <c r="DT186" s="366">
        <v>190.41</v>
      </c>
      <c r="DU186" s="366">
        <v>191.33</v>
      </c>
      <c r="DV186" s="366">
        <v>258.04000000000002</v>
      </c>
      <c r="DW186" s="366">
        <v>67.03</v>
      </c>
      <c r="DX186" s="366">
        <v>255.83</v>
      </c>
      <c r="DY186" s="366">
        <v>329.22</v>
      </c>
      <c r="DZ186" s="366">
        <v>373.29</v>
      </c>
      <c r="EA186" s="366">
        <v>207.92</v>
      </c>
      <c r="EB186" s="366">
        <v>323.22000000000003</v>
      </c>
      <c r="EC186" s="366">
        <v>120.91</v>
      </c>
      <c r="ED186" s="366">
        <v>474.34</v>
      </c>
      <c r="EE186" s="366">
        <v>485.13</v>
      </c>
      <c r="EF186" s="366">
        <v>332.54</v>
      </c>
      <c r="EG186" s="366">
        <v>207.19</v>
      </c>
      <c r="EH186" s="366">
        <v>207.19</v>
      </c>
      <c r="EI186" s="366">
        <v>253.42</v>
      </c>
      <c r="EJ186" s="366">
        <v>289.24</v>
      </c>
      <c r="EK186" s="366">
        <v>131.85</v>
      </c>
      <c r="EL186" s="366">
        <v>131.85</v>
      </c>
      <c r="EM186" s="366">
        <v>225.96</v>
      </c>
      <c r="EN186" s="366">
        <v>225.96</v>
      </c>
      <c r="EO186" s="366">
        <v>412.56</v>
      </c>
      <c r="EP186" s="366">
        <v>335.42</v>
      </c>
      <c r="EQ186" s="366">
        <v>195.58</v>
      </c>
      <c r="ER186" s="366">
        <v>644.36</v>
      </c>
      <c r="ES186" s="366">
        <v>100.52</v>
      </c>
      <c r="ET186" s="366">
        <v>272.87</v>
      </c>
      <c r="EU186" s="366">
        <v>765.87</v>
      </c>
      <c r="EV186" s="366">
        <v>376.46</v>
      </c>
      <c r="EW186" s="366">
        <v>254.34</v>
      </c>
      <c r="EX186" s="366">
        <v>77.260000000000005</v>
      </c>
      <c r="EY186" s="366">
        <v>77.260000000000005</v>
      </c>
      <c r="EZ186" s="366">
        <v>277.77</v>
      </c>
      <c r="FA186" s="366">
        <v>223.13</v>
      </c>
      <c r="FB186" s="366">
        <v>35.380000000000003</v>
      </c>
      <c r="FC186" s="366">
        <v>275.97000000000003</v>
      </c>
      <c r="FD186" s="366">
        <v>165.62</v>
      </c>
      <c r="FE186" s="366">
        <v>257.25</v>
      </c>
      <c r="FF186" s="366">
        <v>232.43</v>
      </c>
      <c r="FG186" s="366">
        <v>616.94000000000005</v>
      </c>
      <c r="FH186" s="366">
        <v>616.94000000000005</v>
      </c>
      <c r="FI186" s="366">
        <v>357.33</v>
      </c>
      <c r="FJ186" s="366">
        <v>363.12</v>
      </c>
      <c r="FK186" s="366">
        <v>128.26</v>
      </c>
      <c r="FL186" s="366">
        <v>126.45</v>
      </c>
      <c r="FM186" s="366">
        <v>412.56</v>
      </c>
      <c r="FN186" s="366">
        <v>407.21</v>
      </c>
      <c r="FO186" s="366">
        <v>216.29</v>
      </c>
      <c r="FP186" s="366">
        <v>308.32</v>
      </c>
      <c r="FQ186" s="366">
        <v>220.16</v>
      </c>
      <c r="FR186" s="366">
        <v>94.9</v>
      </c>
      <c r="FS186" s="366">
        <v>162.5</v>
      </c>
      <c r="FT186" s="366">
        <v>613.26</v>
      </c>
      <c r="FU186" s="366">
        <v>171</v>
      </c>
      <c r="FV186" s="366">
        <v>829.77</v>
      </c>
      <c r="FW186" s="366">
        <v>829.77</v>
      </c>
      <c r="FX186" s="366">
        <v>829.77</v>
      </c>
      <c r="FY186" s="366">
        <v>172.27</v>
      </c>
      <c r="FZ186" s="366">
        <v>247.16</v>
      </c>
      <c r="GA186" s="366">
        <v>299.42</v>
      </c>
      <c r="GB186" s="366">
        <v>200.97</v>
      </c>
      <c r="GC186" s="366">
        <v>474.34</v>
      </c>
      <c r="GD186" s="366">
        <v>0</v>
      </c>
      <c r="GE186" s="366">
        <v>186.19</v>
      </c>
      <c r="GF186" s="366">
        <v>157.47</v>
      </c>
      <c r="GG186" s="366">
        <v>157.47</v>
      </c>
      <c r="GH186" s="366">
        <v>347.87</v>
      </c>
      <c r="GI186" s="366">
        <v>412.72</v>
      </c>
      <c r="GJ186" s="366">
        <v>412.56</v>
      </c>
      <c r="GK186" s="366">
        <v>124.81</v>
      </c>
      <c r="GL186" s="366">
        <v>239.75</v>
      </c>
      <c r="GM186" s="366">
        <v>239.75</v>
      </c>
      <c r="GN186" s="366">
        <v>239.75</v>
      </c>
      <c r="GO186" s="366">
        <v>378</v>
      </c>
      <c r="GP186" s="366">
        <v>304.83</v>
      </c>
      <c r="GQ186" s="366">
        <v>170.52</v>
      </c>
      <c r="GR186" s="366">
        <v>440.79</v>
      </c>
      <c r="GS186" s="366">
        <v>307.33</v>
      </c>
      <c r="GT186" s="366">
        <v>207.19</v>
      </c>
      <c r="GU186" s="366">
        <v>164.54</v>
      </c>
      <c r="GV186" s="366">
        <v>296.43</v>
      </c>
      <c r="GW186" s="366">
        <v>215.73</v>
      </c>
      <c r="GX186" s="366">
        <v>203.76</v>
      </c>
      <c r="GY186" s="366">
        <v>230.52</v>
      </c>
      <c r="GZ186" s="366">
        <v>165.34</v>
      </c>
      <c r="HA186" s="366">
        <v>221.7</v>
      </c>
      <c r="HB186" s="366">
        <v>221.7</v>
      </c>
      <c r="HC186" s="366">
        <v>221.7</v>
      </c>
      <c r="HD186" s="366">
        <v>409.58</v>
      </c>
      <c r="HE186" s="366">
        <v>219.81</v>
      </c>
      <c r="HF186" s="366">
        <v>176.1</v>
      </c>
      <c r="HG186" s="366">
        <v>303.75</v>
      </c>
      <c r="HH186" s="366">
        <v>303.75</v>
      </c>
      <c r="HI186" s="366">
        <v>303.75</v>
      </c>
      <c r="HJ186" s="366">
        <v>178.34</v>
      </c>
      <c r="HK186" s="366">
        <v>279.68</v>
      </c>
      <c r="HL186" s="366">
        <v>273.81</v>
      </c>
      <c r="HM186" s="366">
        <v>409.84</v>
      </c>
      <c r="HN186" s="366">
        <v>412.56</v>
      </c>
      <c r="HO186" s="366">
        <v>734.03</v>
      </c>
      <c r="HP186" s="366">
        <v>166.06</v>
      </c>
      <c r="HQ186" s="366">
        <v>829.77</v>
      </c>
      <c r="HR186" s="366">
        <v>580.02</v>
      </c>
      <c r="HS186" s="366">
        <v>408.81</v>
      </c>
      <c r="HT186" s="366">
        <v>291.13</v>
      </c>
      <c r="HU186" s="366">
        <v>258.38</v>
      </c>
      <c r="HV186" s="366">
        <v>276.7</v>
      </c>
    </row>
    <row r="187" spans="1:230">
      <c r="A187" s="366" t="s">
        <v>205</v>
      </c>
      <c r="B187" s="366">
        <v>583.13</v>
      </c>
      <c r="C187" s="366">
        <v>286.81</v>
      </c>
      <c r="D187" s="366">
        <v>90.72</v>
      </c>
      <c r="E187" s="366">
        <v>90.72</v>
      </c>
      <c r="F187" s="366">
        <v>647.03</v>
      </c>
      <c r="G187" s="366">
        <v>383.54</v>
      </c>
      <c r="H187" s="366">
        <v>47.1</v>
      </c>
      <c r="I187" s="366">
        <v>279.27999999999997</v>
      </c>
      <c r="J187" s="366">
        <v>23.32</v>
      </c>
      <c r="K187" s="366">
        <v>23.32</v>
      </c>
      <c r="L187" s="366">
        <v>108.63</v>
      </c>
      <c r="M187" s="366">
        <v>312.23</v>
      </c>
      <c r="N187" s="366">
        <v>409.13</v>
      </c>
      <c r="O187" s="366">
        <v>332.54</v>
      </c>
      <c r="P187" s="366">
        <v>332.54</v>
      </c>
      <c r="Q187" s="366">
        <v>332.54</v>
      </c>
      <c r="R187" s="366">
        <v>332.54</v>
      </c>
      <c r="S187" s="366">
        <v>332.54</v>
      </c>
      <c r="T187" s="366">
        <v>290.32</v>
      </c>
      <c r="U187" s="366">
        <v>491.58</v>
      </c>
      <c r="V187" s="366">
        <v>387.47</v>
      </c>
      <c r="W187" s="366">
        <v>193.72</v>
      </c>
      <c r="X187" s="366">
        <v>193.72</v>
      </c>
      <c r="Y187" s="366">
        <v>193.72</v>
      </c>
      <c r="Z187" s="366">
        <v>425.21</v>
      </c>
      <c r="AA187" s="366">
        <v>377.71</v>
      </c>
      <c r="AB187" s="366">
        <v>317.81</v>
      </c>
      <c r="AC187" s="366">
        <v>309.94</v>
      </c>
      <c r="AD187" s="366">
        <v>309.94</v>
      </c>
      <c r="AE187" s="366">
        <v>141.62</v>
      </c>
      <c r="AF187" s="366">
        <v>397.28</v>
      </c>
      <c r="AG187" s="366">
        <v>195.24</v>
      </c>
      <c r="AH187" s="366">
        <v>321.66000000000003</v>
      </c>
      <c r="AI187" s="366">
        <v>321.66000000000003</v>
      </c>
      <c r="AJ187" s="366">
        <v>321.66000000000003</v>
      </c>
      <c r="AK187" s="366">
        <v>447.41</v>
      </c>
      <c r="AL187" s="366">
        <v>447.41</v>
      </c>
      <c r="AM187" s="366">
        <v>320.52999999999997</v>
      </c>
      <c r="AN187" s="366">
        <v>291.70999999999998</v>
      </c>
      <c r="AO187" s="366">
        <v>400.15</v>
      </c>
      <c r="AP187" s="366">
        <v>228.62</v>
      </c>
      <c r="AQ187" s="366">
        <v>603.57000000000005</v>
      </c>
      <c r="AR187" s="366">
        <v>59.61</v>
      </c>
      <c r="AS187" s="366">
        <v>184.08</v>
      </c>
      <c r="AT187" s="366">
        <v>184.08</v>
      </c>
      <c r="AU187" s="366">
        <v>302.33</v>
      </c>
      <c r="AV187" s="366">
        <v>522.63</v>
      </c>
      <c r="AW187" s="366">
        <v>24.45</v>
      </c>
      <c r="AX187" s="366">
        <v>360.46</v>
      </c>
      <c r="AY187" s="366">
        <v>444.84</v>
      </c>
      <c r="AZ187" s="366">
        <v>255.43</v>
      </c>
      <c r="BA187" s="366">
        <v>523.54</v>
      </c>
      <c r="BB187" s="366">
        <v>447.73</v>
      </c>
      <c r="BC187" s="366">
        <v>465.6</v>
      </c>
      <c r="BD187" s="366">
        <v>375.37</v>
      </c>
      <c r="BE187" s="366">
        <v>391.53</v>
      </c>
      <c r="BF187" s="366">
        <v>314.77999999999997</v>
      </c>
      <c r="BG187" s="366">
        <v>432.76</v>
      </c>
      <c r="BH187" s="366">
        <v>332.54</v>
      </c>
      <c r="BI187" s="366">
        <v>59.64</v>
      </c>
      <c r="BJ187" s="366">
        <v>370.88</v>
      </c>
      <c r="BK187" s="366">
        <v>323.20999999999998</v>
      </c>
      <c r="BL187" s="366">
        <v>97.72</v>
      </c>
      <c r="BM187" s="366">
        <v>74.510000000000005</v>
      </c>
      <c r="BN187" s="366">
        <v>417.9</v>
      </c>
      <c r="BO187" s="366">
        <v>365.41</v>
      </c>
      <c r="BP187" s="366">
        <v>331.27</v>
      </c>
      <c r="BQ187" s="366">
        <v>299.98</v>
      </c>
      <c r="BR187" s="366">
        <v>299.98</v>
      </c>
      <c r="BS187" s="366">
        <v>263</v>
      </c>
      <c r="BT187" s="366">
        <v>51.56</v>
      </c>
      <c r="BU187" s="366">
        <v>298.31</v>
      </c>
      <c r="BV187" s="366">
        <v>317.93</v>
      </c>
      <c r="BW187" s="366">
        <v>361.62</v>
      </c>
      <c r="BX187" s="366">
        <v>204.09</v>
      </c>
      <c r="BY187" s="366">
        <v>414.95</v>
      </c>
      <c r="BZ187" s="366">
        <v>414.95</v>
      </c>
      <c r="CA187" s="366">
        <v>56.39</v>
      </c>
      <c r="CB187" s="366">
        <v>222.52</v>
      </c>
      <c r="CC187" s="366">
        <v>331.63</v>
      </c>
      <c r="CD187" s="366">
        <v>345.11</v>
      </c>
      <c r="CE187" s="366">
        <v>306.44</v>
      </c>
      <c r="CF187" s="366">
        <v>396.01</v>
      </c>
      <c r="CG187" s="366">
        <v>396.01</v>
      </c>
      <c r="CH187" s="366">
        <v>284.98</v>
      </c>
      <c r="CI187" s="366">
        <v>275.5</v>
      </c>
      <c r="CJ187" s="366">
        <v>406.96</v>
      </c>
      <c r="CK187" s="366">
        <v>420.04</v>
      </c>
      <c r="CL187" s="366">
        <v>316.12</v>
      </c>
      <c r="CM187" s="366">
        <v>411.88</v>
      </c>
      <c r="CN187" s="366">
        <v>320.25</v>
      </c>
      <c r="CO187" s="366">
        <v>58.22</v>
      </c>
      <c r="CP187" s="366">
        <v>306.67</v>
      </c>
      <c r="CQ187" s="366">
        <v>306.67</v>
      </c>
      <c r="CR187" s="366">
        <v>9.5399999999999991</v>
      </c>
      <c r="CS187" s="366">
        <v>9.5399999999999991</v>
      </c>
      <c r="CT187" s="366">
        <v>0.1</v>
      </c>
      <c r="CU187" s="366">
        <v>7.97</v>
      </c>
      <c r="CV187" s="366">
        <v>41.27</v>
      </c>
      <c r="CW187" s="366">
        <v>387.47</v>
      </c>
      <c r="CX187" s="366">
        <v>350.7</v>
      </c>
      <c r="CY187" s="366">
        <v>458.3</v>
      </c>
      <c r="CZ187" s="366">
        <v>479.54</v>
      </c>
      <c r="DA187" s="366">
        <v>347.18</v>
      </c>
      <c r="DB187" s="366">
        <v>366.86</v>
      </c>
      <c r="DC187" s="366">
        <v>366.86</v>
      </c>
      <c r="DD187" s="366">
        <v>180.88</v>
      </c>
      <c r="DE187" s="366">
        <v>424.81</v>
      </c>
      <c r="DF187" s="366">
        <v>631.49</v>
      </c>
      <c r="DG187" s="366">
        <v>305.14999999999998</v>
      </c>
      <c r="DH187" s="366">
        <v>487.37</v>
      </c>
      <c r="DI187" s="366">
        <v>261.83</v>
      </c>
      <c r="DJ187" s="366">
        <v>465.72</v>
      </c>
      <c r="DK187" s="366">
        <v>166.51</v>
      </c>
      <c r="DL187" s="366">
        <v>292.31</v>
      </c>
      <c r="DM187" s="366">
        <v>274.39</v>
      </c>
      <c r="DN187" s="366">
        <v>276.58999999999997</v>
      </c>
      <c r="DO187" s="366">
        <v>193.08</v>
      </c>
      <c r="DP187" s="366">
        <v>142.57</v>
      </c>
      <c r="DQ187" s="366">
        <v>372.96</v>
      </c>
      <c r="DR187" s="366">
        <v>487.37</v>
      </c>
      <c r="DS187" s="366">
        <v>62.57</v>
      </c>
      <c r="DT187" s="366">
        <v>50.86</v>
      </c>
      <c r="DU187" s="366">
        <v>377.52</v>
      </c>
      <c r="DV187" s="366">
        <v>444.23</v>
      </c>
      <c r="DW187" s="366">
        <v>167.66</v>
      </c>
      <c r="DX187" s="366">
        <v>347.94</v>
      </c>
      <c r="DY187" s="366">
        <v>421.33</v>
      </c>
      <c r="DZ187" s="366">
        <v>190.55</v>
      </c>
      <c r="EA187" s="366">
        <v>41.89</v>
      </c>
      <c r="EB187" s="366">
        <v>415.33</v>
      </c>
      <c r="EC187" s="366">
        <v>65.28</v>
      </c>
      <c r="ED187" s="366">
        <v>291.60000000000002</v>
      </c>
      <c r="EE187" s="366">
        <v>302.39</v>
      </c>
      <c r="EF187" s="366">
        <v>222.34</v>
      </c>
      <c r="EG187" s="366">
        <v>24.45</v>
      </c>
      <c r="EH187" s="366">
        <v>24.45</v>
      </c>
      <c r="EI187" s="366">
        <v>345.53</v>
      </c>
      <c r="EJ187" s="366">
        <v>475.43</v>
      </c>
      <c r="EK187" s="366">
        <v>223.96</v>
      </c>
      <c r="EL187" s="366">
        <v>223.96</v>
      </c>
      <c r="EM187" s="366">
        <v>318.07</v>
      </c>
      <c r="EN187" s="366">
        <v>318.07</v>
      </c>
      <c r="EO187" s="366">
        <v>320.52999999999997</v>
      </c>
      <c r="EP187" s="366">
        <v>361.49</v>
      </c>
      <c r="EQ187" s="366">
        <v>9.39</v>
      </c>
      <c r="ER187" s="366">
        <v>461.62</v>
      </c>
      <c r="ES187" s="366">
        <v>286.70999999999998</v>
      </c>
      <c r="ET187" s="366">
        <v>282.01</v>
      </c>
      <c r="EU187" s="366">
        <v>583.13</v>
      </c>
      <c r="EV187" s="366">
        <v>193.72</v>
      </c>
      <c r="EW187" s="366">
        <v>344.96</v>
      </c>
      <c r="EX187" s="366">
        <v>263.45</v>
      </c>
      <c r="EY187" s="366">
        <v>263.45</v>
      </c>
      <c r="EZ187" s="366">
        <v>369.88</v>
      </c>
      <c r="FA187" s="366">
        <v>315.24</v>
      </c>
      <c r="FB187" s="366">
        <v>150.81</v>
      </c>
      <c r="FC187" s="366">
        <v>368.08</v>
      </c>
      <c r="FD187" s="366">
        <v>257.73</v>
      </c>
      <c r="FE187" s="366">
        <v>349.36</v>
      </c>
      <c r="FF187" s="366">
        <v>324.54000000000002</v>
      </c>
      <c r="FG187" s="366">
        <v>514.58000000000004</v>
      </c>
      <c r="FH187" s="366">
        <v>514.58000000000004</v>
      </c>
      <c r="FI187" s="366">
        <v>174.59</v>
      </c>
      <c r="FJ187" s="366">
        <v>180.38</v>
      </c>
      <c r="FK187" s="366">
        <v>314.45</v>
      </c>
      <c r="FL187" s="366">
        <v>312.64</v>
      </c>
      <c r="FM187" s="366">
        <v>320.52999999999997</v>
      </c>
      <c r="FN187" s="366">
        <v>224.47</v>
      </c>
      <c r="FO187" s="366">
        <v>50.26</v>
      </c>
      <c r="FP187" s="366">
        <v>400.43</v>
      </c>
      <c r="FQ187" s="366">
        <v>54.13</v>
      </c>
      <c r="FR187" s="366">
        <v>125.97</v>
      </c>
      <c r="FS187" s="366">
        <v>254.61</v>
      </c>
      <c r="FT187" s="366">
        <v>450.56</v>
      </c>
      <c r="FU187" s="366">
        <v>263.11</v>
      </c>
      <c r="FV187" s="366">
        <v>647.03</v>
      </c>
      <c r="FW187" s="366">
        <v>647.03</v>
      </c>
      <c r="FX187" s="366">
        <v>647.03</v>
      </c>
      <c r="FY187" s="366">
        <v>264.38</v>
      </c>
      <c r="FZ187" s="366">
        <v>339.27</v>
      </c>
      <c r="GA187" s="366">
        <v>391.53</v>
      </c>
      <c r="GB187" s="366">
        <v>293.08</v>
      </c>
      <c r="GC187" s="366">
        <v>291.60000000000002</v>
      </c>
      <c r="GD187" s="366">
        <v>186.19</v>
      </c>
      <c r="GE187" s="366">
        <v>0</v>
      </c>
      <c r="GF187" s="366">
        <v>249.58</v>
      </c>
      <c r="GG187" s="366">
        <v>249.58</v>
      </c>
      <c r="GH187" s="366">
        <v>439.98</v>
      </c>
      <c r="GI187" s="366">
        <v>320.69</v>
      </c>
      <c r="GJ187" s="366">
        <v>320.52999999999997</v>
      </c>
      <c r="GK187" s="366">
        <v>311</v>
      </c>
      <c r="GL187" s="366">
        <v>331.86</v>
      </c>
      <c r="GM187" s="366">
        <v>331.86</v>
      </c>
      <c r="GN187" s="366">
        <v>331.86</v>
      </c>
      <c r="GO187" s="366">
        <v>267.8</v>
      </c>
      <c r="GP187" s="366">
        <v>396.94</v>
      </c>
      <c r="GQ187" s="366">
        <v>356.71</v>
      </c>
      <c r="GR187" s="366">
        <v>322.94</v>
      </c>
      <c r="GS187" s="366">
        <v>247.55</v>
      </c>
      <c r="GT187" s="366">
        <v>24.45</v>
      </c>
      <c r="GU187" s="366">
        <v>159.79</v>
      </c>
      <c r="GV187" s="366">
        <v>482.62</v>
      </c>
      <c r="GW187" s="366">
        <v>307.83999999999997</v>
      </c>
      <c r="GX187" s="366">
        <v>21.02</v>
      </c>
      <c r="GY187" s="366">
        <v>322.63</v>
      </c>
      <c r="GZ187" s="366">
        <v>257.45</v>
      </c>
      <c r="HA187" s="366">
        <v>55.67</v>
      </c>
      <c r="HB187" s="366">
        <v>55.67</v>
      </c>
      <c r="HC187" s="366">
        <v>55.67</v>
      </c>
      <c r="HD187" s="366">
        <v>226.84</v>
      </c>
      <c r="HE187" s="366">
        <v>311.92</v>
      </c>
      <c r="HF187" s="366">
        <v>268.20999999999998</v>
      </c>
      <c r="HG187" s="366">
        <v>395.86</v>
      </c>
      <c r="HH187" s="366">
        <v>395.86</v>
      </c>
      <c r="HI187" s="366">
        <v>395.86</v>
      </c>
      <c r="HJ187" s="366">
        <v>270.45</v>
      </c>
      <c r="HK187" s="366">
        <v>96.94</v>
      </c>
      <c r="HL187" s="366">
        <v>365.92</v>
      </c>
      <c r="HM187" s="366">
        <v>317.81</v>
      </c>
      <c r="HN187" s="366">
        <v>320.52999999999997</v>
      </c>
      <c r="HO187" s="366">
        <v>551.29</v>
      </c>
      <c r="HP187" s="366">
        <v>258.17</v>
      </c>
      <c r="HQ187" s="366">
        <v>647.03</v>
      </c>
      <c r="HR187" s="366">
        <v>397.28</v>
      </c>
      <c r="HS187" s="366">
        <v>316.77999999999997</v>
      </c>
      <c r="HT187" s="366">
        <v>268.94</v>
      </c>
      <c r="HU187" s="366">
        <v>303.45999999999998</v>
      </c>
      <c r="HV187" s="366">
        <v>363.79</v>
      </c>
    </row>
    <row r="188" spans="1:230">
      <c r="A188" s="366" t="s">
        <v>206</v>
      </c>
      <c r="B188" s="366">
        <v>660.25</v>
      </c>
      <c r="C188" s="366">
        <v>258.08999999999997</v>
      </c>
      <c r="D188" s="366">
        <v>158.86000000000001</v>
      </c>
      <c r="E188" s="366">
        <v>158.86000000000001</v>
      </c>
      <c r="F188" s="366">
        <v>724.15</v>
      </c>
      <c r="G188" s="366">
        <v>531.72</v>
      </c>
      <c r="H188" s="366">
        <v>202.48</v>
      </c>
      <c r="I188" s="366">
        <v>150.77000000000001</v>
      </c>
      <c r="J188" s="366">
        <v>226.26</v>
      </c>
      <c r="K188" s="366">
        <v>226.26</v>
      </c>
      <c r="L188" s="366">
        <v>149.47</v>
      </c>
      <c r="M188" s="366">
        <v>283.51</v>
      </c>
      <c r="N188" s="366">
        <v>380.41</v>
      </c>
      <c r="O188" s="366">
        <v>100.88</v>
      </c>
      <c r="P188" s="366">
        <v>100.88</v>
      </c>
      <c r="Q188" s="366">
        <v>100.88</v>
      </c>
      <c r="R188" s="366">
        <v>100.88</v>
      </c>
      <c r="S188" s="366">
        <v>100.88</v>
      </c>
      <c r="T188" s="366">
        <v>225.27</v>
      </c>
      <c r="U188" s="366">
        <v>639.76</v>
      </c>
      <c r="V188" s="366">
        <v>212.33</v>
      </c>
      <c r="W188" s="366">
        <v>368.63</v>
      </c>
      <c r="X188" s="366">
        <v>368.63</v>
      </c>
      <c r="Y188" s="366">
        <v>368.63</v>
      </c>
      <c r="Z188" s="366">
        <v>250.07</v>
      </c>
      <c r="AA188" s="366">
        <v>525.89</v>
      </c>
      <c r="AB188" s="366">
        <v>285.01</v>
      </c>
      <c r="AC188" s="366">
        <v>287.47000000000003</v>
      </c>
      <c r="AD188" s="366">
        <v>287.47000000000003</v>
      </c>
      <c r="AE188" s="366">
        <v>107.96</v>
      </c>
      <c r="AF188" s="366">
        <v>545.46</v>
      </c>
      <c r="AG188" s="366">
        <v>370.15</v>
      </c>
      <c r="AH188" s="366">
        <v>104.72</v>
      </c>
      <c r="AI188" s="366">
        <v>104.72</v>
      </c>
      <c r="AJ188" s="366">
        <v>104.72</v>
      </c>
      <c r="AK188" s="366">
        <v>272.27</v>
      </c>
      <c r="AL188" s="366">
        <v>272.27</v>
      </c>
      <c r="AM188" s="366">
        <v>287.73</v>
      </c>
      <c r="AN188" s="366">
        <v>60.05</v>
      </c>
      <c r="AO188" s="366">
        <v>538.84</v>
      </c>
      <c r="AP188" s="366">
        <v>213.99</v>
      </c>
      <c r="AQ188" s="366">
        <v>680.69</v>
      </c>
      <c r="AR188" s="366">
        <v>289.02999999999997</v>
      </c>
      <c r="AS188" s="366">
        <v>74.02</v>
      </c>
      <c r="AT188" s="366">
        <v>74.02</v>
      </c>
      <c r="AU188" s="366">
        <v>127.19</v>
      </c>
      <c r="AV188" s="366">
        <v>670.81</v>
      </c>
      <c r="AW188" s="366">
        <v>270.58</v>
      </c>
      <c r="AX188" s="366">
        <v>171.37</v>
      </c>
      <c r="AY188" s="366">
        <v>416.12</v>
      </c>
      <c r="AZ188" s="366">
        <v>226.71</v>
      </c>
      <c r="BA188" s="366">
        <v>501.07</v>
      </c>
      <c r="BB188" s="366">
        <v>419.01</v>
      </c>
      <c r="BC188" s="366">
        <v>443.13</v>
      </c>
      <c r="BD188" s="366">
        <v>352.9</v>
      </c>
      <c r="BE188" s="366">
        <v>216.39</v>
      </c>
      <c r="BF188" s="366">
        <v>281.98</v>
      </c>
      <c r="BG188" s="366">
        <v>257.62</v>
      </c>
      <c r="BH188" s="366">
        <v>100.88</v>
      </c>
      <c r="BI188" s="366">
        <v>289.06</v>
      </c>
      <c r="BJ188" s="366">
        <v>195.74</v>
      </c>
      <c r="BK188" s="366">
        <v>294.49</v>
      </c>
      <c r="BL188" s="366">
        <v>151.86000000000001</v>
      </c>
      <c r="BM188" s="366">
        <v>175.07</v>
      </c>
      <c r="BN188" s="366">
        <v>566.08000000000004</v>
      </c>
      <c r="BO188" s="366">
        <v>336.69</v>
      </c>
      <c r="BP188" s="366">
        <v>302.55</v>
      </c>
      <c r="BQ188" s="366">
        <v>130.07</v>
      </c>
      <c r="BR188" s="366">
        <v>130.07</v>
      </c>
      <c r="BS188" s="366">
        <v>234.28</v>
      </c>
      <c r="BT188" s="366">
        <v>273.49</v>
      </c>
      <c r="BU188" s="366">
        <v>265.51</v>
      </c>
      <c r="BV188" s="366">
        <v>285.13</v>
      </c>
      <c r="BW188" s="366">
        <v>186.48</v>
      </c>
      <c r="BX188" s="366">
        <v>175.37</v>
      </c>
      <c r="BY188" s="366">
        <v>239.81</v>
      </c>
      <c r="BZ188" s="366">
        <v>239.81</v>
      </c>
      <c r="CA188" s="366">
        <v>302.52</v>
      </c>
      <c r="CB188" s="366">
        <v>193.8</v>
      </c>
      <c r="CC188" s="366">
        <v>142.54</v>
      </c>
      <c r="CD188" s="366">
        <v>144.94</v>
      </c>
      <c r="CE188" s="366">
        <v>277.72000000000003</v>
      </c>
      <c r="CF188" s="366">
        <v>544.19000000000005</v>
      </c>
      <c r="CG188" s="366">
        <v>544.19000000000005</v>
      </c>
      <c r="CH188" s="366">
        <v>145.07</v>
      </c>
      <c r="CI188" s="366">
        <v>25.92</v>
      </c>
      <c r="CJ188" s="366">
        <v>555.14</v>
      </c>
      <c r="CK188" s="366">
        <v>244.9</v>
      </c>
      <c r="CL188" s="366">
        <v>140.97999999999999</v>
      </c>
      <c r="CM188" s="366">
        <v>389.41</v>
      </c>
      <c r="CN188" s="366">
        <v>145.11000000000001</v>
      </c>
      <c r="CO188" s="366">
        <v>287.64</v>
      </c>
      <c r="CP188" s="366">
        <v>123.38</v>
      </c>
      <c r="CQ188" s="366">
        <v>123.38</v>
      </c>
      <c r="CR188" s="366">
        <v>240.04</v>
      </c>
      <c r="CS188" s="366">
        <v>240.04</v>
      </c>
      <c r="CT188" s="366">
        <v>249.48</v>
      </c>
      <c r="CU188" s="366">
        <v>241.61</v>
      </c>
      <c r="CV188" s="366">
        <v>244.21</v>
      </c>
      <c r="CW188" s="366">
        <v>212.33</v>
      </c>
      <c r="CX188" s="366">
        <v>161.61000000000001</v>
      </c>
      <c r="CY188" s="366">
        <v>435.83</v>
      </c>
      <c r="CZ188" s="366">
        <v>457.07</v>
      </c>
      <c r="DA188" s="366">
        <v>318.45999999999998</v>
      </c>
      <c r="DB188" s="366">
        <v>191.72</v>
      </c>
      <c r="DC188" s="366">
        <v>191.72</v>
      </c>
      <c r="DD188" s="366">
        <v>355.79</v>
      </c>
      <c r="DE188" s="366">
        <v>396.09</v>
      </c>
      <c r="DF188" s="366">
        <v>708.61</v>
      </c>
      <c r="DG188" s="366">
        <v>55.57</v>
      </c>
      <c r="DH188" s="366">
        <v>458.65</v>
      </c>
      <c r="DI188" s="366">
        <v>410.01</v>
      </c>
      <c r="DJ188" s="366">
        <v>473.27</v>
      </c>
      <c r="DK188" s="366">
        <v>137.79</v>
      </c>
      <c r="DL188" s="366">
        <v>271.51</v>
      </c>
      <c r="DM188" s="366">
        <v>245.67</v>
      </c>
      <c r="DN188" s="366">
        <v>424.77</v>
      </c>
      <c r="DO188" s="366">
        <v>164.36</v>
      </c>
      <c r="DP188" s="366">
        <v>317.48</v>
      </c>
      <c r="DQ188" s="366">
        <v>197.82</v>
      </c>
      <c r="DR188" s="366">
        <v>458.65</v>
      </c>
      <c r="DS188" s="366">
        <v>265.51</v>
      </c>
      <c r="DT188" s="366">
        <v>253.8</v>
      </c>
      <c r="DU188" s="366">
        <v>342.62</v>
      </c>
      <c r="DV188" s="366">
        <v>275.91000000000003</v>
      </c>
      <c r="DW188" s="366">
        <v>90.44</v>
      </c>
      <c r="DX188" s="366">
        <v>172.8</v>
      </c>
      <c r="DY188" s="366">
        <v>246.19</v>
      </c>
      <c r="DZ188" s="366">
        <v>365.46</v>
      </c>
      <c r="EA188" s="366">
        <v>271.31</v>
      </c>
      <c r="EB188" s="366">
        <v>240.19</v>
      </c>
      <c r="EC188" s="366">
        <v>184.3</v>
      </c>
      <c r="ED188" s="366">
        <v>439.78</v>
      </c>
      <c r="EE188" s="366">
        <v>450.57</v>
      </c>
      <c r="EF188" s="366">
        <v>207.71</v>
      </c>
      <c r="EG188" s="366">
        <v>270.58</v>
      </c>
      <c r="EH188" s="366">
        <v>270.58</v>
      </c>
      <c r="EI188" s="366">
        <v>128.59</v>
      </c>
      <c r="EJ188" s="366">
        <v>446.71</v>
      </c>
      <c r="EK188" s="366">
        <v>40.299999999999997</v>
      </c>
      <c r="EL188" s="366">
        <v>40.299999999999997</v>
      </c>
      <c r="EM188" s="366">
        <v>142.93</v>
      </c>
      <c r="EN188" s="366">
        <v>142.93</v>
      </c>
      <c r="EO188" s="366">
        <v>287.73</v>
      </c>
      <c r="EP188" s="366">
        <v>210.59</v>
      </c>
      <c r="EQ188" s="366">
        <v>258.97000000000003</v>
      </c>
      <c r="ER188" s="366">
        <v>609.79999999999995</v>
      </c>
      <c r="ES188" s="366">
        <v>257.99</v>
      </c>
      <c r="ET188" s="366">
        <v>148.04</v>
      </c>
      <c r="EU188" s="366">
        <v>660.25</v>
      </c>
      <c r="EV188" s="366">
        <v>368.63</v>
      </c>
      <c r="EW188" s="366">
        <v>129.51</v>
      </c>
      <c r="EX188" s="366">
        <v>234.73</v>
      </c>
      <c r="EY188" s="366">
        <v>234.73</v>
      </c>
      <c r="EZ188" s="366">
        <v>165.41</v>
      </c>
      <c r="FA188" s="366">
        <v>140.1</v>
      </c>
      <c r="FB188" s="366">
        <v>122.09</v>
      </c>
      <c r="FC188" s="366">
        <v>192.94</v>
      </c>
      <c r="FD188" s="366">
        <v>26.07</v>
      </c>
      <c r="FE188" s="366">
        <v>132.41999999999999</v>
      </c>
      <c r="FF188" s="366">
        <v>107.6</v>
      </c>
      <c r="FG188" s="366">
        <v>492.11</v>
      </c>
      <c r="FH188" s="366">
        <v>492.11</v>
      </c>
      <c r="FI188" s="366">
        <v>349.5</v>
      </c>
      <c r="FJ188" s="366">
        <v>355.29</v>
      </c>
      <c r="FK188" s="366">
        <v>285.73</v>
      </c>
      <c r="FL188" s="366">
        <v>283.92</v>
      </c>
      <c r="FM188" s="366">
        <v>287.73</v>
      </c>
      <c r="FN188" s="366">
        <v>399.38</v>
      </c>
      <c r="FO188" s="366">
        <v>279.68</v>
      </c>
      <c r="FP188" s="366">
        <v>225.29</v>
      </c>
      <c r="FQ188" s="366">
        <v>283.55</v>
      </c>
      <c r="FR188" s="366">
        <v>166.81</v>
      </c>
      <c r="FS188" s="366">
        <v>90.05</v>
      </c>
      <c r="FT188" s="366">
        <v>488.43</v>
      </c>
      <c r="FU188" s="366">
        <v>13.53</v>
      </c>
      <c r="FV188" s="366">
        <v>724.15</v>
      </c>
      <c r="FW188" s="366">
        <v>724.15</v>
      </c>
      <c r="FX188" s="366">
        <v>724.15</v>
      </c>
      <c r="FY188" s="366">
        <v>89.24</v>
      </c>
      <c r="FZ188" s="366">
        <v>122.33</v>
      </c>
      <c r="GA188" s="366">
        <v>216.39</v>
      </c>
      <c r="GB188" s="366">
        <v>128.52000000000001</v>
      </c>
      <c r="GC188" s="366">
        <v>439.78</v>
      </c>
      <c r="GD188" s="366">
        <v>157.47</v>
      </c>
      <c r="GE188" s="366">
        <v>249.58</v>
      </c>
      <c r="GF188" s="366">
        <v>0</v>
      </c>
      <c r="GG188" s="366">
        <v>0</v>
      </c>
      <c r="GH188" s="366">
        <v>264.83999999999997</v>
      </c>
      <c r="GI188" s="366">
        <v>287.89</v>
      </c>
      <c r="GJ188" s="366">
        <v>287.73</v>
      </c>
      <c r="GK188" s="366">
        <v>282.27999999999997</v>
      </c>
      <c r="GL188" s="366">
        <v>114.92</v>
      </c>
      <c r="GM188" s="366">
        <v>114.92</v>
      </c>
      <c r="GN188" s="366">
        <v>114.92</v>
      </c>
      <c r="GO188" s="366">
        <v>253.17</v>
      </c>
      <c r="GP188" s="366">
        <v>221.8</v>
      </c>
      <c r="GQ188" s="366">
        <v>327.99</v>
      </c>
      <c r="GR188" s="366">
        <v>315.95999999999998</v>
      </c>
      <c r="GS188" s="366">
        <v>182.5</v>
      </c>
      <c r="GT188" s="366">
        <v>270.58</v>
      </c>
      <c r="GU188" s="366">
        <v>92.67</v>
      </c>
      <c r="GV188" s="366">
        <v>453.9</v>
      </c>
      <c r="GW188" s="366">
        <v>90.9</v>
      </c>
      <c r="GX188" s="366">
        <v>267.14999999999998</v>
      </c>
      <c r="GY188" s="366">
        <v>105.69</v>
      </c>
      <c r="GZ188" s="366">
        <v>25.79</v>
      </c>
      <c r="HA188" s="366">
        <v>285.08999999999997</v>
      </c>
      <c r="HB188" s="366">
        <v>285.08999999999997</v>
      </c>
      <c r="HC188" s="366">
        <v>285.08999999999997</v>
      </c>
      <c r="HD188" s="366">
        <v>401.75</v>
      </c>
      <c r="HE188" s="366">
        <v>136.78</v>
      </c>
      <c r="HF188" s="366">
        <v>93.07</v>
      </c>
      <c r="HG188" s="366">
        <v>220.72</v>
      </c>
      <c r="HH188" s="366">
        <v>220.72</v>
      </c>
      <c r="HI188" s="366">
        <v>220.72</v>
      </c>
      <c r="HJ188" s="366">
        <v>20.87</v>
      </c>
      <c r="HK188" s="366">
        <v>339.08</v>
      </c>
      <c r="HL188" s="366">
        <v>134.26</v>
      </c>
      <c r="HM188" s="366">
        <v>285.01</v>
      </c>
      <c r="HN188" s="366">
        <v>287.73</v>
      </c>
      <c r="HO188" s="366">
        <v>693.45</v>
      </c>
      <c r="HP188" s="366">
        <v>26.51</v>
      </c>
      <c r="HQ188" s="366">
        <v>724.15</v>
      </c>
      <c r="HR188" s="366">
        <v>545.46</v>
      </c>
      <c r="HS188" s="366">
        <v>283.98</v>
      </c>
      <c r="HT188" s="366">
        <v>166.3</v>
      </c>
      <c r="HU188" s="366">
        <v>133.55000000000001</v>
      </c>
      <c r="HV188" s="366">
        <v>151.87</v>
      </c>
    </row>
    <row r="189" spans="1:230">
      <c r="A189" s="366" t="s">
        <v>207</v>
      </c>
      <c r="B189" s="366">
        <v>660.25</v>
      </c>
      <c r="C189" s="366">
        <v>258.08999999999997</v>
      </c>
      <c r="D189" s="366">
        <v>158.86000000000001</v>
      </c>
      <c r="E189" s="366">
        <v>158.86000000000001</v>
      </c>
      <c r="F189" s="366">
        <v>724.15</v>
      </c>
      <c r="G189" s="366">
        <v>531.72</v>
      </c>
      <c r="H189" s="366">
        <v>202.48</v>
      </c>
      <c r="I189" s="366">
        <v>150.77000000000001</v>
      </c>
      <c r="J189" s="366">
        <v>226.26</v>
      </c>
      <c r="K189" s="366">
        <v>226.26</v>
      </c>
      <c r="L189" s="366">
        <v>149.47</v>
      </c>
      <c r="M189" s="366">
        <v>283.51</v>
      </c>
      <c r="N189" s="366">
        <v>380.41</v>
      </c>
      <c r="O189" s="366">
        <v>100.88</v>
      </c>
      <c r="P189" s="366">
        <v>100.88</v>
      </c>
      <c r="Q189" s="366">
        <v>100.88</v>
      </c>
      <c r="R189" s="366">
        <v>100.88</v>
      </c>
      <c r="S189" s="366">
        <v>100.88</v>
      </c>
      <c r="T189" s="366">
        <v>225.27</v>
      </c>
      <c r="U189" s="366">
        <v>639.76</v>
      </c>
      <c r="V189" s="366">
        <v>212.33</v>
      </c>
      <c r="W189" s="366">
        <v>368.63</v>
      </c>
      <c r="X189" s="366">
        <v>368.63</v>
      </c>
      <c r="Y189" s="366">
        <v>368.63</v>
      </c>
      <c r="Z189" s="366">
        <v>250.07</v>
      </c>
      <c r="AA189" s="366">
        <v>525.89</v>
      </c>
      <c r="AB189" s="366">
        <v>285.01</v>
      </c>
      <c r="AC189" s="366">
        <v>287.47000000000003</v>
      </c>
      <c r="AD189" s="366">
        <v>287.47000000000003</v>
      </c>
      <c r="AE189" s="366">
        <v>107.96</v>
      </c>
      <c r="AF189" s="366">
        <v>545.46</v>
      </c>
      <c r="AG189" s="366">
        <v>370.15</v>
      </c>
      <c r="AH189" s="366">
        <v>104.72</v>
      </c>
      <c r="AI189" s="366">
        <v>104.72</v>
      </c>
      <c r="AJ189" s="366">
        <v>104.72</v>
      </c>
      <c r="AK189" s="366">
        <v>272.27</v>
      </c>
      <c r="AL189" s="366">
        <v>272.27</v>
      </c>
      <c r="AM189" s="366">
        <v>287.73</v>
      </c>
      <c r="AN189" s="366">
        <v>60.05</v>
      </c>
      <c r="AO189" s="366">
        <v>538.84</v>
      </c>
      <c r="AP189" s="366">
        <v>213.99</v>
      </c>
      <c r="AQ189" s="366">
        <v>680.69</v>
      </c>
      <c r="AR189" s="366">
        <v>289.02999999999997</v>
      </c>
      <c r="AS189" s="366">
        <v>74.02</v>
      </c>
      <c r="AT189" s="366">
        <v>74.02</v>
      </c>
      <c r="AU189" s="366">
        <v>127.19</v>
      </c>
      <c r="AV189" s="366">
        <v>670.81</v>
      </c>
      <c r="AW189" s="366">
        <v>270.58</v>
      </c>
      <c r="AX189" s="366">
        <v>171.37</v>
      </c>
      <c r="AY189" s="366">
        <v>416.12</v>
      </c>
      <c r="AZ189" s="366">
        <v>226.71</v>
      </c>
      <c r="BA189" s="366">
        <v>501.07</v>
      </c>
      <c r="BB189" s="366">
        <v>419.01</v>
      </c>
      <c r="BC189" s="366">
        <v>443.13</v>
      </c>
      <c r="BD189" s="366">
        <v>352.9</v>
      </c>
      <c r="BE189" s="366">
        <v>216.39</v>
      </c>
      <c r="BF189" s="366">
        <v>281.98</v>
      </c>
      <c r="BG189" s="366">
        <v>257.62</v>
      </c>
      <c r="BH189" s="366">
        <v>100.88</v>
      </c>
      <c r="BI189" s="366">
        <v>289.06</v>
      </c>
      <c r="BJ189" s="366">
        <v>195.74</v>
      </c>
      <c r="BK189" s="366">
        <v>294.49</v>
      </c>
      <c r="BL189" s="366">
        <v>151.86000000000001</v>
      </c>
      <c r="BM189" s="366">
        <v>175.07</v>
      </c>
      <c r="BN189" s="366">
        <v>566.08000000000004</v>
      </c>
      <c r="BO189" s="366">
        <v>336.69</v>
      </c>
      <c r="BP189" s="366">
        <v>302.55</v>
      </c>
      <c r="BQ189" s="366">
        <v>130.07</v>
      </c>
      <c r="BR189" s="366">
        <v>130.07</v>
      </c>
      <c r="BS189" s="366">
        <v>234.28</v>
      </c>
      <c r="BT189" s="366">
        <v>273.49</v>
      </c>
      <c r="BU189" s="366">
        <v>265.51</v>
      </c>
      <c r="BV189" s="366">
        <v>285.13</v>
      </c>
      <c r="BW189" s="366">
        <v>186.48</v>
      </c>
      <c r="BX189" s="366">
        <v>175.37</v>
      </c>
      <c r="BY189" s="366">
        <v>239.81</v>
      </c>
      <c r="BZ189" s="366">
        <v>239.81</v>
      </c>
      <c r="CA189" s="366">
        <v>302.52</v>
      </c>
      <c r="CB189" s="366">
        <v>193.8</v>
      </c>
      <c r="CC189" s="366">
        <v>142.54</v>
      </c>
      <c r="CD189" s="366">
        <v>144.94</v>
      </c>
      <c r="CE189" s="366">
        <v>277.72000000000003</v>
      </c>
      <c r="CF189" s="366">
        <v>544.19000000000005</v>
      </c>
      <c r="CG189" s="366">
        <v>544.19000000000005</v>
      </c>
      <c r="CH189" s="366">
        <v>145.07</v>
      </c>
      <c r="CI189" s="366">
        <v>25.92</v>
      </c>
      <c r="CJ189" s="366">
        <v>555.14</v>
      </c>
      <c r="CK189" s="366">
        <v>244.9</v>
      </c>
      <c r="CL189" s="366">
        <v>140.97999999999999</v>
      </c>
      <c r="CM189" s="366">
        <v>389.41</v>
      </c>
      <c r="CN189" s="366">
        <v>145.11000000000001</v>
      </c>
      <c r="CO189" s="366">
        <v>287.64</v>
      </c>
      <c r="CP189" s="366">
        <v>123.38</v>
      </c>
      <c r="CQ189" s="366">
        <v>123.38</v>
      </c>
      <c r="CR189" s="366">
        <v>240.04</v>
      </c>
      <c r="CS189" s="366">
        <v>240.04</v>
      </c>
      <c r="CT189" s="366">
        <v>249.48</v>
      </c>
      <c r="CU189" s="366">
        <v>241.61</v>
      </c>
      <c r="CV189" s="366">
        <v>244.21</v>
      </c>
      <c r="CW189" s="366">
        <v>212.33</v>
      </c>
      <c r="CX189" s="366">
        <v>161.61000000000001</v>
      </c>
      <c r="CY189" s="366">
        <v>435.83</v>
      </c>
      <c r="CZ189" s="366">
        <v>457.07</v>
      </c>
      <c r="DA189" s="366">
        <v>318.45999999999998</v>
      </c>
      <c r="DB189" s="366">
        <v>191.72</v>
      </c>
      <c r="DC189" s="366">
        <v>191.72</v>
      </c>
      <c r="DD189" s="366">
        <v>355.79</v>
      </c>
      <c r="DE189" s="366">
        <v>396.09</v>
      </c>
      <c r="DF189" s="366">
        <v>708.61</v>
      </c>
      <c r="DG189" s="366">
        <v>55.57</v>
      </c>
      <c r="DH189" s="366">
        <v>458.65</v>
      </c>
      <c r="DI189" s="366">
        <v>410.01</v>
      </c>
      <c r="DJ189" s="366">
        <v>473.27</v>
      </c>
      <c r="DK189" s="366">
        <v>137.79</v>
      </c>
      <c r="DL189" s="366">
        <v>271.51</v>
      </c>
      <c r="DM189" s="366">
        <v>245.67</v>
      </c>
      <c r="DN189" s="366">
        <v>424.77</v>
      </c>
      <c r="DO189" s="366">
        <v>164.36</v>
      </c>
      <c r="DP189" s="366">
        <v>317.48</v>
      </c>
      <c r="DQ189" s="366">
        <v>197.82</v>
      </c>
      <c r="DR189" s="366">
        <v>458.65</v>
      </c>
      <c r="DS189" s="366">
        <v>265.51</v>
      </c>
      <c r="DT189" s="366">
        <v>253.8</v>
      </c>
      <c r="DU189" s="366">
        <v>342.62</v>
      </c>
      <c r="DV189" s="366">
        <v>275.91000000000003</v>
      </c>
      <c r="DW189" s="366">
        <v>90.44</v>
      </c>
      <c r="DX189" s="366">
        <v>172.8</v>
      </c>
      <c r="DY189" s="366">
        <v>246.19</v>
      </c>
      <c r="DZ189" s="366">
        <v>365.46</v>
      </c>
      <c r="EA189" s="366">
        <v>271.31</v>
      </c>
      <c r="EB189" s="366">
        <v>240.19</v>
      </c>
      <c r="EC189" s="366">
        <v>184.3</v>
      </c>
      <c r="ED189" s="366">
        <v>439.78</v>
      </c>
      <c r="EE189" s="366">
        <v>450.57</v>
      </c>
      <c r="EF189" s="366">
        <v>207.71</v>
      </c>
      <c r="EG189" s="366">
        <v>270.58</v>
      </c>
      <c r="EH189" s="366">
        <v>270.58</v>
      </c>
      <c r="EI189" s="366">
        <v>128.59</v>
      </c>
      <c r="EJ189" s="366">
        <v>446.71</v>
      </c>
      <c r="EK189" s="366">
        <v>40.299999999999997</v>
      </c>
      <c r="EL189" s="366">
        <v>40.299999999999997</v>
      </c>
      <c r="EM189" s="366">
        <v>142.93</v>
      </c>
      <c r="EN189" s="366">
        <v>142.93</v>
      </c>
      <c r="EO189" s="366">
        <v>287.73</v>
      </c>
      <c r="EP189" s="366">
        <v>210.59</v>
      </c>
      <c r="EQ189" s="366">
        <v>258.97000000000003</v>
      </c>
      <c r="ER189" s="366">
        <v>609.79999999999995</v>
      </c>
      <c r="ES189" s="366">
        <v>257.99</v>
      </c>
      <c r="ET189" s="366">
        <v>148.04</v>
      </c>
      <c r="EU189" s="366">
        <v>660.25</v>
      </c>
      <c r="EV189" s="366">
        <v>368.63</v>
      </c>
      <c r="EW189" s="366">
        <v>129.51</v>
      </c>
      <c r="EX189" s="366">
        <v>234.73</v>
      </c>
      <c r="EY189" s="366">
        <v>234.73</v>
      </c>
      <c r="EZ189" s="366">
        <v>165.41</v>
      </c>
      <c r="FA189" s="366">
        <v>140.1</v>
      </c>
      <c r="FB189" s="366">
        <v>122.09</v>
      </c>
      <c r="FC189" s="366">
        <v>192.94</v>
      </c>
      <c r="FD189" s="366">
        <v>26.07</v>
      </c>
      <c r="FE189" s="366">
        <v>132.41999999999999</v>
      </c>
      <c r="FF189" s="366">
        <v>107.6</v>
      </c>
      <c r="FG189" s="366">
        <v>492.11</v>
      </c>
      <c r="FH189" s="366">
        <v>492.11</v>
      </c>
      <c r="FI189" s="366">
        <v>349.5</v>
      </c>
      <c r="FJ189" s="366">
        <v>355.29</v>
      </c>
      <c r="FK189" s="366">
        <v>285.73</v>
      </c>
      <c r="FL189" s="366">
        <v>283.92</v>
      </c>
      <c r="FM189" s="366">
        <v>287.73</v>
      </c>
      <c r="FN189" s="366">
        <v>399.38</v>
      </c>
      <c r="FO189" s="366">
        <v>279.68</v>
      </c>
      <c r="FP189" s="366">
        <v>225.29</v>
      </c>
      <c r="FQ189" s="366">
        <v>283.55</v>
      </c>
      <c r="FR189" s="366">
        <v>166.81</v>
      </c>
      <c r="FS189" s="366">
        <v>90.05</v>
      </c>
      <c r="FT189" s="366">
        <v>488.43</v>
      </c>
      <c r="FU189" s="366">
        <v>13.53</v>
      </c>
      <c r="FV189" s="366">
        <v>724.15</v>
      </c>
      <c r="FW189" s="366">
        <v>724.15</v>
      </c>
      <c r="FX189" s="366">
        <v>724.15</v>
      </c>
      <c r="FY189" s="366">
        <v>89.24</v>
      </c>
      <c r="FZ189" s="366">
        <v>122.33</v>
      </c>
      <c r="GA189" s="366">
        <v>216.39</v>
      </c>
      <c r="GB189" s="366">
        <v>128.52000000000001</v>
      </c>
      <c r="GC189" s="366">
        <v>439.78</v>
      </c>
      <c r="GD189" s="366">
        <v>157.47</v>
      </c>
      <c r="GE189" s="366">
        <v>249.58</v>
      </c>
      <c r="GF189" s="366">
        <v>0</v>
      </c>
      <c r="GG189" s="366">
        <v>0</v>
      </c>
      <c r="GH189" s="366">
        <v>264.83999999999997</v>
      </c>
      <c r="GI189" s="366">
        <v>287.89</v>
      </c>
      <c r="GJ189" s="366">
        <v>287.73</v>
      </c>
      <c r="GK189" s="366">
        <v>282.27999999999997</v>
      </c>
      <c r="GL189" s="366">
        <v>114.92</v>
      </c>
      <c r="GM189" s="366">
        <v>114.92</v>
      </c>
      <c r="GN189" s="366">
        <v>114.92</v>
      </c>
      <c r="GO189" s="366">
        <v>253.17</v>
      </c>
      <c r="GP189" s="366">
        <v>221.8</v>
      </c>
      <c r="GQ189" s="366">
        <v>327.99</v>
      </c>
      <c r="GR189" s="366">
        <v>315.95999999999998</v>
      </c>
      <c r="GS189" s="366">
        <v>182.5</v>
      </c>
      <c r="GT189" s="366">
        <v>270.58</v>
      </c>
      <c r="GU189" s="366">
        <v>92.67</v>
      </c>
      <c r="GV189" s="366">
        <v>453.9</v>
      </c>
      <c r="GW189" s="366">
        <v>90.9</v>
      </c>
      <c r="GX189" s="366">
        <v>267.14999999999998</v>
      </c>
      <c r="GY189" s="366">
        <v>105.69</v>
      </c>
      <c r="GZ189" s="366">
        <v>25.79</v>
      </c>
      <c r="HA189" s="366">
        <v>285.08999999999997</v>
      </c>
      <c r="HB189" s="366">
        <v>285.08999999999997</v>
      </c>
      <c r="HC189" s="366">
        <v>285.08999999999997</v>
      </c>
      <c r="HD189" s="366">
        <v>401.75</v>
      </c>
      <c r="HE189" s="366">
        <v>136.78</v>
      </c>
      <c r="HF189" s="366">
        <v>93.07</v>
      </c>
      <c r="HG189" s="366">
        <v>220.72</v>
      </c>
      <c r="HH189" s="366">
        <v>220.72</v>
      </c>
      <c r="HI189" s="366">
        <v>220.72</v>
      </c>
      <c r="HJ189" s="366">
        <v>20.87</v>
      </c>
      <c r="HK189" s="366">
        <v>339.08</v>
      </c>
      <c r="HL189" s="366">
        <v>134.26</v>
      </c>
      <c r="HM189" s="366">
        <v>285.01</v>
      </c>
      <c r="HN189" s="366">
        <v>287.73</v>
      </c>
      <c r="HO189" s="366">
        <v>693.45</v>
      </c>
      <c r="HP189" s="366">
        <v>26.51</v>
      </c>
      <c r="HQ189" s="366">
        <v>724.15</v>
      </c>
      <c r="HR189" s="366">
        <v>545.46</v>
      </c>
      <c r="HS189" s="366">
        <v>283.98</v>
      </c>
      <c r="HT189" s="366">
        <v>166.3</v>
      </c>
      <c r="HU189" s="366">
        <v>133.55000000000001</v>
      </c>
      <c r="HV189" s="366">
        <v>151.87</v>
      </c>
    </row>
    <row r="190" spans="1:230">
      <c r="A190" s="366" t="s">
        <v>208</v>
      </c>
      <c r="B190" s="366">
        <v>903.03</v>
      </c>
      <c r="C190" s="366">
        <v>448.49</v>
      </c>
      <c r="D190" s="366">
        <v>349.26</v>
      </c>
      <c r="E190" s="366">
        <v>349.26</v>
      </c>
      <c r="F190" s="366">
        <v>966.93</v>
      </c>
      <c r="G190" s="366">
        <v>774.5</v>
      </c>
      <c r="H190" s="366">
        <v>392.88</v>
      </c>
      <c r="I190" s="366">
        <v>393.55</v>
      </c>
      <c r="J190" s="366">
        <v>416.66</v>
      </c>
      <c r="K190" s="366">
        <v>416.66</v>
      </c>
      <c r="L190" s="366">
        <v>339.87</v>
      </c>
      <c r="M190" s="366">
        <v>473.91</v>
      </c>
      <c r="N190" s="366">
        <v>524.22</v>
      </c>
      <c r="O190" s="366">
        <v>236.84</v>
      </c>
      <c r="P190" s="366">
        <v>236.84</v>
      </c>
      <c r="Q190" s="366">
        <v>236.84</v>
      </c>
      <c r="R190" s="366">
        <v>236.84</v>
      </c>
      <c r="S190" s="366">
        <v>236.84</v>
      </c>
      <c r="T190" s="366">
        <v>468.05</v>
      </c>
      <c r="U190" s="366">
        <v>882.54</v>
      </c>
      <c r="V190" s="366">
        <v>52.51</v>
      </c>
      <c r="W190" s="366">
        <v>611.41</v>
      </c>
      <c r="X190" s="366">
        <v>611.41</v>
      </c>
      <c r="Y190" s="366">
        <v>611.41</v>
      </c>
      <c r="Z190" s="366">
        <v>339.38</v>
      </c>
      <c r="AA190" s="366">
        <v>768.67</v>
      </c>
      <c r="AB190" s="366">
        <v>527.79</v>
      </c>
      <c r="AC190" s="366">
        <v>530.25</v>
      </c>
      <c r="AD190" s="366">
        <v>530.25</v>
      </c>
      <c r="AE190" s="366">
        <v>298.36</v>
      </c>
      <c r="AF190" s="366">
        <v>788.24</v>
      </c>
      <c r="AG190" s="366">
        <v>612.92999999999995</v>
      </c>
      <c r="AH190" s="366">
        <v>347.5</v>
      </c>
      <c r="AI190" s="366">
        <v>347.5</v>
      </c>
      <c r="AJ190" s="366">
        <v>347.5</v>
      </c>
      <c r="AK190" s="366">
        <v>361.58</v>
      </c>
      <c r="AL190" s="366">
        <v>361.58</v>
      </c>
      <c r="AM190" s="366">
        <v>530.51</v>
      </c>
      <c r="AN190" s="366">
        <v>277.67</v>
      </c>
      <c r="AO190" s="366">
        <v>781.62</v>
      </c>
      <c r="AP190" s="366">
        <v>456.77</v>
      </c>
      <c r="AQ190" s="366">
        <v>923.47</v>
      </c>
      <c r="AR190" s="366">
        <v>479.43</v>
      </c>
      <c r="AS190" s="366">
        <v>264.42</v>
      </c>
      <c r="AT190" s="366">
        <v>264.42</v>
      </c>
      <c r="AU190" s="366">
        <v>137.65</v>
      </c>
      <c r="AV190" s="366">
        <v>913.59</v>
      </c>
      <c r="AW190" s="366">
        <v>460.98</v>
      </c>
      <c r="AX190" s="366">
        <v>414.15</v>
      </c>
      <c r="AY190" s="366">
        <v>559.92999999999995</v>
      </c>
      <c r="AZ190" s="366">
        <v>417.11</v>
      </c>
      <c r="BA190" s="366">
        <v>743.85</v>
      </c>
      <c r="BB190" s="366">
        <v>562.82000000000005</v>
      </c>
      <c r="BC190" s="366">
        <v>685.91</v>
      </c>
      <c r="BD190" s="366">
        <v>595.67999999999995</v>
      </c>
      <c r="BE190" s="366">
        <v>48.45</v>
      </c>
      <c r="BF190" s="366">
        <v>524.76</v>
      </c>
      <c r="BG190" s="366">
        <v>346.93</v>
      </c>
      <c r="BH190" s="366">
        <v>236.84</v>
      </c>
      <c r="BI190" s="366">
        <v>479.46</v>
      </c>
      <c r="BJ190" s="366">
        <v>285.05</v>
      </c>
      <c r="BK190" s="366">
        <v>484.89</v>
      </c>
      <c r="BL190" s="366">
        <v>342.26</v>
      </c>
      <c r="BM190" s="366">
        <v>365.47</v>
      </c>
      <c r="BN190" s="366">
        <v>808.86</v>
      </c>
      <c r="BO190" s="366">
        <v>527.09</v>
      </c>
      <c r="BP190" s="366">
        <v>492.95</v>
      </c>
      <c r="BQ190" s="366">
        <v>372.85</v>
      </c>
      <c r="BR190" s="366">
        <v>372.85</v>
      </c>
      <c r="BS190" s="366">
        <v>424.68</v>
      </c>
      <c r="BT190" s="366">
        <v>463.89</v>
      </c>
      <c r="BU190" s="366">
        <v>508.29</v>
      </c>
      <c r="BV190" s="366">
        <v>527.91</v>
      </c>
      <c r="BW190" s="366">
        <v>105.72</v>
      </c>
      <c r="BX190" s="366">
        <v>365.77</v>
      </c>
      <c r="BY190" s="366">
        <v>25.03</v>
      </c>
      <c r="BZ190" s="366">
        <v>25.03</v>
      </c>
      <c r="CA190" s="366">
        <v>492.92</v>
      </c>
      <c r="CB190" s="366">
        <v>384.2</v>
      </c>
      <c r="CC190" s="366">
        <v>385.32</v>
      </c>
      <c r="CD190" s="366">
        <v>387.72</v>
      </c>
      <c r="CE190" s="366">
        <v>468.12</v>
      </c>
      <c r="CF190" s="366">
        <v>786.97</v>
      </c>
      <c r="CG190" s="366">
        <v>786.97</v>
      </c>
      <c r="CH190" s="366">
        <v>387.85</v>
      </c>
      <c r="CI190" s="366">
        <v>290.76</v>
      </c>
      <c r="CJ190" s="366">
        <v>797.92</v>
      </c>
      <c r="CK190" s="366">
        <v>59.16</v>
      </c>
      <c r="CL190" s="366">
        <v>151.44</v>
      </c>
      <c r="CM190" s="366">
        <v>632.19000000000005</v>
      </c>
      <c r="CN190" s="366">
        <v>234.42</v>
      </c>
      <c r="CO190" s="366">
        <v>478.04</v>
      </c>
      <c r="CP190" s="366">
        <v>366.16</v>
      </c>
      <c r="CQ190" s="366">
        <v>366.16</v>
      </c>
      <c r="CR190" s="366">
        <v>430.44</v>
      </c>
      <c r="CS190" s="366">
        <v>430.44</v>
      </c>
      <c r="CT190" s="366">
        <v>439.88</v>
      </c>
      <c r="CU190" s="366">
        <v>432.01</v>
      </c>
      <c r="CV190" s="366">
        <v>434.61</v>
      </c>
      <c r="CW190" s="366">
        <v>52.51</v>
      </c>
      <c r="CX190" s="366">
        <v>404.39</v>
      </c>
      <c r="CY190" s="366">
        <v>678.61</v>
      </c>
      <c r="CZ190" s="366">
        <v>699.85</v>
      </c>
      <c r="DA190" s="366">
        <v>462.27</v>
      </c>
      <c r="DB190" s="366">
        <v>281.02999999999997</v>
      </c>
      <c r="DC190" s="366">
        <v>281.02999999999997</v>
      </c>
      <c r="DD190" s="366">
        <v>598.57000000000005</v>
      </c>
      <c r="DE190" s="366">
        <v>539.9</v>
      </c>
      <c r="DF190" s="366">
        <v>951.39</v>
      </c>
      <c r="DG190" s="366">
        <v>320.41000000000003</v>
      </c>
      <c r="DH190" s="366">
        <v>602.46</v>
      </c>
      <c r="DI190" s="366">
        <v>652.79</v>
      </c>
      <c r="DJ190" s="366">
        <v>716.05</v>
      </c>
      <c r="DK190" s="366">
        <v>328.19</v>
      </c>
      <c r="DL190" s="366">
        <v>514.29</v>
      </c>
      <c r="DM190" s="366">
        <v>436.07</v>
      </c>
      <c r="DN190" s="366">
        <v>667.55</v>
      </c>
      <c r="DO190" s="366">
        <v>354.76</v>
      </c>
      <c r="DP190" s="366">
        <v>560.26</v>
      </c>
      <c r="DQ190" s="366">
        <v>87.94</v>
      </c>
      <c r="DR190" s="366">
        <v>602.46</v>
      </c>
      <c r="DS190" s="366">
        <v>455.91</v>
      </c>
      <c r="DT190" s="366">
        <v>444.2</v>
      </c>
      <c r="DU190" s="366">
        <v>431.93</v>
      </c>
      <c r="DV190" s="366">
        <v>365.22</v>
      </c>
      <c r="DW190" s="366">
        <v>280.83999999999997</v>
      </c>
      <c r="DX190" s="366">
        <v>92.04</v>
      </c>
      <c r="DY190" s="366">
        <v>60.45</v>
      </c>
      <c r="DZ190" s="366">
        <v>608.24</v>
      </c>
      <c r="EA190" s="366">
        <v>461.71</v>
      </c>
      <c r="EB190" s="366">
        <v>54.45</v>
      </c>
      <c r="EC190" s="366">
        <v>374.7</v>
      </c>
      <c r="ED190" s="366">
        <v>682.56</v>
      </c>
      <c r="EE190" s="366">
        <v>693.35</v>
      </c>
      <c r="EF190" s="366">
        <v>450.49</v>
      </c>
      <c r="EG190" s="366">
        <v>460.98</v>
      </c>
      <c r="EH190" s="366">
        <v>460.98</v>
      </c>
      <c r="EI190" s="366">
        <v>371.37</v>
      </c>
      <c r="EJ190" s="366">
        <v>637.11</v>
      </c>
      <c r="EK190" s="366">
        <v>249.8</v>
      </c>
      <c r="EL190" s="366">
        <v>249.8</v>
      </c>
      <c r="EM190" s="366">
        <v>184.68</v>
      </c>
      <c r="EN190" s="366">
        <v>184.68</v>
      </c>
      <c r="EO190" s="366">
        <v>530.51</v>
      </c>
      <c r="EP190" s="366">
        <v>453.37</v>
      </c>
      <c r="EQ190" s="366">
        <v>449.37</v>
      </c>
      <c r="ER190" s="366">
        <v>852.58</v>
      </c>
      <c r="ES190" s="366">
        <v>448.39</v>
      </c>
      <c r="ET190" s="366">
        <v>390.82</v>
      </c>
      <c r="EU190" s="366">
        <v>903.03</v>
      </c>
      <c r="EV190" s="366">
        <v>611.41</v>
      </c>
      <c r="EW190" s="366">
        <v>372.29</v>
      </c>
      <c r="EX190" s="366">
        <v>425.13</v>
      </c>
      <c r="EY190" s="366">
        <v>425.13</v>
      </c>
      <c r="EZ190" s="366">
        <v>205.2</v>
      </c>
      <c r="FA190" s="366">
        <v>150.56</v>
      </c>
      <c r="FB190" s="366">
        <v>312.49</v>
      </c>
      <c r="FC190" s="366">
        <v>112.18</v>
      </c>
      <c r="FD190" s="366">
        <v>277.93</v>
      </c>
      <c r="FE190" s="366">
        <v>375.2</v>
      </c>
      <c r="FF190" s="366">
        <v>350.38</v>
      </c>
      <c r="FG190" s="366">
        <v>734.89</v>
      </c>
      <c r="FH190" s="366">
        <v>734.89</v>
      </c>
      <c r="FI190" s="366">
        <v>592.28</v>
      </c>
      <c r="FJ190" s="366">
        <v>598.07000000000005</v>
      </c>
      <c r="FK190" s="366">
        <v>476.13</v>
      </c>
      <c r="FL190" s="366">
        <v>474.32</v>
      </c>
      <c r="FM190" s="366">
        <v>530.51</v>
      </c>
      <c r="FN190" s="366">
        <v>642.16</v>
      </c>
      <c r="FO190" s="366">
        <v>470.08</v>
      </c>
      <c r="FP190" s="366">
        <v>39.549999999999997</v>
      </c>
      <c r="FQ190" s="366">
        <v>473.95</v>
      </c>
      <c r="FR190" s="366">
        <v>357.21</v>
      </c>
      <c r="FS190" s="366">
        <v>280.45</v>
      </c>
      <c r="FT190" s="366">
        <v>731.21</v>
      </c>
      <c r="FU190" s="366">
        <v>278.37</v>
      </c>
      <c r="FV190" s="366">
        <v>966.93</v>
      </c>
      <c r="FW190" s="366">
        <v>966.93</v>
      </c>
      <c r="FX190" s="366">
        <v>966.93</v>
      </c>
      <c r="FY190" s="366">
        <v>175.6</v>
      </c>
      <c r="FZ190" s="366">
        <v>365.11</v>
      </c>
      <c r="GA190" s="366">
        <v>48.45</v>
      </c>
      <c r="GB190" s="366">
        <v>318.92</v>
      </c>
      <c r="GC190" s="366">
        <v>682.56</v>
      </c>
      <c r="GD190" s="366">
        <v>347.87</v>
      </c>
      <c r="GE190" s="366">
        <v>439.98</v>
      </c>
      <c r="GF190" s="366">
        <v>264.83999999999997</v>
      </c>
      <c r="GG190" s="366">
        <v>264.83999999999997</v>
      </c>
      <c r="GH190" s="366">
        <v>0</v>
      </c>
      <c r="GI190" s="366">
        <v>530.66999999999996</v>
      </c>
      <c r="GJ190" s="366">
        <v>530.51</v>
      </c>
      <c r="GK190" s="366">
        <v>472.68</v>
      </c>
      <c r="GL190" s="366">
        <v>357.7</v>
      </c>
      <c r="GM190" s="366">
        <v>357.7</v>
      </c>
      <c r="GN190" s="366">
        <v>357.7</v>
      </c>
      <c r="GO190" s="366">
        <v>495.95</v>
      </c>
      <c r="GP190" s="366">
        <v>43.04</v>
      </c>
      <c r="GQ190" s="366">
        <v>518.39</v>
      </c>
      <c r="GR190" s="366">
        <v>558.74</v>
      </c>
      <c r="GS190" s="366">
        <v>425.28</v>
      </c>
      <c r="GT190" s="366">
        <v>460.98</v>
      </c>
      <c r="GU190" s="366">
        <v>283.07</v>
      </c>
      <c r="GV190" s="366">
        <v>644.29999999999995</v>
      </c>
      <c r="GW190" s="366">
        <v>333.68</v>
      </c>
      <c r="GX190" s="366">
        <v>457.55</v>
      </c>
      <c r="GY190" s="366">
        <v>348.47</v>
      </c>
      <c r="GZ190" s="366">
        <v>277.64999999999998</v>
      </c>
      <c r="HA190" s="366">
        <v>475.49</v>
      </c>
      <c r="HB190" s="366">
        <v>475.49</v>
      </c>
      <c r="HC190" s="366">
        <v>475.49</v>
      </c>
      <c r="HD190" s="366">
        <v>644.53</v>
      </c>
      <c r="HE190" s="366">
        <v>178.53</v>
      </c>
      <c r="HF190" s="366">
        <v>215.67</v>
      </c>
      <c r="HG190" s="366">
        <v>310.02999999999997</v>
      </c>
      <c r="HH190" s="366">
        <v>310.02999999999997</v>
      </c>
      <c r="HI190" s="366">
        <v>310.02999999999997</v>
      </c>
      <c r="HJ190" s="366">
        <v>285.70999999999998</v>
      </c>
      <c r="HK190" s="366">
        <v>533.47</v>
      </c>
      <c r="HL190" s="366">
        <v>203.46</v>
      </c>
      <c r="HM190" s="366">
        <v>527.79</v>
      </c>
      <c r="HN190" s="366">
        <v>530.51</v>
      </c>
      <c r="HO190" s="366">
        <v>936.23</v>
      </c>
      <c r="HP190" s="366">
        <v>278.37</v>
      </c>
      <c r="HQ190" s="366">
        <v>966.93</v>
      </c>
      <c r="HR190" s="366">
        <v>788.24</v>
      </c>
      <c r="HS190" s="366">
        <v>526.76</v>
      </c>
      <c r="HT190" s="366">
        <v>409.08</v>
      </c>
      <c r="HU190" s="366">
        <v>376.33</v>
      </c>
      <c r="HV190" s="366">
        <v>394.65</v>
      </c>
    </row>
    <row r="191" spans="1:230">
      <c r="A191" s="366" t="s">
        <v>209</v>
      </c>
      <c r="B191" s="366">
        <v>407.19</v>
      </c>
      <c r="C191" s="366">
        <v>513.34</v>
      </c>
      <c r="D191" s="366">
        <v>407.96</v>
      </c>
      <c r="E191" s="366">
        <v>407.96</v>
      </c>
      <c r="F191" s="366">
        <v>471.09</v>
      </c>
      <c r="G191" s="366">
        <v>278.66000000000003</v>
      </c>
      <c r="H191" s="366">
        <v>364.34</v>
      </c>
      <c r="I191" s="366">
        <v>137.12</v>
      </c>
      <c r="J191" s="366">
        <v>340.56</v>
      </c>
      <c r="K191" s="366">
        <v>340.56</v>
      </c>
      <c r="L191" s="366">
        <v>404.72</v>
      </c>
      <c r="M191" s="366">
        <v>538.76</v>
      </c>
      <c r="N191" s="366">
        <v>635.66</v>
      </c>
      <c r="O191" s="366">
        <v>388.77</v>
      </c>
      <c r="P191" s="366">
        <v>388.77</v>
      </c>
      <c r="Q191" s="366">
        <v>388.77</v>
      </c>
      <c r="R191" s="366">
        <v>388.77</v>
      </c>
      <c r="S191" s="366">
        <v>388.77</v>
      </c>
      <c r="T191" s="366">
        <v>62.62</v>
      </c>
      <c r="U191" s="366">
        <v>386.7</v>
      </c>
      <c r="V191" s="366">
        <v>478.16</v>
      </c>
      <c r="W191" s="366">
        <v>259.27</v>
      </c>
      <c r="X191" s="366">
        <v>259.27</v>
      </c>
      <c r="Y191" s="366">
        <v>259.27</v>
      </c>
      <c r="Z191" s="366">
        <v>515.9</v>
      </c>
      <c r="AA191" s="366">
        <v>272.83</v>
      </c>
      <c r="AB191" s="366">
        <v>8.94</v>
      </c>
      <c r="AC191" s="366">
        <v>34.409999999999997</v>
      </c>
      <c r="AD191" s="366">
        <v>34.409999999999997</v>
      </c>
      <c r="AE191" s="366">
        <v>363.21</v>
      </c>
      <c r="AF191" s="366">
        <v>292.39999999999998</v>
      </c>
      <c r="AG191" s="366">
        <v>260.79000000000002</v>
      </c>
      <c r="AH191" s="366">
        <v>183.17</v>
      </c>
      <c r="AI191" s="366">
        <v>183.17</v>
      </c>
      <c r="AJ191" s="366">
        <v>183.17</v>
      </c>
      <c r="AK191" s="366">
        <v>538.1</v>
      </c>
      <c r="AL191" s="366">
        <v>538.1</v>
      </c>
      <c r="AM191" s="366">
        <v>0.16</v>
      </c>
      <c r="AN191" s="366">
        <v>347.94</v>
      </c>
      <c r="AO191" s="366">
        <v>285.77999999999997</v>
      </c>
      <c r="AP191" s="366">
        <v>92.07</v>
      </c>
      <c r="AQ191" s="366">
        <v>427.63</v>
      </c>
      <c r="AR191" s="366">
        <v>380.3</v>
      </c>
      <c r="AS191" s="366">
        <v>329.27</v>
      </c>
      <c r="AT191" s="366">
        <v>329.27</v>
      </c>
      <c r="AU191" s="366">
        <v>393.02</v>
      </c>
      <c r="AV191" s="366">
        <v>417.75</v>
      </c>
      <c r="AW191" s="366">
        <v>303.10000000000002</v>
      </c>
      <c r="AX191" s="366">
        <v>124.78</v>
      </c>
      <c r="AY191" s="366">
        <v>671.37</v>
      </c>
      <c r="AZ191" s="366">
        <v>481.96</v>
      </c>
      <c r="BA191" s="366">
        <v>248.01</v>
      </c>
      <c r="BB191" s="366">
        <v>674.26</v>
      </c>
      <c r="BC191" s="366">
        <v>190.07</v>
      </c>
      <c r="BD191" s="366">
        <v>99.84</v>
      </c>
      <c r="BE191" s="366">
        <v>482.22</v>
      </c>
      <c r="BF191" s="366">
        <v>5.91</v>
      </c>
      <c r="BG191" s="366">
        <v>523.45000000000005</v>
      </c>
      <c r="BH191" s="366">
        <v>388.77</v>
      </c>
      <c r="BI191" s="366">
        <v>380.33</v>
      </c>
      <c r="BJ191" s="366">
        <v>461.57</v>
      </c>
      <c r="BK191" s="366">
        <v>549.74</v>
      </c>
      <c r="BL191" s="366">
        <v>407.11</v>
      </c>
      <c r="BM191" s="366">
        <v>391.75</v>
      </c>
      <c r="BN191" s="366">
        <v>313.02</v>
      </c>
      <c r="BO191" s="366">
        <v>591.94000000000005</v>
      </c>
      <c r="BP191" s="366">
        <v>557.79999999999995</v>
      </c>
      <c r="BQ191" s="366">
        <v>157.82</v>
      </c>
      <c r="BR191" s="366">
        <v>157.82</v>
      </c>
      <c r="BS191" s="366">
        <v>489.53</v>
      </c>
      <c r="BT191" s="366">
        <v>372.25</v>
      </c>
      <c r="BU191" s="366">
        <v>22.38</v>
      </c>
      <c r="BV191" s="366">
        <v>9.06</v>
      </c>
      <c r="BW191" s="366">
        <v>452.31</v>
      </c>
      <c r="BX191" s="366">
        <v>430.62</v>
      </c>
      <c r="BY191" s="366">
        <v>505.64</v>
      </c>
      <c r="BZ191" s="366">
        <v>505.64</v>
      </c>
      <c r="CA191" s="366">
        <v>264.3</v>
      </c>
      <c r="CB191" s="366">
        <v>449.05</v>
      </c>
      <c r="CC191" s="366">
        <v>153.61000000000001</v>
      </c>
      <c r="CD191" s="366">
        <v>167.09</v>
      </c>
      <c r="CE191" s="366">
        <v>532.97</v>
      </c>
      <c r="CF191" s="366">
        <v>291.13</v>
      </c>
      <c r="CG191" s="366">
        <v>291.13</v>
      </c>
      <c r="CH191" s="366">
        <v>142.82</v>
      </c>
      <c r="CI191" s="366">
        <v>261.97000000000003</v>
      </c>
      <c r="CJ191" s="366">
        <v>302.08</v>
      </c>
      <c r="CK191" s="366">
        <v>510.73</v>
      </c>
      <c r="CL191" s="366">
        <v>406.81</v>
      </c>
      <c r="CM191" s="366">
        <v>136.35</v>
      </c>
      <c r="CN191" s="366">
        <v>410.94</v>
      </c>
      <c r="CO191" s="366">
        <v>378.91</v>
      </c>
      <c r="CP191" s="366">
        <v>164.51</v>
      </c>
      <c r="CQ191" s="366">
        <v>164.51</v>
      </c>
      <c r="CR191" s="366">
        <v>330.23</v>
      </c>
      <c r="CS191" s="366">
        <v>330.23</v>
      </c>
      <c r="CT191" s="366">
        <v>320.79000000000002</v>
      </c>
      <c r="CU191" s="366">
        <v>328.66</v>
      </c>
      <c r="CV191" s="366">
        <v>322.61</v>
      </c>
      <c r="CW191" s="366">
        <v>478.16</v>
      </c>
      <c r="CX191" s="366">
        <v>141.32</v>
      </c>
      <c r="CY191" s="366">
        <v>182.77</v>
      </c>
      <c r="CZ191" s="366">
        <v>204.01</v>
      </c>
      <c r="DA191" s="366">
        <v>573.71</v>
      </c>
      <c r="DB191" s="366">
        <v>457.55</v>
      </c>
      <c r="DC191" s="366">
        <v>457.55</v>
      </c>
      <c r="DD191" s="366">
        <v>206.27</v>
      </c>
      <c r="DE191" s="366">
        <v>651.34</v>
      </c>
      <c r="DF191" s="366">
        <v>455.55</v>
      </c>
      <c r="DG191" s="366">
        <v>232.32</v>
      </c>
      <c r="DH191" s="366">
        <v>713.9</v>
      </c>
      <c r="DI191" s="366">
        <v>156.94999999999999</v>
      </c>
      <c r="DJ191" s="366">
        <v>220.21</v>
      </c>
      <c r="DK191" s="366">
        <v>393.04</v>
      </c>
      <c r="DL191" s="366">
        <v>28.38</v>
      </c>
      <c r="DM191" s="366">
        <v>500.92</v>
      </c>
      <c r="DN191" s="366">
        <v>171.71</v>
      </c>
      <c r="DO191" s="366">
        <v>419.61</v>
      </c>
      <c r="DP191" s="366">
        <v>208.12</v>
      </c>
      <c r="DQ191" s="366">
        <v>463.65</v>
      </c>
      <c r="DR191" s="366">
        <v>713.9</v>
      </c>
      <c r="DS191" s="366">
        <v>379.81</v>
      </c>
      <c r="DT191" s="366">
        <v>368.1</v>
      </c>
      <c r="DU191" s="366">
        <v>604.04999999999995</v>
      </c>
      <c r="DV191" s="366">
        <v>541.74</v>
      </c>
      <c r="DW191" s="366">
        <v>345.69</v>
      </c>
      <c r="DX191" s="366">
        <v>438.63</v>
      </c>
      <c r="DY191" s="366">
        <v>512.02</v>
      </c>
      <c r="DZ191" s="366">
        <v>195.29</v>
      </c>
      <c r="EA191" s="366">
        <v>362.58</v>
      </c>
      <c r="EB191" s="366">
        <v>506.02</v>
      </c>
      <c r="EC191" s="366">
        <v>382.52</v>
      </c>
      <c r="ED191" s="366">
        <v>186.72</v>
      </c>
      <c r="EE191" s="366">
        <v>197.51</v>
      </c>
      <c r="EF191" s="366">
        <v>98.35</v>
      </c>
      <c r="EG191" s="366">
        <v>303.10000000000002</v>
      </c>
      <c r="EH191" s="366">
        <v>303.10000000000002</v>
      </c>
      <c r="EI191" s="366">
        <v>167.56</v>
      </c>
      <c r="EJ191" s="366">
        <v>701.96</v>
      </c>
      <c r="EK191" s="366">
        <v>314.64999999999998</v>
      </c>
      <c r="EL191" s="366">
        <v>314.64999999999998</v>
      </c>
      <c r="EM191" s="366">
        <v>408.76</v>
      </c>
      <c r="EN191" s="366">
        <v>408.76</v>
      </c>
      <c r="EO191" s="366">
        <v>0.16</v>
      </c>
      <c r="EP191" s="366">
        <v>85.56</v>
      </c>
      <c r="EQ191" s="366">
        <v>311.3</v>
      </c>
      <c r="ER191" s="366">
        <v>356.74</v>
      </c>
      <c r="ES191" s="366">
        <v>513.24</v>
      </c>
      <c r="ET191" s="366">
        <v>139.85</v>
      </c>
      <c r="EU191" s="366">
        <v>407.19</v>
      </c>
      <c r="EV191" s="366">
        <v>259.27</v>
      </c>
      <c r="EW191" s="366">
        <v>166.94</v>
      </c>
      <c r="EX191" s="366">
        <v>489.98</v>
      </c>
      <c r="EY191" s="366">
        <v>489.98</v>
      </c>
      <c r="EZ191" s="366">
        <v>453.3</v>
      </c>
      <c r="FA191" s="366">
        <v>405.93</v>
      </c>
      <c r="FB191" s="366">
        <v>377.34</v>
      </c>
      <c r="FC191" s="366">
        <v>458.77</v>
      </c>
      <c r="FD191" s="366">
        <v>313.95999999999998</v>
      </c>
      <c r="FE191" s="366">
        <v>171.39</v>
      </c>
      <c r="FF191" s="366">
        <v>249.51</v>
      </c>
      <c r="FG191" s="366">
        <v>239.05</v>
      </c>
      <c r="FH191" s="366">
        <v>239.05</v>
      </c>
      <c r="FI191" s="366">
        <v>240.14</v>
      </c>
      <c r="FJ191" s="366">
        <v>245.93</v>
      </c>
      <c r="FK191" s="366">
        <v>540.98</v>
      </c>
      <c r="FL191" s="366">
        <v>539.16999999999996</v>
      </c>
      <c r="FM191" s="366">
        <v>0.16</v>
      </c>
      <c r="FN191" s="366">
        <v>290.02</v>
      </c>
      <c r="FO191" s="366">
        <v>370.95</v>
      </c>
      <c r="FP191" s="366">
        <v>491.12</v>
      </c>
      <c r="FQ191" s="366">
        <v>374.82</v>
      </c>
      <c r="FR191" s="366">
        <v>422.06</v>
      </c>
      <c r="FS191" s="366">
        <v>250.22</v>
      </c>
      <c r="FT191" s="366">
        <v>235.37</v>
      </c>
      <c r="FU191" s="366">
        <v>274.36</v>
      </c>
      <c r="FV191" s="366">
        <v>471.09</v>
      </c>
      <c r="FW191" s="366">
        <v>471.09</v>
      </c>
      <c r="FX191" s="366">
        <v>471.09</v>
      </c>
      <c r="FY191" s="366">
        <v>355.07</v>
      </c>
      <c r="FZ191" s="366">
        <v>194.26</v>
      </c>
      <c r="GA191" s="366">
        <v>482.22</v>
      </c>
      <c r="GB191" s="366">
        <v>288.69</v>
      </c>
      <c r="GC191" s="366">
        <v>186.72</v>
      </c>
      <c r="GD191" s="366">
        <v>412.72</v>
      </c>
      <c r="GE191" s="366">
        <v>320.69</v>
      </c>
      <c r="GF191" s="366">
        <v>287.89</v>
      </c>
      <c r="GG191" s="366">
        <v>287.89</v>
      </c>
      <c r="GH191" s="366">
        <v>530.66999999999996</v>
      </c>
      <c r="GI191" s="366">
        <v>0</v>
      </c>
      <c r="GJ191" s="366">
        <v>0.16</v>
      </c>
      <c r="GK191" s="366">
        <v>537.53</v>
      </c>
      <c r="GL191" s="366">
        <v>181.23</v>
      </c>
      <c r="GM191" s="366">
        <v>181.23</v>
      </c>
      <c r="GN191" s="366">
        <v>181.23</v>
      </c>
      <c r="GO191" s="366">
        <v>52.89</v>
      </c>
      <c r="GP191" s="366">
        <v>487.63</v>
      </c>
      <c r="GQ191" s="366">
        <v>583.24</v>
      </c>
      <c r="GR191" s="366">
        <v>62.9</v>
      </c>
      <c r="GS191" s="366">
        <v>105.39</v>
      </c>
      <c r="GT191" s="366">
        <v>303.10000000000002</v>
      </c>
      <c r="GU191" s="366">
        <v>347.92</v>
      </c>
      <c r="GV191" s="366">
        <v>709.15</v>
      </c>
      <c r="GW191" s="366">
        <v>205.69</v>
      </c>
      <c r="GX191" s="366">
        <v>299.67</v>
      </c>
      <c r="GY191" s="366">
        <v>182.2</v>
      </c>
      <c r="GZ191" s="366">
        <v>313.68</v>
      </c>
      <c r="HA191" s="366">
        <v>376.36</v>
      </c>
      <c r="HB191" s="366">
        <v>376.36</v>
      </c>
      <c r="HC191" s="366">
        <v>376.36</v>
      </c>
      <c r="HD191" s="366">
        <v>159</v>
      </c>
      <c r="HE191" s="366">
        <v>402.61</v>
      </c>
      <c r="HF191" s="366">
        <v>358.9</v>
      </c>
      <c r="HG191" s="366">
        <v>486.55</v>
      </c>
      <c r="HH191" s="366">
        <v>486.55</v>
      </c>
      <c r="HI191" s="366">
        <v>486.55</v>
      </c>
      <c r="HJ191" s="366">
        <v>267.02</v>
      </c>
      <c r="HK191" s="366">
        <v>229.72</v>
      </c>
      <c r="HL191" s="366">
        <v>422.15</v>
      </c>
      <c r="HM191" s="366">
        <v>8.94</v>
      </c>
      <c r="HN191" s="366">
        <v>0.16</v>
      </c>
      <c r="HO191" s="366">
        <v>440.39</v>
      </c>
      <c r="HP191" s="366">
        <v>314.39999999999998</v>
      </c>
      <c r="HQ191" s="366">
        <v>471.09</v>
      </c>
      <c r="HR191" s="366">
        <v>292.39999999999998</v>
      </c>
      <c r="HS191" s="366">
        <v>3.91</v>
      </c>
      <c r="HT191" s="366">
        <v>144.94999999999999</v>
      </c>
      <c r="HU191" s="366">
        <v>161.30000000000001</v>
      </c>
      <c r="HV191" s="366">
        <v>185.77</v>
      </c>
    </row>
    <row r="192" spans="1:230">
      <c r="A192" s="366" t="s">
        <v>210</v>
      </c>
      <c r="B192" s="366">
        <v>407.03</v>
      </c>
      <c r="C192" s="366">
        <v>513.17999999999995</v>
      </c>
      <c r="D192" s="366">
        <v>407.8</v>
      </c>
      <c r="E192" s="366">
        <v>407.8</v>
      </c>
      <c r="F192" s="366">
        <v>470.93</v>
      </c>
      <c r="G192" s="366">
        <v>278.5</v>
      </c>
      <c r="H192" s="366">
        <v>364.18</v>
      </c>
      <c r="I192" s="366">
        <v>136.96</v>
      </c>
      <c r="J192" s="366">
        <v>340.4</v>
      </c>
      <c r="K192" s="366">
        <v>340.4</v>
      </c>
      <c r="L192" s="366">
        <v>404.56</v>
      </c>
      <c r="M192" s="366">
        <v>538.6</v>
      </c>
      <c r="N192" s="366">
        <v>635.5</v>
      </c>
      <c r="O192" s="366">
        <v>388.61</v>
      </c>
      <c r="P192" s="366">
        <v>388.61</v>
      </c>
      <c r="Q192" s="366">
        <v>388.61</v>
      </c>
      <c r="R192" s="366">
        <v>388.61</v>
      </c>
      <c r="S192" s="366">
        <v>388.61</v>
      </c>
      <c r="T192" s="366">
        <v>62.46</v>
      </c>
      <c r="U192" s="366">
        <v>386.54</v>
      </c>
      <c r="V192" s="366">
        <v>478</v>
      </c>
      <c r="W192" s="366">
        <v>259.11</v>
      </c>
      <c r="X192" s="366">
        <v>259.11</v>
      </c>
      <c r="Y192" s="366">
        <v>259.11</v>
      </c>
      <c r="Z192" s="366">
        <v>515.74</v>
      </c>
      <c r="AA192" s="366">
        <v>272.67</v>
      </c>
      <c r="AB192" s="366">
        <v>8.7799999999999994</v>
      </c>
      <c r="AC192" s="366">
        <v>34.25</v>
      </c>
      <c r="AD192" s="366">
        <v>34.25</v>
      </c>
      <c r="AE192" s="366">
        <v>363.05</v>
      </c>
      <c r="AF192" s="366">
        <v>292.24</v>
      </c>
      <c r="AG192" s="366">
        <v>260.63</v>
      </c>
      <c r="AH192" s="366">
        <v>183.01</v>
      </c>
      <c r="AI192" s="366">
        <v>183.01</v>
      </c>
      <c r="AJ192" s="366">
        <v>183.01</v>
      </c>
      <c r="AK192" s="366">
        <v>537.94000000000005</v>
      </c>
      <c r="AL192" s="366">
        <v>537.94000000000005</v>
      </c>
      <c r="AM192" s="366">
        <v>0</v>
      </c>
      <c r="AN192" s="366">
        <v>347.78</v>
      </c>
      <c r="AO192" s="366">
        <v>285.62</v>
      </c>
      <c r="AP192" s="366">
        <v>91.91</v>
      </c>
      <c r="AQ192" s="366">
        <v>427.47</v>
      </c>
      <c r="AR192" s="366">
        <v>380.14</v>
      </c>
      <c r="AS192" s="366">
        <v>329.11</v>
      </c>
      <c r="AT192" s="366">
        <v>329.11</v>
      </c>
      <c r="AU192" s="366">
        <v>392.86</v>
      </c>
      <c r="AV192" s="366">
        <v>417.59</v>
      </c>
      <c r="AW192" s="366">
        <v>302.94</v>
      </c>
      <c r="AX192" s="366">
        <v>124.62</v>
      </c>
      <c r="AY192" s="366">
        <v>671.21</v>
      </c>
      <c r="AZ192" s="366">
        <v>481.8</v>
      </c>
      <c r="BA192" s="366">
        <v>247.85</v>
      </c>
      <c r="BB192" s="366">
        <v>674.1</v>
      </c>
      <c r="BC192" s="366">
        <v>189.91</v>
      </c>
      <c r="BD192" s="366">
        <v>99.68</v>
      </c>
      <c r="BE192" s="366">
        <v>482.06</v>
      </c>
      <c r="BF192" s="366">
        <v>5.75</v>
      </c>
      <c r="BG192" s="366">
        <v>523.29</v>
      </c>
      <c r="BH192" s="366">
        <v>388.61</v>
      </c>
      <c r="BI192" s="366">
        <v>380.17</v>
      </c>
      <c r="BJ192" s="366">
        <v>461.41</v>
      </c>
      <c r="BK192" s="366">
        <v>549.58000000000004</v>
      </c>
      <c r="BL192" s="366">
        <v>406.95</v>
      </c>
      <c r="BM192" s="366">
        <v>391.59</v>
      </c>
      <c r="BN192" s="366">
        <v>312.86</v>
      </c>
      <c r="BO192" s="366">
        <v>591.78</v>
      </c>
      <c r="BP192" s="366">
        <v>557.64</v>
      </c>
      <c r="BQ192" s="366">
        <v>157.66</v>
      </c>
      <c r="BR192" s="366">
        <v>157.66</v>
      </c>
      <c r="BS192" s="366">
        <v>489.37</v>
      </c>
      <c r="BT192" s="366">
        <v>372.09</v>
      </c>
      <c r="BU192" s="366">
        <v>22.22</v>
      </c>
      <c r="BV192" s="366">
        <v>8.9</v>
      </c>
      <c r="BW192" s="366">
        <v>452.15</v>
      </c>
      <c r="BX192" s="366">
        <v>430.46</v>
      </c>
      <c r="BY192" s="366">
        <v>505.48</v>
      </c>
      <c r="BZ192" s="366">
        <v>505.48</v>
      </c>
      <c r="CA192" s="366">
        <v>264.14</v>
      </c>
      <c r="CB192" s="366">
        <v>448.89</v>
      </c>
      <c r="CC192" s="366">
        <v>153.44999999999999</v>
      </c>
      <c r="CD192" s="366">
        <v>166.93</v>
      </c>
      <c r="CE192" s="366">
        <v>532.80999999999995</v>
      </c>
      <c r="CF192" s="366">
        <v>290.97000000000003</v>
      </c>
      <c r="CG192" s="366">
        <v>290.97000000000003</v>
      </c>
      <c r="CH192" s="366">
        <v>142.66</v>
      </c>
      <c r="CI192" s="366">
        <v>261.81</v>
      </c>
      <c r="CJ192" s="366">
        <v>301.92</v>
      </c>
      <c r="CK192" s="366">
        <v>510.57</v>
      </c>
      <c r="CL192" s="366">
        <v>406.65</v>
      </c>
      <c r="CM192" s="366">
        <v>136.19</v>
      </c>
      <c r="CN192" s="366">
        <v>410.78</v>
      </c>
      <c r="CO192" s="366">
        <v>378.75</v>
      </c>
      <c r="CP192" s="366">
        <v>164.35</v>
      </c>
      <c r="CQ192" s="366">
        <v>164.35</v>
      </c>
      <c r="CR192" s="366">
        <v>330.07</v>
      </c>
      <c r="CS192" s="366">
        <v>330.07</v>
      </c>
      <c r="CT192" s="366">
        <v>320.63</v>
      </c>
      <c r="CU192" s="366">
        <v>328.5</v>
      </c>
      <c r="CV192" s="366">
        <v>322.45</v>
      </c>
      <c r="CW192" s="366">
        <v>478</v>
      </c>
      <c r="CX192" s="366">
        <v>141.16</v>
      </c>
      <c r="CY192" s="366">
        <v>182.61</v>
      </c>
      <c r="CZ192" s="366">
        <v>203.85</v>
      </c>
      <c r="DA192" s="366">
        <v>573.54999999999995</v>
      </c>
      <c r="DB192" s="366">
        <v>457.39</v>
      </c>
      <c r="DC192" s="366">
        <v>457.39</v>
      </c>
      <c r="DD192" s="366">
        <v>206.11</v>
      </c>
      <c r="DE192" s="366">
        <v>651.17999999999995</v>
      </c>
      <c r="DF192" s="366">
        <v>455.39</v>
      </c>
      <c r="DG192" s="366">
        <v>232.16</v>
      </c>
      <c r="DH192" s="366">
        <v>713.74</v>
      </c>
      <c r="DI192" s="366">
        <v>156.79</v>
      </c>
      <c r="DJ192" s="366">
        <v>220.05</v>
      </c>
      <c r="DK192" s="366">
        <v>392.88</v>
      </c>
      <c r="DL192" s="366">
        <v>28.22</v>
      </c>
      <c r="DM192" s="366">
        <v>500.76</v>
      </c>
      <c r="DN192" s="366">
        <v>171.55</v>
      </c>
      <c r="DO192" s="366">
        <v>419.45</v>
      </c>
      <c r="DP192" s="366">
        <v>207.96</v>
      </c>
      <c r="DQ192" s="366">
        <v>463.49</v>
      </c>
      <c r="DR192" s="366">
        <v>713.74</v>
      </c>
      <c r="DS192" s="366">
        <v>379.65</v>
      </c>
      <c r="DT192" s="366">
        <v>367.94</v>
      </c>
      <c r="DU192" s="366">
        <v>603.89</v>
      </c>
      <c r="DV192" s="366">
        <v>541.58000000000004</v>
      </c>
      <c r="DW192" s="366">
        <v>345.53</v>
      </c>
      <c r="DX192" s="366">
        <v>438.47</v>
      </c>
      <c r="DY192" s="366">
        <v>511.86</v>
      </c>
      <c r="DZ192" s="366">
        <v>195.13</v>
      </c>
      <c r="EA192" s="366">
        <v>362.42</v>
      </c>
      <c r="EB192" s="366">
        <v>505.86</v>
      </c>
      <c r="EC192" s="366">
        <v>382.36</v>
      </c>
      <c r="ED192" s="366">
        <v>186.56</v>
      </c>
      <c r="EE192" s="366">
        <v>197.35</v>
      </c>
      <c r="EF192" s="366">
        <v>98.19</v>
      </c>
      <c r="EG192" s="366">
        <v>302.94</v>
      </c>
      <c r="EH192" s="366">
        <v>302.94</v>
      </c>
      <c r="EI192" s="366">
        <v>167.4</v>
      </c>
      <c r="EJ192" s="366">
        <v>701.8</v>
      </c>
      <c r="EK192" s="366">
        <v>314.49</v>
      </c>
      <c r="EL192" s="366">
        <v>314.49</v>
      </c>
      <c r="EM192" s="366">
        <v>408.6</v>
      </c>
      <c r="EN192" s="366">
        <v>408.6</v>
      </c>
      <c r="EO192" s="366">
        <v>0</v>
      </c>
      <c r="EP192" s="366">
        <v>85.4</v>
      </c>
      <c r="EQ192" s="366">
        <v>311.14</v>
      </c>
      <c r="ER192" s="366">
        <v>356.58</v>
      </c>
      <c r="ES192" s="366">
        <v>513.08000000000004</v>
      </c>
      <c r="ET192" s="366">
        <v>139.69</v>
      </c>
      <c r="EU192" s="366">
        <v>407.03</v>
      </c>
      <c r="EV192" s="366">
        <v>259.11</v>
      </c>
      <c r="EW192" s="366">
        <v>166.78</v>
      </c>
      <c r="EX192" s="366">
        <v>489.82</v>
      </c>
      <c r="EY192" s="366">
        <v>489.82</v>
      </c>
      <c r="EZ192" s="366">
        <v>453.14</v>
      </c>
      <c r="FA192" s="366">
        <v>405.77</v>
      </c>
      <c r="FB192" s="366">
        <v>377.18</v>
      </c>
      <c r="FC192" s="366">
        <v>458.61</v>
      </c>
      <c r="FD192" s="366">
        <v>313.8</v>
      </c>
      <c r="FE192" s="366">
        <v>171.23</v>
      </c>
      <c r="FF192" s="366">
        <v>249.35</v>
      </c>
      <c r="FG192" s="366">
        <v>238.89</v>
      </c>
      <c r="FH192" s="366">
        <v>238.89</v>
      </c>
      <c r="FI192" s="366">
        <v>239.98</v>
      </c>
      <c r="FJ192" s="366">
        <v>245.77</v>
      </c>
      <c r="FK192" s="366">
        <v>540.82000000000005</v>
      </c>
      <c r="FL192" s="366">
        <v>539.01</v>
      </c>
      <c r="FM192" s="366">
        <v>0</v>
      </c>
      <c r="FN192" s="366">
        <v>289.86</v>
      </c>
      <c r="FO192" s="366">
        <v>370.79</v>
      </c>
      <c r="FP192" s="366">
        <v>490.96</v>
      </c>
      <c r="FQ192" s="366">
        <v>374.66</v>
      </c>
      <c r="FR192" s="366">
        <v>421.9</v>
      </c>
      <c r="FS192" s="366">
        <v>250.06</v>
      </c>
      <c r="FT192" s="366">
        <v>235.21</v>
      </c>
      <c r="FU192" s="366">
        <v>274.2</v>
      </c>
      <c r="FV192" s="366">
        <v>470.93</v>
      </c>
      <c r="FW192" s="366">
        <v>470.93</v>
      </c>
      <c r="FX192" s="366">
        <v>470.93</v>
      </c>
      <c r="FY192" s="366">
        <v>354.91</v>
      </c>
      <c r="FZ192" s="366">
        <v>194.1</v>
      </c>
      <c r="GA192" s="366">
        <v>482.06</v>
      </c>
      <c r="GB192" s="366">
        <v>288.52999999999997</v>
      </c>
      <c r="GC192" s="366">
        <v>186.56</v>
      </c>
      <c r="GD192" s="366">
        <v>412.56</v>
      </c>
      <c r="GE192" s="366">
        <v>320.52999999999997</v>
      </c>
      <c r="GF192" s="366">
        <v>287.73</v>
      </c>
      <c r="GG192" s="366">
        <v>287.73</v>
      </c>
      <c r="GH192" s="366">
        <v>530.51</v>
      </c>
      <c r="GI192" s="366">
        <v>0.16</v>
      </c>
      <c r="GJ192" s="366">
        <v>0</v>
      </c>
      <c r="GK192" s="366">
        <v>537.37</v>
      </c>
      <c r="GL192" s="366">
        <v>181.07</v>
      </c>
      <c r="GM192" s="366">
        <v>181.07</v>
      </c>
      <c r="GN192" s="366">
        <v>181.07</v>
      </c>
      <c r="GO192" s="366">
        <v>52.73</v>
      </c>
      <c r="GP192" s="366">
        <v>487.47</v>
      </c>
      <c r="GQ192" s="366">
        <v>583.08000000000004</v>
      </c>
      <c r="GR192" s="366">
        <v>62.74</v>
      </c>
      <c r="GS192" s="366">
        <v>105.23</v>
      </c>
      <c r="GT192" s="366">
        <v>302.94</v>
      </c>
      <c r="GU192" s="366">
        <v>347.76</v>
      </c>
      <c r="GV192" s="366">
        <v>708.99</v>
      </c>
      <c r="GW192" s="366">
        <v>205.53</v>
      </c>
      <c r="GX192" s="366">
        <v>299.51</v>
      </c>
      <c r="GY192" s="366">
        <v>182.04</v>
      </c>
      <c r="GZ192" s="366">
        <v>313.52</v>
      </c>
      <c r="HA192" s="366">
        <v>376.2</v>
      </c>
      <c r="HB192" s="366">
        <v>376.2</v>
      </c>
      <c r="HC192" s="366">
        <v>376.2</v>
      </c>
      <c r="HD192" s="366">
        <v>158.84</v>
      </c>
      <c r="HE192" s="366">
        <v>402.45</v>
      </c>
      <c r="HF192" s="366">
        <v>358.74</v>
      </c>
      <c r="HG192" s="366">
        <v>486.39</v>
      </c>
      <c r="HH192" s="366">
        <v>486.39</v>
      </c>
      <c r="HI192" s="366">
        <v>486.39</v>
      </c>
      <c r="HJ192" s="366">
        <v>266.86</v>
      </c>
      <c r="HK192" s="366">
        <v>229.56</v>
      </c>
      <c r="HL192" s="366">
        <v>421.99</v>
      </c>
      <c r="HM192" s="366">
        <v>8.7799999999999994</v>
      </c>
      <c r="HN192" s="366">
        <v>0</v>
      </c>
      <c r="HO192" s="366">
        <v>440.23</v>
      </c>
      <c r="HP192" s="366">
        <v>314.24</v>
      </c>
      <c r="HQ192" s="366">
        <v>470.93</v>
      </c>
      <c r="HR192" s="366">
        <v>292.24</v>
      </c>
      <c r="HS192" s="366">
        <v>3.75</v>
      </c>
      <c r="HT192" s="366">
        <v>144.79</v>
      </c>
      <c r="HU192" s="366">
        <v>161.13999999999999</v>
      </c>
      <c r="HV192" s="366">
        <v>185.61</v>
      </c>
    </row>
    <row r="193" spans="1:230">
      <c r="A193" s="366" t="s">
        <v>211</v>
      </c>
      <c r="B193" s="366">
        <v>890.68</v>
      </c>
      <c r="C193" s="366">
        <v>24.39</v>
      </c>
      <c r="D193" s="366">
        <v>220.28</v>
      </c>
      <c r="E193" s="366">
        <v>220.28</v>
      </c>
      <c r="F193" s="366">
        <v>954.58</v>
      </c>
      <c r="G193" s="366">
        <v>691.09</v>
      </c>
      <c r="H193" s="366">
        <v>263.89999999999998</v>
      </c>
      <c r="I193" s="366">
        <v>400.41</v>
      </c>
      <c r="J193" s="366">
        <v>287.68</v>
      </c>
      <c r="K193" s="366">
        <v>287.68</v>
      </c>
      <c r="L193" s="366">
        <v>202.37</v>
      </c>
      <c r="M193" s="366">
        <v>1.23</v>
      </c>
      <c r="N193" s="366">
        <v>146.71</v>
      </c>
      <c r="O193" s="366">
        <v>365.24</v>
      </c>
      <c r="P193" s="366">
        <v>365.24</v>
      </c>
      <c r="Q193" s="366">
        <v>365.24</v>
      </c>
      <c r="R193" s="366">
        <v>365.24</v>
      </c>
      <c r="S193" s="366">
        <v>365.24</v>
      </c>
      <c r="T193" s="366">
        <v>474.91</v>
      </c>
      <c r="U193" s="366">
        <v>799.13</v>
      </c>
      <c r="V193" s="366">
        <v>420.17</v>
      </c>
      <c r="W193" s="366">
        <v>501.27</v>
      </c>
      <c r="X193" s="366">
        <v>501.27</v>
      </c>
      <c r="Y193" s="366">
        <v>501.27</v>
      </c>
      <c r="Z193" s="366">
        <v>207.65</v>
      </c>
      <c r="AA193" s="366">
        <v>685.26</v>
      </c>
      <c r="AB193" s="366">
        <v>534.65</v>
      </c>
      <c r="AC193" s="366">
        <v>537.11</v>
      </c>
      <c r="AD193" s="366">
        <v>537.11</v>
      </c>
      <c r="AE193" s="366">
        <v>271.18</v>
      </c>
      <c r="AF193" s="366">
        <v>704.83</v>
      </c>
      <c r="AG193" s="366">
        <v>502.79</v>
      </c>
      <c r="AH193" s="366">
        <v>354.36</v>
      </c>
      <c r="AI193" s="366">
        <v>354.36</v>
      </c>
      <c r="AJ193" s="366">
        <v>354.36</v>
      </c>
      <c r="AK193" s="366">
        <v>190.41</v>
      </c>
      <c r="AL193" s="366">
        <v>190.41</v>
      </c>
      <c r="AM193" s="366">
        <v>537.37</v>
      </c>
      <c r="AN193" s="366">
        <v>324.41000000000003</v>
      </c>
      <c r="AO193" s="366">
        <v>707.7</v>
      </c>
      <c r="AP193" s="366">
        <v>463.63</v>
      </c>
      <c r="AQ193" s="366">
        <v>911.12</v>
      </c>
      <c r="AR193" s="366">
        <v>350.45</v>
      </c>
      <c r="AS193" s="366">
        <v>208.26</v>
      </c>
      <c r="AT193" s="366">
        <v>208.26</v>
      </c>
      <c r="AU193" s="366">
        <v>335.03</v>
      </c>
      <c r="AV193" s="366">
        <v>830.18</v>
      </c>
      <c r="AW193" s="366">
        <v>332</v>
      </c>
      <c r="AX193" s="366">
        <v>421.01</v>
      </c>
      <c r="AY193" s="366">
        <v>182.42</v>
      </c>
      <c r="AZ193" s="366">
        <v>73.37</v>
      </c>
      <c r="BA193" s="366">
        <v>750.71</v>
      </c>
      <c r="BB193" s="366">
        <v>185.31</v>
      </c>
      <c r="BC193" s="366">
        <v>692.77</v>
      </c>
      <c r="BD193" s="366">
        <v>602.54</v>
      </c>
      <c r="BE193" s="366">
        <v>424.23</v>
      </c>
      <c r="BF193" s="366">
        <v>531.62</v>
      </c>
      <c r="BG193" s="366">
        <v>204.17</v>
      </c>
      <c r="BH193" s="366">
        <v>365.24</v>
      </c>
      <c r="BI193" s="366">
        <v>350.48</v>
      </c>
      <c r="BJ193" s="366">
        <v>296.94</v>
      </c>
      <c r="BK193" s="366">
        <v>217.83</v>
      </c>
      <c r="BL193" s="366">
        <v>227.28</v>
      </c>
      <c r="BM193" s="366">
        <v>236.49</v>
      </c>
      <c r="BN193" s="366">
        <v>725.45</v>
      </c>
      <c r="BO193" s="366">
        <v>260.02999999999997</v>
      </c>
      <c r="BP193" s="366">
        <v>225.89</v>
      </c>
      <c r="BQ193" s="366">
        <v>379.71</v>
      </c>
      <c r="BR193" s="366">
        <v>379.71</v>
      </c>
      <c r="BS193" s="366">
        <v>48</v>
      </c>
      <c r="BT193" s="366">
        <v>334.91</v>
      </c>
      <c r="BU193" s="366">
        <v>515.15</v>
      </c>
      <c r="BV193" s="366">
        <v>534.77</v>
      </c>
      <c r="BW193" s="366">
        <v>394.32</v>
      </c>
      <c r="BX193" s="366">
        <v>106.91</v>
      </c>
      <c r="BY193" s="366">
        <v>447.65</v>
      </c>
      <c r="BZ193" s="366">
        <v>447.65</v>
      </c>
      <c r="CA193" s="366">
        <v>363.94</v>
      </c>
      <c r="CB193" s="366">
        <v>117.14</v>
      </c>
      <c r="CC193" s="366">
        <v>392.18</v>
      </c>
      <c r="CD193" s="366">
        <v>394.58</v>
      </c>
      <c r="CE193" s="366">
        <v>201.06</v>
      </c>
      <c r="CF193" s="366">
        <v>703.56</v>
      </c>
      <c r="CG193" s="366">
        <v>703.56</v>
      </c>
      <c r="CH193" s="366">
        <v>394.71</v>
      </c>
      <c r="CI193" s="366">
        <v>308.2</v>
      </c>
      <c r="CJ193" s="366">
        <v>714.51</v>
      </c>
      <c r="CK193" s="366">
        <v>452.74</v>
      </c>
      <c r="CL193" s="366">
        <v>348.82</v>
      </c>
      <c r="CM193" s="366">
        <v>639.04999999999995</v>
      </c>
      <c r="CN193" s="366">
        <v>312.61</v>
      </c>
      <c r="CO193" s="366">
        <v>349.06</v>
      </c>
      <c r="CP193" s="366">
        <v>373.02</v>
      </c>
      <c r="CQ193" s="366">
        <v>373.02</v>
      </c>
      <c r="CR193" s="366">
        <v>301.45999999999998</v>
      </c>
      <c r="CS193" s="366">
        <v>301.45999999999998</v>
      </c>
      <c r="CT193" s="366">
        <v>310.89999999999998</v>
      </c>
      <c r="CU193" s="366">
        <v>303.02999999999997</v>
      </c>
      <c r="CV193" s="366">
        <v>305.63</v>
      </c>
      <c r="CW193" s="366">
        <v>420.17</v>
      </c>
      <c r="CX193" s="366">
        <v>411.25</v>
      </c>
      <c r="CY193" s="366">
        <v>685.47</v>
      </c>
      <c r="CZ193" s="366">
        <v>706.71</v>
      </c>
      <c r="DA193" s="366">
        <v>84.76</v>
      </c>
      <c r="DB193" s="366">
        <v>268.52999999999997</v>
      </c>
      <c r="DC193" s="366">
        <v>268.52999999999997</v>
      </c>
      <c r="DD193" s="366">
        <v>488.43</v>
      </c>
      <c r="DE193" s="366">
        <v>162.38999999999999</v>
      </c>
      <c r="DF193" s="366">
        <v>939.04</v>
      </c>
      <c r="DG193" s="366">
        <v>337.85</v>
      </c>
      <c r="DH193" s="366">
        <v>224.95</v>
      </c>
      <c r="DI193" s="366">
        <v>569.38</v>
      </c>
      <c r="DJ193" s="366">
        <v>722.91</v>
      </c>
      <c r="DK193" s="366">
        <v>144.49</v>
      </c>
      <c r="DL193" s="366">
        <v>521.15</v>
      </c>
      <c r="DM193" s="366">
        <v>36.61</v>
      </c>
      <c r="DN193" s="366">
        <v>584.14</v>
      </c>
      <c r="DO193" s="366">
        <v>122.49</v>
      </c>
      <c r="DP193" s="366">
        <v>450.12</v>
      </c>
      <c r="DQ193" s="366">
        <v>405.66</v>
      </c>
      <c r="DR193" s="366">
        <v>224.95</v>
      </c>
      <c r="DS193" s="366">
        <v>326.93</v>
      </c>
      <c r="DT193" s="366">
        <v>315.22000000000003</v>
      </c>
      <c r="DU193" s="366">
        <v>115.1</v>
      </c>
      <c r="DV193" s="366">
        <v>181.81</v>
      </c>
      <c r="DW193" s="366">
        <v>191.84</v>
      </c>
      <c r="DX193" s="366">
        <v>380.64</v>
      </c>
      <c r="DY193" s="366">
        <v>454.03</v>
      </c>
      <c r="DZ193" s="366">
        <v>498.1</v>
      </c>
      <c r="EA193" s="366">
        <v>332.73</v>
      </c>
      <c r="EB193" s="366">
        <v>448.03</v>
      </c>
      <c r="EC193" s="366">
        <v>245.72</v>
      </c>
      <c r="ED193" s="366">
        <v>599.15</v>
      </c>
      <c r="EE193" s="366">
        <v>609.94000000000005</v>
      </c>
      <c r="EF193" s="366">
        <v>457.35</v>
      </c>
      <c r="EG193" s="366">
        <v>332</v>
      </c>
      <c r="EH193" s="366">
        <v>332</v>
      </c>
      <c r="EI193" s="366">
        <v>378.23</v>
      </c>
      <c r="EJ193" s="366">
        <v>370.05</v>
      </c>
      <c r="EK193" s="366">
        <v>256.66000000000003</v>
      </c>
      <c r="EL193" s="366">
        <v>256.66000000000003</v>
      </c>
      <c r="EM193" s="366">
        <v>350.77</v>
      </c>
      <c r="EN193" s="366">
        <v>350.77</v>
      </c>
      <c r="EO193" s="366">
        <v>537.37</v>
      </c>
      <c r="EP193" s="366">
        <v>460.23</v>
      </c>
      <c r="EQ193" s="366">
        <v>320.39</v>
      </c>
      <c r="ER193" s="366">
        <v>769.17</v>
      </c>
      <c r="ES193" s="366">
        <v>24.29</v>
      </c>
      <c r="ET193" s="366">
        <v>397.68</v>
      </c>
      <c r="EU193" s="366">
        <v>890.68</v>
      </c>
      <c r="EV193" s="366">
        <v>501.27</v>
      </c>
      <c r="EW193" s="366">
        <v>379.15</v>
      </c>
      <c r="EX193" s="366">
        <v>158.07</v>
      </c>
      <c r="EY193" s="366">
        <v>158.07</v>
      </c>
      <c r="EZ193" s="366">
        <v>402.58</v>
      </c>
      <c r="FA193" s="366">
        <v>347.94</v>
      </c>
      <c r="FB193" s="366">
        <v>160.19</v>
      </c>
      <c r="FC193" s="366">
        <v>400.78</v>
      </c>
      <c r="FD193" s="366">
        <v>290.43</v>
      </c>
      <c r="FE193" s="366">
        <v>382.06</v>
      </c>
      <c r="FF193" s="366">
        <v>357.24</v>
      </c>
      <c r="FG193" s="366">
        <v>741.75</v>
      </c>
      <c r="FH193" s="366">
        <v>741.75</v>
      </c>
      <c r="FI193" s="366">
        <v>482.14</v>
      </c>
      <c r="FJ193" s="366">
        <v>487.93</v>
      </c>
      <c r="FK193" s="366">
        <v>3.45</v>
      </c>
      <c r="FL193" s="366">
        <v>1.64</v>
      </c>
      <c r="FM193" s="366">
        <v>537.37</v>
      </c>
      <c r="FN193" s="366">
        <v>532.02</v>
      </c>
      <c r="FO193" s="366">
        <v>341.1</v>
      </c>
      <c r="FP193" s="366">
        <v>433.13</v>
      </c>
      <c r="FQ193" s="366">
        <v>344.97</v>
      </c>
      <c r="FR193" s="366">
        <v>219.71</v>
      </c>
      <c r="FS193" s="366">
        <v>287.31</v>
      </c>
      <c r="FT193" s="366">
        <v>738.07</v>
      </c>
      <c r="FU193" s="366">
        <v>295.81</v>
      </c>
      <c r="FV193" s="366">
        <v>954.58</v>
      </c>
      <c r="FW193" s="366">
        <v>954.58</v>
      </c>
      <c r="FX193" s="366">
        <v>954.58</v>
      </c>
      <c r="FY193" s="366">
        <v>297.08</v>
      </c>
      <c r="FZ193" s="366">
        <v>371.97</v>
      </c>
      <c r="GA193" s="366">
        <v>424.23</v>
      </c>
      <c r="GB193" s="366">
        <v>325.77999999999997</v>
      </c>
      <c r="GC193" s="366">
        <v>599.15</v>
      </c>
      <c r="GD193" s="366">
        <v>124.81</v>
      </c>
      <c r="GE193" s="366">
        <v>311</v>
      </c>
      <c r="GF193" s="366">
        <v>282.27999999999997</v>
      </c>
      <c r="GG193" s="366">
        <v>282.27999999999997</v>
      </c>
      <c r="GH193" s="366">
        <v>472.68</v>
      </c>
      <c r="GI193" s="366">
        <v>537.53</v>
      </c>
      <c r="GJ193" s="366">
        <v>537.37</v>
      </c>
      <c r="GK193" s="366">
        <v>0</v>
      </c>
      <c r="GL193" s="366">
        <v>364.56</v>
      </c>
      <c r="GM193" s="366">
        <v>364.56</v>
      </c>
      <c r="GN193" s="366">
        <v>364.56</v>
      </c>
      <c r="GO193" s="366">
        <v>502.81</v>
      </c>
      <c r="GP193" s="366">
        <v>429.64</v>
      </c>
      <c r="GQ193" s="366">
        <v>251.33</v>
      </c>
      <c r="GR193" s="366">
        <v>565.6</v>
      </c>
      <c r="GS193" s="366">
        <v>432.14</v>
      </c>
      <c r="GT193" s="366">
        <v>332</v>
      </c>
      <c r="GU193" s="366">
        <v>289.35000000000002</v>
      </c>
      <c r="GV193" s="366">
        <v>377.24</v>
      </c>
      <c r="GW193" s="366">
        <v>340.54</v>
      </c>
      <c r="GX193" s="366">
        <v>328.57</v>
      </c>
      <c r="GY193" s="366">
        <v>355.33</v>
      </c>
      <c r="GZ193" s="366">
        <v>290.14999999999998</v>
      </c>
      <c r="HA193" s="366">
        <v>346.51</v>
      </c>
      <c r="HB193" s="366">
        <v>346.51</v>
      </c>
      <c r="HC193" s="366">
        <v>346.51</v>
      </c>
      <c r="HD193" s="366">
        <v>534.39</v>
      </c>
      <c r="HE193" s="366">
        <v>344.62</v>
      </c>
      <c r="HF193" s="366">
        <v>300.91000000000003</v>
      </c>
      <c r="HG193" s="366">
        <v>305.51</v>
      </c>
      <c r="HH193" s="366">
        <v>305.51</v>
      </c>
      <c r="HI193" s="366">
        <v>305.51</v>
      </c>
      <c r="HJ193" s="366">
        <v>303.14999999999998</v>
      </c>
      <c r="HK193" s="366">
        <v>404.49</v>
      </c>
      <c r="HL193" s="366">
        <v>398.62</v>
      </c>
      <c r="HM193" s="366">
        <v>534.65</v>
      </c>
      <c r="HN193" s="366">
        <v>537.37</v>
      </c>
      <c r="HO193" s="366">
        <v>858.84</v>
      </c>
      <c r="HP193" s="366">
        <v>290.87</v>
      </c>
      <c r="HQ193" s="366">
        <v>954.58</v>
      </c>
      <c r="HR193" s="366">
        <v>704.83</v>
      </c>
      <c r="HS193" s="366">
        <v>533.62</v>
      </c>
      <c r="HT193" s="366">
        <v>415.94</v>
      </c>
      <c r="HU193" s="366">
        <v>383.19</v>
      </c>
      <c r="HV193" s="366">
        <v>401.51</v>
      </c>
    </row>
    <row r="194" spans="1:230">
      <c r="A194" s="366" t="s">
        <v>212</v>
      </c>
      <c r="B194" s="366">
        <v>553.59</v>
      </c>
      <c r="C194" s="366">
        <v>340.37</v>
      </c>
      <c r="D194" s="366">
        <v>241.14</v>
      </c>
      <c r="E194" s="366">
        <v>241.14</v>
      </c>
      <c r="F194" s="366">
        <v>617.49</v>
      </c>
      <c r="G194" s="366">
        <v>425.06</v>
      </c>
      <c r="H194" s="366">
        <v>284.76</v>
      </c>
      <c r="I194" s="366">
        <v>79.97</v>
      </c>
      <c r="J194" s="366">
        <v>308.54000000000002</v>
      </c>
      <c r="K194" s="366">
        <v>308.54000000000002</v>
      </c>
      <c r="L194" s="366">
        <v>231.75</v>
      </c>
      <c r="M194" s="366">
        <v>365.79</v>
      </c>
      <c r="N194" s="366">
        <v>462.69</v>
      </c>
      <c r="O194" s="366">
        <v>215.8</v>
      </c>
      <c r="P194" s="366">
        <v>215.8</v>
      </c>
      <c r="Q194" s="366">
        <v>215.8</v>
      </c>
      <c r="R194" s="366">
        <v>215.8</v>
      </c>
      <c r="S194" s="366">
        <v>215.8</v>
      </c>
      <c r="T194" s="366">
        <v>154.47</v>
      </c>
      <c r="U194" s="366">
        <v>533.1</v>
      </c>
      <c r="V194" s="366">
        <v>305.19</v>
      </c>
      <c r="W194" s="366">
        <v>297.83</v>
      </c>
      <c r="X194" s="366">
        <v>297.83</v>
      </c>
      <c r="Y194" s="366">
        <v>297.83</v>
      </c>
      <c r="Z194" s="366">
        <v>342.93</v>
      </c>
      <c r="AA194" s="366">
        <v>419.23</v>
      </c>
      <c r="AB194" s="366">
        <v>178.35</v>
      </c>
      <c r="AC194" s="366">
        <v>180.81</v>
      </c>
      <c r="AD194" s="366">
        <v>180.81</v>
      </c>
      <c r="AE194" s="366">
        <v>190.24</v>
      </c>
      <c r="AF194" s="366">
        <v>438.8</v>
      </c>
      <c r="AG194" s="366">
        <v>299.35000000000002</v>
      </c>
      <c r="AH194" s="366">
        <v>73.66</v>
      </c>
      <c r="AI194" s="366">
        <v>73.66</v>
      </c>
      <c r="AJ194" s="366">
        <v>73.66</v>
      </c>
      <c r="AK194" s="366">
        <v>365.13</v>
      </c>
      <c r="AL194" s="366">
        <v>365.13</v>
      </c>
      <c r="AM194" s="366">
        <v>181.07</v>
      </c>
      <c r="AN194" s="366">
        <v>174.97</v>
      </c>
      <c r="AO194" s="366">
        <v>432.18</v>
      </c>
      <c r="AP194" s="366">
        <v>143.19</v>
      </c>
      <c r="AQ194" s="366">
        <v>574.03</v>
      </c>
      <c r="AR194" s="366">
        <v>371.31</v>
      </c>
      <c r="AS194" s="366">
        <v>156.30000000000001</v>
      </c>
      <c r="AT194" s="366">
        <v>156.30000000000001</v>
      </c>
      <c r="AU194" s="366">
        <v>220.05</v>
      </c>
      <c r="AV194" s="366">
        <v>564.15</v>
      </c>
      <c r="AW194" s="366">
        <v>341.66</v>
      </c>
      <c r="AX194" s="366">
        <v>56.45</v>
      </c>
      <c r="AY194" s="366">
        <v>498.4</v>
      </c>
      <c r="AZ194" s="366">
        <v>308.99</v>
      </c>
      <c r="BA194" s="366">
        <v>394.41</v>
      </c>
      <c r="BB194" s="366">
        <v>501.29</v>
      </c>
      <c r="BC194" s="366">
        <v>336.47</v>
      </c>
      <c r="BD194" s="366">
        <v>246.24</v>
      </c>
      <c r="BE194" s="366">
        <v>309.25</v>
      </c>
      <c r="BF194" s="366">
        <v>175.32</v>
      </c>
      <c r="BG194" s="366">
        <v>350.48</v>
      </c>
      <c r="BH194" s="366">
        <v>215.8</v>
      </c>
      <c r="BI194" s="366">
        <v>371.34</v>
      </c>
      <c r="BJ194" s="366">
        <v>288.60000000000002</v>
      </c>
      <c r="BK194" s="366">
        <v>376.77</v>
      </c>
      <c r="BL194" s="366">
        <v>234.14</v>
      </c>
      <c r="BM194" s="366">
        <v>257.35000000000002</v>
      </c>
      <c r="BN194" s="366">
        <v>459.42</v>
      </c>
      <c r="BO194" s="366">
        <v>418.97</v>
      </c>
      <c r="BP194" s="366">
        <v>384.83</v>
      </c>
      <c r="BQ194" s="366">
        <v>99.01</v>
      </c>
      <c r="BR194" s="366">
        <v>99.01</v>
      </c>
      <c r="BS194" s="366">
        <v>316.56</v>
      </c>
      <c r="BT194" s="366">
        <v>355.77</v>
      </c>
      <c r="BU194" s="366">
        <v>158.85</v>
      </c>
      <c r="BV194" s="366">
        <v>178.47</v>
      </c>
      <c r="BW194" s="366">
        <v>279.33999999999997</v>
      </c>
      <c r="BX194" s="366">
        <v>257.64999999999998</v>
      </c>
      <c r="BY194" s="366">
        <v>332.67</v>
      </c>
      <c r="BZ194" s="366">
        <v>332.67</v>
      </c>
      <c r="CA194" s="366">
        <v>302.86</v>
      </c>
      <c r="CB194" s="366">
        <v>276.08</v>
      </c>
      <c r="CC194" s="366">
        <v>27.62</v>
      </c>
      <c r="CD194" s="366">
        <v>30.02</v>
      </c>
      <c r="CE194" s="366">
        <v>360</v>
      </c>
      <c r="CF194" s="366">
        <v>437.53</v>
      </c>
      <c r="CG194" s="366">
        <v>437.53</v>
      </c>
      <c r="CH194" s="366">
        <v>85.67</v>
      </c>
      <c r="CI194" s="366">
        <v>89</v>
      </c>
      <c r="CJ194" s="366">
        <v>448.48</v>
      </c>
      <c r="CK194" s="366">
        <v>337.76</v>
      </c>
      <c r="CL194" s="366">
        <v>233.84</v>
      </c>
      <c r="CM194" s="366">
        <v>282.75</v>
      </c>
      <c r="CN194" s="366">
        <v>237.97</v>
      </c>
      <c r="CO194" s="366">
        <v>369.92</v>
      </c>
      <c r="CP194" s="366">
        <v>92.32</v>
      </c>
      <c r="CQ194" s="366">
        <v>92.32</v>
      </c>
      <c r="CR194" s="366">
        <v>322.32</v>
      </c>
      <c r="CS194" s="366">
        <v>322.32</v>
      </c>
      <c r="CT194" s="366">
        <v>331.76</v>
      </c>
      <c r="CU194" s="366">
        <v>323.89</v>
      </c>
      <c r="CV194" s="366">
        <v>326.49</v>
      </c>
      <c r="CW194" s="366">
        <v>305.19</v>
      </c>
      <c r="CX194" s="366">
        <v>46.69</v>
      </c>
      <c r="CY194" s="366">
        <v>329.17</v>
      </c>
      <c r="CZ194" s="366">
        <v>350.41</v>
      </c>
      <c r="DA194" s="366">
        <v>400.74</v>
      </c>
      <c r="DB194" s="366">
        <v>284.58</v>
      </c>
      <c r="DC194" s="366">
        <v>284.58</v>
      </c>
      <c r="DD194" s="366">
        <v>284.99</v>
      </c>
      <c r="DE194" s="366">
        <v>478.37</v>
      </c>
      <c r="DF194" s="366">
        <v>601.95000000000005</v>
      </c>
      <c r="DG194" s="366">
        <v>59.35</v>
      </c>
      <c r="DH194" s="366">
        <v>540.92999999999995</v>
      </c>
      <c r="DI194" s="366">
        <v>303.35000000000002</v>
      </c>
      <c r="DJ194" s="366">
        <v>366.61</v>
      </c>
      <c r="DK194" s="366">
        <v>220.07</v>
      </c>
      <c r="DL194" s="366">
        <v>164.85</v>
      </c>
      <c r="DM194" s="366">
        <v>327.95</v>
      </c>
      <c r="DN194" s="366">
        <v>318.11</v>
      </c>
      <c r="DO194" s="366">
        <v>246.64</v>
      </c>
      <c r="DP194" s="366">
        <v>246.68</v>
      </c>
      <c r="DQ194" s="366">
        <v>290.68</v>
      </c>
      <c r="DR194" s="366">
        <v>540.92999999999995</v>
      </c>
      <c r="DS194" s="366">
        <v>347.79</v>
      </c>
      <c r="DT194" s="366">
        <v>336.08</v>
      </c>
      <c r="DU194" s="366">
        <v>431.08</v>
      </c>
      <c r="DV194" s="366">
        <v>368.77</v>
      </c>
      <c r="DW194" s="366">
        <v>172.72</v>
      </c>
      <c r="DX194" s="366">
        <v>265.66000000000003</v>
      </c>
      <c r="DY194" s="366">
        <v>339.05</v>
      </c>
      <c r="DZ194" s="366">
        <v>294.66000000000003</v>
      </c>
      <c r="EA194" s="366">
        <v>353.59</v>
      </c>
      <c r="EB194" s="366">
        <v>333.05</v>
      </c>
      <c r="EC194" s="366">
        <v>266.58</v>
      </c>
      <c r="ED194" s="366">
        <v>333.12</v>
      </c>
      <c r="EE194" s="366">
        <v>343.91</v>
      </c>
      <c r="EF194" s="366">
        <v>136.91</v>
      </c>
      <c r="EG194" s="366">
        <v>341.66</v>
      </c>
      <c r="EH194" s="366">
        <v>341.66</v>
      </c>
      <c r="EI194" s="366">
        <v>13.67</v>
      </c>
      <c r="EJ194" s="366">
        <v>528.99</v>
      </c>
      <c r="EK194" s="366">
        <v>141.68</v>
      </c>
      <c r="EL194" s="366">
        <v>141.68</v>
      </c>
      <c r="EM194" s="366">
        <v>235.79</v>
      </c>
      <c r="EN194" s="366">
        <v>235.79</v>
      </c>
      <c r="EO194" s="366">
        <v>181.07</v>
      </c>
      <c r="EP194" s="366">
        <v>95.67</v>
      </c>
      <c r="EQ194" s="366">
        <v>341.25</v>
      </c>
      <c r="ER194" s="366">
        <v>503.14</v>
      </c>
      <c r="ES194" s="366">
        <v>340.27</v>
      </c>
      <c r="ET194" s="366">
        <v>82.7</v>
      </c>
      <c r="EU194" s="366">
        <v>553.59</v>
      </c>
      <c r="EV194" s="366">
        <v>297.83</v>
      </c>
      <c r="EW194" s="366">
        <v>14.59</v>
      </c>
      <c r="EX194" s="366">
        <v>317.01</v>
      </c>
      <c r="EY194" s="366">
        <v>317.01</v>
      </c>
      <c r="EZ194" s="366">
        <v>280.33</v>
      </c>
      <c r="FA194" s="366">
        <v>232.96</v>
      </c>
      <c r="FB194" s="366">
        <v>204.37</v>
      </c>
      <c r="FC194" s="366">
        <v>285.8</v>
      </c>
      <c r="FD194" s="366">
        <v>140.99</v>
      </c>
      <c r="FE194" s="366">
        <v>17.5</v>
      </c>
      <c r="FF194" s="366">
        <v>76.540000000000006</v>
      </c>
      <c r="FG194" s="366">
        <v>385.45</v>
      </c>
      <c r="FH194" s="366">
        <v>385.45</v>
      </c>
      <c r="FI194" s="366">
        <v>278.7</v>
      </c>
      <c r="FJ194" s="366">
        <v>284.49</v>
      </c>
      <c r="FK194" s="366">
        <v>368.01</v>
      </c>
      <c r="FL194" s="366">
        <v>366.2</v>
      </c>
      <c r="FM194" s="366">
        <v>181.07</v>
      </c>
      <c r="FN194" s="366">
        <v>328.58</v>
      </c>
      <c r="FO194" s="366">
        <v>361.96</v>
      </c>
      <c r="FP194" s="366">
        <v>318.14999999999998</v>
      </c>
      <c r="FQ194" s="366">
        <v>365.83</v>
      </c>
      <c r="FR194" s="366">
        <v>249.09</v>
      </c>
      <c r="FS194" s="366">
        <v>77.25</v>
      </c>
      <c r="FT194" s="366">
        <v>381.77</v>
      </c>
      <c r="FU194" s="366">
        <v>101.39</v>
      </c>
      <c r="FV194" s="366">
        <v>617.49</v>
      </c>
      <c r="FW194" s="366">
        <v>617.49</v>
      </c>
      <c r="FX194" s="366">
        <v>617.49</v>
      </c>
      <c r="FY194" s="366">
        <v>182.1</v>
      </c>
      <c r="FZ194" s="366">
        <v>13.03</v>
      </c>
      <c r="GA194" s="366">
        <v>309.25</v>
      </c>
      <c r="GB194" s="366">
        <v>115.72</v>
      </c>
      <c r="GC194" s="366">
        <v>333.12</v>
      </c>
      <c r="GD194" s="366">
        <v>239.75</v>
      </c>
      <c r="GE194" s="366">
        <v>331.86</v>
      </c>
      <c r="GF194" s="366">
        <v>114.92</v>
      </c>
      <c r="GG194" s="366">
        <v>114.92</v>
      </c>
      <c r="GH194" s="366">
        <v>357.7</v>
      </c>
      <c r="GI194" s="366">
        <v>181.23</v>
      </c>
      <c r="GJ194" s="366">
        <v>181.07</v>
      </c>
      <c r="GK194" s="366">
        <v>364.56</v>
      </c>
      <c r="GL194" s="366">
        <v>0</v>
      </c>
      <c r="GM194" s="366">
        <v>0</v>
      </c>
      <c r="GN194" s="366">
        <v>0</v>
      </c>
      <c r="GO194" s="366">
        <v>182.37</v>
      </c>
      <c r="GP194" s="366">
        <v>314.66000000000003</v>
      </c>
      <c r="GQ194" s="366">
        <v>410.27</v>
      </c>
      <c r="GR194" s="366">
        <v>209.3</v>
      </c>
      <c r="GS194" s="366">
        <v>111.7</v>
      </c>
      <c r="GT194" s="366">
        <v>341.66</v>
      </c>
      <c r="GU194" s="366">
        <v>174.95</v>
      </c>
      <c r="GV194" s="366">
        <v>536.17999999999995</v>
      </c>
      <c r="GW194" s="366">
        <v>40.94</v>
      </c>
      <c r="GX194" s="366">
        <v>338.23</v>
      </c>
      <c r="GY194" s="366">
        <v>74.63</v>
      </c>
      <c r="GZ194" s="366">
        <v>140.71</v>
      </c>
      <c r="HA194" s="366">
        <v>367.37</v>
      </c>
      <c r="HB194" s="366">
        <v>367.37</v>
      </c>
      <c r="HC194" s="366">
        <v>367.37</v>
      </c>
      <c r="HD194" s="366">
        <v>305.39999999999998</v>
      </c>
      <c r="HE194" s="366">
        <v>229.64</v>
      </c>
      <c r="HF194" s="366">
        <v>185.93</v>
      </c>
      <c r="HG194" s="366">
        <v>313.58</v>
      </c>
      <c r="HH194" s="366">
        <v>313.58</v>
      </c>
      <c r="HI194" s="366">
        <v>313.58</v>
      </c>
      <c r="HJ194" s="366">
        <v>94.05</v>
      </c>
      <c r="HK194" s="366">
        <v>268.27999999999997</v>
      </c>
      <c r="HL194" s="366">
        <v>249.18</v>
      </c>
      <c r="HM194" s="366">
        <v>178.35</v>
      </c>
      <c r="HN194" s="366">
        <v>181.07</v>
      </c>
      <c r="HO194" s="366">
        <v>586.79</v>
      </c>
      <c r="HP194" s="366">
        <v>141.43</v>
      </c>
      <c r="HQ194" s="366">
        <v>617.49</v>
      </c>
      <c r="HR194" s="366">
        <v>438.8</v>
      </c>
      <c r="HS194" s="366">
        <v>177.32</v>
      </c>
      <c r="HT194" s="366">
        <v>95.5</v>
      </c>
      <c r="HU194" s="366">
        <v>102.49</v>
      </c>
      <c r="HV194" s="366">
        <v>36.950000000000003</v>
      </c>
    </row>
    <row r="195" spans="1:230">
      <c r="A195" s="366" t="s">
        <v>213</v>
      </c>
      <c r="B195" s="366">
        <v>553.59</v>
      </c>
      <c r="C195" s="366">
        <v>340.37</v>
      </c>
      <c r="D195" s="366">
        <v>241.14</v>
      </c>
      <c r="E195" s="366">
        <v>241.14</v>
      </c>
      <c r="F195" s="366">
        <v>617.49</v>
      </c>
      <c r="G195" s="366">
        <v>425.06</v>
      </c>
      <c r="H195" s="366">
        <v>284.76</v>
      </c>
      <c r="I195" s="366">
        <v>79.97</v>
      </c>
      <c r="J195" s="366">
        <v>308.54000000000002</v>
      </c>
      <c r="K195" s="366">
        <v>308.54000000000002</v>
      </c>
      <c r="L195" s="366">
        <v>231.75</v>
      </c>
      <c r="M195" s="366">
        <v>365.79</v>
      </c>
      <c r="N195" s="366">
        <v>462.69</v>
      </c>
      <c r="O195" s="366">
        <v>215.8</v>
      </c>
      <c r="P195" s="366">
        <v>215.8</v>
      </c>
      <c r="Q195" s="366">
        <v>215.8</v>
      </c>
      <c r="R195" s="366">
        <v>215.8</v>
      </c>
      <c r="S195" s="366">
        <v>215.8</v>
      </c>
      <c r="T195" s="366">
        <v>154.47</v>
      </c>
      <c r="U195" s="366">
        <v>533.1</v>
      </c>
      <c r="V195" s="366">
        <v>305.19</v>
      </c>
      <c r="W195" s="366">
        <v>297.83</v>
      </c>
      <c r="X195" s="366">
        <v>297.83</v>
      </c>
      <c r="Y195" s="366">
        <v>297.83</v>
      </c>
      <c r="Z195" s="366">
        <v>342.93</v>
      </c>
      <c r="AA195" s="366">
        <v>419.23</v>
      </c>
      <c r="AB195" s="366">
        <v>178.35</v>
      </c>
      <c r="AC195" s="366">
        <v>180.81</v>
      </c>
      <c r="AD195" s="366">
        <v>180.81</v>
      </c>
      <c r="AE195" s="366">
        <v>190.24</v>
      </c>
      <c r="AF195" s="366">
        <v>438.8</v>
      </c>
      <c r="AG195" s="366">
        <v>299.35000000000002</v>
      </c>
      <c r="AH195" s="366">
        <v>73.66</v>
      </c>
      <c r="AI195" s="366">
        <v>73.66</v>
      </c>
      <c r="AJ195" s="366">
        <v>73.66</v>
      </c>
      <c r="AK195" s="366">
        <v>365.13</v>
      </c>
      <c r="AL195" s="366">
        <v>365.13</v>
      </c>
      <c r="AM195" s="366">
        <v>181.07</v>
      </c>
      <c r="AN195" s="366">
        <v>174.97</v>
      </c>
      <c r="AO195" s="366">
        <v>432.18</v>
      </c>
      <c r="AP195" s="366">
        <v>143.19</v>
      </c>
      <c r="AQ195" s="366">
        <v>574.03</v>
      </c>
      <c r="AR195" s="366">
        <v>371.31</v>
      </c>
      <c r="AS195" s="366">
        <v>156.30000000000001</v>
      </c>
      <c r="AT195" s="366">
        <v>156.30000000000001</v>
      </c>
      <c r="AU195" s="366">
        <v>220.05</v>
      </c>
      <c r="AV195" s="366">
        <v>564.15</v>
      </c>
      <c r="AW195" s="366">
        <v>341.66</v>
      </c>
      <c r="AX195" s="366">
        <v>56.45</v>
      </c>
      <c r="AY195" s="366">
        <v>498.4</v>
      </c>
      <c r="AZ195" s="366">
        <v>308.99</v>
      </c>
      <c r="BA195" s="366">
        <v>394.41</v>
      </c>
      <c r="BB195" s="366">
        <v>501.29</v>
      </c>
      <c r="BC195" s="366">
        <v>336.47</v>
      </c>
      <c r="BD195" s="366">
        <v>246.24</v>
      </c>
      <c r="BE195" s="366">
        <v>309.25</v>
      </c>
      <c r="BF195" s="366">
        <v>175.32</v>
      </c>
      <c r="BG195" s="366">
        <v>350.48</v>
      </c>
      <c r="BH195" s="366">
        <v>215.8</v>
      </c>
      <c r="BI195" s="366">
        <v>371.34</v>
      </c>
      <c r="BJ195" s="366">
        <v>288.60000000000002</v>
      </c>
      <c r="BK195" s="366">
        <v>376.77</v>
      </c>
      <c r="BL195" s="366">
        <v>234.14</v>
      </c>
      <c r="BM195" s="366">
        <v>257.35000000000002</v>
      </c>
      <c r="BN195" s="366">
        <v>459.42</v>
      </c>
      <c r="BO195" s="366">
        <v>418.97</v>
      </c>
      <c r="BP195" s="366">
        <v>384.83</v>
      </c>
      <c r="BQ195" s="366">
        <v>99.01</v>
      </c>
      <c r="BR195" s="366">
        <v>99.01</v>
      </c>
      <c r="BS195" s="366">
        <v>316.56</v>
      </c>
      <c r="BT195" s="366">
        <v>355.77</v>
      </c>
      <c r="BU195" s="366">
        <v>158.85</v>
      </c>
      <c r="BV195" s="366">
        <v>178.47</v>
      </c>
      <c r="BW195" s="366">
        <v>279.33999999999997</v>
      </c>
      <c r="BX195" s="366">
        <v>257.64999999999998</v>
      </c>
      <c r="BY195" s="366">
        <v>332.67</v>
      </c>
      <c r="BZ195" s="366">
        <v>332.67</v>
      </c>
      <c r="CA195" s="366">
        <v>302.86</v>
      </c>
      <c r="CB195" s="366">
        <v>276.08</v>
      </c>
      <c r="CC195" s="366">
        <v>27.62</v>
      </c>
      <c r="CD195" s="366">
        <v>30.02</v>
      </c>
      <c r="CE195" s="366">
        <v>360</v>
      </c>
      <c r="CF195" s="366">
        <v>437.53</v>
      </c>
      <c r="CG195" s="366">
        <v>437.53</v>
      </c>
      <c r="CH195" s="366">
        <v>85.67</v>
      </c>
      <c r="CI195" s="366">
        <v>89</v>
      </c>
      <c r="CJ195" s="366">
        <v>448.48</v>
      </c>
      <c r="CK195" s="366">
        <v>337.76</v>
      </c>
      <c r="CL195" s="366">
        <v>233.84</v>
      </c>
      <c r="CM195" s="366">
        <v>282.75</v>
      </c>
      <c r="CN195" s="366">
        <v>237.97</v>
      </c>
      <c r="CO195" s="366">
        <v>369.92</v>
      </c>
      <c r="CP195" s="366">
        <v>92.32</v>
      </c>
      <c r="CQ195" s="366">
        <v>92.32</v>
      </c>
      <c r="CR195" s="366">
        <v>322.32</v>
      </c>
      <c r="CS195" s="366">
        <v>322.32</v>
      </c>
      <c r="CT195" s="366">
        <v>331.76</v>
      </c>
      <c r="CU195" s="366">
        <v>323.89</v>
      </c>
      <c r="CV195" s="366">
        <v>326.49</v>
      </c>
      <c r="CW195" s="366">
        <v>305.19</v>
      </c>
      <c r="CX195" s="366">
        <v>46.69</v>
      </c>
      <c r="CY195" s="366">
        <v>329.17</v>
      </c>
      <c r="CZ195" s="366">
        <v>350.41</v>
      </c>
      <c r="DA195" s="366">
        <v>400.74</v>
      </c>
      <c r="DB195" s="366">
        <v>284.58</v>
      </c>
      <c r="DC195" s="366">
        <v>284.58</v>
      </c>
      <c r="DD195" s="366">
        <v>284.99</v>
      </c>
      <c r="DE195" s="366">
        <v>478.37</v>
      </c>
      <c r="DF195" s="366">
        <v>601.95000000000005</v>
      </c>
      <c r="DG195" s="366">
        <v>59.35</v>
      </c>
      <c r="DH195" s="366">
        <v>540.92999999999995</v>
      </c>
      <c r="DI195" s="366">
        <v>303.35000000000002</v>
      </c>
      <c r="DJ195" s="366">
        <v>366.61</v>
      </c>
      <c r="DK195" s="366">
        <v>220.07</v>
      </c>
      <c r="DL195" s="366">
        <v>164.85</v>
      </c>
      <c r="DM195" s="366">
        <v>327.95</v>
      </c>
      <c r="DN195" s="366">
        <v>318.11</v>
      </c>
      <c r="DO195" s="366">
        <v>246.64</v>
      </c>
      <c r="DP195" s="366">
        <v>246.68</v>
      </c>
      <c r="DQ195" s="366">
        <v>290.68</v>
      </c>
      <c r="DR195" s="366">
        <v>540.92999999999995</v>
      </c>
      <c r="DS195" s="366">
        <v>347.79</v>
      </c>
      <c r="DT195" s="366">
        <v>336.08</v>
      </c>
      <c r="DU195" s="366">
        <v>431.08</v>
      </c>
      <c r="DV195" s="366">
        <v>368.77</v>
      </c>
      <c r="DW195" s="366">
        <v>172.72</v>
      </c>
      <c r="DX195" s="366">
        <v>265.66000000000003</v>
      </c>
      <c r="DY195" s="366">
        <v>339.05</v>
      </c>
      <c r="DZ195" s="366">
        <v>294.66000000000003</v>
      </c>
      <c r="EA195" s="366">
        <v>353.59</v>
      </c>
      <c r="EB195" s="366">
        <v>333.05</v>
      </c>
      <c r="EC195" s="366">
        <v>266.58</v>
      </c>
      <c r="ED195" s="366">
        <v>333.12</v>
      </c>
      <c r="EE195" s="366">
        <v>343.91</v>
      </c>
      <c r="EF195" s="366">
        <v>136.91</v>
      </c>
      <c r="EG195" s="366">
        <v>341.66</v>
      </c>
      <c r="EH195" s="366">
        <v>341.66</v>
      </c>
      <c r="EI195" s="366">
        <v>13.67</v>
      </c>
      <c r="EJ195" s="366">
        <v>528.99</v>
      </c>
      <c r="EK195" s="366">
        <v>141.68</v>
      </c>
      <c r="EL195" s="366">
        <v>141.68</v>
      </c>
      <c r="EM195" s="366">
        <v>235.79</v>
      </c>
      <c r="EN195" s="366">
        <v>235.79</v>
      </c>
      <c r="EO195" s="366">
        <v>181.07</v>
      </c>
      <c r="EP195" s="366">
        <v>95.67</v>
      </c>
      <c r="EQ195" s="366">
        <v>341.25</v>
      </c>
      <c r="ER195" s="366">
        <v>503.14</v>
      </c>
      <c r="ES195" s="366">
        <v>340.27</v>
      </c>
      <c r="ET195" s="366">
        <v>82.7</v>
      </c>
      <c r="EU195" s="366">
        <v>553.59</v>
      </c>
      <c r="EV195" s="366">
        <v>297.83</v>
      </c>
      <c r="EW195" s="366">
        <v>14.59</v>
      </c>
      <c r="EX195" s="366">
        <v>317.01</v>
      </c>
      <c r="EY195" s="366">
        <v>317.01</v>
      </c>
      <c r="EZ195" s="366">
        <v>280.33</v>
      </c>
      <c r="FA195" s="366">
        <v>232.96</v>
      </c>
      <c r="FB195" s="366">
        <v>204.37</v>
      </c>
      <c r="FC195" s="366">
        <v>285.8</v>
      </c>
      <c r="FD195" s="366">
        <v>140.99</v>
      </c>
      <c r="FE195" s="366">
        <v>17.5</v>
      </c>
      <c r="FF195" s="366">
        <v>76.540000000000006</v>
      </c>
      <c r="FG195" s="366">
        <v>385.45</v>
      </c>
      <c r="FH195" s="366">
        <v>385.45</v>
      </c>
      <c r="FI195" s="366">
        <v>278.7</v>
      </c>
      <c r="FJ195" s="366">
        <v>284.49</v>
      </c>
      <c r="FK195" s="366">
        <v>368.01</v>
      </c>
      <c r="FL195" s="366">
        <v>366.2</v>
      </c>
      <c r="FM195" s="366">
        <v>181.07</v>
      </c>
      <c r="FN195" s="366">
        <v>328.58</v>
      </c>
      <c r="FO195" s="366">
        <v>361.96</v>
      </c>
      <c r="FP195" s="366">
        <v>318.14999999999998</v>
      </c>
      <c r="FQ195" s="366">
        <v>365.83</v>
      </c>
      <c r="FR195" s="366">
        <v>249.09</v>
      </c>
      <c r="FS195" s="366">
        <v>77.25</v>
      </c>
      <c r="FT195" s="366">
        <v>381.77</v>
      </c>
      <c r="FU195" s="366">
        <v>101.39</v>
      </c>
      <c r="FV195" s="366">
        <v>617.49</v>
      </c>
      <c r="FW195" s="366">
        <v>617.49</v>
      </c>
      <c r="FX195" s="366">
        <v>617.49</v>
      </c>
      <c r="FY195" s="366">
        <v>182.1</v>
      </c>
      <c r="FZ195" s="366">
        <v>13.03</v>
      </c>
      <c r="GA195" s="366">
        <v>309.25</v>
      </c>
      <c r="GB195" s="366">
        <v>115.72</v>
      </c>
      <c r="GC195" s="366">
        <v>333.12</v>
      </c>
      <c r="GD195" s="366">
        <v>239.75</v>
      </c>
      <c r="GE195" s="366">
        <v>331.86</v>
      </c>
      <c r="GF195" s="366">
        <v>114.92</v>
      </c>
      <c r="GG195" s="366">
        <v>114.92</v>
      </c>
      <c r="GH195" s="366">
        <v>357.7</v>
      </c>
      <c r="GI195" s="366">
        <v>181.23</v>
      </c>
      <c r="GJ195" s="366">
        <v>181.07</v>
      </c>
      <c r="GK195" s="366">
        <v>364.56</v>
      </c>
      <c r="GL195" s="366">
        <v>0</v>
      </c>
      <c r="GM195" s="366">
        <v>0</v>
      </c>
      <c r="GN195" s="366">
        <v>0</v>
      </c>
      <c r="GO195" s="366">
        <v>182.37</v>
      </c>
      <c r="GP195" s="366">
        <v>314.66000000000003</v>
      </c>
      <c r="GQ195" s="366">
        <v>410.27</v>
      </c>
      <c r="GR195" s="366">
        <v>209.3</v>
      </c>
      <c r="GS195" s="366">
        <v>111.7</v>
      </c>
      <c r="GT195" s="366">
        <v>341.66</v>
      </c>
      <c r="GU195" s="366">
        <v>174.95</v>
      </c>
      <c r="GV195" s="366">
        <v>536.17999999999995</v>
      </c>
      <c r="GW195" s="366">
        <v>40.94</v>
      </c>
      <c r="GX195" s="366">
        <v>338.23</v>
      </c>
      <c r="GY195" s="366">
        <v>74.63</v>
      </c>
      <c r="GZ195" s="366">
        <v>140.71</v>
      </c>
      <c r="HA195" s="366">
        <v>367.37</v>
      </c>
      <c r="HB195" s="366">
        <v>367.37</v>
      </c>
      <c r="HC195" s="366">
        <v>367.37</v>
      </c>
      <c r="HD195" s="366">
        <v>305.39999999999998</v>
      </c>
      <c r="HE195" s="366">
        <v>229.64</v>
      </c>
      <c r="HF195" s="366">
        <v>185.93</v>
      </c>
      <c r="HG195" s="366">
        <v>313.58</v>
      </c>
      <c r="HH195" s="366">
        <v>313.58</v>
      </c>
      <c r="HI195" s="366">
        <v>313.58</v>
      </c>
      <c r="HJ195" s="366">
        <v>94.05</v>
      </c>
      <c r="HK195" s="366">
        <v>268.27999999999997</v>
      </c>
      <c r="HL195" s="366">
        <v>249.18</v>
      </c>
      <c r="HM195" s="366">
        <v>178.35</v>
      </c>
      <c r="HN195" s="366">
        <v>181.07</v>
      </c>
      <c r="HO195" s="366">
        <v>586.79</v>
      </c>
      <c r="HP195" s="366">
        <v>141.43</v>
      </c>
      <c r="HQ195" s="366">
        <v>617.49</v>
      </c>
      <c r="HR195" s="366">
        <v>438.8</v>
      </c>
      <c r="HS195" s="366">
        <v>177.32</v>
      </c>
      <c r="HT195" s="366">
        <v>95.5</v>
      </c>
      <c r="HU195" s="366">
        <v>102.49</v>
      </c>
      <c r="HV195" s="366">
        <v>36.950000000000003</v>
      </c>
    </row>
    <row r="196" spans="1:230">
      <c r="A196" s="366" t="s">
        <v>214</v>
      </c>
      <c r="B196" s="366">
        <v>553.59</v>
      </c>
      <c r="C196" s="366">
        <v>340.37</v>
      </c>
      <c r="D196" s="366">
        <v>241.14</v>
      </c>
      <c r="E196" s="366">
        <v>241.14</v>
      </c>
      <c r="F196" s="366">
        <v>617.49</v>
      </c>
      <c r="G196" s="366">
        <v>425.06</v>
      </c>
      <c r="H196" s="366">
        <v>284.76</v>
      </c>
      <c r="I196" s="366">
        <v>79.97</v>
      </c>
      <c r="J196" s="366">
        <v>308.54000000000002</v>
      </c>
      <c r="K196" s="366">
        <v>308.54000000000002</v>
      </c>
      <c r="L196" s="366">
        <v>231.75</v>
      </c>
      <c r="M196" s="366">
        <v>365.79</v>
      </c>
      <c r="N196" s="366">
        <v>462.69</v>
      </c>
      <c r="O196" s="366">
        <v>215.8</v>
      </c>
      <c r="P196" s="366">
        <v>215.8</v>
      </c>
      <c r="Q196" s="366">
        <v>215.8</v>
      </c>
      <c r="R196" s="366">
        <v>215.8</v>
      </c>
      <c r="S196" s="366">
        <v>215.8</v>
      </c>
      <c r="T196" s="366">
        <v>154.47</v>
      </c>
      <c r="U196" s="366">
        <v>533.1</v>
      </c>
      <c r="V196" s="366">
        <v>305.19</v>
      </c>
      <c r="W196" s="366">
        <v>297.83</v>
      </c>
      <c r="X196" s="366">
        <v>297.83</v>
      </c>
      <c r="Y196" s="366">
        <v>297.83</v>
      </c>
      <c r="Z196" s="366">
        <v>342.93</v>
      </c>
      <c r="AA196" s="366">
        <v>419.23</v>
      </c>
      <c r="AB196" s="366">
        <v>178.35</v>
      </c>
      <c r="AC196" s="366">
        <v>180.81</v>
      </c>
      <c r="AD196" s="366">
        <v>180.81</v>
      </c>
      <c r="AE196" s="366">
        <v>190.24</v>
      </c>
      <c r="AF196" s="366">
        <v>438.8</v>
      </c>
      <c r="AG196" s="366">
        <v>299.35000000000002</v>
      </c>
      <c r="AH196" s="366">
        <v>73.66</v>
      </c>
      <c r="AI196" s="366">
        <v>73.66</v>
      </c>
      <c r="AJ196" s="366">
        <v>73.66</v>
      </c>
      <c r="AK196" s="366">
        <v>365.13</v>
      </c>
      <c r="AL196" s="366">
        <v>365.13</v>
      </c>
      <c r="AM196" s="366">
        <v>181.07</v>
      </c>
      <c r="AN196" s="366">
        <v>174.97</v>
      </c>
      <c r="AO196" s="366">
        <v>432.18</v>
      </c>
      <c r="AP196" s="366">
        <v>143.19</v>
      </c>
      <c r="AQ196" s="366">
        <v>574.03</v>
      </c>
      <c r="AR196" s="366">
        <v>371.31</v>
      </c>
      <c r="AS196" s="366">
        <v>156.30000000000001</v>
      </c>
      <c r="AT196" s="366">
        <v>156.30000000000001</v>
      </c>
      <c r="AU196" s="366">
        <v>220.05</v>
      </c>
      <c r="AV196" s="366">
        <v>564.15</v>
      </c>
      <c r="AW196" s="366">
        <v>341.66</v>
      </c>
      <c r="AX196" s="366">
        <v>56.45</v>
      </c>
      <c r="AY196" s="366">
        <v>498.4</v>
      </c>
      <c r="AZ196" s="366">
        <v>308.99</v>
      </c>
      <c r="BA196" s="366">
        <v>394.41</v>
      </c>
      <c r="BB196" s="366">
        <v>501.29</v>
      </c>
      <c r="BC196" s="366">
        <v>336.47</v>
      </c>
      <c r="BD196" s="366">
        <v>246.24</v>
      </c>
      <c r="BE196" s="366">
        <v>309.25</v>
      </c>
      <c r="BF196" s="366">
        <v>175.32</v>
      </c>
      <c r="BG196" s="366">
        <v>350.48</v>
      </c>
      <c r="BH196" s="366">
        <v>215.8</v>
      </c>
      <c r="BI196" s="366">
        <v>371.34</v>
      </c>
      <c r="BJ196" s="366">
        <v>288.60000000000002</v>
      </c>
      <c r="BK196" s="366">
        <v>376.77</v>
      </c>
      <c r="BL196" s="366">
        <v>234.14</v>
      </c>
      <c r="BM196" s="366">
        <v>257.35000000000002</v>
      </c>
      <c r="BN196" s="366">
        <v>459.42</v>
      </c>
      <c r="BO196" s="366">
        <v>418.97</v>
      </c>
      <c r="BP196" s="366">
        <v>384.83</v>
      </c>
      <c r="BQ196" s="366">
        <v>99.01</v>
      </c>
      <c r="BR196" s="366">
        <v>99.01</v>
      </c>
      <c r="BS196" s="366">
        <v>316.56</v>
      </c>
      <c r="BT196" s="366">
        <v>355.77</v>
      </c>
      <c r="BU196" s="366">
        <v>158.85</v>
      </c>
      <c r="BV196" s="366">
        <v>178.47</v>
      </c>
      <c r="BW196" s="366">
        <v>279.33999999999997</v>
      </c>
      <c r="BX196" s="366">
        <v>257.64999999999998</v>
      </c>
      <c r="BY196" s="366">
        <v>332.67</v>
      </c>
      <c r="BZ196" s="366">
        <v>332.67</v>
      </c>
      <c r="CA196" s="366">
        <v>302.86</v>
      </c>
      <c r="CB196" s="366">
        <v>276.08</v>
      </c>
      <c r="CC196" s="366">
        <v>27.62</v>
      </c>
      <c r="CD196" s="366">
        <v>30.02</v>
      </c>
      <c r="CE196" s="366">
        <v>360</v>
      </c>
      <c r="CF196" s="366">
        <v>437.53</v>
      </c>
      <c r="CG196" s="366">
        <v>437.53</v>
      </c>
      <c r="CH196" s="366">
        <v>85.67</v>
      </c>
      <c r="CI196" s="366">
        <v>89</v>
      </c>
      <c r="CJ196" s="366">
        <v>448.48</v>
      </c>
      <c r="CK196" s="366">
        <v>337.76</v>
      </c>
      <c r="CL196" s="366">
        <v>233.84</v>
      </c>
      <c r="CM196" s="366">
        <v>282.75</v>
      </c>
      <c r="CN196" s="366">
        <v>237.97</v>
      </c>
      <c r="CO196" s="366">
        <v>369.92</v>
      </c>
      <c r="CP196" s="366">
        <v>92.32</v>
      </c>
      <c r="CQ196" s="366">
        <v>92.32</v>
      </c>
      <c r="CR196" s="366">
        <v>322.32</v>
      </c>
      <c r="CS196" s="366">
        <v>322.32</v>
      </c>
      <c r="CT196" s="366">
        <v>331.76</v>
      </c>
      <c r="CU196" s="366">
        <v>323.89</v>
      </c>
      <c r="CV196" s="366">
        <v>326.49</v>
      </c>
      <c r="CW196" s="366">
        <v>305.19</v>
      </c>
      <c r="CX196" s="366">
        <v>46.69</v>
      </c>
      <c r="CY196" s="366">
        <v>329.17</v>
      </c>
      <c r="CZ196" s="366">
        <v>350.41</v>
      </c>
      <c r="DA196" s="366">
        <v>400.74</v>
      </c>
      <c r="DB196" s="366">
        <v>284.58</v>
      </c>
      <c r="DC196" s="366">
        <v>284.58</v>
      </c>
      <c r="DD196" s="366">
        <v>284.99</v>
      </c>
      <c r="DE196" s="366">
        <v>478.37</v>
      </c>
      <c r="DF196" s="366">
        <v>601.95000000000005</v>
      </c>
      <c r="DG196" s="366">
        <v>59.35</v>
      </c>
      <c r="DH196" s="366">
        <v>540.92999999999995</v>
      </c>
      <c r="DI196" s="366">
        <v>303.35000000000002</v>
      </c>
      <c r="DJ196" s="366">
        <v>366.61</v>
      </c>
      <c r="DK196" s="366">
        <v>220.07</v>
      </c>
      <c r="DL196" s="366">
        <v>164.85</v>
      </c>
      <c r="DM196" s="366">
        <v>327.95</v>
      </c>
      <c r="DN196" s="366">
        <v>318.11</v>
      </c>
      <c r="DO196" s="366">
        <v>246.64</v>
      </c>
      <c r="DP196" s="366">
        <v>246.68</v>
      </c>
      <c r="DQ196" s="366">
        <v>290.68</v>
      </c>
      <c r="DR196" s="366">
        <v>540.92999999999995</v>
      </c>
      <c r="DS196" s="366">
        <v>347.79</v>
      </c>
      <c r="DT196" s="366">
        <v>336.08</v>
      </c>
      <c r="DU196" s="366">
        <v>431.08</v>
      </c>
      <c r="DV196" s="366">
        <v>368.77</v>
      </c>
      <c r="DW196" s="366">
        <v>172.72</v>
      </c>
      <c r="DX196" s="366">
        <v>265.66000000000003</v>
      </c>
      <c r="DY196" s="366">
        <v>339.05</v>
      </c>
      <c r="DZ196" s="366">
        <v>294.66000000000003</v>
      </c>
      <c r="EA196" s="366">
        <v>353.59</v>
      </c>
      <c r="EB196" s="366">
        <v>333.05</v>
      </c>
      <c r="EC196" s="366">
        <v>266.58</v>
      </c>
      <c r="ED196" s="366">
        <v>333.12</v>
      </c>
      <c r="EE196" s="366">
        <v>343.91</v>
      </c>
      <c r="EF196" s="366">
        <v>136.91</v>
      </c>
      <c r="EG196" s="366">
        <v>341.66</v>
      </c>
      <c r="EH196" s="366">
        <v>341.66</v>
      </c>
      <c r="EI196" s="366">
        <v>13.67</v>
      </c>
      <c r="EJ196" s="366">
        <v>528.99</v>
      </c>
      <c r="EK196" s="366">
        <v>141.68</v>
      </c>
      <c r="EL196" s="366">
        <v>141.68</v>
      </c>
      <c r="EM196" s="366">
        <v>235.79</v>
      </c>
      <c r="EN196" s="366">
        <v>235.79</v>
      </c>
      <c r="EO196" s="366">
        <v>181.07</v>
      </c>
      <c r="EP196" s="366">
        <v>95.67</v>
      </c>
      <c r="EQ196" s="366">
        <v>341.25</v>
      </c>
      <c r="ER196" s="366">
        <v>503.14</v>
      </c>
      <c r="ES196" s="366">
        <v>340.27</v>
      </c>
      <c r="ET196" s="366">
        <v>82.7</v>
      </c>
      <c r="EU196" s="366">
        <v>553.59</v>
      </c>
      <c r="EV196" s="366">
        <v>297.83</v>
      </c>
      <c r="EW196" s="366">
        <v>14.59</v>
      </c>
      <c r="EX196" s="366">
        <v>317.01</v>
      </c>
      <c r="EY196" s="366">
        <v>317.01</v>
      </c>
      <c r="EZ196" s="366">
        <v>280.33</v>
      </c>
      <c r="FA196" s="366">
        <v>232.96</v>
      </c>
      <c r="FB196" s="366">
        <v>204.37</v>
      </c>
      <c r="FC196" s="366">
        <v>285.8</v>
      </c>
      <c r="FD196" s="366">
        <v>140.99</v>
      </c>
      <c r="FE196" s="366">
        <v>17.5</v>
      </c>
      <c r="FF196" s="366">
        <v>76.540000000000006</v>
      </c>
      <c r="FG196" s="366">
        <v>385.45</v>
      </c>
      <c r="FH196" s="366">
        <v>385.45</v>
      </c>
      <c r="FI196" s="366">
        <v>278.7</v>
      </c>
      <c r="FJ196" s="366">
        <v>284.49</v>
      </c>
      <c r="FK196" s="366">
        <v>368.01</v>
      </c>
      <c r="FL196" s="366">
        <v>366.2</v>
      </c>
      <c r="FM196" s="366">
        <v>181.07</v>
      </c>
      <c r="FN196" s="366">
        <v>328.58</v>
      </c>
      <c r="FO196" s="366">
        <v>361.96</v>
      </c>
      <c r="FP196" s="366">
        <v>318.14999999999998</v>
      </c>
      <c r="FQ196" s="366">
        <v>365.83</v>
      </c>
      <c r="FR196" s="366">
        <v>249.09</v>
      </c>
      <c r="FS196" s="366">
        <v>77.25</v>
      </c>
      <c r="FT196" s="366">
        <v>381.77</v>
      </c>
      <c r="FU196" s="366">
        <v>101.39</v>
      </c>
      <c r="FV196" s="366">
        <v>617.49</v>
      </c>
      <c r="FW196" s="366">
        <v>617.49</v>
      </c>
      <c r="FX196" s="366">
        <v>617.49</v>
      </c>
      <c r="FY196" s="366">
        <v>182.1</v>
      </c>
      <c r="FZ196" s="366">
        <v>13.03</v>
      </c>
      <c r="GA196" s="366">
        <v>309.25</v>
      </c>
      <c r="GB196" s="366">
        <v>115.72</v>
      </c>
      <c r="GC196" s="366">
        <v>333.12</v>
      </c>
      <c r="GD196" s="366">
        <v>239.75</v>
      </c>
      <c r="GE196" s="366">
        <v>331.86</v>
      </c>
      <c r="GF196" s="366">
        <v>114.92</v>
      </c>
      <c r="GG196" s="366">
        <v>114.92</v>
      </c>
      <c r="GH196" s="366">
        <v>357.7</v>
      </c>
      <c r="GI196" s="366">
        <v>181.23</v>
      </c>
      <c r="GJ196" s="366">
        <v>181.07</v>
      </c>
      <c r="GK196" s="366">
        <v>364.56</v>
      </c>
      <c r="GL196" s="366">
        <v>0</v>
      </c>
      <c r="GM196" s="366">
        <v>0</v>
      </c>
      <c r="GN196" s="366">
        <v>0</v>
      </c>
      <c r="GO196" s="366">
        <v>182.37</v>
      </c>
      <c r="GP196" s="366">
        <v>314.66000000000003</v>
      </c>
      <c r="GQ196" s="366">
        <v>410.27</v>
      </c>
      <c r="GR196" s="366">
        <v>209.3</v>
      </c>
      <c r="GS196" s="366">
        <v>111.7</v>
      </c>
      <c r="GT196" s="366">
        <v>341.66</v>
      </c>
      <c r="GU196" s="366">
        <v>174.95</v>
      </c>
      <c r="GV196" s="366">
        <v>536.17999999999995</v>
      </c>
      <c r="GW196" s="366">
        <v>40.94</v>
      </c>
      <c r="GX196" s="366">
        <v>338.23</v>
      </c>
      <c r="GY196" s="366">
        <v>74.63</v>
      </c>
      <c r="GZ196" s="366">
        <v>140.71</v>
      </c>
      <c r="HA196" s="366">
        <v>367.37</v>
      </c>
      <c r="HB196" s="366">
        <v>367.37</v>
      </c>
      <c r="HC196" s="366">
        <v>367.37</v>
      </c>
      <c r="HD196" s="366">
        <v>305.39999999999998</v>
      </c>
      <c r="HE196" s="366">
        <v>229.64</v>
      </c>
      <c r="HF196" s="366">
        <v>185.93</v>
      </c>
      <c r="HG196" s="366">
        <v>313.58</v>
      </c>
      <c r="HH196" s="366">
        <v>313.58</v>
      </c>
      <c r="HI196" s="366">
        <v>313.58</v>
      </c>
      <c r="HJ196" s="366">
        <v>94.05</v>
      </c>
      <c r="HK196" s="366">
        <v>268.27999999999997</v>
      </c>
      <c r="HL196" s="366">
        <v>249.18</v>
      </c>
      <c r="HM196" s="366">
        <v>178.35</v>
      </c>
      <c r="HN196" s="366">
        <v>181.07</v>
      </c>
      <c r="HO196" s="366">
        <v>586.79</v>
      </c>
      <c r="HP196" s="366">
        <v>141.43</v>
      </c>
      <c r="HQ196" s="366">
        <v>617.49</v>
      </c>
      <c r="HR196" s="366">
        <v>438.8</v>
      </c>
      <c r="HS196" s="366">
        <v>177.32</v>
      </c>
      <c r="HT196" s="366">
        <v>95.5</v>
      </c>
      <c r="HU196" s="366">
        <v>102.49</v>
      </c>
      <c r="HV196" s="366">
        <v>36.950000000000003</v>
      </c>
    </row>
    <row r="197" spans="1:230">
      <c r="A197" s="366" t="s">
        <v>215</v>
      </c>
      <c r="B197" s="366">
        <v>414.92</v>
      </c>
      <c r="C197" s="366">
        <v>478.62</v>
      </c>
      <c r="D197" s="366">
        <v>355.07</v>
      </c>
      <c r="E197" s="366">
        <v>355.07</v>
      </c>
      <c r="F197" s="366">
        <v>478.82</v>
      </c>
      <c r="G197" s="366">
        <v>286.39</v>
      </c>
      <c r="H197" s="366">
        <v>311.45</v>
      </c>
      <c r="I197" s="366">
        <v>102.4</v>
      </c>
      <c r="J197" s="366">
        <v>287.67</v>
      </c>
      <c r="K197" s="366">
        <v>287.67</v>
      </c>
      <c r="L197" s="366">
        <v>370</v>
      </c>
      <c r="M197" s="366">
        <v>504.04</v>
      </c>
      <c r="N197" s="366">
        <v>600.94000000000005</v>
      </c>
      <c r="O197" s="366">
        <v>354.05</v>
      </c>
      <c r="P197" s="366">
        <v>354.05</v>
      </c>
      <c r="Q197" s="366">
        <v>354.05</v>
      </c>
      <c r="R197" s="366">
        <v>354.05</v>
      </c>
      <c r="S197" s="366">
        <v>354.05</v>
      </c>
      <c r="T197" s="366">
        <v>70.75</v>
      </c>
      <c r="U197" s="366">
        <v>394.43</v>
      </c>
      <c r="V197" s="366">
        <v>443.44</v>
      </c>
      <c r="W197" s="366">
        <v>206.38</v>
      </c>
      <c r="X197" s="366">
        <v>206.38</v>
      </c>
      <c r="Y197" s="366">
        <v>206.38</v>
      </c>
      <c r="Z197" s="366">
        <v>481.18</v>
      </c>
      <c r="AA197" s="366">
        <v>280.56</v>
      </c>
      <c r="AB197" s="366">
        <v>50.01</v>
      </c>
      <c r="AC197" s="366">
        <v>42.14</v>
      </c>
      <c r="AD197" s="366">
        <v>42.14</v>
      </c>
      <c r="AE197" s="366">
        <v>328.49</v>
      </c>
      <c r="AF197" s="366">
        <v>300.13</v>
      </c>
      <c r="AG197" s="366">
        <v>207.9</v>
      </c>
      <c r="AH197" s="366">
        <v>148.44999999999999</v>
      </c>
      <c r="AI197" s="366">
        <v>148.44999999999999</v>
      </c>
      <c r="AJ197" s="366">
        <v>148.44999999999999</v>
      </c>
      <c r="AK197" s="366">
        <v>503.38</v>
      </c>
      <c r="AL197" s="366">
        <v>503.38</v>
      </c>
      <c r="AM197" s="366">
        <v>52.73</v>
      </c>
      <c r="AN197" s="366">
        <v>313.22000000000003</v>
      </c>
      <c r="AO197" s="366">
        <v>293.51</v>
      </c>
      <c r="AP197" s="366">
        <v>39.18</v>
      </c>
      <c r="AQ197" s="366">
        <v>435.36</v>
      </c>
      <c r="AR197" s="366">
        <v>327.41000000000003</v>
      </c>
      <c r="AS197" s="366">
        <v>294.55</v>
      </c>
      <c r="AT197" s="366">
        <v>294.55</v>
      </c>
      <c r="AU197" s="366">
        <v>358.3</v>
      </c>
      <c r="AV197" s="366">
        <v>425.48</v>
      </c>
      <c r="AW197" s="366">
        <v>250.21</v>
      </c>
      <c r="AX197" s="366">
        <v>132.91</v>
      </c>
      <c r="AY197" s="366">
        <v>636.65</v>
      </c>
      <c r="AZ197" s="366">
        <v>447.24</v>
      </c>
      <c r="BA197" s="366">
        <v>255.74</v>
      </c>
      <c r="BB197" s="366">
        <v>639.54</v>
      </c>
      <c r="BC197" s="366">
        <v>197.8</v>
      </c>
      <c r="BD197" s="366">
        <v>107.57</v>
      </c>
      <c r="BE197" s="366">
        <v>447.5</v>
      </c>
      <c r="BF197" s="366">
        <v>46.98</v>
      </c>
      <c r="BG197" s="366">
        <v>488.73</v>
      </c>
      <c r="BH197" s="366">
        <v>354.05</v>
      </c>
      <c r="BI197" s="366">
        <v>327.44</v>
      </c>
      <c r="BJ197" s="366">
        <v>426.85</v>
      </c>
      <c r="BK197" s="366">
        <v>515.02</v>
      </c>
      <c r="BL197" s="366">
        <v>362.07</v>
      </c>
      <c r="BM197" s="366">
        <v>338.86</v>
      </c>
      <c r="BN197" s="366">
        <v>320.75</v>
      </c>
      <c r="BO197" s="366">
        <v>557.22</v>
      </c>
      <c r="BP197" s="366">
        <v>523.08000000000004</v>
      </c>
      <c r="BQ197" s="366">
        <v>123.1</v>
      </c>
      <c r="BR197" s="366">
        <v>123.1</v>
      </c>
      <c r="BS197" s="366">
        <v>454.81</v>
      </c>
      <c r="BT197" s="366">
        <v>319.36</v>
      </c>
      <c r="BU197" s="366">
        <v>30.51</v>
      </c>
      <c r="BV197" s="366">
        <v>50.13</v>
      </c>
      <c r="BW197" s="366">
        <v>417.59</v>
      </c>
      <c r="BX197" s="366">
        <v>395.9</v>
      </c>
      <c r="BY197" s="366">
        <v>470.92</v>
      </c>
      <c r="BZ197" s="366">
        <v>470.92</v>
      </c>
      <c r="CA197" s="366">
        <v>211.41</v>
      </c>
      <c r="CB197" s="366">
        <v>414.33</v>
      </c>
      <c r="CC197" s="366">
        <v>154.75</v>
      </c>
      <c r="CD197" s="366">
        <v>168.23</v>
      </c>
      <c r="CE197" s="366">
        <v>498.25</v>
      </c>
      <c r="CF197" s="366">
        <v>298.86</v>
      </c>
      <c r="CG197" s="366">
        <v>298.86</v>
      </c>
      <c r="CH197" s="366">
        <v>108.1</v>
      </c>
      <c r="CI197" s="366">
        <v>227.25</v>
      </c>
      <c r="CJ197" s="366">
        <v>309.81</v>
      </c>
      <c r="CK197" s="366">
        <v>476.01</v>
      </c>
      <c r="CL197" s="366">
        <v>372.09</v>
      </c>
      <c r="CM197" s="366">
        <v>144.08000000000001</v>
      </c>
      <c r="CN197" s="366">
        <v>376.22</v>
      </c>
      <c r="CO197" s="366">
        <v>326.02</v>
      </c>
      <c r="CP197" s="366">
        <v>129.79</v>
      </c>
      <c r="CQ197" s="366">
        <v>129.79</v>
      </c>
      <c r="CR197" s="366">
        <v>277.33999999999997</v>
      </c>
      <c r="CS197" s="366">
        <v>277.33999999999997</v>
      </c>
      <c r="CT197" s="366">
        <v>267.89999999999998</v>
      </c>
      <c r="CU197" s="366">
        <v>275.77</v>
      </c>
      <c r="CV197" s="366">
        <v>269.72000000000003</v>
      </c>
      <c r="CW197" s="366">
        <v>443.44</v>
      </c>
      <c r="CX197" s="366">
        <v>149.44999999999999</v>
      </c>
      <c r="CY197" s="366">
        <v>190.5</v>
      </c>
      <c r="CZ197" s="366">
        <v>211.74</v>
      </c>
      <c r="DA197" s="366">
        <v>538.99</v>
      </c>
      <c r="DB197" s="366">
        <v>422.83</v>
      </c>
      <c r="DC197" s="366">
        <v>422.83</v>
      </c>
      <c r="DD197" s="366">
        <v>193.54</v>
      </c>
      <c r="DE197" s="366">
        <v>616.62</v>
      </c>
      <c r="DF197" s="366">
        <v>463.28</v>
      </c>
      <c r="DG197" s="366">
        <v>197.6</v>
      </c>
      <c r="DH197" s="366">
        <v>679.18</v>
      </c>
      <c r="DI197" s="366">
        <v>164.68</v>
      </c>
      <c r="DJ197" s="366">
        <v>227.94</v>
      </c>
      <c r="DK197" s="366">
        <v>358.32</v>
      </c>
      <c r="DL197" s="366">
        <v>24.51</v>
      </c>
      <c r="DM197" s="366">
        <v>466.2</v>
      </c>
      <c r="DN197" s="366">
        <v>179.44</v>
      </c>
      <c r="DO197" s="366">
        <v>384.89</v>
      </c>
      <c r="DP197" s="366">
        <v>155.22999999999999</v>
      </c>
      <c r="DQ197" s="366">
        <v>428.93</v>
      </c>
      <c r="DR197" s="366">
        <v>679.18</v>
      </c>
      <c r="DS197" s="366">
        <v>326.92</v>
      </c>
      <c r="DT197" s="366">
        <v>315.20999999999998</v>
      </c>
      <c r="DU197" s="366">
        <v>569.33000000000004</v>
      </c>
      <c r="DV197" s="366">
        <v>507.02</v>
      </c>
      <c r="DW197" s="366">
        <v>310.97000000000003</v>
      </c>
      <c r="DX197" s="366">
        <v>403.91</v>
      </c>
      <c r="DY197" s="366">
        <v>477.3</v>
      </c>
      <c r="DZ197" s="366">
        <v>203.02</v>
      </c>
      <c r="EA197" s="366">
        <v>309.69</v>
      </c>
      <c r="EB197" s="366">
        <v>471.3</v>
      </c>
      <c r="EC197" s="366">
        <v>329.63</v>
      </c>
      <c r="ED197" s="366">
        <v>194.45</v>
      </c>
      <c r="EE197" s="366">
        <v>205.24</v>
      </c>
      <c r="EF197" s="366">
        <v>45.46</v>
      </c>
      <c r="EG197" s="366">
        <v>250.21</v>
      </c>
      <c r="EH197" s="366">
        <v>250.21</v>
      </c>
      <c r="EI197" s="366">
        <v>168.7</v>
      </c>
      <c r="EJ197" s="366">
        <v>667.24</v>
      </c>
      <c r="EK197" s="366">
        <v>279.93</v>
      </c>
      <c r="EL197" s="366">
        <v>279.93</v>
      </c>
      <c r="EM197" s="366">
        <v>374.04</v>
      </c>
      <c r="EN197" s="366">
        <v>374.04</v>
      </c>
      <c r="EO197" s="366">
        <v>52.73</v>
      </c>
      <c r="EP197" s="366">
        <v>93.69</v>
      </c>
      <c r="EQ197" s="366">
        <v>258.41000000000003</v>
      </c>
      <c r="ER197" s="366">
        <v>364.47</v>
      </c>
      <c r="ES197" s="366">
        <v>478.52</v>
      </c>
      <c r="ET197" s="366">
        <v>105.13</v>
      </c>
      <c r="EU197" s="366">
        <v>414.92</v>
      </c>
      <c r="EV197" s="366">
        <v>206.38</v>
      </c>
      <c r="EW197" s="366">
        <v>168.08</v>
      </c>
      <c r="EX197" s="366">
        <v>455.26</v>
      </c>
      <c r="EY197" s="366">
        <v>455.26</v>
      </c>
      <c r="EZ197" s="366">
        <v>418.58</v>
      </c>
      <c r="FA197" s="366">
        <v>371.21</v>
      </c>
      <c r="FB197" s="366">
        <v>342.62</v>
      </c>
      <c r="FC197" s="366">
        <v>424.05</v>
      </c>
      <c r="FD197" s="366">
        <v>279.24</v>
      </c>
      <c r="FE197" s="366">
        <v>172.53</v>
      </c>
      <c r="FF197" s="366">
        <v>214.79</v>
      </c>
      <c r="FG197" s="366">
        <v>246.78</v>
      </c>
      <c r="FH197" s="366">
        <v>246.78</v>
      </c>
      <c r="FI197" s="366">
        <v>187.25</v>
      </c>
      <c r="FJ197" s="366">
        <v>193.04</v>
      </c>
      <c r="FK197" s="366">
        <v>506.26</v>
      </c>
      <c r="FL197" s="366">
        <v>504.45</v>
      </c>
      <c r="FM197" s="366">
        <v>52.73</v>
      </c>
      <c r="FN197" s="366">
        <v>237.13</v>
      </c>
      <c r="FO197" s="366">
        <v>318.06</v>
      </c>
      <c r="FP197" s="366">
        <v>456.4</v>
      </c>
      <c r="FQ197" s="366">
        <v>321.93</v>
      </c>
      <c r="FR197" s="366">
        <v>387.34</v>
      </c>
      <c r="FS197" s="366">
        <v>215.5</v>
      </c>
      <c r="FT197" s="366">
        <v>243.1</v>
      </c>
      <c r="FU197" s="366">
        <v>239.64</v>
      </c>
      <c r="FV197" s="366">
        <v>478.82</v>
      </c>
      <c r="FW197" s="366">
        <v>478.82</v>
      </c>
      <c r="FX197" s="366">
        <v>478.82</v>
      </c>
      <c r="FY197" s="366">
        <v>320.35000000000002</v>
      </c>
      <c r="FZ197" s="366">
        <v>195.4</v>
      </c>
      <c r="GA197" s="366">
        <v>447.5</v>
      </c>
      <c r="GB197" s="366">
        <v>253.97</v>
      </c>
      <c r="GC197" s="366">
        <v>194.45</v>
      </c>
      <c r="GD197" s="366">
        <v>378</v>
      </c>
      <c r="GE197" s="366">
        <v>267.8</v>
      </c>
      <c r="GF197" s="366">
        <v>253.17</v>
      </c>
      <c r="GG197" s="366">
        <v>253.17</v>
      </c>
      <c r="GH197" s="366">
        <v>495.95</v>
      </c>
      <c r="GI197" s="366">
        <v>52.89</v>
      </c>
      <c r="GJ197" s="366">
        <v>52.73</v>
      </c>
      <c r="GK197" s="366">
        <v>502.81</v>
      </c>
      <c r="GL197" s="366">
        <v>182.37</v>
      </c>
      <c r="GM197" s="366">
        <v>182.37</v>
      </c>
      <c r="GN197" s="366">
        <v>182.37</v>
      </c>
      <c r="GO197" s="366">
        <v>0</v>
      </c>
      <c r="GP197" s="366">
        <v>452.91</v>
      </c>
      <c r="GQ197" s="366">
        <v>548.52</v>
      </c>
      <c r="GR197" s="366">
        <v>70.63</v>
      </c>
      <c r="GS197" s="366">
        <v>70.67</v>
      </c>
      <c r="GT197" s="366">
        <v>250.21</v>
      </c>
      <c r="GU197" s="366">
        <v>313.2</v>
      </c>
      <c r="GV197" s="366">
        <v>674.43</v>
      </c>
      <c r="GW197" s="366">
        <v>198.09</v>
      </c>
      <c r="GX197" s="366">
        <v>246.78</v>
      </c>
      <c r="GY197" s="366">
        <v>147.47999999999999</v>
      </c>
      <c r="GZ197" s="366">
        <v>278.95999999999998</v>
      </c>
      <c r="HA197" s="366">
        <v>323.47000000000003</v>
      </c>
      <c r="HB197" s="366">
        <v>323.47000000000003</v>
      </c>
      <c r="HC197" s="366">
        <v>323.47000000000003</v>
      </c>
      <c r="HD197" s="366">
        <v>166.73</v>
      </c>
      <c r="HE197" s="366">
        <v>367.89</v>
      </c>
      <c r="HF197" s="366">
        <v>324.18</v>
      </c>
      <c r="HG197" s="366">
        <v>451.83</v>
      </c>
      <c r="HH197" s="366">
        <v>451.83</v>
      </c>
      <c r="HI197" s="366">
        <v>451.83</v>
      </c>
      <c r="HJ197" s="366">
        <v>232.3</v>
      </c>
      <c r="HK197" s="366">
        <v>176.83</v>
      </c>
      <c r="HL197" s="366">
        <v>387.43</v>
      </c>
      <c r="HM197" s="366">
        <v>50.01</v>
      </c>
      <c r="HN197" s="366">
        <v>52.73</v>
      </c>
      <c r="HO197" s="366">
        <v>448.12</v>
      </c>
      <c r="HP197" s="366">
        <v>279.68</v>
      </c>
      <c r="HQ197" s="366">
        <v>478.82</v>
      </c>
      <c r="HR197" s="366">
        <v>300.13</v>
      </c>
      <c r="HS197" s="366">
        <v>48.98</v>
      </c>
      <c r="HT197" s="366">
        <v>92.06</v>
      </c>
      <c r="HU197" s="366">
        <v>126.58</v>
      </c>
      <c r="HV197" s="366">
        <v>186.91</v>
      </c>
    </row>
    <row r="198" spans="1:230">
      <c r="A198" s="366" t="s">
        <v>216</v>
      </c>
      <c r="B198" s="366">
        <v>859.99</v>
      </c>
      <c r="C198" s="366">
        <v>405.45</v>
      </c>
      <c r="D198" s="366">
        <v>306.22000000000003</v>
      </c>
      <c r="E198" s="366">
        <v>306.22000000000003</v>
      </c>
      <c r="F198" s="366">
        <v>923.89</v>
      </c>
      <c r="G198" s="366">
        <v>731.46</v>
      </c>
      <c r="H198" s="366">
        <v>349.84</v>
      </c>
      <c r="I198" s="366">
        <v>350.51</v>
      </c>
      <c r="J198" s="366">
        <v>373.62</v>
      </c>
      <c r="K198" s="366">
        <v>373.62</v>
      </c>
      <c r="L198" s="366">
        <v>296.83</v>
      </c>
      <c r="M198" s="366">
        <v>430.87</v>
      </c>
      <c r="N198" s="366">
        <v>481.18</v>
      </c>
      <c r="O198" s="366">
        <v>193.8</v>
      </c>
      <c r="P198" s="366">
        <v>193.8</v>
      </c>
      <c r="Q198" s="366">
        <v>193.8</v>
      </c>
      <c r="R198" s="366">
        <v>193.8</v>
      </c>
      <c r="S198" s="366">
        <v>193.8</v>
      </c>
      <c r="T198" s="366">
        <v>425.01</v>
      </c>
      <c r="U198" s="366">
        <v>839.5</v>
      </c>
      <c r="V198" s="366">
        <v>9.4700000000000006</v>
      </c>
      <c r="W198" s="366">
        <v>568.37</v>
      </c>
      <c r="X198" s="366">
        <v>568.37</v>
      </c>
      <c r="Y198" s="366">
        <v>568.37</v>
      </c>
      <c r="Z198" s="366">
        <v>296.33999999999997</v>
      </c>
      <c r="AA198" s="366">
        <v>725.63</v>
      </c>
      <c r="AB198" s="366">
        <v>484.75</v>
      </c>
      <c r="AC198" s="366">
        <v>487.21</v>
      </c>
      <c r="AD198" s="366">
        <v>487.21</v>
      </c>
      <c r="AE198" s="366">
        <v>255.32</v>
      </c>
      <c r="AF198" s="366">
        <v>745.2</v>
      </c>
      <c r="AG198" s="366">
        <v>569.89</v>
      </c>
      <c r="AH198" s="366">
        <v>304.45999999999998</v>
      </c>
      <c r="AI198" s="366">
        <v>304.45999999999998</v>
      </c>
      <c r="AJ198" s="366">
        <v>304.45999999999998</v>
      </c>
      <c r="AK198" s="366">
        <v>318.54000000000002</v>
      </c>
      <c r="AL198" s="366">
        <v>318.54000000000002</v>
      </c>
      <c r="AM198" s="366">
        <v>487.47</v>
      </c>
      <c r="AN198" s="366">
        <v>234.63</v>
      </c>
      <c r="AO198" s="366">
        <v>738.58</v>
      </c>
      <c r="AP198" s="366">
        <v>413.73</v>
      </c>
      <c r="AQ198" s="366">
        <v>880.43</v>
      </c>
      <c r="AR198" s="366">
        <v>436.39</v>
      </c>
      <c r="AS198" s="366">
        <v>221.38</v>
      </c>
      <c r="AT198" s="366">
        <v>221.38</v>
      </c>
      <c r="AU198" s="366">
        <v>94.61</v>
      </c>
      <c r="AV198" s="366">
        <v>870.55</v>
      </c>
      <c r="AW198" s="366">
        <v>417.94</v>
      </c>
      <c r="AX198" s="366">
        <v>371.11</v>
      </c>
      <c r="AY198" s="366">
        <v>516.89</v>
      </c>
      <c r="AZ198" s="366">
        <v>374.07</v>
      </c>
      <c r="BA198" s="366">
        <v>700.81</v>
      </c>
      <c r="BB198" s="366">
        <v>519.78</v>
      </c>
      <c r="BC198" s="366">
        <v>642.87</v>
      </c>
      <c r="BD198" s="366">
        <v>552.64</v>
      </c>
      <c r="BE198" s="366">
        <v>5.41</v>
      </c>
      <c r="BF198" s="366">
        <v>481.72</v>
      </c>
      <c r="BG198" s="366">
        <v>303.89</v>
      </c>
      <c r="BH198" s="366">
        <v>193.8</v>
      </c>
      <c r="BI198" s="366">
        <v>436.42</v>
      </c>
      <c r="BJ198" s="366">
        <v>242.01</v>
      </c>
      <c r="BK198" s="366">
        <v>441.85</v>
      </c>
      <c r="BL198" s="366">
        <v>299.22000000000003</v>
      </c>
      <c r="BM198" s="366">
        <v>322.43</v>
      </c>
      <c r="BN198" s="366">
        <v>765.82</v>
      </c>
      <c r="BO198" s="366">
        <v>484.05</v>
      </c>
      <c r="BP198" s="366">
        <v>449.91</v>
      </c>
      <c r="BQ198" s="366">
        <v>329.81</v>
      </c>
      <c r="BR198" s="366">
        <v>329.81</v>
      </c>
      <c r="BS198" s="366">
        <v>381.64</v>
      </c>
      <c r="BT198" s="366">
        <v>420.85</v>
      </c>
      <c r="BU198" s="366">
        <v>465.25</v>
      </c>
      <c r="BV198" s="366">
        <v>484.87</v>
      </c>
      <c r="BW198" s="366">
        <v>62.68</v>
      </c>
      <c r="BX198" s="366">
        <v>322.73</v>
      </c>
      <c r="BY198" s="366">
        <v>18.010000000000002</v>
      </c>
      <c r="BZ198" s="366">
        <v>18.010000000000002</v>
      </c>
      <c r="CA198" s="366">
        <v>449.88</v>
      </c>
      <c r="CB198" s="366">
        <v>341.16</v>
      </c>
      <c r="CC198" s="366">
        <v>342.28</v>
      </c>
      <c r="CD198" s="366">
        <v>344.68</v>
      </c>
      <c r="CE198" s="366">
        <v>425.08</v>
      </c>
      <c r="CF198" s="366">
        <v>743.93</v>
      </c>
      <c r="CG198" s="366">
        <v>743.93</v>
      </c>
      <c r="CH198" s="366">
        <v>344.81</v>
      </c>
      <c r="CI198" s="366">
        <v>247.72</v>
      </c>
      <c r="CJ198" s="366">
        <v>754.88</v>
      </c>
      <c r="CK198" s="366">
        <v>23.1</v>
      </c>
      <c r="CL198" s="366">
        <v>108.4</v>
      </c>
      <c r="CM198" s="366">
        <v>589.15</v>
      </c>
      <c r="CN198" s="366">
        <v>191.38</v>
      </c>
      <c r="CO198" s="366">
        <v>435</v>
      </c>
      <c r="CP198" s="366">
        <v>323.12</v>
      </c>
      <c r="CQ198" s="366">
        <v>323.12</v>
      </c>
      <c r="CR198" s="366">
        <v>387.4</v>
      </c>
      <c r="CS198" s="366">
        <v>387.4</v>
      </c>
      <c r="CT198" s="366">
        <v>396.84</v>
      </c>
      <c r="CU198" s="366">
        <v>388.97</v>
      </c>
      <c r="CV198" s="366">
        <v>391.57</v>
      </c>
      <c r="CW198" s="366">
        <v>9.4700000000000006</v>
      </c>
      <c r="CX198" s="366">
        <v>361.35</v>
      </c>
      <c r="CY198" s="366">
        <v>635.57000000000005</v>
      </c>
      <c r="CZ198" s="366">
        <v>656.81</v>
      </c>
      <c r="DA198" s="366">
        <v>419.23</v>
      </c>
      <c r="DB198" s="366">
        <v>237.99</v>
      </c>
      <c r="DC198" s="366">
        <v>237.99</v>
      </c>
      <c r="DD198" s="366">
        <v>555.53</v>
      </c>
      <c r="DE198" s="366">
        <v>496.86</v>
      </c>
      <c r="DF198" s="366">
        <v>908.35</v>
      </c>
      <c r="DG198" s="366">
        <v>277.37</v>
      </c>
      <c r="DH198" s="366">
        <v>559.41999999999996</v>
      </c>
      <c r="DI198" s="366">
        <v>609.75</v>
      </c>
      <c r="DJ198" s="366">
        <v>673.01</v>
      </c>
      <c r="DK198" s="366">
        <v>285.14999999999998</v>
      </c>
      <c r="DL198" s="366">
        <v>471.25</v>
      </c>
      <c r="DM198" s="366">
        <v>393.03</v>
      </c>
      <c r="DN198" s="366">
        <v>624.51</v>
      </c>
      <c r="DO198" s="366">
        <v>311.72000000000003</v>
      </c>
      <c r="DP198" s="366">
        <v>517.22</v>
      </c>
      <c r="DQ198" s="366">
        <v>44.9</v>
      </c>
      <c r="DR198" s="366">
        <v>559.41999999999996</v>
      </c>
      <c r="DS198" s="366">
        <v>412.87</v>
      </c>
      <c r="DT198" s="366">
        <v>401.16</v>
      </c>
      <c r="DU198" s="366">
        <v>388.89</v>
      </c>
      <c r="DV198" s="366">
        <v>322.18</v>
      </c>
      <c r="DW198" s="366">
        <v>237.8</v>
      </c>
      <c r="DX198" s="366">
        <v>49</v>
      </c>
      <c r="DY198" s="366">
        <v>24.39</v>
      </c>
      <c r="DZ198" s="366">
        <v>565.20000000000005</v>
      </c>
      <c r="EA198" s="366">
        <v>418.67</v>
      </c>
      <c r="EB198" s="366">
        <v>18.39</v>
      </c>
      <c r="EC198" s="366">
        <v>331.66</v>
      </c>
      <c r="ED198" s="366">
        <v>639.52</v>
      </c>
      <c r="EE198" s="366">
        <v>650.30999999999995</v>
      </c>
      <c r="EF198" s="366">
        <v>407.45</v>
      </c>
      <c r="EG198" s="366">
        <v>417.94</v>
      </c>
      <c r="EH198" s="366">
        <v>417.94</v>
      </c>
      <c r="EI198" s="366">
        <v>328.33</v>
      </c>
      <c r="EJ198" s="366">
        <v>594.07000000000005</v>
      </c>
      <c r="EK198" s="366">
        <v>206.76</v>
      </c>
      <c r="EL198" s="366">
        <v>206.76</v>
      </c>
      <c r="EM198" s="366">
        <v>141.63999999999999</v>
      </c>
      <c r="EN198" s="366">
        <v>141.63999999999999</v>
      </c>
      <c r="EO198" s="366">
        <v>487.47</v>
      </c>
      <c r="EP198" s="366">
        <v>410.33</v>
      </c>
      <c r="EQ198" s="366">
        <v>406.33</v>
      </c>
      <c r="ER198" s="366">
        <v>809.54</v>
      </c>
      <c r="ES198" s="366">
        <v>405.35</v>
      </c>
      <c r="ET198" s="366">
        <v>347.78</v>
      </c>
      <c r="EU198" s="366">
        <v>859.99</v>
      </c>
      <c r="EV198" s="366">
        <v>568.37</v>
      </c>
      <c r="EW198" s="366">
        <v>329.25</v>
      </c>
      <c r="EX198" s="366">
        <v>382.09</v>
      </c>
      <c r="EY198" s="366">
        <v>382.09</v>
      </c>
      <c r="EZ198" s="366">
        <v>162.16</v>
      </c>
      <c r="FA198" s="366">
        <v>107.52</v>
      </c>
      <c r="FB198" s="366">
        <v>269.45</v>
      </c>
      <c r="FC198" s="366">
        <v>69.14</v>
      </c>
      <c r="FD198" s="366">
        <v>234.89</v>
      </c>
      <c r="FE198" s="366">
        <v>332.16</v>
      </c>
      <c r="FF198" s="366">
        <v>307.33999999999997</v>
      </c>
      <c r="FG198" s="366">
        <v>691.85</v>
      </c>
      <c r="FH198" s="366">
        <v>691.85</v>
      </c>
      <c r="FI198" s="366">
        <v>549.24</v>
      </c>
      <c r="FJ198" s="366">
        <v>555.03</v>
      </c>
      <c r="FK198" s="366">
        <v>433.09</v>
      </c>
      <c r="FL198" s="366">
        <v>431.28</v>
      </c>
      <c r="FM198" s="366">
        <v>487.47</v>
      </c>
      <c r="FN198" s="366">
        <v>599.12</v>
      </c>
      <c r="FO198" s="366">
        <v>427.04</v>
      </c>
      <c r="FP198" s="366">
        <v>3.49</v>
      </c>
      <c r="FQ198" s="366">
        <v>430.91</v>
      </c>
      <c r="FR198" s="366">
        <v>314.17</v>
      </c>
      <c r="FS198" s="366">
        <v>237.41</v>
      </c>
      <c r="FT198" s="366">
        <v>688.17</v>
      </c>
      <c r="FU198" s="366">
        <v>235.33</v>
      </c>
      <c r="FV198" s="366">
        <v>923.89</v>
      </c>
      <c r="FW198" s="366">
        <v>923.89</v>
      </c>
      <c r="FX198" s="366">
        <v>923.89</v>
      </c>
      <c r="FY198" s="366">
        <v>132.56</v>
      </c>
      <c r="FZ198" s="366">
        <v>322.07</v>
      </c>
      <c r="GA198" s="366">
        <v>5.41</v>
      </c>
      <c r="GB198" s="366">
        <v>275.88</v>
      </c>
      <c r="GC198" s="366">
        <v>639.52</v>
      </c>
      <c r="GD198" s="366">
        <v>304.83</v>
      </c>
      <c r="GE198" s="366">
        <v>396.94</v>
      </c>
      <c r="GF198" s="366">
        <v>221.8</v>
      </c>
      <c r="GG198" s="366">
        <v>221.8</v>
      </c>
      <c r="GH198" s="366">
        <v>43.04</v>
      </c>
      <c r="GI198" s="366">
        <v>487.63</v>
      </c>
      <c r="GJ198" s="366">
        <v>487.47</v>
      </c>
      <c r="GK198" s="366">
        <v>429.64</v>
      </c>
      <c r="GL198" s="366">
        <v>314.66000000000003</v>
      </c>
      <c r="GM198" s="366">
        <v>314.66000000000003</v>
      </c>
      <c r="GN198" s="366">
        <v>314.66000000000003</v>
      </c>
      <c r="GO198" s="366">
        <v>452.91</v>
      </c>
      <c r="GP198" s="366">
        <v>0</v>
      </c>
      <c r="GQ198" s="366">
        <v>475.35</v>
      </c>
      <c r="GR198" s="366">
        <v>515.70000000000005</v>
      </c>
      <c r="GS198" s="366">
        <v>382.24</v>
      </c>
      <c r="GT198" s="366">
        <v>417.94</v>
      </c>
      <c r="GU198" s="366">
        <v>240.03</v>
      </c>
      <c r="GV198" s="366">
        <v>601.26</v>
      </c>
      <c r="GW198" s="366">
        <v>290.64</v>
      </c>
      <c r="GX198" s="366">
        <v>414.51</v>
      </c>
      <c r="GY198" s="366">
        <v>305.43</v>
      </c>
      <c r="GZ198" s="366">
        <v>234.61</v>
      </c>
      <c r="HA198" s="366">
        <v>432.45</v>
      </c>
      <c r="HB198" s="366">
        <v>432.45</v>
      </c>
      <c r="HC198" s="366">
        <v>432.45</v>
      </c>
      <c r="HD198" s="366">
        <v>601.49</v>
      </c>
      <c r="HE198" s="366">
        <v>135.49</v>
      </c>
      <c r="HF198" s="366">
        <v>172.63</v>
      </c>
      <c r="HG198" s="366">
        <v>266.99</v>
      </c>
      <c r="HH198" s="366">
        <v>266.99</v>
      </c>
      <c r="HI198" s="366">
        <v>266.99</v>
      </c>
      <c r="HJ198" s="366">
        <v>242.67</v>
      </c>
      <c r="HK198" s="366">
        <v>490.43</v>
      </c>
      <c r="HL198" s="366">
        <v>160.41999999999999</v>
      </c>
      <c r="HM198" s="366">
        <v>484.75</v>
      </c>
      <c r="HN198" s="366">
        <v>487.47</v>
      </c>
      <c r="HO198" s="366">
        <v>893.19</v>
      </c>
      <c r="HP198" s="366">
        <v>235.33</v>
      </c>
      <c r="HQ198" s="366">
        <v>923.89</v>
      </c>
      <c r="HR198" s="366">
        <v>745.2</v>
      </c>
      <c r="HS198" s="366">
        <v>483.72</v>
      </c>
      <c r="HT198" s="366">
        <v>366.04</v>
      </c>
      <c r="HU198" s="366">
        <v>333.29</v>
      </c>
      <c r="HV198" s="366">
        <v>351.61</v>
      </c>
    </row>
    <row r="199" spans="1:230">
      <c r="A199" s="366" t="s">
        <v>217</v>
      </c>
      <c r="B199" s="366">
        <v>936.39</v>
      </c>
      <c r="C199" s="366">
        <v>227.14</v>
      </c>
      <c r="D199" s="366">
        <v>265.99</v>
      </c>
      <c r="E199" s="366">
        <v>265.99</v>
      </c>
      <c r="F199" s="366">
        <v>1000.29</v>
      </c>
      <c r="G199" s="366">
        <v>736.8</v>
      </c>
      <c r="H199" s="366">
        <v>309.61</v>
      </c>
      <c r="I199" s="366">
        <v>446.12</v>
      </c>
      <c r="J199" s="366">
        <v>333.39</v>
      </c>
      <c r="K199" s="366">
        <v>333.39</v>
      </c>
      <c r="L199" s="366">
        <v>248.08</v>
      </c>
      <c r="M199" s="366">
        <v>252.56</v>
      </c>
      <c r="N199" s="366">
        <v>349.46</v>
      </c>
      <c r="O199" s="366">
        <v>410.95</v>
      </c>
      <c r="P199" s="366">
        <v>410.95</v>
      </c>
      <c r="Q199" s="366">
        <v>410.95</v>
      </c>
      <c r="R199" s="366">
        <v>410.95</v>
      </c>
      <c r="S199" s="366">
        <v>410.95</v>
      </c>
      <c r="T199" s="366">
        <v>520.62</v>
      </c>
      <c r="U199" s="366">
        <v>844.84</v>
      </c>
      <c r="V199" s="366">
        <v>465.88</v>
      </c>
      <c r="W199" s="366">
        <v>546.98</v>
      </c>
      <c r="X199" s="366">
        <v>546.98</v>
      </c>
      <c r="Y199" s="366">
        <v>546.98</v>
      </c>
      <c r="Z199" s="366">
        <v>410.4</v>
      </c>
      <c r="AA199" s="366">
        <v>730.97</v>
      </c>
      <c r="AB199" s="366">
        <v>580.36</v>
      </c>
      <c r="AC199" s="366">
        <v>582.82000000000005</v>
      </c>
      <c r="AD199" s="366">
        <v>582.82000000000005</v>
      </c>
      <c r="AE199" s="366">
        <v>316.89</v>
      </c>
      <c r="AF199" s="366">
        <v>750.54</v>
      </c>
      <c r="AG199" s="366">
        <v>548.5</v>
      </c>
      <c r="AH199" s="366">
        <v>400.07</v>
      </c>
      <c r="AI199" s="366">
        <v>400.07</v>
      </c>
      <c r="AJ199" s="366">
        <v>400.07</v>
      </c>
      <c r="AK199" s="366">
        <v>393.16</v>
      </c>
      <c r="AL199" s="366">
        <v>393.16</v>
      </c>
      <c r="AM199" s="366">
        <v>583.08000000000004</v>
      </c>
      <c r="AN199" s="366">
        <v>370.12</v>
      </c>
      <c r="AO199" s="366">
        <v>753.41</v>
      </c>
      <c r="AP199" s="366">
        <v>509.34</v>
      </c>
      <c r="AQ199" s="366">
        <v>956.83</v>
      </c>
      <c r="AR199" s="366">
        <v>396.16</v>
      </c>
      <c r="AS199" s="366">
        <v>253.97</v>
      </c>
      <c r="AT199" s="366">
        <v>253.97</v>
      </c>
      <c r="AU199" s="366">
        <v>380.74</v>
      </c>
      <c r="AV199" s="366">
        <v>875.89</v>
      </c>
      <c r="AW199" s="366">
        <v>377.71</v>
      </c>
      <c r="AX199" s="366">
        <v>466.72</v>
      </c>
      <c r="AY199" s="366">
        <v>385.17</v>
      </c>
      <c r="AZ199" s="366">
        <v>195.76</v>
      </c>
      <c r="BA199" s="366">
        <v>796.42</v>
      </c>
      <c r="BB199" s="366">
        <v>388.06</v>
      </c>
      <c r="BC199" s="366">
        <v>738.48</v>
      </c>
      <c r="BD199" s="366">
        <v>648.25</v>
      </c>
      <c r="BE199" s="366">
        <v>469.94</v>
      </c>
      <c r="BF199" s="366">
        <v>577.33000000000004</v>
      </c>
      <c r="BG199" s="366">
        <v>406.92</v>
      </c>
      <c r="BH199" s="366">
        <v>410.95</v>
      </c>
      <c r="BI199" s="366">
        <v>396.19</v>
      </c>
      <c r="BJ199" s="366">
        <v>449.29</v>
      </c>
      <c r="BK199" s="366">
        <v>33.5</v>
      </c>
      <c r="BL199" s="366">
        <v>272.99</v>
      </c>
      <c r="BM199" s="366">
        <v>282.2</v>
      </c>
      <c r="BN199" s="366">
        <v>771.16</v>
      </c>
      <c r="BO199" s="366">
        <v>8.6999999999999993</v>
      </c>
      <c r="BP199" s="366">
        <v>25.44</v>
      </c>
      <c r="BQ199" s="366">
        <v>425.42</v>
      </c>
      <c r="BR199" s="366">
        <v>425.42</v>
      </c>
      <c r="BS199" s="366">
        <v>203.33</v>
      </c>
      <c r="BT199" s="366">
        <v>380.62</v>
      </c>
      <c r="BU199" s="366">
        <v>560.86</v>
      </c>
      <c r="BV199" s="366">
        <v>580.48</v>
      </c>
      <c r="BW199" s="366">
        <v>440.03</v>
      </c>
      <c r="BX199" s="366">
        <v>152.62</v>
      </c>
      <c r="BY199" s="366">
        <v>493.36</v>
      </c>
      <c r="BZ199" s="366">
        <v>493.36</v>
      </c>
      <c r="CA199" s="366">
        <v>409.65</v>
      </c>
      <c r="CB199" s="366">
        <v>134.51</v>
      </c>
      <c r="CC199" s="366">
        <v>437.89</v>
      </c>
      <c r="CD199" s="366">
        <v>440.29</v>
      </c>
      <c r="CE199" s="366">
        <v>50.27</v>
      </c>
      <c r="CF199" s="366">
        <v>749.27</v>
      </c>
      <c r="CG199" s="366">
        <v>749.27</v>
      </c>
      <c r="CH199" s="366">
        <v>440.42</v>
      </c>
      <c r="CI199" s="366">
        <v>353.91</v>
      </c>
      <c r="CJ199" s="366">
        <v>760.22</v>
      </c>
      <c r="CK199" s="366">
        <v>498.45</v>
      </c>
      <c r="CL199" s="366">
        <v>394.53</v>
      </c>
      <c r="CM199" s="366">
        <v>684.76</v>
      </c>
      <c r="CN199" s="366">
        <v>398.66</v>
      </c>
      <c r="CO199" s="366">
        <v>394.77</v>
      </c>
      <c r="CP199" s="366">
        <v>418.73</v>
      </c>
      <c r="CQ199" s="366">
        <v>418.73</v>
      </c>
      <c r="CR199" s="366">
        <v>347.17</v>
      </c>
      <c r="CS199" s="366">
        <v>347.17</v>
      </c>
      <c r="CT199" s="366">
        <v>356.61</v>
      </c>
      <c r="CU199" s="366">
        <v>348.74</v>
      </c>
      <c r="CV199" s="366">
        <v>351.34</v>
      </c>
      <c r="CW199" s="366">
        <v>465.88</v>
      </c>
      <c r="CX199" s="366">
        <v>456.96</v>
      </c>
      <c r="CY199" s="366">
        <v>731.18</v>
      </c>
      <c r="CZ199" s="366">
        <v>752.42</v>
      </c>
      <c r="DA199" s="366">
        <v>287.51</v>
      </c>
      <c r="DB199" s="366">
        <v>445.27</v>
      </c>
      <c r="DC199" s="366">
        <v>445.27</v>
      </c>
      <c r="DD199" s="366">
        <v>534.14</v>
      </c>
      <c r="DE199" s="366">
        <v>365.14</v>
      </c>
      <c r="DF199" s="366">
        <v>984.75</v>
      </c>
      <c r="DG199" s="366">
        <v>383.56</v>
      </c>
      <c r="DH199" s="366">
        <v>427.7</v>
      </c>
      <c r="DI199" s="366">
        <v>615.09</v>
      </c>
      <c r="DJ199" s="366">
        <v>768.62</v>
      </c>
      <c r="DK199" s="366">
        <v>190.2</v>
      </c>
      <c r="DL199" s="366">
        <v>566.86</v>
      </c>
      <c r="DM199" s="366">
        <v>214.72</v>
      </c>
      <c r="DN199" s="366">
        <v>629.85</v>
      </c>
      <c r="DO199" s="366">
        <v>168.2</v>
      </c>
      <c r="DP199" s="366">
        <v>495.83</v>
      </c>
      <c r="DQ199" s="366">
        <v>451.37</v>
      </c>
      <c r="DR199" s="366">
        <v>427.7</v>
      </c>
      <c r="DS199" s="366">
        <v>372.64</v>
      </c>
      <c r="DT199" s="366">
        <v>360.93</v>
      </c>
      <c r="DU199" s="366">
        <v>317.85000000000002</v>
      </c>
      <c r="DV199" s="366">
        <v>384.56</v>
      </c>
      <c r="DW199" s="366">
        <v>237.55</v>
      </c>
      <c r="DX199" s="366">
        <v>426.35</v>
      </c>
      <c r="DY199" s="366">
        <v>499.74</v>
      </c>
      <c r="DZ199" s="366">
        <v>543.80999999999995</v>
      </c>
      <c r="EA199" s="366">
        <v>378.44</v>
      </c>
      <c r="EB199" s="366">
        <v>493.74</v>
      </c>
      <c r="EC199" s="366">
        <v>291.43</v>
      </c>
      <c r="ED199" s="366">
        <v>644.86</v>
      </c>
      <c r="EE199" s="366">
        <v>655.65</v>
      </c>
      <c r="EF199" s="366">
        <v>503.06</v>
      </c>
      <c r="EG199" s="366">
        <v>377.71</v>
      </c>
      <c r="EH199" s="366">
        <v>377.71</v>
      </c>
      <c r="EI199" s="366">
        <v>423.94</v>
      </c>
      <c r="EJ199" s="366">
        <v>118.72</v>
      </c>
      <c r="EK199" s="366">
        <v>302.37</v>
      </c>
      <c r="EL199" s="366">
        <v>302.37</v>
      </c>
      <c r="EM199" s="366">
        <v>396.48</v>
      </c>
      <c r="EN199" s="366">
        <v>396.48</v>
      </c>
      <c r="EO199" s="366">
        <v>583.08000000000004</v>
      </c>
      <c r="EP199" s="366">
        <v>505.94</v>
      </c>
      <c r="EQ199" s="366">
        <v>366.1</v>
      </c>
      <c r="ER199" s="366">
        <v>814.88</v>
      </c>
      <c r="ES199" s="366">
        <v>227.04</v>
      </c>
      <c r="ET199" s="366">
        <v>443.39</v>
      </c>
      <c r="EU199" s="366">
        <v>936.39</v>
      </c>
      <c r="EV199" s="366">
        <v>546.98</v>
      </c>
      <c r="EW199" s="366">
        <v>424.86</v>
      </c>
      <c r="EX199" s="366">
        <v>93.28</v>
      </c>
      <c r="EY199" s="366">
        <v>93.28</v>
      </c>
      <c r="EZ199" s="366">
        <v>448.29</v>
      </c>
      <c r="FA199" s="366">
        <v>393.65</v>
      </c>
      <c r="FB199" s="366">
        <v>205.9</v>
      </c>
      <c r="FC199" s="366">
        <v>446.49</v>
      </c>
      <c r="FD199" s="366">
        <v>336.14</v>
      </c>
      <c r="FE199" s="366">
        <v>427.77</v>
      </c>
      <c r="FF199" s="366">
        <v>402.95</v>
      </c>
      <c r="FG199" s="366">
        <v>787.46</v>
      </c>
      <c r="FH199" s="366">
        <v>787.46</v>
      </c>
      <c r="FI199" s="366">
        <v>527.85</v>
      </c>
      <c r="FJ199" s="366">
        <v>533.64</v>
      </c>
      <c r="FK199" s="366">
        <v>254.78</v>
      </c>
      <c r="FL199" s="366">
        <v>252.97</v>
      </c>
      <c r="FM199" s="366">
        <v>583.08000000000004</v>
      </c>
      <c r="FN199" s="366">
        <v>577.73</v>
      </c>
      <c r="FO199" s="366">
        <v>386.81</v>
      </c>
      <c r="FP199" s="366">
        <v>478.84</v>
      </c>
      <c r="FQ199" s="366">
        <v>390.68</v>
      </c>
      <c r="FR199" s="366">
        <v>265.42</v>
      </c>
      <c r="FS199" s="366">
        <v>333.02</v>
      </c>
      <c r="FT199" s="366">
        <v>783.78</v>
      </c>
      <c r="FU199" s="366">
        <v>341.52</v>
      </c>
      <c r="FV199" s="366">
        <v>1000.29</v>
      </c>
      <c r="FW199" s="366">
        <v>1000.29</v>
      </c>
      <c r="FX199" s="366">
        <v>1000.29</v>
      </c>
      <c r="FY199" s="366">
        <v>342.79</v>
      </c>
      <c r="FZ199" s="366">
        <v>417.68</v>
      </c>
      <c r="GA199" s="366">
        <v>469.94</v>
      </c>
      <c r="GB199" s="366">
        <v>371.49</v>
      </c>
      <c r="GC199" s="366">
        <v>644.86</v>
      </c>
      <c r="GD199" s="366">
        <v>170.52</v>
      </c>
      <c r="GE199" s="366">
        <v>356.71</v>
      </c>
      <c r="GF199" s="366">
        <v>327.99</v>
      </c>
      <c r="GG199" s="366">
        <v>327.99</v>
      </c>
      <c r="GH199" s="366">
        <v>518.39</v>
      </c>
      <c r="GI199" s="366">
        <v>583.24</v>
      </c>
      <c r="GJ199" s="366">
        <v>583.08000000000004</v>
      </c>
      <c r="GK199" s="366">
        <v>251.33</v>
      </c>
      <c r="GL199" s="366">
        <v>410.27</v>
      </c>
      <c r="GM199" s="366">
        <v>410.27</v>
      </c>
      <c r="GN199" s="366">
        <v>410.27</v>
      </c>
      <c r="GO199" s="366">
        <v>548.52</v>
      </c>
      <c r="GP199" s="366">
        <v>475.35</v>
      </c>
      <c r="GQ199" s="366">
        <v>0</v>
      </c>
      <c r="GR199" s="366">
        <v>611.30999999999995</v>
      </c>
      <c r="GS199" s="366">
        <v>477.85</v>
      </c>
      <c r="GT199" s="366">
        <v>377.71</v>
      </c>
      <c r="GU199" s="366">
        <v>335.06</v>
      </c>
      <c r="GV199" s="366">
        <v>125.91</v>
      </c>
      <c r="GW199" s="366">
        <v>386.25</v>
      </c>
      <c r="GX199" s="366">
        <v>374.28</v>
      </c>
      <c r="GY199" s="366">
        <v>401.04</v>
      </c>
      <c r="GZ199" s="366">
        <v>335.86</v>
      </c>
      <c r="HA199" s="366">
        <v>392.22</v>
      </c>
      <c r="HB199" s="366">
        <v>392.22</v>
      </c>
      <c r="HC199" s="366">
        <v>392.22</v>
      </c>
      <c r="HD199" s="366">
        <v>580.1</v>
      </c>
      <c r="HE199" s="366">
        <v>390.33</v>
      </c>
      <c r="HF199" s="366">
        <v>346.62</v>
      </c>
      <c r="HG199" s="366">
        <v>474.27</v>
      </c>
      <c r="HH199" s="366">
        <v>474.27</v>
      </c>
      <c r="HI199" s="366">
        <v>474.27</v>
      </c>
      <c r="HJ199" s="366">
        <v>348.86</v>
      </c>
      <c r="HK199" s="366">
        <v>450.2</v>
      </c>
      <c r="HL199" s="366">
        <v>444.33</v>
      </c>
      <c r="HM199" s="366">
        <v>580.36</v>
      </c>
      <c r="HN199" s="366">
        <v>583.08000000000004</v>
      </c>
      <c r="HO199" s="366">
        <v>904.55</v>
      </c>
      <c r="HP199" s="366">
        <v>336.58</v>
      </c>
      <c r="HQ199" s="366">
        <v>1000.29</v>
      </c>
      <c r="HR199" s="366">
        <v>750.54</v>
      </c>
      <c r="HS199" s="366">
        <v>579.33000000000004</v>
      </c>
      <c r="HT199" s="366">
        <v>461.65</v>
      </c>
      <c r="HU199" s="366">
        <v>428.9</v>
      </c>
      <c r="HV199" s="366">
        <v>447.22</v>
      </c>
    </row>
    <row r="200" spans="1:230">
      <c r="A200" s="366" t="s">
        <v>218</v>
      </c>
      <c r="B200" s="366">
        <v>401.27</v>
      </c>
      <c r="C200" s="366">
        <v>541.41</v>
      </c>
      <c r="D200" s="366">
        <v>410.21</v>
      </c>
      <c r="E200" s="366">
        <v>410.21</v>
      </c>
      <c r="F200" s="366">
        <v>465.17</v>
      </c>
      <c r="G200" s="366">
        <v>215.76</v>
      </c>
      <c r="H200" s="366">
        <v>366.59</v>
      </c>
      <c r="I200" s="366">
        <v>165.19</v>
      </c>
      <c r="J200" s="366">
        <v>342.81</v>
      </c>
      <c r="K200" s="366">
        <v>342.81</v>
      </c>
      <c r="L200" s="366">
        <v>428.12</v>
      </c>
      <c r="M200" s="366">
        <v>566.83000000000004</v>
      </c>
      <c r="N200" s="366">
        <v>663.73</v>
      </c>
      <c r="O200" s="366">
        <v>416.84</v>
      </c>
      <c r="P200" s="366">
        <v>416.84</v>
      </c>
      <c r="Q200" s="366">
        <v>416.84</v>
      </c>
      <c r="R200" s="366">
        <v>416.84</v>
      </c>
      <c r="S200" s="366">
        <v>416.84</v>
      </c>
      <c r="T200" s="366">
        <v>90.69</v>
      </c>
      <c r="U200" s="366">
        <v>323.8</v>
      </c>
      <c r="V200" s="366">
        <v>506.23</v>
      </c>
      <c r="W200" s="366">
        <v>231.52</v>
      </c>
      <c r="X200" s="366">
        <v>231.52</v>
      </c>
      <c r="Y200" s="366">
        <v>231.52</v>
      </c>
      <c r="Z200" s="366">
        <v>543.97</v>
      </c>
      <c r="AA200" s="366">
        <v>209.93</v>
      </c>
      <c r="AB200" s="366">
        <v>60.02</v>
      </c>
      <c r="AC200" s="366">
        <v>28.49</v>
      </c>
      <c r="AD200" s="366">
        <v>28.49</v>
      </c>
      <c r="AE200" s="366">
        <v>391.28</v>
      </c>
      <c r="AF200" s="366">
        <v>229.5</v>
      </c>
      <c r="AG200" s="366">
        <v>263.04000000000002</v>
      </c>
      <c r="AH200" s="366">
        <v>211.24</v>
      </c>
      <c r="AI200" s="366">
        <v>211.24</v>
      </c>
      <c r="AJ200" s="366">
        <v>211.24</v>
      </c>
      <c r="AK200" s="366">
        <v>566.16999999999996</v>
      </c>
      <c r="AL200" s="366">
        <v>566.16999999999996</v>
      </c>
      <c r="AM200" s="366">
        <v>62.74</v>
      </c>
      <c r="AN200" s="366">
        <v>376.01</v>
      </c>
      <c r="AO200" s="366">
        <v>232.37</v>
      </c>
      <c r="AP200" s="366">
        <v>109.81</v>
      </c>
      <c r="AQ200" s="366">
        <v>421.71</v>
      </c>
      <c r="AR200" s="366">
        <v>382.55</v>
      </c>
      <c r="AS200" s="366">
        <v>357.34</v>
      </c>
      <c r="AT200" s="366">
        <v>357.34</v>
      </c>
      <c r="AU200" s="366">
        <v>421.09</v>
      </c>
      <c r="AV200" s="366">
        <v>354.85</v>
      </c>
      <c r="AW200" s="366">
        <v>305.35000000000002</v>
      </c>
      <c r="AX200" s="366">
        <v>152.85</v>
      </c>
      <c r="AY200" s="366">
        <v>699.44</v>
      </c>
      <c r="AZ200" s="366">
        <v>510.03</v>
      </c>
      <c r="BA200" s="366">
        <v>242.09</v>
      </c>
      <c r="BB200" s="366">
        <v>702.33</v>
      </c>
      <c r="BC200" s="366">
        <v>184.15</v>
      </c>
      <c r="BD200" s="366">
        <v>93.92</v>
      </c>
      <c r="BE200" s="366">
        <v>510.29</v>
      </c>
      <c r="BF200" s="366">
        <v>56.99</v>
      </c>
      <c r="BG200" s="366">
        <v>551.52</v>
      </c>
      <c r="BH200" s="366">
        <v>416.84</v>
      </c>
      <c r="BI200" s="366">
        <v>382.58</v>
      </c>
      <c r="BJ200" s="366">
        <v>489.64</v>
      </c>
      <c r="BK200" s="366">
        <v>577.80999999999995</v>
      </c>
      <c r="BL200" s="366">
        <v>417.21</v>
      </c>
      <c r="BM200" s="366">
        <v>394</v>
      </c>
      <c r="BN200" s="366">
        <v>250.12</v>
      </c>
      <c r="BO200" s="366">
        <v>620.01</v>
      </c>
      <c r="BP200" s="366">
        <v>585.87</v>
      </c>
      <c r="BQ200" s="366">
        <v>185.89</v>
      </c>
      <c r="BR200" s="366">
        <v>185.89</v>
      </c>
      <c r="BS200" s="366">
        <v>517.6</v>
      </c>
      <c r="BT200" s="366">
        <v>374.5</v>
      </c>
      <c r="BU200" s="366">
        <v>50.45</v>
      </c>
      <c r="BV200" s="366">
        <v>60.14</v>
      </c>
      <c r="BW200" s="366">
        <v>480.38</v>
      </c>
      <c r="BX200" s="366">
        <v>458.69</v>
      </c>
      <c r="BY200" s="366">
        <v>533.71</v>
      </c>
      <c r="BZ200" s="366">
        <v>533.71</v>
      </c>
      <c r="CA200" s="366">
        <v>266.55</v>
      </c>
      <c r="CB200" s="366">
        <v>477.12</v>
      </c>
      <c r="CC200" s="366">
        <v>181.68</v>
      </c>
      <c r="CD200" s="366">
        <v>195.16</v>
      </c>
      <c r="CE200" s="366">
        <v>561.04</v>
      </c>
      <c r="CF200" s="366">
        <v>228.23</v>
      </c>
      <c r="CG200" s="366">
        <v>228.23</v>
      </c>
      <c r="CH200" s="366">
        <v>170.89</v>
      </c>
      <c r="CI200" s="366">
        <v>290.04000000000002</v>
      </c>
      <c r="CJ200" s="366">
        <v>239.18</v>
      </c>
      <c r="CK200" s="366">
        <v>538.79999999999995</v>
      </c>
      <c r="CL200" s="366">
        <v>434.88</v>
      </c>
      <c r="CM200" s="366">
        <v>130.43</v>
      </c>
      <c r="CN200" s="366">
        <v>439.01</v>
      </c>
      <c r="CO200" s="366">
        <v>381.16</v>
      </c>
      <c r="CP200" s="366">
        <v>192.58</v>
      </c>
      <c r="CQ200" s="366">
        <v>192.58</v>
      </c>
      <c r="CR200" s="366">
        <v>332.48</v>
      </c>
      <c r="CS200" s="366">
        <v>332.48</v>
      </c>
      <c r="CT200" s="366">
        <v>323.04000000000002</v>
      </c>
      <c r="CU200" s="366">
        <v>330.91</v>
      </c>
      <c r="CV200" s="366">
        <v>324.86</v>
      </c>
      <c r="CW200" s="366">
        <v>506.23</v>
      </c>
      <c r="CX200" s="366">
        <v>169.39</v>
      </c>
      <c r="CY200" s="366">
        <v>176.85</v>
      </c>
      <c r="CZ200" s="366">
        <v>198.09</v>
      </c>
      <c r="DA200" s="366">
        <v>601.78</v>
      </c>
      <c r="DB200" s="366">
        <v>485.62</v>
      </c>
      <c r="DC200" s="366">
        <v>485.62</v>
      </c>
      <c r="DD200" s="366">
        <v>143.37</v>
      </c>
      <c r="DE200" s="366">
        <v>679.41</v>
      </c>
      <c r="DF200" s="366">
        <v>449.63</v>
      </c>
      <c r="DG200" s="366">
        <v>260.39</v>
      </c>
      <c r="DH200" s="366">
        <v>741.97</v>
      </c>
      <c r="DI200" s="366">
        <v>94.05</v>
      </c>
      <c r="DJ200" s="366">
        <v>214.29</v>
      </c>
      <c r="DK200" s="366">
        <v>421.11</v>
      </c>
      <c r="DL200" s="366">
        <v>46.12</v>
      </c>
      <c r="DM200" s="366">
        <v>528.99</v>
      </c>
      <c r="DN200" s="366">
        <v>108.81</v>
      </c>
      <c r="DO200" s="366">
        <v>447.68</v>
      </c>
      <c r="DP200" s="366">
        <v>180.37</v>
      </c>
      <c r="DQ200" s="366">
        <v>491.72</v>
      </c>
      <c r="DR200" s="366">
        <v>741.97</v>
      </c>
      <c r="DS200" s="366">
        <v>382.06</v>
      </c>
      <c r="DT200" s="366">
        <v>370.35</v>
      </c>
      <c r="DU200" s="366">
        <v>632.12</v>
      </c>
      <c r="DV200" s="366">
        <v>569.80999999999995</v>
      </c>
      <c r="DW200" s="366">
        <v>373.76</v>
      </c>
      <c r="DX200" s="366">
        <v>466.7</v>
      </c>
      <c r="DY200" s="366">
        <v>540.09</v>
      </c>
      <c r="DZ200" s="366">
        <v>132.38999999999999</v>
      </c>
      <c r="EA200" s="366">
        <v>364.83</v>
      </c>
      <c r="EB200" s="366">
        <v>534.09</v>
      </c>
      <c r="EC200" s="366">
        <v>384.77</v>
      </c>
      <c r="ED200" s="366">
        <v>123.82</v>
      </c>
      <c r="EE200" s="366">
        <v>134.61000000000001</v>
      </c>
      <c r="EF200" s="366">
        <v>116.09</v>
      </c>
      <c r="EG200" s="366">
        <v>305.35000000000002</v>
      </c>
      <c r="EH200" s="366">
        <v>305.35000000000002</v>
      </c>
      <c r="EI200" s="366">
        <v>195.63</v>
      </c>
      <c r="EJ200" s="366">
        <v>730.03</v>
      </c>
      <c r="EK200" s="366">
        <v>342.72</v>
      </c>
      <c r="EL200" s="366">
        <v>342.72</v>
      </c>
      <c r="EM200" s="366">
        <v>436.83</v>
      </c>
      <c r="EN200" s="366">
        <v>436.83</v>
      </c>
      <c r="EO200" s="366">
        <v>62.74</v>
      </c>
      <c r="EP200" s="366">
        <v>113.63</v>
      </c>
      <c r="EQ200" s="366">
        <v>313.55</v>
      </c>
      <c r="ER200" s="366">
        <v>293.83999999999997</v>
      </c>
      <c r="ES200" s="366">
        <v>541.30999999999995</v>
      </c>
      <c r="ET200" s="366">
        <v>167.92</v>
      </c>
      <c r="EU200" s="366">
        <v>401.27</v>
      </c>
      <c r="EV200" s="366">
        <v>231.52</v>
      </c>
      <c r="EW200" s="366">
        <v>195.01</v>
      </c>
      <c r="EX200" s="366">
        <v>518.04999999999995</v>
      </c>
      <c r="EY200" s="366">
        <v>518.04999999999995</v>
      </c>
      <c r="EZ200" s="366">
        <v>481.37</v>
      </c>
      <c r="FA200" s="366">
        <v>434</v>
      </c>
      <c r="FB200" s="366">
        <v>405.41</v>
      </c>
      <c r="FC200" s="366">
        <v>486.84</v>
      </c>
      <c r="FD200" s="366">
        <v>342.03</v>
      </c>
      <c r="FE200" s="366">
        <v>199.46</v>
      </c>
      <c r="FF200" s="366">
        <v>277.58</v>
      </c>
      <c r="FG200" s="366">
        <v>233.13</v>
      </c>
      <c r="FH200" s="366">
        <v>233.13</v>
      </c>
      <c r="FI200" s="366">
        <v>242.39</v>
      </c>
      <c r="FJ200" s="366">
        <v>248.18</v>
      </c>
      <c r="FK200" s="366">
        <v>569.04999999999995</v>
      </c>
      <c r="FL200" s="366">
        <v>567.24</v>
      </c>
      <c r="FM200" s="366">
        <v>62.74</v>
      </c>
      <c r="FN200" s="366">
        <v>262.27</v>
      </c>
      <c r="FO200" s="366">
        <v>373.2</v>
      </c>
      <c r="FP200" s="366">
        <v>519.19000000000005</v>
      </c>
      <c r="FQ200" s="366">
        <v>377.07</v>
      </c>
      <c r="FR200" s="366">
        <v>445.46</v>
      </c>
      <c r="FS200" s="366">
        <v>278.29000000000002</v>
      </c>
      <c r="FT200" s="366">
        <v>229.45</v>
      </c>
      <c r="FU200" s="366">
        <v>302.43</v>
      </c>
      <c r="FV200" s="366">
        <v>465.17</v>
      </c>
      <c r="FW200" s="366">
        <v>465.17</v>
      </c>
      <c r="FX200" s="366">
        <v>465.17</v>
      </c>
      <c r="FY200" s="366">
        <v>383.14</v>
      </c>
      <c r="FZ200" s="366">
        <v>222.33</v>
      </c>
      <c r="GA200" s="366">
        <v>510.29</v>
      </c>
      <c r="GB200" s="366">
        <v>316.76</v>
      </c>
      <c r="GC200" s="366">
        <v>123.82</v>
      </c>
      <c r="GD200" s="366">
        <v>440.79</v>
      </c>
      <c r="GE200" s="366">
        <v>322.94</v>
      </c>
      <c r="GF200" s="366">
        <v>315.95999999999998</v>
      </c>
      <c r="GG200" s="366">
        <v>315.95999999999998</v>
      </c>
      <c r="GH200" s="366">
        <v>558.74</v>
      </c>
      <c r="GI200" s="366">
        <v>62.9</v>
      </c>
      <c r="GJ200" s="366">
        <v>62.74</v>
      </c>
      <c r="GK200" s="366">
        <v>565.6</v>
      </c>
      <c r="GL200" s="366">
        <v>209.3</v>
      </c>
      <c r="GM200" s="366">
        <v>209.3</v>
      </c>
      <c r="GN200" s="366">
        <v>209.3</v>
      </c>
      <c r="GO200" s="366">
        <v>70.63</v>
      </c>
      <c r="GP200" s="366">
        <v>515.70000000000005</v>
      </c>
      <c r="GQ200" s="366">
        <v>611.30999999999995</v>
      </c>
      <c r="GR200" s="366">
        <v>0</v>
      </c>
      <c r="GS200" s="366">
        <v>133.46</v>
      </c>
      <c r="GT200" s="366">
        <v>305.35000000000002</v>
      </c>
      <c r="GU200" s="366">
        <v>375.99</v>
      </c>
      <c r="GV200" s="366">
        <v>737.22</v>
      </c>
      <c r="GW200" s="366">
        <v>233.76</v>
      </c>
      <c r="GX200" s="366">
        <v>301.92</v>
      </c>
      <c r="GY200" s="366">
        <v>210.27</v>
      </c>
      <c r="GZ200" s="366">
        <v>341.75</v>
      </c>
      <c r="HA200" s="366">
        <v>378.61</v>
      </c>
      <c r="HB200" s="366">
        <v>378.61</v>
      </c>
      <c r="HC200" s="366">
        <v>378.61</v>
      </c>
      <c r="HD200" s="366">
        <v>96.1</v>
      </c>
      <c r="HE200" s="366">
        <v>430.68</v>
      </c>
      <c r="HF200" s="366">
        <v>386.97</v>
      </c>
      <c r="HG200" s="366">
        <v>514.62</v>
      </c>
      <c r="HH200" s="366">
        <v>514.62</v>
      </c>
      <c r="HI200" s="366">
        <v>514.62</v>
      </c>
      <c r="HJ200" s="366">
        <v>295.08999999999997</v>
      </c>
      <c r="HK200" s="366">
        <v>231.97</v>
      </c>
      <c r="HL200" s="366">
        <v>450.22</v>
      </c>
      <c r="HM200" s="366">
        <v>60.02</v>
      </c>
      <c r="HN200" s="366">
        <v>62.74</v>
      </c>
      <c r="HO200" s="366">
        <v>383.51</v>
      </c>
      <c r="HP200" s="366">
        <v>342.47</v>
      </c>
      <c r="HQ200" s="366">
        <v>465.17</v>
      </c>
      <c r="HR200" s="366">
        <v>229.5</v>
      </c>
      <c r="HS200" s="366">
        <v>58.99</v>
      </c>
      <c r="HT200" s="366">
        <v>162.69</v>
      </c>
      <c r="HU200" s="366">
        <v>189.37</v>
      </c>
      <c r="HV200" s="366">
        <v>213.84</v>
      </c>
    </row>
    <row r="201" spans="1:230">
      <c r="A201" s="366" t="s">
        <v>219</v>
      </c>
      <c r="B201" s="366">
        <v>477.75</v>
      </c>
      <c r="C201" s="366">
        <v>407.95</v>
      </c>
      <c r="D201" s="366">
        <v>308.72000000000003</v>
      </c>
      <c r="E201" s="366">
        <v>308.72000000000003</v>
      </c>
      <c r="F201" s="366">
        <v>541.65</v>
      </c>
      <c r="G201" s="366">
        <v>349.22</v>
      </c>
      <c r="H201" s="366">
        <v>291.2</v>
      </c>
      <c r="I201" s="366">
        <v>31.73</v>
      </c>
      <c r="J201" s="366">
        <v>267.42</v>
      </c>
      <c r="K201" s="366">
        <v>267.42</v>
      </c>
      <c r="L201" s="366">
        <v>299.33</v>
      </c>
      <c r="M201" s="366">
        <v>433.37</v>
      </c>
      <c r="N201" s="366">
        <v>530.27</v>
      </c>
      <c r="O201" s="366">
        <v>283.38</v>
      </c>
      <c r="P201" s="366">
        <v>283.38</v>
      </c>
      <c r="Q201" s="366">
        <v>283.38</v>
      </c>
      <c r="R201" s="366">
        <v>283.38</v>
      </c>
      <c r="S201" s="366">
        <v>283.38</v>
      </c>
      <c r="T201" s="366">
        <v>42.77</v>
      </c>
      <c r="U201" s="366">
        <v>457.26</v>
      </c>
      <c r="V201" s="366">
        <v>372.77</v>
      </c>
      <c r="W201" s="366">
        <v>186.13</v>
      </c>
      <c r="X201" s="366">
        <v>186.13</v>
      </c>
      <c r="Y201" s="366">
        <v>186.13</v>
      </c>
      <c r="Z201" s="366">
        <v>410.51</v>
      </c>
      <c r="AA201" s="366">
        <v>343.39</v>
      </c>
      <c r="AB201" s="366">
        <v>102.51</v>
      </c>
      <c r="AC201" s="366">
        <v>104.97</v>
      </c>
      <c r="AD201" s="366">
        <v>104.97</v>
      </c>
      <c r="AE201" s="366">
        <v>257.82</v>
      </c>
      <c r="AF201" s="366">
        <v>362.96</v>
      </c>
      <c r="AG201" s="366">
        <v>187.65</v>
      </c>
      <c r="AH201" s="366">
        <v>77.78</v>
      </c>
      <c r="AI201" s="366">
        <v>77.78</v>
      </c>
      <c r="AJ201" s="366">
        <v>77.78</v>
      </c>
      <c r="AK201" s="366">
        <v>432.71</v>
      </c>
      <c r="AL201" s="366">
        <v>432.71</v>
      </c>
      <c r="AM201" s="366">
        <v>105.23</v>
      </c>
      <c r="AN201" s="366">
        <v>242.55</v>
      </c>
      <c r="AO201" s="366">
        <v>356.34</v>
      </c>
      <c r="AP201" s="366">
        <v>31.49</v>
      </c>
      <c r="AQ201" s="366">
        <v>498.19</v>
      </c>
      <c r="AR201" s="366">
        <v>307.16000000000003</v>
      </c>
      <c r="AS201" s="366">
        <v>223.88</v>
      </c>
      <c r="AT201" s="366">
        <v>223.88</v>
      </c>
      <c r="AU201" s="366">
        <v>287.63</v>
      </c>
      <c r="AV201" s="366">
        <v>488.31</v>
      </c>
      <c r="AW201" s="366">
        <v>229.96</v>
      </c>
      <c r="AX201" s="366">
        <v>112.91</v>
      </c>
      <c r="AY201" s="366">
        <v>565.98</v>
      </c>
      <c r="AZ201" s="366">
        <v>376.57</v>
      </c>
      <c r="BA201" s="366">
        <v>318.57</v>
      </c>
      <c r="BB201" s="366">
        <v>568.87</v>
      </c>
      <c r="BC201" s="366">
        <v>260.63</v>
      </c>
      <c r="BD201" s="366">
        <v>170.4</v>
      </c>
      <c r="BE201" s="366">
        <v>376.83</v>
      </c>
      <c r="BF201" s="366">
        <v>99.48</v>
      </c>
      <c r="BG201" s="366">
        <v>418.06</v>
      </c>
      <c r="BH201" s="366">
        <v>283.38</v>
      </c>
      <c r="BI201" s="366">
        <v>307.19</v>
      </c>
      <c r="BJ201" s="366">
        <v>356.18</v>
      </c>
      <c r="BK201" s="366">
        <v>444.35</v>
      </c>
      <c r="BL201" s="366">
        <v>301.72000000000003</v>
      </c>
      <c r="BM201" s="366">
        <v>318.61</v>
      </c>
      <c r="BN201" s="366">
        <v>383.58</v>
      </c>
      <c r="BO201" s="366">
        <v>486.55</v>
      </c>
      <c r="BP201" s="366">
        <v>452.41</v>
      </c>
      <c r="BQ201" s="366">
        <v>52.43</v>
      </c>
      <c r="BR201" s="366">
        <v>52.43</v>
      </c>
      <c r="BS201" s="366">
        <v>384.14</v>
      </c>
      <c r="BT201" s="366">
        <v>299.11</v>
      </c>
      <c r="BU201" s="366">
        <v>83.01</v>
      </c>
      <c r="BV201" s="366">
        <v>102.63</v>
      </c>
      <c r="BW201" s="366">
        <v>346.92</v>
      </c>
      <c r="BX201" s="366">
        <v>325.23</v>
      </c>
      <c r="BY201" s="366">
        <v>400.25</v>
      </c>
      <c r="BZ201" s="366">
        <v>400.25</v>
      </c>
      <c r="CA201" s="366">
        <v>191.16</v>
      </c>
      <c r="CB201" s="366">
        <v>343.66</v>
      </c>
      <c r="CC201" s="366">
        <v>84.08</v>
      </c>
      <c r="CD201" s="366">
        <v>97.56</v>
      </c>
      <c r="CE201" s="366">
        <v>427.58</v>
      </c>
      <c r="CF201" s="366">
        <v>361.69</v>
      </c>
      <c r="CG201" s="366">
        <v>361.69</v>
      </c>
      <c r="CH201" s="366">
        <v>37.43</v>
      </c>
      <c r="CI201" s="366">
        <v>156.58000000000001</v>
      </c>
      <c r="CJ201" s="366">
        <v>372.64</v>
      </c>
      <c r="CK201" s="366">
        <v>405.34</v>
      </c>
      <c r="CL201" s="366">
        <v>301.42</v>
      </c>
      <c r="CM201" s="366">
        <v>206.91</v>
      </c>
      <c r="CN201" s="366">
        <v>305.55</v>
      </c>
      <c r="CO201" s="366">
        <v>305.77</v>
      </c>
      <c r="CP201" s="366">
        <v>59.12</v>
      </c>
      <c r="CQ201" s="366">
        <v>59.12</v>
      </c>
      <c r="CR201" s="366">
        <v>257.08999999999997</v>
      </c>
      <c r="CS201" s="366">
        <v>257.08999999999997</v>
      </c>
      <c r="CT201" s="366">
        <v>247.65</v>
      </c>
      <c r="CU201" s="366">
        <v>255.52</v>
      </c>
      <c r="CV201" s="366">
        <v>249.47</v>
      </c>
      <c r="CW201" s="366">
        <v>372.77</v>
      </c>
      <c r="CX201" s="366">
        <v>103.15</v>
      </c>
      <c r="CY201" s="366">
        <v>253.33</v>
      </c>
      <c r="CZ201" s="366">
        <v>274.57</v>
      </c>
      <c r="DA201" s="366">
        <v>468.32</v>
      </c>
      <c r="DB201" s="366">
        <v>352.16</v>
      </c>
      <c r="DC201" s="366">
        <v>352.16</v>
      </c>
      <c r="DD201" s="366">
        <v>173.29</v>
      </c>
      <c r="DE201" s="366">
        <v>545.95000000000005</v>
      </c>
      <c r="DF201" s="366">
        <v>526.11</v>
      </c>
      <c r="DG201" s="366">
        <v>126.93</v>
      </c>
      <c r="DH201" s="366">
        <v>608.51</v>
      </c>
      <c r="DI201" s="366">
        <v>227.51</v>
      </c>
      <c r="DJ201" s="366">
        <v>290.77</v>
      </c>
      <c r="DK201" s="366">
        <v>287.64999999999998</v>
      </c>
      <c r="DL201" s="366">
        <v>89.01</v>
      </c>
      <c r="DM201" s="366">
        <v>395.53</v>
      </c>
      <c r="DN201" s="366">
        <v>242.27</v>
      </c>
      <c r="DO201" s="366">
        <v>314.22000000000003</v>
      </c>
      <c r="DP201" s="366">
        <v>134.97999999999999</v>
      </c>
      <c r="DQ201" s="366">
        <v>358.26</v>
      </c>
      <c r="DR201" s="366">
        <v>608.51</v>
      </c>
      <c r="DS201" s="366">
        <v>306.67</v>
      </c>
      <c r="DT201" s="366">
        <v>294.95999999999998</v>
      </c>
      <c r="DU201" s="366">
        <v>498.66</v>
      </c>
      <c r="DV201" s="366">
        <v>436.35</v>
      </c>
      <c r="DW201" s="366">
        <v>240.3</v>
      </c>
      <c r="DX201" s="366">
        <v>333.24</v>
      </c>
      <c r="DY201" s="366">
        <v>406.63</v>
      </c>
      <c r="DZ201" s="366">
        <v>182.96</v>
      </c>
      <c r="EA201" s="366">
        <v>289.44</v>
      </c>
      <c r="EB201" s="366">
        <v>400.63</v>
      </c>
      <c r="EC201" s="366">
        <v>309.38</v>
      </c>
      <c r="ED201" s="366">
        <v>257.27999999999997</v>
      </c>
      <c r="EE201" s="366">
        <v>268.07</v>
      </c>
      <c r="EF201" s="366">
        <v>25.21</v>
      </c>
      <c r="EG201" s="366">
        <v>229.96</v>
      </c>
      <c r="EH201" s="366">
        <v>229.96</v>
      </c>
      <c r="EI201" s="366">
        <v>98.03</v>
      </c>
      <c r="EJ201" s="366">
        <v>596.57000000000005</v>
      </c>
      <c r="EK201" s="366">
        <v>209.26</v>
      </c>
      <c r="EL201" s="366">
        <v>209.26</v>
      </c>
      <c r="EM201" s="366">
        <v>303.37</v>
      </c>
      <c r="EN201" s="366">
        <v>303.37</v>
      </c>
      <c r="EO201" s="366">
        <v>105.23</v>
      </c>
      <c r="EP201" s="366">
        <v>146.19</v>
      </c>
      <c r="EQ201" s="366">
        <v>238.16</v>
      </c>
      <c r="ER201" s="366">
        <v>427.3</v>
      </c>
      <c r="ES201" s="366">
        <v>407.85</v>
      </c>
      <c r="ET201" s="366">
        <v>34.46</v>
      </c>
      <c r="EU201" s="366">
        <v>477.75</v>
      </c>
      <c r="EV201" s="366">
        <v>186.13</v>
      </c>
      <c r="EW201" s="366">
        <v>97.41</v>
      </c>
      <c r="EX201" s="366">
        <v>384.59</v>
      </c>
      <c r="EY201" s="366">
        <v>384.59</v>
      </c>
      <c r="EZ201" s="366">
        <v>347.91</v>
      </c>
      <c r="FA201" s="366">
        <v>300.54000000000002</v>
      </c>
      <c r="FB201" s="366">
        <v>271.95</v>
      </c>
      <c r="FC201" s="366">
        <v>353.38</v>
      </c>
      <c r="FD201" s="366">
        <v>208.57</v>
      </c>
      <c r="FE201" s="366">
        <v>101.86</v>
      </c>
      <c r="FF201" s="366">
        <v>144.12</v>
      </c>
      <c r="FG201" s="366">
        <v>309.61</v>
      </c>
      <c r="FH201" s="366">
        <v>309.61</v>
      </c>
      <c r="FI201" s="366">
        <v>167</v>
      </c>
      <c r="FJ201" s="366">
        <v>172.79</v>
      </c>
      <c r="FK201" s="366">
        <v>435.59</v>
      </c>
      <c r="FL201" s="366">
        <v>433.78</v>
      </c>
      <c r="FM201" s="366">
        <v>105.23</v>
      </c>
      <c r="FN201" s="366">
        <v>216.88</v>
      </c>
      <c r="FO201" s="366">
        <v>297.81</v>
      </c>
      <c r="FP201" s="366">
        <v>385.73</v>
      </c>
      <c r="FQ201" s="366">
        <v>301.68</v>
      </c>
      <c r="FR201" s="366">
        <v>316.67</v>
      </c>
      <c r="FS201" s="366">
        <v>144.83000000000001</v>
      </c>
      <c r="FT201" s="366">
        <v>305.93</v>
      </c>
      <c r="FU201" s="366">
        <v>168.97</v>
      </c>
      <c r="FV201" s="366">
        <v>541.65</v>
      </c>
      <c r="FW201" s="366">
        <v>541.65</v>
      </c>
      <c r="FX201" s="366">
        <v>541.65</v>
      </c>
      <c r="FY201" s="366">
        <v>249.68</v>
      </c>
      <c r="FZ201" s="366">
        <v>124.73</v>
      </c>
      <c r="GA201" s="366">
        <v>376.83</v>
      </c>
      <c r="GB201" s="366">
        <v>183.3</v>
      </c>
      <c r="GC201" s="366">
        <v>257.27999999999997</v>
      </c>
      <c r="GD201" s="366">
        <v>307.33</v>
      </c>
      <c r="GE201" s="366">
        <v>247.55</v>
      </c>
      <c r="GF201" s="366">
        <v>182.5</v>
      </c>
      <c r="GG201" s="366">
        <v>182.5</v>
      </c>
      <c r="GH201" s="366">
        <v>425.28</v>
      </c>
      <c r="GI201" s="366">
        <v>105.39</v>
      </c>
      <c r="GJ201" s="366">
        <v>105.23</v>
      </c>
      <c r="GK201" s="366">
        <v>432.14</v>
      </c>
      <c r="GL201" s="366">
        <v>111.7</v>
      </c>
      <c r="GM201" s="366">
        <v>111.7</v>
      </c>
      <c r="GN201" s="366">
        <v>111.7</v>
      </c>
      <c r="GO201" s="366">
        <v>70.67</v>
      </c>
      <c r="GP201" s="366">
        <v>382.24</v>
      </c>
      <c r="GQ201" s="366">
        <v>477.85</v>
      </c>
      <c r="GR201" s="366">
        <v>133.46</v>
      </c>
      <c r="GS201" s="366">
        <v>0</v>
      </c>
      <c r="GT201" s="366">
        <v>229.96</v>
      </c>
      <c r="GU201" s="366">
        <v>242.53</v>
      </c>
      <c r="GV201" s="366">
        <v>603.76</v>
      </c>
      <c r="GW201" s="366">
        <v>127.42</v>
      </c>
      <c r="GX201" s="366">
        <v>226.53</v>
      </c>
      <c r="GY201" s="366">
        <v>76.81</v>
      </c>
      <c r="GZ201" s="366">
        <v>208.29</v>
      </c>
      <c r="HA201" s="366">
        <v>303.22000000000003</v>
      </c>
      <c r="HB201" s="366">
        <v>303.22000000000003</v>
      </c>
      <c r="HC201" s="366">
        <v>303.22000000000003</v>
      </c>
      <c r="HD201" s="366">
        <v>219.25</v>
      </c>
      <c r="HE201" s="366">
        <v>297.22000000000003</v>
      </c>
      <c r="HF201" s="366">
        <v>253.51</v>
      </c>
      <c r="HG201" s="366">
        <v>381.16</v>
      </c>
      <c r="HH201" s="366">
        <v>381.16</v>
      </c>
      <c r="HI201" s="366">
        <v>381.16</v>
      </c>
      <c r="HJ201" s="366">
        <v>161.63</v>
      </c>
      <c r="HK201" s="366">
        <v>156.58000000000001</v>
      </c>
      <c r="HL201" s="366">
        <v>316.76</v>
      </c>
      <c r="HM201" s="366">
        <v>102.51</v>
      </c>
      <c r="HN201" s="366">
        <v>105.23</v>
      </c>
      <c r="HO201" s="366">
        <v>510.95</v>
      </c>
      <c r="HP201" s="366">
        <v>209.01</v>
      </c>
      <c r="HQ201" s="366">
        <v>541.65</v>
      </c>
      <c r="HR201" s="366">
        <v>362.96</v>
      </c>
      <c r="HS201" s="366">
        <v>101.48</v>
      </c>
      <c r="HT201" s="366">
        <v>47.26</v>
      </c>
      <c r="HU201" s="366">
        <v>55.91</v>
      </c>
      <c r="HV201" s="366">
        <v>116.24</v>
      </c>
    </row>
    <row r="202" spans="1:230">
      <c r="A202" s="366" t="s">
        <v>239</v>
      </c>
      <c r="B202" s="366">
        <v>565.54</v>
      </c>
      <c r="C202" s="366">
        <v>307.81</v>
      </c>
      <c r="D202" s="366">
        <v>111.72</v>
      </c>
      <c r="E202" s="366">
        <v>111.72</v>
      </c>
      <c r="F202" s="366">
        <v>629.44000000000005</v>
      </c>
      <c r="G202" s="366">
        <v>365.95</v>
      </c>
      <c r="H202" s="366">
        <v>68.099999999999994</v>
      </c>
      <c r="I202" s="366">
        <v>261.69</v>
      </c>
      <c r="J202" s="366">
        <v>44.32</v>
      </c>
      <c r="K202" s="366">
        <v>44.32</v>
      </c>
      <c r="L202" s="366">
        <v>129.63</v>
      </c>
      <c r="M202" s="366">
        <v>333.23</v>
      </c>
      <c r="N202" s="366">
        <v>430.13</v>
      </c>
      <c r="O202" s="366">
        <v>353.54</v>
      </c>
      <c r="P202" s="366">
        <v>353.54</v>
      </c>
      <c r="Q202" s="366">
        <v>353.54</v>
      </c>
      <c r="R202" s="366">
        <v>353.54</v>
      </c>
      <c r="S202" s="366">
        <v>353.54</v>
      </c>
      <c r="T202" s="366">
        <v>272.73</v>
      </c>
      <c r="U202" s="366">
        <v>473.99</v>
      </c>
      <c r="V202" s="366">
        <v>408.47</v>
      </c>
      <c r="W202" s="366">
        <v>176.13</v>
      </c>
      <c r="X202" s="366">
        <v>176.13</v>
      </c>
      <c r="Y202" s="366">
        <v>176.13</v>
      </c>
      <c r="Z202" s="366">
        <v>446.21</v>
      </c>
      <c r="AA202" s="366">
        <v>360.12</v>
      </c>
      <c r="AB202" s="366">
        <v>300.22000000000003</v>
      </c>
      <c r="AC202" s="366">
        <v>292.35000000000002</v>
      </c>
      <c r="AD202" s="366">
        <v>292.35000000000002</v>
      </c>
      <c r="AE202" s="366">
        <v>162.62</v>
      </c>
      <c r="AF202" s="366">
        <v>379.69</v>
      </c>
      <c r="AG202" s="366">
        <v>177.65</v>
      </c>
      <c r="AH202" s="366">
        <v>307.74</v>
      </c>
      <c r="AI202" s="366">
        <v>307.74</v>
      </c>
      <c r="AJ202" s="366">
        <v>307.74</v>
      </c>
      <c r="AK202" s="366">
        <v>468.41</v>
      </c>
      <c r="AL202" s="366">
        <v>468.41</v>
      </c>
      <c r="AM202" s="366">
        <v>302.94</v>
      </c>
      <c r="AN202" s="366">
        <v>312.70999999999998</v>
      </c>
      <c r="AO202" s="366">
        <v>382.56</v>
      </c>
      <c r="AP202" s="366">
        <v>211.03</v>
      </c>
      <c r="AQ202" s="366">
        <v>585.98</v>
      </c>
      <c r="AR202" s="366">
        <v>84.06</v>
      </c>
      <c r="AS202" s="366">
        <v>205.08</v>
      </c>
      <c r="AT202" s="366">
        <v>205.08</v>
      </c>
      <c r="AU202" s="366">
        <v>323.33</v>
      </c>
      <c r="AV202" s="366">
        <v>505.04</v>
      </c>
      <c r="AW202" s="366">
        <v>0</v>
      </c>
      <c r="AX202" s="366">
        <v>342.87</v>
      </c>
      <c r="AY202" s="366">
        <v>465.84</v>
      </c>
      <c r="AZ202" s="366">
        <v>276.43</v>
      </c>
      <c r="BA202" s="366">
        <v>505.95</v>
      </c>
      <c r="BB202" s="366">
        <v>468.73</v>
      </c>
      <c r="BC202" s="366">
        <v>448.01</v>
      </c>
      <c r="BD202" s="366">
        <v>357.78</v>
      </c>
      <c r="BE202" s="366">
        <v>412.53</v>
      </c>
      <c r="BF202" s="366">
        <v>297.19</v>
      </c>
      <c r="BG202" s="366">
        <v>453.76</v>
      </c>
      <c r="BH202" s="366">
        <v>353.54</v>
      </c>
      <c r="BI202" s="366">
        <v>84.09</v>
      </c>
      <c r="BJ202" s="366">
        <v>391.88</v>
      </c>
      <c r="BK202" s="366">
        <v>344.21</v>
      </c>
      <c r="BL202" s="366">
        <v>118.72</v>
      </c>
      <c r="BM202" s="366">
        <v>95.51</v>
      </c>
      <c r="BN202" s="366">
        <v>400.31</v>
      </c>
      <c r="BO202" s="366">
        <v>386.41</v>
      </c>
      <c r="BP202" s="366">
        <v>352.27</v>
      </c>
      <c r="BQ202" s="366">
        <v>282.39</v>
      </c>
      <c r="BR202" s="366">
        <v>282.39</v>
      </c>
      <c r="BS202" s="366">
        <v>284</v>
      </c>
      <c r="BT202" s="366">
        <v>76.010000000000005</v>
      </c>
      <c r="BU202" s="366">
        <v>280.72000000000003</v>
      </c>
      <c r="BV202" s="366">
        <v>300.33999999999997</v>
      </c>
      <c r="BW202" s="366">
        <v>382.62</v>
      </c>
      <c r="BX202" s="366">
        <v>225.09</v>
      </c>
      <c r="BY202" s="366">
        <v>435.95</v>
      </c>
      <c r="BZ202" s="366">
        <v>435.95</v>
      </c>
      <c r="CA202" s="366">
        <v>38.799999999999997</v>
      </c>
      <c r="CB202" s="366">
        <v>243.52</v>
      </c>
      <c r="CC202" s="366">
        <v>314.04000000000002</v>
      </c>
      <c r="CD202" s="366">
        <v>327.52</v>
      </c>
      <c r="CE202" s="366">
        <v>327.44</v>
      </c>
      <c r="CF202" s="366">
        <v>378.42</v>
      </c>
      <c r="CG202" s="366">
        <v>378.42</v>
      </c>
      <c r="CH202" s="366">
        <v>267.39</v>
      </c>
      <c r="CI202" s="366">
        <v>296.5</v>
      </c>
      <c r="CJ202" s="366">
        <v>389.37</v>
      </c>
      <c r="CK202" s="366">
        <v>441.04</v>
      </c>
      <c r="CL202" s="366">
        <v>337.12</v>
      </c>
      <c r="CM202" s="366">
        <v>394.29</v>
      </c>
      <c r="CN202" s="366">
        <v>341.25</v>
      </c>
      <c r="CO202" s="366">
        <v>82.67</v>
      </c>
      <c r="CP202" s="366">
        <v>289.08</v>
      </c>
      <c r="CQ202" s="366">
        <v>289.08</v>
      </c>
      <c r="CR202" s="366">
        <v>33.99</v>
      </c>
      <c r="CS202" s="366">
        <v>33.99</v>
      </c>
      <c r="CT202" s="366">
        <v>24.55</v>
      </c>
      <c r="CU202" s="366">
        <v>32.42</v>
      </c>
      <c r="CV202" s="366">
        <v>26.37</v>
      </c>
      <c r="CW202" s="366">
        <v>408.47</v>
      </c>
      <c r="CX202" s="366">
        <v>333.11</v>
      </c>
      <c r="CY202" s="366">
        <v>440.71</v>
      </c>
      <c r="CZ202" s="366">
        <v>461.95</v>
      </c>
      <c r="DA202" s="366">
        <v>368.18</v>
      </c>
      <c r="DB202" s="366">
        <v>387.86</v>
      </c>
      <c r="DC202" s="366">
        <v>387.86</v>
      </c>
      <c r="DD202" s="366">
        <v>163.29</v>
      </c>
      <c r="DE202" s="366">
        <v>445.81</v>
      </c>
      <c r="DF202" s="366">
        <v>613.9</v>
      </c>
      <c r="DG202" s="366">
        <v>326.14999999999998</v>
      </c>
      <c r="DH202" s="366">
        <v>508.37</v>
      </c>
      <c r="DI202" s="366">
        <v>244.24</v>
      </c>
      <c r="DJ202" s="366">
        <v>448.13</v>
      </c>
      <c r="DK202" s="366">
        <v>187.51</v>
      </c>
      <c r="DL202" s="366">
        <v>274.72000000000003</v>
      </c>
      <c r="DM202" s="366">
        <v>295.39</v>
      </c>
      <c r="DN202" s="366">
        <v>259</v>
      </c>
      <c r="DO202" s="366">
        <v>214.08</v>
      </c>
      <c r="DP202" s="366">
        <v>124.98</v>
      </c>
      <c r="DQ202" s="366">
        <v>393.96</v>
      </c>
      <c r="DR202" s="366">
        <v>508.37</v>
      </c>
      <c r="DS202" s="366">
        <v>83.57</v>
      </c>
      <c r="DT202" s="366">
        <v>71.86</v>
      </c>
      <c r="DU202" s="366">
        <v>398.52</v>
      </c>
      <c r="DV202" s="366">
        <v>465.23</v>
      </c>
      <c r="DW202" s="366">
        <v>188.66</v>
      </c>
      <c r="DX202" s="366">
        <v>368.94</v>
      </c>
      <c r="DY202" s="366">
        <v>442.33</v>
      </c>
      <c r="DZ202" s="366">
        <v>172.96</v>
      </c>
      <c r="EA202" s="366">
        <v>66.34</v>
      </c>
      <c r="EB202" s="366">
        <v>436.33</v>
      </c>
      <c r="EC202" s="366">
        <v>86.28</v>
      </c>
      <c r="ED202" s="366">
        <v>274.01</v>
      </c>
      <c r="EE202" s="366">
        <v>284.8</v>
      </c>
      <c r="EF202" s="366">
        <v>204.75</v>
      </c>
      <c r="EG202" s="366">
        <v>0</v>
      </c>
      <c r="EH202" s="366">
        <v>0</v>
      </c>
      <c r="EI202" s="366">
        <v>327.99</v>
      </c>
      <c r="EJ202" s="366">
        <v>496.43</v>
      </c>
      <c r="EK202" s="366">
        <v>244.96</v>
      </c>
      <c r="EL202" s="366">
        <v>244.96</v>
      </c>
      <c r="EM202" s="366">
        <v>339.07</v>
      </c>
      <c r="EN202" s="366">
        <v>339.07</v>
      </c>
      <c r="EO202" s="366">
        <v>302.94</v>
      </c>
      <c r="EP202" s="366">
        <v>343.9</v>
      </c>
      <c r="EQ202" s="366">
        <v>15.06</v>
      </c>
      <c r="ER202" s="366">
        <v>444.03</v>
      </c>
      <c r="ES202" s="366">
        <v>307.70999999999998</v>
      </c>
      <c r="ET202" s="366">
        <v>264.42</v>
      </c>
      <c r="EU202" s="366">
        <v>565.54</v>
      </c>
      <c r="EV202" s="366">
        <v>176.13</v>
      </c>
      <c r="EW202" s="366">
        <v>327.37</v>
      </c>
      <c r="EX202" s="366">
        <v>284.45</v>
      </c>
      <c r="EY202" s="366">
        <v>284.45</v>
      </c>
      <c r="EZ202" s="366">
        <v>390.88</v>
      </c>
      <c r="FA202" s="366">
        <v>336.24</v>
      </c>
      <c r="FB202" s="366">
        <v>171.81</v>
      </c>
      <c r="FC202" s="366">
        <v>389.08</v>
      </c>
      <c r="FD202" s="366">
        <v>278.73</v>
      </c>
      <c r="FE202" s="366">
        <v>331.82</v>
      </c>
      <c r="FF202" s="366">
        <v>345.54</v>
      </c>
      <c r="FG202" s="366">
        <v>496.99</v>
      </c>
      <c r="FH202" s="366">
        <v>496.99</v>
      </c>
      <c r="FI202" s="366">
        <v>157</v>
      </c>
      <c r="FJ202" s="366">
        <v>162.79</v>
      </c>
      <c r="FK202" s="366">
        <v>335.45</v>
      </c>
      <c r="FL202" s="366">
        <v>333.64</v>
      </c>
      <c r="FM202" s="366">
        <v>302.94</v>
      </c>
      <c r="FN202" s="366">
        <v>206.88</v>
      </c>
      <c r="FO202" s="366">
        <v>74.709999999999994</v>
      </c>
      <c r="FP202" s="366">
        <v>421.43</v>
      </c>
      <c r="FQ202" s="366">
        <v>78.58</v>
      </c>
      <c r="FR202" s="366">
        <v>146.97</v>
      </c>
      <c r="FS202" s="366">
        <v>275.61</v>
      </c>
      <c r="FT202" s="366">
        <v>432.97</v>
      </c>
      <c r="FU202" s="366">
        <v>284.11</v>
      </c>
      <c r="FV202" s="366">
        <v>629.44000000000005</v>
      </c>
      <c r="FW202" s="366">
        <v>629.44000000000005</v>
      </c>
      <c r="FX202" s="366">
        <v>629.44000000000005</v>
      </c>
      <c r="FY202" s="366">
        <v>285.38</v>
      </c>
      <c r="FZ202" s="366">
        <v>354.69</v>
      </c>
      <c r="GA202" s="366">
        <v>412.53</v>
      </c>
      <c r="GB202" s="366">
        <v>314.08</v>
      </c>
      <c r="GC202" s="366">
        <v>274.01</v>
      </c>
      <c r="GD202" s="366">
        <v>207.19</v>
      </c>
      <c r="GE202" s="366">
        <v>24.45</v>
      </c>
      <c r="GF202" s="366">
        <v>270.58</v>
      </c>
      <c r="GG202" s="366">
        <v>270.58</v>
      </c>
      <c r="GH202" s="366">
        <v>460.98</v>
      </c>
      <c r="GI202" s="366">
        <v>303.10000000000002</v>
      </c>
      <c r="GJ202" s="366">
        <v>302.94</v>
      </c>
      <c r="GK202" s="366">
        <v>332</v>
      </c>
      <c r="GL202" s="366">
        <v>341.66</v>
      </c>
      <c r="GM202" s="366">
        <v>341.66</v>
      </c>
      <c r="GN202" s="366">
        <v>341.66</v>
      </c>
      <c r="GO202" s="366">
        <v>250.21</v>
      </c>
      <c r="GP202" s="366">
        <v>417.94</v>
      </c>
      <c r="GQ202" s="366">
        <v>377.71</v>
      </c>
      <c r="GR202" s="366">
        <v>305.35000000000002</v>
      </c>
      <c r="GS202" s="366">
        <v>229.96</v>
      </c>
      <c r="GT202" s="366">
        <v>0</v>
      </c>
      <c r="GU202" s="366">
        <v>180.79</v>
      </c>
      <c r="GV202" s="366">
        <v>503.62</v>
      </c>
      <c r="GW202" s="366">
        <v>328.84</v>
      </c>
      <c r="GX202" s="366">
        <v>3.43</v>
      </c>
      <c r="GY202" s="366">
        <v>306.77</v>
      </c>
      <c r="GZ202" s="366">
        <v>278.45</v>
      </c>
      <c r="HA202" s="366">
        <v>80.12</v>
      </c>
      <c r="HB202" s="366">
        <v>80.12</v>
      </c>
      <c r="HC202" s="366">
        <v>80.12</v>
      </c>
      <c r="HD202" s="366">
        <v>209.25</v>
      </c>
      <c r="HE202" s="366">
        <v>332.92</v>
      </c>
      <c r="HF202" s="366">
        <v>289.20999999999998</v>
      </c>
      <c r="HG202" s="366">
        <v>416.86</v>
      </c>
      <c r="HH202" s="366">
        <v>416.86</v>
      </c>
      <c r="HI202" s="366">
        <v>416.86</v>
      </c>
      <c r="HJ202" s="366">
        <v>291.45</v>
      </c>
      <c r="HK202" s="366">
        <v>79.349999999999994</v>
      </c>
      <c r="HL202" s="366">
        <v>386.92</v>
      </c>
      <c r="HM202" s="366">
        <v>300.22000000000003</v>
      </c>
      <c r="HN202" s="366">
        <v>302.94</v>
      </c>
      <c r="HO202" s="366">
        <v>533.70000000000005</v>
      </c>
      <c r="HP202" s="366">
        <v>279.17</v>
      </c>
      <c r="HQ202" s="366">
        <v>629.44000000000005</v>
      </c>
      <c r="HR202" s="366">
        <v>379.69</v>
      </c>
      <c r="HS202" s="366">
        <v>299.19</v>
      </c>
      <c r="HT202" s="366">
        <v>251.35</v>
      </c>
      <c r="HU202" s="366">
        <v>285.87</v>
      </c>
      <c r="HV202" s="366">
        <v>346.2</v>
      </c>
    </row>
    <row r="203" spans="1:230">
      <c r="A203" s="366" t="s">
        <v>220</v>
      </c>
      <c r="B203" s="366">
        <v>720.28</v>
      </c>
      <c r="C203" s="366">
        <v>265.16000000000003</v>
      </c>
      <c r="D203" s="366">
        <v>69.069999999999993</v>
      </c>
      <c r="E203" s="366">
        <v>69.069999999999993</v>
      </c>
      <c r="F203" s="366">
        <v>784.18</v>
      </c>
      <c r="G203" s="366">
        <v>539.88</v>
      </c>
      <c r="H203" s="366">
        <v>112.69</v>
      </c>
      <c r="I203" s="366">
        <v>210.8</v>
      </c>
      <c r="J203" s="366">
        <v>136.47</v>
      </c>
      <c r="K203" s="366">
        <v>136.47</v>
      </c>
      <c r="L203" s="366">
        <v>86.98</v>
      </c>
      <c r="M203" s="366">
        <v>290.58</v>
      </c>
      <c r="N203" s="366">
        <v>387.48</v>
      </c>
      <c r="O203" s="366">
        <v>175.63</v>
      </c>
      <c r="P203" s="366">
        <v>175.63</v>
      </c>
      <c r="Q203" s="366">
        <v>175.63</v>
      </c>
      <c r="R203" s="366">
        <v>175.63</v>
      </c>
      <c r="S203" s="366">
        <v>175.63</v>
      </c>
      <c r="T203" s="366">
        <v>285.3</v>
      </c>
      <c r="U203" s="366">
        <v>647.91999999999996</v>
      </c>
      <c r="V203" s="366">
        <v>230.56</v>
      </c>
      <c r="W203" s="366">
        <v>350.06</v>
      </c>
      <c r="X203" s="366">
        <v>350.06</v>
      </c>
      <c r="Y203" s="366">
        <v>350.06</v>
      </c>
      <c r="Z203" s="366">
        <v>268.3</v>
      </c>
      <c r="AA203" s="366">
        <v>534.04999999999995</v>
      </c>
      <c r="AB203" s="366">
        <v>345.04</v>
      </c>
      <c r="AC203" s="366">
        <v>347.5</v>
      </c>
      <c r="AD203" s="366">
        <v>347.5</v>
      </c>
      <c r="AE203" s="366">
        <v>18.170000000000002</v>
      </c>
      <c r="AF203" s="366">
        <v>553.62</v>
      </c>
      <c r="AG203" s="366">
        <v>351.58</v>
      </c>
      <c r="AH203" s="366">
        <v>164.75</v>
      </c>
      <c r="AI203" s="366">
        <v>164.75</v>
      </c>
      <c r="AJ203" s="366">
        <v>164.75</v>
      </c>
      <c r="AK203" s="366">
        <v>290.5</v>
      </c>
      <c r="AL203" s="366">
        <v>290.5</v>
      </c>
      <c r="AM203" s="366">
        <v>347.76</v>
      </c>
      <c r="AN203" s="366">
        <v>134.80000000000001</v>
      </c>
      <c r="AO203" s="366">
        <v>556.49</v>
      </c>
      <c r="AP203" s="366">
        <v>274.02</v>
      </c>
      <c r="AQ203" s="366">
        <v>740.72</v>
      </c>
      <c r="AR203" s="366">
        <v>199.24</v>
      </c>
      <c r="AS203" s="366">
        <v>81.67</v>
      </c>
      <c r="AT203" s="366">
        <v>81.67</v>
      </c>
      <c r="AU203" s="366">
        <v>145.41999999999999</v>
      </c>
      <c r="AV203" s="366">
        <v>678.97</v>
      </c>
      <c r="AW203" s="366">
        <v>180.79</v>
      </c>
      <c r="AX203" s="366">
        <v>231.4</v>
      </c>
      <c r="AY203" s="366">
        <v>423.19</v>
      </c>
      <c r="AZ203" s="366">
        <v>233.78</v>
      </c>
      <c r="BA203" s="366">
        <v>561.1</v>
      </c>
      <c r="BB203" s="366">
        <v>426.08</v>
      </c>
      <c r="BC203" s="366">
        <v>503.16</v>
      </c>
      <c r="BD203" s="366">
        <v>412.93</v>
      </c>
      <c r="BE203" s="366">
        <v>234.62</v>
      </c>
      <c r="BF203" s="366">
        <v>342.01</v>
      </c>
      <c r="BG203" s="366">
        <v>275.85000000000002</v>
      </c>
      <c r="BH203" s="366">
        <v>175.63</v>
      </c>
      <c r="BI203" s="366">
        <v>199.27</v>
      </c>
      <c r="BJ203" s="366">
        <v>213.97</v>
      </c>
      <c r="BK203" s="366">
        <v>301.56</v>
      </c>
      <c r="BL203" s="366">
        <v>62.07</v>
      </c>
      <c r="BM203" s="366">
        <v>85.28</v>
      </c>
      <c r="BN203" s="366">
        <v>574.24</v>
      </c>
      <c r="BO203" s="366">
        <v>343.76</v>
      </c>
      <c r="BP203" s="366">
        <v>309.62</v>
      </c>
      <c r="BQ203" s="366">
        <v>190.1</v>
      </c>
      <c r="BR203" s="366">
        <v>190.1</v>
      </c>
      <c r="BS203" s="366">
        <v>241.35</v>
      </c>
      <c r="BT203" s="366">
        <v>183.7</v>
      </c>
      <c r="BU203" s="366">
        <v>325.54000000000002</v>
      </c>
      <c r="BV203" s="366">
        <v>345.16</v>
      </c>
      <c r="BW203" s="366">
        <v>204.71</v>
      </c>
      <c r="BX203" s="366">
        <v>182.44</v>
      </c>
      <c r="BY203" s="366">
        <v>258.04000000000002</v>
      </c>
      <c r="BZ203" s="366">
        <v>258.04000000000002</v>
      </c>
      <c r="CA203" s="366">
        <v>212.73</v>
      </c>
      <c r="CB203" s="366">
        <v>200.87</v>
      </c>
      <c r="CC203" s="366">
        <v>202.57</v>
      </c>
      <c r="CD203" s="366">
        <v>204.97</v>
      </c>
      <c r="CE203" s="366">
        <v>284.79000000000002</v>
      </c>
      <c r="CF203" s="366">
        <v>552.35</v>
      </c>
      <c r="CG203" s="366">
        <v>552.35</v>
      </c>
      <c r="CH203" s="366">
        <v>205.1</v>
      </c>
      <c r="CI203" s="366">
        <v>118.59</v>
      </c>
      <c r="CJ203" s="366">
        <v>563.29999999999995</v>
      </c>
      <c r="CK203" s="366">
        <v>263.13</v>
      </c>
      <c r="CL203" s="366">
        <v>159.21</v>
      </c>
      <c r="CM203" s="366">
        <v>449.44</v>
      </c>
      <c r="CN203" s="366">
        <v>163.34</v>
      </c>
      <c r="CO203" s="366">
        <v>197.85</v>
      </c>
      <c r="CP203" s="366">
        <v>183.41</v>
      </c>
      <c r="CQ203" s="366">
        <v>183.41</v>
      </c>
      <c r="CR203" s="366">
        <v>150.25</v>
      </c>
      <c r="CS203" s="366">
        <v>150.25</v>
      </c>
      <c r="CT203" s="366">
        <v>159.69</v>
      </c>
      <c r="CU203" s="366">
        <v>151.82</v>
      </c>
      <c r="CV203" s="366">
        <v>154.41999999999999</v>
      </c>
      <c r="CW203" s="366">
        <v>230.56</v>
      </c>
      <c r="CX203" s="366">
        <v>221.64</v>
      </c>
      <c r="CY203" s="366">
        <v>495.86</v>
      </c>
      <c r="CZ203" s="366">
        <v>517.1</v>
      </c>
      <c r="DA203" s="366">
        <v>325.52999999999997</v>
      </c>
      <c r="DB203" s="366">
        <v>209.95</v>
      </c>
      <c r="DC203" s="366">
        <v>209.95</v>
      </c>
      <c r="DD203" s="366">
        <v>337.22</v>
      </c>
      <c r="DE203" s="366">
        <v>403.16</v>
      </c>
      <c r="DF203" s="366">
        <v>768.64</v>
      </c>
      <c r="DG203" s="366">
        <v>148.24</v>
      </c>
      <c r="DH203" s="366">
        <v>465.72</v>
      </c>
      <c r="DI203" s="366">
        <v>418.17</v>
      </c>
      <c r="DJ203" s="366">
        <v>533.29999999999995</v>
      </c>
      <c r="DK203" s="366">
        <v>144.86000000000001</v>
      </c>
      <c r="DL203" s="366">
        <v>331.54</v>
      </c>
      <c r="DM203" s="366">
        <v>252.74</v>
      </c>
      <c r="DN203" s="366">
        <v>432.93</v>
      </c>
      <c r="DO203" s="366">
        <v>171.43</v>
      </c>
      <c r="DP203" s="366">
        <v>298.91000000000003</v>
      </c>
      <c r="DQ203" s="366">
        <v>216.05</v>
      </c>
      <c r="DR203" s="366">
        <v>465.72</v>
      </c>
      <c r="DS203" s="366">
        <v>175.72</v>
      </c>
      <c r="DT203" s="366">
        <v>164.01</v>
      </c>
      <c r="DU203" s="366">
        <v>355.87</v>
      </c>
      <c r="DV203" s="366">
        <v>294.14</v>
      </c>
      <c r="DW203" s="366">
        <v>98.09</v>
      </c>
      <c r="DX203" s="366">
        <v>191.03</v>
      </c>
      <c r="DY203" s="366">
        <v>264.42</v>
      </c>
      <c r="DZ203" s="366">
        <v>346.89</v>
      </c>
      <c r="EA203" s="366">
        <v>181.52</v>
      </c>
      <c r="EB203" s="366">
        <v>258.42</v>
      </c>
      <c r="EC203" s="366">
        <v>94.51</v>
      </c>
      <c r="ED203" s="366">
        <v>447.94</v>
      </c>
      <c r="EE203" s="366">
        <v>458.73</v>
      </c>
      <c r="EF203" s="366">
        <v>267.74</v>
      </c>
      <c r="EG203" s="366">
        <v>180.79</v>
      </c>
      <c r="EH203" s="366">
        <v>180.79</v>
      </c>
      <c r="EI203" s="366">
        <v>188.62</v>
      </c>
      <c r="EJ203" s="366">
        <v>453.78</v>
      </c>
      <c r="EK203" s="366">
        <v>67.05</v>
      </c>
      <c r="EL203" s="366">
        <v>67.05</v>
      </c>
      <c r="EM203" s="366">
        <v>161.16</v>
      </c>
      <c r="EN203" s="366">
        <v>161.16</v>
      </c>
      <c r="EO203" s="366">
        <v>347.76</v>
      </c>
      <c r="EP203" s="366">
        <v>270.62</v>
      </c>
      <c r="EQ203" s="366">
        <v>169.18</v>
      </c>
      <c r="ER203" s="366">
        <v>617.96</v>
      </c>
      <c r="ES203" s="366">
        <v>265.06</v>
      </c>
      <c r="ET203" s="366">
        <v>208.07</v>
      </c>
      <c r="EU203" s="366">
        <v>720.28</v>
      </c>
      <c r="EV203" s="366">
        <v>350.06</v>
      </c>
      <c r="EW203" s="366">
        <v>189.54</v>
      </c>
      <c r="EX203" s="366">
        <v>241.8</v>
      </c>
      <c r="EY203" s="366">
        <v>241.8</v>
      </c>
      <c r="EZ203" s="366">
        <v>212.97</v>
      </c>
      <c r="FA203" s="366">
        <v>158.33000000000001</v>
      </c>
      <c r="FB203" s="366">
        <v>129.16</v>
      </c>
      <c r="FC203" s="366">
        <v>211.17</v>
      </c>
      <c r="FD203" s="366">
        <v>100.82</v>
      </c>
      <c r="FE203" s="366">
        <v>192.45</v>
      </c>
      <c r="FF203" s="366">
        <v>167.63</v>
      </c>
      <c r="FG203" s="366">
        <v>552.14</v>
      </c>
      <c r="FH203" s="366">
        <v>552.14</v>
      </c>
      <c r="FI203" s="366">
        <v>330.93</v>
      </c>
      <c r="FJ203" s="366">
        <v>336.72</v>
      </c>
      <c r="FK203" s="366">
        <v>292.8</v>
      </c>
      <c r="FL203" s="366">
        <v>290.99</v>
      </c>
      <c r="FM203" s="366">
        <v>347.76</v>
      </c>
      <c r="FN203" s="366">
        <v>380.81</v>
      </c>
      <c r="FO203" s="366">
        <v>189.89</v>
      </c>
      <c r="FP203" s="366">
        <v>243.52</v>
      </c>
      <c r="FQ203" s="366">
        <v>193.76</v>
      </c>
      <c r="FR203" s="366">
        <v>104.32</v>
      </c>
      <c r="FS203" s="366">
        <v>97.7</v>
      </c>
      <c r="FT203" s="366">
        <v>548.46</v>
      </c>
      <c r="FU203" s="366">
        <v>106.2</v>
      </c>
      <c r="FV203" s="366">
        <v>784.18</v>
      </c>
      <c r="FW203" s="366">
        <v>784.18</v>
      </c>
      <c r="FX203" s="366">
        <v>784.18</v>
      </c>
      <c r="FY203" s="366">
        <v>107.47</v>
      </c>
      <c r="FZ203" s="366">
        <v>182.36</v>
      </c>
      <c r="GA203" s="366">
        <v>234.62</v>
      </c>
      <c r="GB203" s="366">
        <v>136.16999999999999</v>
      </c>
      <c r="GC203" s="366">
        <v>447.94</v>
      </c>
      <c r="GD203" s="366">
        <v>164.54</v>
      </c>
      <c r="GE203" s="366">
        <v>159.79</v>
      </c>
      <c r="GF203" s="366">
        <v>92.67</v>
      </c>
      <c r="GG203" s="366">
        <v>92.67</v>
      </c>
      <c r="GH203" s="366">
        <v>283.07</v>
      </c>
      <c r="GI203" s="366">
        <v>347.92</v>
      </c>
      <c r="GJ203" s="366">
        <v>347.76</v>
      </c>
      <c r="GK203" s="366">
        <v>289.35000000000002</v>
      </c>
      <c r="GL203" s="366">
        <v>174.95</v>
      </c>
      <c r="GM203" s="366">
        <v>174.95</v>
      </c>
      <c r="GN203" s="366">
        <v>174.95</v>
      </c>
      <c r="GO203" s="366">
        <v>313.2</v>
      </c>
      <c r="GP203" s="366">
        <v>240.03</v>
      </c>
      <c r="GQ203" s="366">
        <v>335.06</v>
      </c>
      <c r="GR203" s="366">
        <v>375.99</v>
      </c>
      <c r="GS203" s="366">
        <v>242.53</v>
      </c>
      <c r="GT203" s="366">
        <v>180.79</v>
      </c>
      <c r="GU203" s="366">
        <v>0</v>
      </c>
      <c r="GV203" s="366">
        <v>460.97</v>
      </c>
      <c r="GW203" s="366">
        <v>150.93</v>
      </c>
      <c r="GX203" s="366">
        <v>177.36</v>
      </c>
      <c r="GY203" s="366">
        <v>165.72</v>
      </c>
      <c r="GZ203" s="366">
        <v>100.54</v>
      </c>
      <c r="HA203" s="366">
        <v>195.3</v>
      </c>
      <c r="HB203" s="366">
        <v>195.3</v>
      </c>
      <c r="HC203" s="366">
        <v>195.3</v>
      </c>
      <c r="HD203" s="366">
        <v>383.18</v>
      </c>
      <c r="HE203" s="366">
        <v>155.01</v>
      </c>
      <c r="HF203" s="366">
        <v>111.3</v>
      </c>
      <c r="HG203" s="366">
        <v>238.95</v>
      </c>
      <c r="HH203" s="366">
        <v>238.95</v>
      </c>
      <c r="HI203" s="366">
        <v>238.95</v>
      </c>
      <c r="HJ203" s="366">
        <v>113.54</v>
      </c>
      <c r="HK203" s="366">
        <v>253.28</v>
      </c>
      <c r="HL203" s="366">
        <v>209.01</v>
      </c>
      <c r="HM203" s="366">
        <v>345.04</v>
      </c>
      <c r="HN203" s="366">
        <v>347.76</v>
      </c>
      <c r="HO203" s="366">
        <v>707.63</v>
      </c>
      <c r="HP203" s="366">
        <v>101.26</v>
      </c>
      <c r="HQ203" s="366">
        <v>784.18</v>
      </c>
      <c r="HR203" s="366">
        <v>553.62</v>
      </c>
      <c r="HS203" s="366">
        <v>344.01</v>
      </c>
      <c r="HT203" s="366">
        <v>226.33</v>
      </c>
      <c r="HU203" s="366">
        <v>193.58</v>
      </c>
      <c r="HV203" s="366">
        <v>211.9</v>
      </c>
    </row>
    <row r="204" spans="1:230">
      <c r="A204" s="366" t="s">
        <v>221</v>
      </c>
      <c r="B204" s="366">
        <v>1062.3</v>
      </c>
      <c r="C204" s="366">
        <v>353.05</v>
      </c>
      <c r="D204" s="366">
        <v>391.9</v>
      </c>
      <c r="E204" s="366">
        <v>391.9</v>
      </c>
      <c r="F204" s="366">
        <v>1126.2</v>
      </c>
      <c r="G204" s="366">
        <v>862.71</v>
      </c>
      <c r="H204" s="366">
        <v>435.52</v>
      </c>
      <c r="I204" s="366">
        <v>572.03</v>
      </c>
      <c r="J204" s="366">
        <v>459.3</v>
      </c>
      <c r="K204" s="366">
        <v>459.3</v>
      </c>
      <c r="L204" s="366">
        <v>373.99</v>
      </c>
      <c r="M204" s="366">
        <v>378.47</v>
      </c>
      <c r="N204" s="366">
        <v>475.37</v>
      </c>
      <c r="O204" s="366">
        <v>536.86</v>
      </c>
      <c r="P204" s="366">
        <v>536.86</v>
      </c>
      <c r="Q204" s="366">
        <v>536.86</v>
      </c>
      <c r="R204" s="366">
        <v>536.86</v>
      </c>
      <c r="S204" s="366">
        <v>536.86</v>
      </c>
      <c r="T204" s="366">
        <v>646.53</v>
      </c>
      <c r="U204" s="366">
        <v>970.75</v>
      </c>
      <c r="V204" s="366">
        <v>591.79</v>
      </c>
      <c r="W204" s="366">
        <v>672.89</v>
      </c>
      <c r="X204" s="366">
        <v>672.89</v>
      </c>
      <c r="Y204" s="366">
        <v>672.89</v>
      </c>
      <c r="Z204" s="366">
        <v>536.30999999999995</v>
      </c>
      <c r="AA204" s="366">
        <v>856.88</v>
      </c>
      <c r="AB204" s="366">
        <v>706.27</v>
      </c>
      <c r="AC204" s="366">
        <v>708.73</v>
      </c>
      <c r="AD204" s="366">
        <v>708.73</v>
      </c>
      <c r="AE204" s="366">
        <v>442.8</v>
      </c>
      <c r="AF204" s="366">
        <v>876.45</v>
      </c>
      <c r="AG204" s="366">
        <v>674.41</v>
      </c>
      <c r="AH204" s="366">
        <v>525.98</v>
      </c>
      <c r="AI204" s="366">
        <v>525.98</v>
      </c>
      <c r="AJ204" s="366">
        <v>525.98</v>
      </c>
      <c r="AK204" s="366">
        <v>519.07000000000005</v>
      </c>
      <c r="AL204" s="366">
        <v>519.07000000000005</v>
      </c>
      <c r="AM204" s="366">
        <v>708.99</v>
      </c>
      <c r="AN204" s="366">
        <v>496.03</v>
      </c>
      <c r="AO204" s="366">
        <v>879.32</v>
      </c>
      <c r="AP204" s="366">
        <v>635.25</v>
      </c>
      <c r="AQ204" s="366">
        <v>1082.74</v>
      </c>
      <c r="AR204" s="366">
        <v>522.07000000000005</v>
      </c>
      <c r="AS204" s="366">
        <v>379.88</v>
      </c>
      <c r="AT204" s="366">
        <v>379.88</v>
      </c>
      <c r="AU204" s="366">
        <v>506.65</v>
      </c>
      <c r="AV204" s="366">
        <v>1001.8</v>
      </c>
      <c r="AW204" s="366">
        <v>503.62</v>
      </c>
      <c r="AX204" s="366">
        <v>592.63</v>
      </c>
      <c r="AY204" s="366">
        <v>511.08</v>
      </c>
      <c r="AZ204" s="366">
        <v>321.67</v>
      </c>
      <c r="BA204" s="366">
        <v>922.33</v>
      </c>
      <c r="BB204" s="366">
        <v>513.97</v>
      </c>
      <c r="BC204" s="366">
        <v>864.39</v>
      </c>
      <c r="BD204" s="366">
        <v>774.16</v>
      </c>
      <c r="BE204" s="366">
        <v>595.85</v>
      </c>
      <c r="BF204" s="366">
        <v>703.24</v>
      </c>
      <c r="BG204" s="366">
        <v>532.83000000000004</v>
      </c>
      <c r="BH204" s="366">
        <v>536.86</v>
      </c>
      <c r="BI204" s="366">
        <v>522.1</v>
      </c>
      <c r="BJ204" s="366">
        <v>575.20000000000005</v>
      </c>
      <c r="BK204" s="366">
        <v>159.41</v>
      </c>
      <c r="BL204" s="366">
        <v>398.9</v>
      </c>
      <c r="BM204" s="366">
        <v>408.11</v>
      </c>
      <c r="BN204" s="366">
        <v>897.07</v>
      </c>
      <c r="BO204" s="366">
        <v>125.35</v>
      </c>
      <c r="BP204" s="366">
        <v>151.35</v>
      </c>
      <c r="BQ204" s="366">
        <v>551.33000000000004</v>
      </c>
      <c r="BR204" s="366">
        <v>551.33000000000004</v>
      </c>
      <c r="BS204" s="366">
        <v>329.24</v>
      </c>
      <c r="BT204" s="366">
        <v>506.53</v>
      </c>
      <c r="BU204" s="366">
        <v>686.77</v>
      </c>
      <c r="BV204" s="366">
        <v>706.39</v>
      </c>
      <c r="BW204" s="366">
        <v>565.94000000000005</v>
      </c>
      <c r="BX204" s="366">
        <v>278.52999999999997</v>
      </c>
      <c r="BY204" s="366">
        <v>619.27</v>
      </c>
      <c r="BZ204" s="366">
        <v>619.27</v>
      </c>
      <c r="CA204" s="366">
        <v>535.55999999999995</v>
      </c>
      <c r="CB204" s="366">
        <v>260.42</v>
      </c>
      <c r="CC204" s="366">
        <v>563.79999999999995</v>
      </c>
      <c r="CD204" s="366">
        <v>566.20000000000005</v>
      </c>
      <c r="CE204" s="366">
        <v>176.18</v>
      </c>
      <c r="CF204" s="366">
        <v>875.18</v>
      </c>
      <c r="CG204" s="366">
        <v>875.18</v>
      </c>
      <c r="CH204" s="366">
        <v>566.33000000000004</v>
      </c>
      <c r="CI204" s="366">
        <v>479.82</v>
      </c>
      <c r="CJ204" s="366">
        <v>886.13</v>
      </c>
      <c r="CK204" s="366">
        <v>624.36</v>
      </c>
      <c r="CL204" s="366">
        <v>520.44000000000005</v>
      </c>
      <c r="CM204" s="366">
        <v>810.67</v>
      </c>
      <c r="CN204" s="366">
        <v>524.57000000000005</v>
      </c>
      <c r="CO204" s="366">
        <v>520.67999999999995</v>
      </c>
      <c r="CP204" s="366">
        <v>544.64</v>
      </c>
      <c r="CQ204" s="366">
        <v>544.64</v>
      </c>
      <c r="CR204" s="366">
        <v>473.08</v>
      </c>
      <c r="CS204" s="366">
        <v>473.08</v>
      </c>
      <c r="CT204" s="366">
        <v>482.52</v>
      </c>
      <c r="CU204" s="366">
        <v>474.65</v>
      </c>
      <c r="CV204" s="366">
        <v>477.25</v>
      </c>
      <c r="CW204" s="366">
        <v>591.79</v>
      </c>
      <c r="CX204" s="366">
        <v>582.87</v>
      </c>
      <c r="CY204" s="366">
        <v>857.09</v>
      </c>
      <c r="CZ204" s="366">
        <v>878.33</v>
      </c>
      <c r="DA204" s="366">
        <v>413.42</v>
      </c>
      <c r="DB204" s="366">
        <v>571.17999999999995</v>
      </c>
      <c r="DC204" s="366">
        <v>571.17999999999995</v>
      </c>
      <c r="DD204" s="366">
        <v>660.05</v>
      </c>
      <c r="DE204" s="366">
        <v>491.05</v>
      </c>
      <c r="DF204" s="366">
        <v>1110.6600000000001</v>
      </c>
      <c r="DG204" s="366">
        <v>509.47</v>
      </c>
      <c r="DH204" s="366">
        <v>553.61</v>
      </c>
      <c r="DI204" s="366">
        <v>741</v>
      </c>
      <c r="DJ204" s="366">
        <v>894.53</v>
      </c>
      <c r="DK204" s="366">
        <v>316.11</v>
      </c>
      <c r="DL204" s="366">
        <v>692.77</v>
      </c>
      <c r="DM204" s="366">
        <v>340.63</v>
      </c>
      <c r="DN204" s="366">
        <v>755.76</v>
      </c>
      <c r="DO204" s="366">
        <v>294.11</v>
      </c>
      <c r="DP204" s="366">
        <v>621.74</v>
      </c>
      <c r="DQ204" s="366">
        <v>577.28</v>
      </c>
      <c r="DR204" s="366">
        <v>553.61</v>
      </c>
      <c r="DS204" s="366">
        <v>498.55</v>
      </c>
      <c r="DT204" s="366">
        <v>486.84</v>
      </c>
      <c r="DU204" s="366">
        <v>443.76</v>
      </c>
      <c r="DV204" s="366">
        <v>510.47</v>
      </c>
      <c r="DW204" s="366">
        <v>363.46</v>
      </c>
      <c r="DX204" s="366">
        <v>552.26</v>
      </c>
      <c r="DY204" s="366">
        <v>625.65</v>
      </c>
      <c r="DZ204" s="366">
        <v>669.72</v>
      </c>
      <c r="EA204" s="366">
        <v>504.35</v>
      </c>
      <c r="EB204" s="366">
        <v>619.65</v>
      </c>
      <c r="EC204" s="366">
        <v>417.34</v>
      </c>
      <c r="ED204" s="366">
        <v>770.77</v>
      </c>
      <c r="EE204" s="366">
        <v>781.56</v>
      </c>
      <c r="EF204" s="366">
        <v>628.97</v>
      </c>
      <c r="EG204" s="366">
        <v>503.62</v>
      </c>
      <c r="EH204" s="366">
        <v>503.62</v>
      </c>
      <c r="EI204" s="366">
        <v>549.85</v>
      </c>
      <c r="EJ204" s="366">
        <v>7.19</v>
      </c>
      <c r="EK204" s="366">
        <v>428.28</v>
      </c>
      <c r="EL204" s="366">
        <v>428.28</v>
      </c>
      <c r="EM204" s="366">
        <v>522.39</v>
      </c>
      <c r="EN204" s="366">
        <v>522.39</v>
      </c>
      <c r="EO204" s="366">
        <v>708.99</v>
      </c>
      <c r="EP204" s="366">
        <v>631.85</v>
      </c>
      <c r="EQ204" s="366">
        <v>492.01</v>
      </c>
      <c r="ER204" s="366">
        <v>940.79</v>
      </c>
      <c r="ES204" s="366">
        <v>352.95</v>
      </c>
      <c r="ET204" s="366">
        <v>569.29999999999995</v>
      </c>
      <c r="EU204" s="366">
        <v>1062.3</v>
      </c>
      <c r="EV204" s="366">
        <v>672.89</v>
      </c>
      <c r="EW204" s="366">
        <v>550.77</v>
      </c>
      <c r="EX204" s="366">
        <v>219.19</v>
      </c>
      <c r="EY204" s="366">
        <v>219.19</v>
      </c>
      <c r="EZ204" s="366">
        <v>574.20000000000005</v>
      </c>
      <c r="FA204" s="366">
        <v>519.55999999999995</v>
      </c>
      <c r="FB204" s="366">
        <v>331.81</v>
      </c>
      <c r="FC204" s="366">
        <v>572.4</v>
      </c>
      <c r="FD204" s="366">
        <v>462.05</v>
      </c>
      <c r="FE204" s="366">
        <v>553.67999999999995</v>
      </c>
      <c r="FF204" s="366">
        <v>528.86</v>
      </c>
      <c r="FG204" s="366">
        <v>913.37</v>
      </c>
      <c r="FH204" s="366">
        <v>913.37</v>
      </c>
      <c r="FI204" s="366">
        <v>653.76</v>
      </c>
      <c r="FJ204" s="366">
        <v>659.55</v>
      </c>
      <c r="FK204" s="366">
        <v>380.69</v>
      </c>
      <c r="FL204" s="366">
        <v>378.88</v>
      </c>
      <c r="FM204" s="366">
        <v>708.99</v>
      </c>
      <c r="FN204" s="366">
        <v>703.64</v>
      </c>
      <c r="FO204" s="366">
        <v>512.72</v>
      </c>
      <c r="FP204" s="366">
        <v>604.75</v>
      </c>
      <c r="FQ204" s="366">
        <v>516.59</v>
      </c>
      <c r="FR204" s="366">
        <v>391.33</v>
      </c>
      <c r="FS204" s="366">
        <v>458.93</v>
      </c>
      <c r="FT204" s="366">
        <v>909.69</v>
      </c>
      <c r="FU204" s="366">
        <v>467.43</v>
      </c>
      <c r="FV204" s="366">
        <v>1126.2</v>
      </c>
      <c r="FW204" s="366">
        <v>1126.2</v>
      </c>
      <c r="FX204" s="366">
        <v>1126.2</v>
      </c>
      <c r="FY204" s="366">
        <v>468.7</v>
      </c>
      <c r="FZ204" s="366">
        <v>543.59</v>
      </c>
      <c r="GA204" s="366">
        <v>595.85</v>
      </c>
      <c r="GB204" s="366">
        <v>497.4</v>
      </c>
      <c r="GC204" s="366">
        <v>770.77</v>
      </c>
      <c r="GD204" s="366">
        <v>296.43</v>
      </c>
      <c r="GE204" s="366">
        <v>482.62</v>
      </c>
      <c r="GF204" s="366">
        <v>453.9</v>
      </c>
      <c r="GG204" s="366">
        <v>453.9</v>
      </c>
      <c r="GH204" s="366">
        <v>644.29999999999995</v>
      </c>
      <c r="GI204" s="366">
        <v>709.15</v>
      </c>
      <c r="GJ204" s="366">
        <v>708.99</v>
      </c>
      <c r="GK204" s="366">
        <v>377.24</v>
      </c>
      <c r="GL204" s="366">
        <v>536.17999999999995</v>
      </c>
      <c r="GM204" s="366">
        <v>536.17999999999995</v>
      </c>
      <c r="GN204" s="366">
        <v>536.17999999999995</v>
      </c>
      <c r="GO204" s="366">
        <v>674.43</v>
      </c>
      <c r="GP204" s="366">
        <v>601.26</v>
      </c>
      <c r="GQ204" s="366">
        <v>125.91</v>
      </c>
      <c r="GR204" s="366">
        <v>737.22</v>
      </c>
      <c r="GS204" s="366">
        <v>603.76</v>
      </c>
      <c r="GT204" s="366">
        <v>503.62</v>
      </c>
      <c r="GU204" s="366">
        <v>460.97</v>
      </c>
      <c r="GV204" s="366">
        <v>0</v>
      </c>
      <c r="GW204" s="366">
        <v>512.16</v>
      </c>
      <c r="GX204" s="366">
        <v>500.19</v>
      </c>
      <c r="GY204" s="366">
        <v>526.95000000000005</v>
      </c>
      <c r="GZ204" s="366">
        <v>461.77</v>
      </c>
      <c r="HA204" s="366">
        <v>518.13</v>
      </c>
      <c r="HB204" s="366">
        <v>518.13</v>
      </c>
      <c r="HC204" s="366">
        <v>518.13</v>
      </c>
      <c r="HD204" s="366">
        <v>706.01</v>
      </c>
      <c r="HE204" s="366">
        <v>516.24</v>
      </c>
      <c r="HF204" s="366">
        <v>472.53</v>
      </c>
      <c r="HG204" s="366">
        <v>600.17999999999995</v>
      </c>
      <c r="HH204" s="366">
        <v>600.17999999999995</v>
      </c>
      <c r="HI204" s="366">
        <v>600.17999999999995</v>
      </c>
      <c r="HJ204" s="366">
        <v>474.77</v>
      </c>
      <c r="HK204" s="366">
        <v>576.11</v>
      </c>
      <c r="HL204" s="366">
        <v>570.24</v>
      </c>
      <c r="HM204" s="366">
        <v>706.27</v>
      </c>
      <c r="HN204" s="366">
        <v>708.99</v>
      </c>
      <c r="HO204" s="366">
        <v>1030.46</v>
      </c>
      <c r="HP204" s="366">
        <v>462.49</v>
      </c>
      <c r="HQ204" s="366">
        <v>1126.2</v>
      </c>
      <c r="HR204" s="366">
        <v>876.45</v>
      </c>
      <c r="HS204" s="366">
        <v>705.24</v>
      </c>
      <c r="HT204" s="366">
        <v>587.55999999999995</v>
      </c>
      <c r="HU204" s="366">
        <v>554.80999999999995</v>
      </c>
      <c r="HV204" s="366">
        <v>573.13</v>
      </c>
    </row>
    <row r="205" spans="1:230">
      <c r="A205" s="366" t="s">
        <v>222</v>
      </c>
      <c r="B205" s="366">
        <v>578.04999999999995</v>
      </c>
      <c r="C205" s="366">
        <v>316.35000000000002</v>
      </c>
      <c r="D205" s="366">
        <v>217.12</v>
      </c>
      <c r="E205" s="366">
        <v>217.12</v>
      </c>
      <c r="F205" s="366">
        <v>641.95000000000005</v>
      </c>
      <c r="G205" s="366">
        <v>449.52</v>
      </c>
      <c r="H205" s="366">
        <v>260.74</v>
      </c>
      <c r="I205" s="366">
        <v>95.69</v>
      </c>
      <c r="J205" s="366">
        <v>284.52</v>
      </c>
      <c r="K205" s="366">
        <v>284.52</v>
      </c>
      <c r="L205" s="366">
        <v>207.73</v>
      </c>
      <c r="M205" s="366">
        <v>341.77</v>
      </c>
      <c r="N205" s="366">
        <v>438.67</v>
      </c>
      <c r="O205" s="366">
        <v>191.78</v>
      </c>
      <c r="P205" s="366">
        <v>191.78</v>
      </c>
      <c r="Q205" s="366">
        <v>191.78</v>
      </c>
      <c r="R205" s="366">
        <v>191.78</v>
      </c>
      <c r="S205" s="366">
        <v>191.78</v>
      </c>
      <c r="T205" s="366">
        <v>170.19</v>
      </c>
      <c r="U205" s="366">
        <v>557.55999999999995</v>
      </c>
      <c r="V205" s="366">
        <v>281.17</v>
      </c>
      <c r="W205" s="366">
        <v>313.55</v>
      </c>
      <c r="X205" s="366">
        <v>313.55</v>
      </c>
      <c r="Y205" s="366">
        <v>313.55</v>
      </c>
      <c r="Z205" s="366">
        <v>318.91000000000003</v>
      </c>
      <c r="AA205" s="366">
        <v>443.69</v>
      </c>
      <c r="AB205" s="366">
        <v>202.81</v>
      </c>
      <c r="AC205" s="366">
        <v>205.27</v>
      </c>
      <c r="AD205" s="366">
        <v>205.27</v>
      </c>
      <c r="AE205" s="366">
        <v>166.22</v>
      </c>
      <c r="AF205" s="366">
        <v>463.26</v>
      </c>
      <c r="AG205" s="366">
        <v>315.07</v>
      </c>
      <c r="AH205" s="366">
        <v>49.64</v>
      </c>
      <c r="AI205" s="366">
        <v>49.64</v>
      </c>
      <c r="AJ205" s="366">
        <v>49.64</v>
      </c>
      <c r="AK205" s="366">
        <v>341.11</v>
      </c>
      <c r="AL205" s="366">
        <v>341.11</v>
      </c>
      <c r="AM205" s="366">
        <v>205.53</v>
      </c>
      <c r="AN205" s="366">
        <v>150.94999999999999</v>
      </c>
      <c r="AO205" s="366">
        <v>456.64</v>
      </c>
      <c r="AP205" s="366">
        <v>158.91</v>
      </c>
      <c r="AQ205" s="366">
        <v>598.49</v>
      </c>
      <c r="AR205" s="366">
        <v>347.29</v>
      </c>
      <c r="AS205" s="366">
        <v>132.28</v>
      </c>
      <c r="AT205" s="366">
        <v>132.28</v>
      </c>
      <c r="AU205" s="366">
        <v>196.03</v>
      </c>
      <c r="AV205" s="366">
        <v>588.61</v>
      </c>
      <c r="AW205" s="366">
        <v>328.84</v>
      </c>
      <c r="AX205" s="366">
        <v>80.91</v>
      </c>
      <c r="AY205" s="366">
        <v>474.38</v>
      </c>
      <c r="AZ205" s="366">
        <v>284.97000000000003</v>
      </c>
      <c r="BA205" s="366">
        <v>418.87</v>
      </c>
      <c r="BB205" s="366">
        <v>477.27</v>
      </c>
      <c r="BC205" s="366">
        <v>360.93</v>
      </c>
      <c r="BD205" s="366">
        <v>270.7</v>
      </c>
      <c r="BE205" s="366">
        <v>285.23</v>
      </c>
      <c r="BF205" s="366">
        <v>199.78</v>
      </c>
      <c r="BG205" s="366">
        <v>326.45999999999998</v>
      </c>
      <c r="BH205" s="366">
        <v>191.78</v>
      </c>
      <c r="BI205" s="366">
        <v>347.32</v>
      </c>
      <c r="BJ205" s="366">
        <v>264.58</v>
      </c>
      <c r="BK205" s="366">
        <v>352.75</v>
      </c>
      <c r="BL205" s="366">
        <v>210.12</v>
      </c>
      <c r="BM205" s="366">
        <v>233.33</v>
      </c>
      <c r="BN205" s="366">
        <v>483.88</v>
      </c>
      <c r="BO205" s="366">
        <v>394.95</v>
      </c>
      <c r="BP205" s="366">
        <v>360.81</v>
      </c>
      <c r="BQ205" s="366">
        <v>74.989999999999995</v>
      </c>
      <c r="BR205" s="366">
        <v>74.989999999999995</v>
      </c>
      <c r="BS205" s="366">
        <v>292.54000000000002</v>
      </c>
      <c r="BT205" s="366">
        <v>331.75</v>
      </c>
      <c r="BU205" s="366">
        <v>183.31</v>
      </c>
      <c r="BV205" s="366">
        <v>202.93</v>
      </c>
      <c r="BW205" s="366">
        <v>255.32</v>
      </c>
      <c r="BX205" s="366">
        <v>233.63</v>
      </c>
      <c r="BY205" s="366">
        <v>308.64999999999998</v>
      </c>
      <c r="BZ205" s="366">
        <v>308.64999999999998</v>
      </c>
      <c r="CA205" s="366">
        <v>318.58</v>
      </c>
      <c r="CB205" s="366">
        <v>252.06</v>
      </c>
      <c r="CC205" s="366">
        <v>52.08</v>
      </c>
      <c r="CD205" s="366">
        <v>54.48</v>
      </c>
      <c r="CE205" s="366">
        <v>335.98</v>
      </c>
      <c r="CF205" s="366">
        <v>461.99</v>
      </c>
      <c r="CG205" s="366">
        <v>461.99</v>
      </c>
      <c r="CH205" s="366">
        <v>89.99</v>
      </c>
      <c r="CI205" s="366">
        <v>64.98</v>
      </c>
      <c r="CJ205" s="366">
        <v>472.94</v>
      </c>
      <c r="CK205" s="366">
        <v>313.74</v>
      </c>
      <c r="CL205" s="366">
        <v>209.82</v>
      </c>
      <c r="CM205" s="366">
        <v>307.20999999999998</v>
      </c>
      <c r="CN205" s="366">
        <v>213.95</v>
      </c>
      <c r="CO205" s="366">
        <v>345.9</v>
      </c>
      <c r="CP205" s="366">
        <v>68.3</v>
      </c>
      <c r="CQ205" s="366">
        <v>68.3</v>
      </c>
      <c r="CR205" s="366">
        <v>298.3</v>
      </c>
      <c r="CS205" s="366">
        <v>298.3</v>
      </c>
      <c r="CT205" s="366">
        <v>307.74</v>
      </c>
      <c r="CU205" s="366">
        <v>299.87</v>
      </c>
      <c r="CV205" s="366">
        <v>302.47000000000003</v>
      </c>
      <c r="CW205" s="366">
        <v>281.17</v>
      </c>
      <c r="CX205" s="366">
        <v>71.150000000000006</v>
      </c>
      <c r="CY205" s="366">
        <v>353.63</v>
      </c>
      <c r="CZ205" s="366">
        <v>374.87</v>
      </c>
      <c r="DA205" s="366">
        <v>376.72</v>
      </c>
      <c r="DB205" s="366">
        <v>260.56</v>
      </c>
      <c r="DC205" s="366">
        <v>260.56</v>
      </c>
      <c r="DD205" s="366">
        <v>300.70999999999998</v>
      </c>
      <c r="DE205" s="366">
        <v>454.35</v>
      </c>
      <c r="DF205" s="366">
        <v>626.41</v>
      </c>
      <c r="DG205" s="366">
        <v>35.33</v>
      </c>
      <c r="DH205" s="366">
        <v>516.91</v>
      </c>
      <c r="DI205" s="366">
        <v>327.81</v>
      </c>
      <c r="DJ205" s="366">
        <v>391.07</v>
      </c>
      <c r="DK205" s="366">
        <v>196.05</v>
      </c>
      <c r="DL205" s="366">
        <v>189.31</v>
      </c>
      <c r="DM205" s="366">
        <v>303.93</v>
      </c>
      <c r="DN205" s="366">
        <v>342.57</v>
      </c>
      <c r="DO205" s="366">
        <v>222.62</v>
      </c>
      <c r="DP205" s="366">
        <v>262.39999999999998</v>
      </c>
      <c r="DQ205" s="366">
        <v>266.66000000000003</v>
      </c>
      <c r="DR205" s="366">
        <v>516.91</v>
      </c>
      <c r="DS205" s="366">
        <v>323.77</v>
      </c>
      <c r="DT205" s="366">
        <v>312.06</v>
      </c>
      <c r="DU205" s="366">
        <v>407.06</v>
      </c>
      <c r="DV205" s="366">
        <v>344.75</v>
      </c>
      <c r="DW205" s="366">
        <v>148.69999999999999</v>
      </c>
      <c r="DX205" s="366">
        <v>241.64</v>
      </c>
      <c r="DY205" s="366">
        <v>315.02999999999997</v>
      </c>
      <c r="DZ205" s="366">
        <v>310.38</v>
      </c>
      <c r="EA205" s="366">
        <v>329.57</v>
      </c>
      <c r="EB205" s="366">
        <v>309.02999999999997</v>
      </c>
      <c r="EC205" s="366">
        <v>242.56</v>
      </c>
      <c r="ED205" s="366">
        <v>357.58</v>
      </c>
      <c r="EE205" s="366">
        <v>368.37</v>
      </c>
      <c r="EF205" s="366">
        <v>152.63</v>
      </c>
      <c r="EG205" s="366">
        <v>328.84</v>
      </c>
      <c r="EH205" s="366">
        <v>328.84</v>
      </c>
      <c r="EI205" s="366">
        <v>38.130000000000003</v>
      </c>
      <c r="EJ205" s="366">
        <v>504.97</v>
      </c>
      <c r="EK205" s="366">
        <v>117.66</v>
      </c>
      <c r="EL205" s="366">
        <v>117.66</v>
      </c>
      <c r="EM205" s="366">
        <v>211.77</v>
      </c>
      <c r="EN205" s="366">
        <v>211.77</v>
      </c>
      <c r="EO205" s="366">
        <v>205.53</v>
      </c>
      <c r="EP205" s="366">
        <v>120.13</v>
      </c>
      <c r="EQ205" s="366">
        <v>317.23</v>
      </c>
      <c r="ER205" s="366">
        <v>527.6</v>
      </c>
      <c r="ES205" s="366">
        <v>316.25</v>
      </c>
      <c r="ET205" s="366">
        <v>92.96</v>
      </c>
      <c r="EU205" s="366">
        <v>578.04999999999995</v>
      </c>
      <c r="EV205" s="366">
        <v>313.55</v>
      </c>
      <c r="EW205" s="366">
        <v>39.049999999999997</v>
      </c>
      <c r="EX205" s="366">
        <v>292.99</v>
      </c>
      <c r="EY205" s="366">
        <v>292.99</v>
      </c>
      <c r="EZ205" s="366">
        <v>256.31</v>
      </c>
      <c r="FA205" s="366">
        <v>208.94</v>
      </c>
      <c r="FB205" s="366">
        <v>180.35</v>
      </c>
      <c r="FC205" s="366">
        <v>261.77999999999997</v>
      </c>
      <c r="FD205" s="366">
        <v>116.97</v>
      </c>
      <c r="FE205" s="366">
        <v>41.96</v>
      </c>
      <c r="FF205" s="366">
        <v>52.52</v>
      </c>
      <c r="FG205" s="366">
        <v>409.91</v>
      </c>
      <c r="FH205" s="366">
        <v>409.91</v>
      </c>
      <c r="FI205" s="366">
        <v>294.42</v>
      </c>
      <c r="FJ205" s="366">
        <v>300.20999999999998</v>
      </c>
      <c r="FK205" s="366">
        <v>343.99</v>
      </c>
      <c r="FL205" s="366">
        <v>342.18</v>
      </c>
      <c r="FM205" s="366">
        <v>205.53</v>
      </c>
      <c r="FN205" s="366">
        <v>344.3</v>
      </c>
      <c r="FO205" s="366">
        <v>337.94</v>
      </c>
      <c r="FP205" s="366">
        <v>294.13</v>
      </c>
      <c r="FQ205" s="366">
        <v>341.81</v>
      </c>
      <c r="FR205" s="366">
        <v>225.07</v>
      </c>
      <c r="FS205" s="366">
        <v>53.23</v>
      </c>
      <c r="FT205" s="366">
        <v>406.23</v>
      </c>
      <c r="FU205" s="366">
        <v>77.37</v>
      </c>
      <c r="FV205" s="366">
        <v>641.95000000000005</v>
      </c>
      <c r="FW205" s="366">
        <v>641.95000000000005</v>
      </c>
      <c r="FX205" s="366">
        <v>641.95000000000005</v>
      </c>
      <c r="FY205" s="366">
        <v>158.08000000000001</v>
      </c>
      <c r="FZ205" s="366">
        <v>53.97</v>
      </c>
      <c r="GA205" s="366">
        <v>285.23</v>
      </c>
      <c r="GB205" s="366">
        <v>91.7</v>
      </c>
      <c r="GC205" s="366">
        <v>357.58</v>
      </c>
      <c r="GD205" s="366">
        <v>215.73</v>
      </c>
      <c r="GE205" s="366">
        <v>307.83999999999997</v>
      </c>
      <c r="GF205" s="366">
        <v>90.9</v>
      </c>
      <c r="GG205" s="366">
        <v>90.9</v>
      </c>
      <c r="GH205" s="366">
        <v>333.68</v>
      </c>
      <c r="GI205" s="366">
        <v>205.69</v>
      </c>
      <c r="GJ205" s="366">
        <v>205.53</v>
      </c>
      <c r="GK205" s="366">
        <v>340.54</v>
      </c>
      <c r="GL205" s="366">
        <v>40.94</v>
      </c>
      <c r="GM205" s="366">
        <v>40.94</v>
      </c>
      <c r="GN205" s="366">
        <v>40.94</v>
      </c>
      <c r="GO205" s="366">
        <v>198.09</v>
      </c>
      <c r="GP205" s="366">
        <v>290.64</v>
      </c>
      <c r="GQ205" s="366">
        <v>386.25</v>
      </c>
      <c r="GR205" s="366">
        <v>233.76</v>
      </c>
      <c r="GS205" s="366">
        <v>127.42</v>
      </c>
      <c r="GT205" s="366">
        <v>328.84</v>
      </c>
      <c r="GU205" s="366">
        <v>150.93</v>
      </c>
      <c r="GV205" s="366">
        <v>512.16</v>
      </c>
      <c r="GW205" s="366">
        <v>0</v>
      </c>
      <c r="GX205" s="366">
        <v>325.41000000000003</v>
      </c>
      <c r="GY205" s="366">
        <v>50.61</v>
      </c>
      <c r="GZ205" s="366">
        <v>116.69</v>
      </c>
      <c r="HA205" s="366">
        <v>343.35</v>
      </c>
      <c r="HB205" s="366">
        <v>343.35</v>
      </c>
      <c r="HC205" s="366">
        <v>343.35</v>
      </c>
      <c r="HD205" s="366">
        <v>329.86</v>
      </c>
      <c r="HE205" s="366">
        <v>205.62</v>
      </c>
      <c r="HF205" s="366">
        <v>161.91</v>
      </c>
      <c r="HG205" s="366">
        <v>289.56</v>
      </c>
      <c r="HH205" s="366">
        <v>289.56</v>
      </c>
      <c r="HI205" s="366">
        <v>289.56</v>
      </c>
      <c r="HJ205" s="366">
        <v>70.03</v>
      </c>
      <c r="HK205" s="366">
        <v>284</v>
      </c>
      <c r="HL205" s="366">
        <v>225.16</v>
      </c>
      <c r="HM205" s="366">
        <v>202.81</v>
      </c>
      <c r="HN205" s="366">
        <v>205.53</v>
      </c>
      <c r="HO205" s="366">
        <v>611.25</v>
      </c>
      <c r="HP205" s="366">
        <v>117.41</v>
      </c>
      <c r="HQ205" s="366">
        <v>641.95000000000005</v>
      </c>
      <c r="HR205" s="366">
        <v>463.26</v>
      </c>
      <c r="HS205" s="366">
        <v>201.78</v>
      </c>
      <c r="HT205" s="366">
        <v>111.22</v>
      </c>
      <c r="HU205" s="366">
        <v>78.47</v>
      </c>
      <c r="HV205" s="366">
        <v>61.41</v>
      </c>
    </row>
    <row r="206" spans="1:230">
      <c r="A206" s="366" t="s">
        <v>223</v>
      </c>
      <c r="B206" s="366">
        <v>562.11</v>
      </c>
      <c r="C206" s="366">
        <v>304.38</v>
      </c>
      <c r="D206" s="366">
        <v>108.29</v>
      </c>
      <c r="E206" s="366">
        <v>108.29</v>
      </c>
      <c r="F206" s="366">
        <v>626.01</v>
      </c>
      <c r="G206" s="366">
        <v>362.52</v>
      </c>
      <c r="H206" s="366">
        <v>64.67</v>
      </c>
      <c r="I206" s="366">
        <v>258.26</v>
      </c>
      <c r="J206" s="366">
        <v>40.89</v>
      </c>
      <c r="K206" s="366">
        <v>40.89</v>
      </c>
      <c r="L206" s="366">
        <v>126.2</v>
      </c>
      <c r="M206" s="366">
        <v>329.8</v>
      </c>
      <c r="N206" s="366">
        <v>426.7</v>
      </c>
      <c r="O206" s="366">
        <v>350.11</v>
      </c>
      <c r="P206" s="366">
        <v>350.11</v>
      </c>
      <c r="Q206" s="366">
        <v>350.11</v>
      </c>
      <c r="R206" s="366">
        <v>350.11</v>
      </c>
      <c r="S206" s="366">
        <v>350.11</v>
      </c>
      <c r="T206" s="366">
        <v>269.3</v>
      </c>
      <c r="U206" s="366">
        <v>470.56</v>
      </c>
      <c r="V206" s="366">
        <v>405.04</v>
      </c>
      <c r="W206" s="366">
        <v>172.7</v>
      </c>
      <c r="X206" s="366">
        <v>172.7</v>
      </c>
      <c r="Y206" s="366">
        <v>172.7</v>
      </c>
      <c r="Z206" s="366">
        <v>442.78</v>
      </c>
      <c r="AA206" s="366">
        <v>356.69</v>
      </c>
      <c r="AB206" s="366">
        <v>296.79000000000002</v>
      </c>
      <c r="AC206" s="366">
        <v>288.92</v>
      </c>
      <c r="AD206" s="366">
        <v>288.92</v>
      </c>
      <c r="AE206" s="366">
        <v>159.19</v>
      </c>
      <c r="AF206" s="366">
        <v>376.26</v>
      </c>
      <c r="AG206" s="366">
        <v>174.22</v>
      </c>
      <c r="AH206" s="366">
        <v>304.31</v>
      </c>
      <c r="AI206" s="366">
        <v>304.31</v>
      </c>
      <c r="AJ206" s="366">
        <v>304.31</v>
      </c>
      <c r="AK206" s="366">
        <v>464.98</v>
      </c>
      <c r="AL206" s="366">
        <v>464.98</v>
      </c>
      <c r="AM206" s="366">
        <v>299.51</v>
      </c>
      <c r="AN206" s="366">
        <v>309.27999999999997</v>
      </c>
      <c r="AO206" s="366">
        <v>379.13</v>
      </c>
      <c r="AP206" s="366">
        <v>207.6</v>
      </c>
      <c r="AQ206" s="366">
        <v>582.54999999999995</v>
      </c>
      <c r="AR206" s="366">
        <v>80.63</v>
      </c>
      <c r="AS206" s="366">
        <v>201.65</v>
      </c>
      <c r="AT206" s="366">
        <v>201.65</v>
      </c>
      <c r="AU206" s="366">
        <v>319.89999999999998</v>
      </c>
      <c r="AV206" s="366">
        <v>501.61</v>
      </c>
      <c r="AW206" s="366">
        <v>3.43</v>
      </c>
      <c r="AX206" s="366">
        <v>339.44</v>
      </c>
      <c r="AY206" s="366">
        <v>462.41</v>
      </c>
      <c r="AZ206" s="366">
        <v>273</v>
      </c>
      <c r="BA206" s="366">
        <v>502.52</v>
      </c>
      <c r="BB206" s="366">
        <v>465.3</v>
      </c>
      <c r="BC206" s="366">
        <v>444.58</v>
      </c>
      <c r="BD206" s="366">
        <v>354.35</v>
      </c>
      <c r="BE206" s="366">
        <v>409.1</v>
      </c>
      <c r="BF206" s="366">
        <v>293.76</v>
      </c>
      <c r="BG206" s="366">
        <v>450.33</v>
      </c>
      <c r="BH206" s="366">
        <v>350.11</v>
      </c>
      <c r="BI206" s="366">
        <v>80.66</v>
      </c>
      <c r="BJ206" s="366">
        <v>388.45</v>
      </c>
      <c r="BK206" s="366">
        <v>340.78</v>
      </c>
      <c r="BL206" s="366">
        <v>115.29</v>
      </c>
      <c r="BM206" s="366">
        <v>92.08</v>
      </c>
      <c r="BN206" s="366">
        <v>396.88</v>
      </c>
      <c r="BO206" s="366">
        <v>382.98</v>
      </c>
      <c r="BP206" s="366">
        <v>348.84</v>
      </c>
      <c r="BQ206" s="366">
        <v>278.95999999999998</v>
      </c>
      <c r="BR206" s="366">
        <v>278.95999999999998</v>
      </c>
      <c r="BS206" s="366">
        <v>280.57</v>
      </c>
      <c r="BT206" s="366">
        <v>72.58</v>
      </c>
      <c r="BU206" s="366">
        <v>277.29000000000002</v>
      </c>
      <c r="BV206" s="366">
        <v>296.91000000000003</v>
      </c>
      <c r="BW206" s="366">
        <v>379.19</v>
      </c>
      <c r="BX206" s="366">
        <v>221.66</v>
      </c>
      <c r="BY206" s="366">
        <v>432.52</v>
      </c>
      <c r="BZ206" s="366">
        <v>432.52</v>
      </c>
      <c r="CA206" s="366">
        <v>35.369999999999997</v>
      </c>
      <c r="CB206" s="366">
        <v>240.09</v>
      </c>
      <c r="CC206" s="366">
        <v>310.61</v>
      </c>
      <c r="CD206" s="366">
        <v>324.08999999999997</v>
      </c>
      <c r="CE206" s="366">
        <v>324.01</v>
      </c>
      <c r="CF206" s="366">
        <v>374.99</v>
      </c>
      <c r="CG206" s="366">
        <v>374.99</v>
      </c>
      <c r="CH206" s="366">
        <v>263.95999999999998</v>
      </c>
      <c r="CI206" s="366">
        <v>293.07</v>
      </c>
      <c r="CJ206" s="366">
        <v>385.94</v>
      </c>
      <c r="CK206" s="366">
        <v>437.61</v>
      </c>
      <c r="CL206" s="366">
        <v>333.69</v>
      </c>
      <c r="CM206" s="366">
        <v>390.86</v>
      </c>
      <c r="CN206" s="366">
        <v>337.82</v>
      </c>
      <c r="CO206" s="366">
        <v>79.239999999999995</v>
      </c>
      <c r="CP206" s="366">
        <v>285.64999999999998</v>
      </c>
      <c r="CQ206" s="366">
        <v>285.64999999999998</v>
      </c>
      <c r="CR206" s="366">
        <v>30.56</v>
      </c>
      <c r="CS206" s="366">
        <v>30.56</v>
      </c>
      <c r="CT206" s="366">
        <v>21.12</v>
      </c>
      <c r="CU206" s="366">
        <v>28.99</v>
      </c>
      <c r="CV206" s="366">
        <v>22.94</v>
      </c>
      <c r="CW206" s="366">
        <v>405.04</v>
      </c>
      <c r="CX206" s="366">
        <v>329.68</v>
      </c>
      <c r="CY206" s="366">
        <v>437.28</v>
      </c>
      <c r="CZ206" s="366">
        <v>458.52</v>
      </c>
      <c r="DA206" s="366">
        <v>364.75</v>
      </c>
      <c r="DB206" s="366">
        <v>384.43</v>
      </c>
      <c r="DC206" s="366">
        <v>384.43</v>
      </c>
      <c r="DD206" s="366">
        <v>159.86000000000001</v>
      </c>
      <c r="DE206" s="366">
        <v>442.38</v>
      </c>
      <c r="DF206" s="366">
        <v>610.47</v>
      </c>
      <c r="DG206" s="366">
        <v>322.72000000000003</v>
      </c>
      <c r="DH206" s="366">
        <v>504.94</v>
      </c>
      <c r="DI206" s="366">
        <v>240.81</v>
      </c>
      <c r="DJ206" s="366">
        <v>444.7</v>
      </c>
      <c r="DK206" s="366">
        <v>184.08</v>
      </c>
      <c r="DL206" s="366">
        <v>271.29000000000002</v>
      </c>
      <c r="DM206" s="366">
        <v>291.95999999999998</v>
      </c>
      <c r="DN206" s="366">
        <v>255.57</v>
      </c>
      <c r="DO206" s="366">
        <v>210.65</v>
      </c>
      <c r="DP206" s="366">
        <v>121.55</v>
      </c>
      <c r="DQ206" s="366">
        <v>390.53</v>
      </c>
      <c r="DR206" s="366">
        <v>504.94</v>
      </c>
      <c r="DS206" s="366">
        <v>80.14</v>
      </c>
      <c r="DT206" s="366">
        <v>68.430000000000007</v>
      </c>
      <c r="DU206" s="366">
        <v>395.09</v>
      </c>
      <c r="DV206" s="366">
        <v>461.8</v>
      </c>
      <c r="DW206" s="366">
        <v>185.23</v>
      </c>
      <c r="DX206" s="366">
        <v>365.51</v>
      </c>
      <c r="DY206" s="366">
        <v>438.9</v>
      </c>
      <c r="DZ206" s="366">
        <v>169.53</v>
      </c>
      <c r="EA206" s="366">
        <v>62.91</v>
      </c>
      <c r="EB206" s="366">
        <v>432.9</v>
      </c>
      <c r="EC206" s="366">
        <v>82.85</v>
      </c>
      <c r="ED206" s="366">
        <v>270.58</v>
      </c>
      <c r="EE206" s="366">
        <v>281.37</v>
      </c>
      <c r="EF206" s="366">
        <v>201.32</v>
      </c>
      <c r="EG206" s="366">
        <v>3.43</v>
      </c>
      <c r="EH206" s="366">
        <v>3.43</v>
      </c>
      <c r="EI206" s="366">
        <v>324.56</v>
      </c>
      <c r="EJ206" s="366">
        <v>493</v>
      </c>
      <c r="EK206" s="366">
        <v>241.53</v>
      </c>
      <c r="EL206" s="366">
        <v>241.53</v>
      </c>
      <c r="EM206" s="366">
        <v>335.64</v>
      </c>
      <c r="EN206" s="366">
        <v>335.64</v>
      </c>
      <c r="EO206" s="366">
        <v>299.51</v>
      </c>
      <c r="EP206" s="366">
        <v>340.47</v>
      </c>
      <c r="EQ206" s="366">
        <v>11.63</v>
      </c>
      <c r="ER206" s="366">
        <v>440.6</v>
      </c>
      <c r="ES206" s="366">
        <v>304.27999999999997</v>
      </c>
      <c r="ET206" s="366">
        <v>260.99</v>
      </c>
      <c r="EU206" s="366">
        <v>562.11</v>
      </c>
      <c r="EV206" s="366">
        <v>172.7</v>
      </c>
      <c r="EW206" s="366">
        <v>323.94</v>
      </c>
      <c r="EX206" s="366">
        <v>281.02</v>
      </c>
      <c r="EY206" s="366">
        <v>281.02</v>
      </c>
      <c r="EZ206" s="366">
        <v>387.45</v>
      </c>
      <c r="FA206" s="366">
        <v>332.81</v>
      </c>
      <c r="FB206" s="366">
        <v>168.38</v>
      </c>
      <c r="FC206" s="366">
        <v>385.65</v>
      </c>
      <c r="FD206" s="366">
        <v>275.3</v>
      </c>
      <c r="FE206" s="366">
        <v>328.39</v>
      </c>
      <c r="FF206" s="366">
        <v>342.11</v>
      </c>
      <c r="FG206" s="366">
        <v>493.56</v>
      </c>
      <c r="FH206" s="366">
        <v>493.56</v>
      </c>
      <c r="FI206" s="366">
        <v>153.57</v>
      </c>
      <c r="FJ206" s="366">
        <v>159.36000000000001</v>
      </c>
      <c r="FK206" s="366">
        <v>332.02</v>
      </c>
      <c r="FL206" s="366">
        <v>330.21</v>
      </c>
      <c r="FM206" s="366">
        <v>299.51</v>
      </c>
      <c r="FN206" s="366">
        <v>203.45</v>
      </c>
      <c r="FO206" s="366">
        <v>71.28</v>
      </c>
      <c r="FP206" s="366">
        <v>418</v>
      </c>
      <c r="FQ206" s="366">
        <v>75.150000000000006</v>
      </c>
      <c r="FR206" s="366">
        <v>143.54</v>
      </c>
      <c r="FS206" s="366">
        <v>272.18</v>
      </c>
      <c r="FT206" s="366">
        <v>429.54</v>
      </c>
      <c r="FU206" s="366">
        <v>280.68</v>
      </c>
      <c r="FV206" s="366">
        <v>626.01</v>
      </c>
      <c r="FW206" s="366">
        <v>626.01</v>
      </c>
      <c r="FX206" s="366">
        <v>626.01</v>
      </c>
      <c r="FY206" s="366">
        <v>281.95</v>
      </c>
      <c r="FZ206" s="366">
        <v>351.26</v>
      </c>
      <c r="GA206" s="366">
        <v>409.1</v>
      </c>
      <c r="GB206" s="366">
        <v>310.64999999999998</v>
      </c>
      <c r="GC206" s="366">
        <v>270.58</v>
      </c>
      <c r="GD206" s="366">
        <v>203.76</v>
      </c>
      <c r="GE206" s="366">
        <v>21.02</v>
      </c>
      <c r="GF206" s="366">
        <v>267.14999999999998</v>
      </c>
      <c r="GG206" s="366">
        <v>267.14999999999998</v>
      </c>
      <c r="GH206" s="366">
        <v>457.55</v>
      </c>
      <c r="GI206" s="366">
        <v>299.67</v>
      </c>
      <c r="GJ206" s="366">
        <v>299.51</v>
      </c>
      <c r="GK206" s="366">
        <v>328.57</v>
      </c>
      <c r="GL206" s="366">
        <v>338.23</v>
      </c>
      <c r="GM206" s="366">
        <v>338.23</v>
      </c>
      <c r="GN206" s="366">
        <v>338.23</v>
      </c>
      <c r="GO206" s="366">
        <v>246.78</v>
      </c>
      <c r="GP206" s="366">
        <v>414.51</v>
      </c>
      <c r="GQ206" s="366">
        <v>374.28</v>
      </c>
      <c r="GR206" s="366">
        <v>301.92</v>
      </c>
      <c r="GS206" s="366">
        <v>226.53</v>
      </c>
      <c r="GT206" s="366">
        <v>3.43</v>
      </c>
      <c r="GU206" s="366">
        <v>177.36</v>
      </c>
      <c r="GV206" s="366">
        <v>500.19</v>
      </c>
      <c r="GW206" s="366">
        <v>325.41000000000003</v>
      </c>
      <c r="GX206" s="366">
        <v>0</v>
      </c>
      <c r="GY206" s="366">
        <v>303.33999999999997</v>
      </c>
      <c r="GZ206" s="366">
        <v>275.02</v>
      </c>
      <c r="HA206" s="366">
        <v>76.69</v>
      </c>
      <c r="HB206" s="366">
        <v>76.69</v>
      </c>
      <c r="HC206" s="366">
        <v>76.69</v>
      </c>
      <c r="HD206" s="366">
        <v>205.82</v>
      </c>
      <c r="HE206" s="366">
        <v>329.49</v>
      </c>
      <c r="HF206" s="366">
        <v>285.77999999999997</v>
      </c>
      <c r="HG206" s="366">
        <v>413.43</v>
      </c>
      <c r="HH206" s="366">
        <v>413.43</v>
      </c>
      <c r="HI206" s="366">
        <v>413.43</v>
      </c>
      <c r="HJ206" s="366">
        <v>288.02</v>
      </c>
      <c r="HK206" s="366">
        <v>75.92</v>
      </c>
      <c r="HL206" s="366">
        <v>383.49</v>
      </c>
      <c r="HM206" s="366">
        <v>296.79000000000002</v>
      </c>
      <c r="HN206" s="366">
        <v>299.51</v>
      </c>
      <c r="HO206" s="366">
        <v>530.27</v>
      </c>
      <c r="HP206" s="366">
        <v>275.74</v>
      </c>
      <c r="HQ206" s="366">
        <v>626.01</v>
      </c>
      <c r="HR206" s="366">
        <v>376.26</v>
      </c>
      <c r="HS206" s="366">
        <v>295.76</v>
      </c>
      <c r="HT206" s="366">
        <v>247.92</v>
      </c>
      <c r="HU206" s="366">
        <v>282.44</v>
      </c>
      <c r="HV206" s="366">
        <v>342.77</v>
      </c>
    </row>
    <row r="207" spans="1:230">
      <c r="A207" s="366" t="s">
        <v>224</v>
      </c>
      <c r="B207" s="366">
        <v>554.55999999999995</v>
      </c>
      <c r="C207" s="366">
        <v>331.14</v>
      </c>
      <c r="D207" s="366">
        <v>231.91</v>
      </c>
      <c r="E207" s="366">
        <v>231.91</v>
      </c>
      <c r="F207" s="366">
        <v>618.46</v>
      </c>
      <c r="G207" s="366">
        <v>426.03</v>
      </c>
      <c r="H207" s="366">
        <v>275.52999999999997</v>
      </c>
      <c r="I207" s="366">
        <v>45.08</v>
      </c>
      <c r="J207" s="366">
        <v>299.31</v>
      </c>
      <c r="K207" s="366">
        <v>299.31</v>
      </c>
      <c r="L207" s="366">
        <v>222.52</v>
      </c>
      <c r="M207" s="366">
        <v>356.56</v>
      </c>
      <c r="N207" s="366">
        <v>453.46</v>
      </c>
      <c r="O207" s="366">
        <v>206.57</v>
      </c>
      <c r="P207" s="366">
        <v>206.57</v>
      </c>
      <c r="Q207" s="366">
        <v>206.57</v>
      </c>
      <c r="R207" s="366">
        <v>206.57</v>
      </c>
      <c r="S207" s="366">
        <v>206.57</v>
      </c>
      <c r="T207" s="366">
        <v>119.58</v>
      </c>
      <c r="U207" s="366">
        <v>534.07000000000005</v>
      </c>
      <c r="V207" s="366">
        <v>295.95999999999998</v>
      </c>
      <c r="W207" s="366">
        <v>262.94</v>
      </c>
      <c r="X207" s="366">
        <v>262.94</v>
      </c>
      <c r="Y207" s="366">
        <v>262.94</v>
      </c>
      <c r="Z207" s="366">
        <v>333.7</v>
      </c>
      <c r="AA207" s="366">
        <v>420.2</v>
      </c>
      <c r="AB207" s="366">
        <v>179.32</v>
      </c>
      <c r="AC207" s="366">
        <v>181.78</v>
      </c>
      <c r="AD207" s="366">
        <v>181.78</v>
      </c>
      <c r="AE207" s="366">
        <v>181.01</v>
      </c>
      <c r="AF207" s="366">
        <v>439.77</v>
      </c>
      <c r="AG207" s="366">
        <v>264.45999999999998</v>
      </c>
      <c r="AH207" s="366">
        <v>0.97</v>
      </c>
      <c r="AI207" s="366">
        <v>0.97</v>
      </c>
      <c r="AJ207" s="366">
        <v>0.97</v>
      </c>
      <c r="AK207" s="366">
        <v>355.9</v>
      </c>
      <c r="AL207" s="366">
        <v>355.9</v>
      </c>
      <c r="AM207" s="366">
        <v>182.04</v>
      </c>
      <c r="AN207" s="366">
        <v>165.74</v>
      </c>
      <c r="AO207" s="366">
        <v>433.15</v>
      </c>
      <c r="AP207" s="366">
        <v>108.3</v>
      </c>
      <c r="AQ207" s="366">
        <v>575</v>
      </c>
      <c r="AR207" s="366">
        <v>362.08</v>
      </c>
      <c r="AS207" s="366">
        <v>147.07</v>
      </c>
      <c r="AT207" s="366">
        <v>147.07</v>
      </c>
      <c r="AU207" s="366">
        <v>210.82</v>
      </c>
      <c r="AV207" s="366">
        <v>565.12</v>
      </c>
      <c r="AW207" s="366">
        <v>306.77</v>
      </c>
      <c r="AX207" s="366">
        <v>126.26</v>
      </c>
      <c r="AY207" s="366">
        <v>489.17</v>
      </c>
      <c r="AZ207" s="366">
        <v>299.76</v>
      </c>
      <c r="BA207" s="366">
        <v>395.38</v>
      </c>
      <c r="BB207" s="366">
        <v>492.06</v>
      </c>
      <c r="BC207" s="366">
        <v>337.44</v>
      </c>
      <c r="BD207" s="366">
        <v>247.21</v>
      </c>
      <c r="BE207" s="366">
        <v>300.02</v>
      </c>
      <c r="BF207" s="366">
        <v>176.29</v>
      </c>
      <c r="BG207" s="366">
        <v>341.25</v>
      </c>
      <c r="BH207" s="366">
        <v>206.57</v>
      </c>
      <c r="BI207" s="366">
        <v>362.11</v>
      </c>
      <c r="BJ207" s="366">
        <v>279.37</v>
      </c>
      <c r="BK207" s="366">
        <v>367.54</v>
      </c>
      <c r="BL207" s="366">
        <v>224.91</v>
      </c>
      <c r="BM207" s="366">
        <v>248.12</v>
      </c>
      <c r="BN207" s="366">
        <v>460.39</v>
      </c>
      <c r="BO207" s="366">
        <v>409.74</v>
      </c>
      <c r="BP207" s="366">
        <v>375.6</v>
      </c>
      <c r="BQ207" s="366">
        <v>24.38</v>
      </c>
      <c r="BR207" s="366">
        <v>24.38</v>
      </c>
      <c r="BS207" s="366">
        <v>307.33</v>
      </c>
      <c r="BT207" s="366">
        <v>346.54</v>
      </c>
      <c r="BU207" s="366">
        <v>159.82</v>
      </c>
      <c r="BV207" s="366">
        <v>179.44</v>
      </c>
      <c r="BW207" s="366">
        <v>270.11</v>
      </c>
      <c r="BX207" s="366">
        <v>248.42</v>
      </c>
      <c r="BY207" s="366">
        <v>323.44</v>
      </c>
      <c r="BZ207" s="366">
        <v>323.44</v>
      </c>
      <c r="CA207" s="366">
        <v>267.97000000000003</v>
      </c>
      <c r="CB207" s="366">
        <v>266.85000000000002</v>
      </c>
      <c r="CC207" s="366">
        <v>97.43</v>
      </c>
      <c r="CD207" s="366">
        <v>104.65</v>
      </c>
      <c r="CE207" s="366">
        <v>350.77</v>
      </c>
      <c r="CF207" s="366">
        <v>438.5</v>
      </c>
      <c r="CG207" s="366">
        <v>438.5</v>
      </c>
      <c r="CH207" s="366">
        <v>39.380000000000003</v>
      </c>
      <c r="CI207" s="366">
        <v>79.77</v>
      </c>
      <c r="CJ207" s="366">
        <v>449.45</v>
      </c>
      <c r="CK207" s="366">
        <v>328.53</v>
      </c>
      <c r="CL207" s="366">
        <v>224.61</v>
      </c>
      <c r="CM207" s="366">
        <v>283.72000000000003</v>
      </c>
      <c r="CN207" s="366">
        <v>228.74</v>
      </c>
      <c r="CO207" s="366">
        <v>360.69</v>
      </c>
      <c r="CP207" s="366">
        <v>17.690000000000001</v>
      </c>
      <c r="CQ207" s="366">
        <v>17.690000000000001</v>
      </c>
      <c r="CR207" s="366">
        <v>313.08999999999997</v>
      </c>
      <c r="CS207" s="366">
        <v>313.08999999999997</v>
      </c>
      <c r="CT207" s="366">
        <v>322.52999999999997</v>
      </c>
      <c r="CU207" s="366">
        <v>314.66000000000003</v>
      </c>
      <c r="CV207" s="366">
        <v>317.26</v>
      </c>
      <c r="CW207" s="366">
        <v>295.95999999999998</v>
      </c>
      <c r="CX207" s="366">
        <v>116.5</v>
      </c>
      <c r="CY207" s="366">
        <v>330.14</v>
      </c>
      <c r="CZ207" s="366">
        <v>351.38</v>
      </c>
      <c r="DA207" s="366">
        <v>391.51</v>
      </c>
      <c r="DB207" s="366">
        <v>275.35000000000002</v>
      </c>
      <c r="DC207" s="366">
        <v>275.35000000000002</v>
      </c>
      <c r="DD207" s="366">
        <v>250.1</v>
      </c>
      <c r="DE207" s="366">
        <v>469.14</v>
      </c>
      <c r="DF207" s="366">
        <v>602.91999999999996</v>
      </c>
      <c r="DG207" s="366">
        <v>50.12</v>
      </c>
      <c r="DH207" s="366">
        <v>531.70000000000005</v>
      </c>
      <c r="DI207" s="366">
        <v>304.32</v>
      </c>
      <c r="DJ207" s="366">
        <v>367.58</v>
      </c>
      <c r="DK207" s="366">
        <v>210.84</v>
      </c>
      <c r="DL207" s="366">
        <v>165.82</v>
      </c>
      <c r="DM207" s="366">
        <v>318.72000000000003</v>
      </c>
      <c r="DN207" s="366">
        <v>319.08</v>
      </c>
      <c r="DO207" s="366">
        <v>237.41</v>
      </c>
      <c r="DP207" s="366">
        <v>211.79</v>
      </c>
      <c r="DQ207" s="366">
        <v>281.45</v>
      </c>
      <c r="DR207" s="366">
        <v>531.70000000000005</v>
      </c>
      <c r="DS207" s="366">
        <v>338.56</v>
      </c>
      <c r="DT207" s="366">
        <v>326.85000000000002</v>
      </c>
      <c r="DU207" s="366">
        <v>421.85</v>
      </c>
      <c r="DV207" s="366">
        <v>359.54</v>
      </c>
      <c r="DW207" s="366">
        <v>163.49</v>
      </c>
      <c r="DX207" s="366">
        <v>256.43</v>
      </c>
      <c r="DY207" s="366">
        <v>329.82</v>
      </c>
      <c r="DZ207" s="366">
        <v>259.77</v>
      </c>
      <c r="EA207" s="366">
        <v>344.36</v>
      </c>
      <c r="EB207" s="366">
        <v>323.82</v>
      </c>
      <c r="EC207" s="366">
        <v>257.35000000000002</v>
      </c>
      <c r="ED207" s="366">
        <v>334.09</v>
      </c>
      <c r="EE207" s="366">
        <v>344.88</v>
      </c>
      <c r="EF207" s="366">
        <v>102.02</v>
      </c>
      <c r="EG207" s="366">
        <v>306.77</v>
      </c>
      <c r="EH207" s="366">
        <v>306.77</v>
      </c>
      <c r="EI207" s="366">
        <v>88.3</v>
      </c>
      <c r="EJ207" s="366">
        <v>519.76</v>
      </c>
      <c r="EK207" s="366">
        <v>132.44999999999999</v>
      </c>
      <c r="EL207" s="366">
        <v>132.44999999999999</v>
      </c>
      <c r="EM207" s="366">
        <v>226.56</v>
      </c>
      <c r="EN207" s="366">
        <v>226.56</v>
      </c>
      <c r="EO207" s="366">
        <v>182.04</v>
      </c>
      <c r="EP207" s="366">
        <v>165.48</v>
      </c>
      <c r="EQ207" s="366">
        <v>314.97000000000003</v>
      </c>
      <c r="ER207" s="366">
        <v>504.11</v>
      </c>
      <c r="ES207" s="366">
        <v>331.04</v>
      </c>
      <c r="ET207" s="366">
        <v>42.35</v>
      </c>
      <c r="EU207" s="366">
        <v>554.55999999999995</v>
      </c>
      <c r="EV207" s="366">
        <v>262.94</v>
      </c>
      <c r="EW207" s="366">
        <v>89.22</v>
      </c>
      <c r="EX207" s="366">
        <v>307.77999999999997</v>
      </c>
      <c r="EY207" s="366">
        <v>307.77999999999997</v>
      </c>
      <c r="EZ207" s="366">
        <v>271.10000000000002</v>
      </c>
      <c r="FA207" s="366">
        <v>223.73</v>
      </c>
      <c r="FB207" s="366">
        <v>195.14</v>
      </c>
      <c r="FC207" s="366">
        <v>276.57</v>
      </c>
      <c r="FD207" s="366">
        <v>131.76</v>
      </c>
      <c r="FE207" s="366">
        <v>92.13</v>
      </c>
      <c r="FF207" s="366">
        <v>67.31</v>
      </c>
      <c r="FG207" s="366">
        <v>386.42</v>
      </c>
      <c r="FH207" s="366">
        <v>386.42</v>
      </c>
      <c r="FI207" s="366">
        <v>243.81</v>
      </c>
      <c r="FJ207" s="366">
        <v>249.6</v>
      </c>
      <c r="FK207" s="366">
        <v>358.78</v>
      </c>
      <c r="FL207" s="366">
        <v>356.97</v>
      </c>
      <c r="FM207" s="366">
        <v>182.04</v>
      </c>
      <c r="FN207" s="366">
        <v>293.69</v>
      </c>
      <c r="FO207" s="366">
        <v>352.73</v>
      </c>
      <c r="FP207" s="366">
        <v>308.92</v>
      </c>
      <c r="FQ207" s="366">
        <v>356.6</v>
      </c>
      <c r="FR207" s="366">
        <v>239.86</v>
      </c>
      <c r="FS207" s="366">
        <v>68.02</v>
      </c>
      <c r="FT207" s="366">
        <v>382.74</v>
      </c>
      <c r="FU207" s="366">
        <v>92.16</v>
      </c>
      <c r="FV207" s="366">
        <v>618.46</v>
      </c>
      <c r="FW207" s="366">
        <v>618.46</v>
      </c>
      <c r="FX207" s="366">
        <v>618.46</v>
      </c>
      <c r="FY207" s="366">
        <v>172.87</v>
      </c>
      <c r="FZ207" s="366">
        <v>82.04</v>
      </c>
      <c r="GA207" s="366">
        <v>300.02</v>
      </c>
      <c r="GB207" s="366">
        <v>106.49</v>
      </c>
      <c r="GC207" s="366">
        <v>334.09</v>
      </c>
      <c r="GD207" s="366">
        <v>230.52</v>
      </c>
      <c r="GE207" s="366">
        <v>322.63</v>
      </c>
      <c r="GF207" s="366">
        <v>105.69</v>
      </c>
      <c r="GG207" s="366">
        <v>105.69</v>
      </c>
      <c r="GH207" s="366">
        <v>348.47</v>
      </c>
      <c r="GI207" s="366">
        <v>182.2</v>
      </c>
      <c r="GJ207" s="366">
        <v>182.04</v>
      </c>
      <c r="GK207" s="366">
        <v>355.33</v>
      </c>
      <c r="GL207" s="366">
        <v>74.63</v>
      </c>
      <c r="GM207" s="366">
        <v>74.63</v>
      </c>
      <c r="GN207" s="366">
        <v>74.63</v>
      </c>
      <c r="GO207" s="366">
        <v>147.47999999999999</v>
      </c>
      <c r="GP207" s="366">
        <v>305.43</v>
      </c>
      <c r="GQ207" s="366">
        <v>401.04</v>
      </c>
      <c r="GR207" s="366">
        <v>210.27</v>
      </c>
      <c r="GS207" s="366">
        <v>76.81</v>
      </c>
      <c r="GT207" s="366">
        <v>306.77</v>
      </c>
      <c r="GU207" s="366">
        <v>165.72</v>
      </c>
      <c r="GV207" s="366">
        <v>526.95000000000005</v>
      </c>
      <c r="GW207" s="366">
        <v>50.61</v>
      </c>
      <c r="GX207" s="366">
        <v>303.33999999999997</v>
      </c>
      <c r="GY207" s="366">
        <v>0</v>
      </c>
      <c r="GZ207" s="366">
        <v>131.47999999999999</v>
      </c>
      <c r="HA207" s="366">
        <v>358.14</v>
      </c>
      <c r="HB207" s="366">
        <v>358.14</v>
      </c>
      <c r="HC207" s="366">
        <v>358.14</v>
      </c>
      <c r="HD207" s="366">
        <v>296.06</v>
      </c>
      <c r="HE207" s="366">
        <v>220.41</v>
      </c>
      <c r="HF207" s="366">
        <v>176.7</v>
      </c>
      <c r="HG207" s="366">
        <v>304.35000000000002</v>
      </c>
      <c r="HH207" s="366">
        <v>304.35000000000002</v>
      </c>
      <c r="HI207" s="366">
        <v>304.35000000000002</v>
      </c>
      <c r="HJ207" s="366">
        <v>84.82</v>
      </c>
      <c r="HK207" s="366">
        <v>233.39</v>
      </c>
      <c r="HL207" s="366">
        <v>239.95</v>
      </c>
      <c r="HM207" s="366">
        <v>179.32</v>
      </c>
      <c r="HN207" s="366">
        <v>182.04</v>
      </c>
      <c r="HO207" s="366">
        <v>587.76</v>
      </c>
      <c r="HP207" s="366">
        <v>132.19999999999999</v>
      </c>
      <c r="HQ207" s="366">
        <v>618.46</v>
      </c>
      <c r="HR207" s="366">
        <v>439.77</v>
      </c>
      <c r="HS207" s="366">
        <v>178.29</v>
      </c>
      <c r="HT207" s="366">
        <v>60.61</v>
      </c>
      <c r="HU207" s="366">
        <v>27.86</v>
      </c>
      <c r="HV207" s="366">
        <v>111.58</v>
      </c>
    </row>
    <row r="208" spans="1:230">
      <c r="A208" s="366" t="s">
        <v>225</v>
      </c>
      <c r="B208" s="366">
        <v>686.04</v>
      </c>
      <c r="C208" s="366">
        <v>265.95999999999998</v>
      </c>
      <c r="D208" s="366">
        <v>166.73</v>
      </c>
      <c r="E208" s="366">
        <v>166.73</v>
      </c>
      <c r="F208" s="366">
        <v>749.94</v>
      </c>
      <c r="G208" s="366">
        <v>557.51</v>
      </c>
      <c r="H208" s="366">
        <v>210.35</v>
      </c>
      <c r="I208" s="366">
        <v>176.56</v>
      </c>
      <c r="J208" s="366">
        <v>234.13</v>
      </c>
      <c r="K208" s="366">
        <v>234.13</v>
      </c>
      <c r="L208" s="366">
        <v>157.34</v>
      </c>
      <c r="M208" s="366">
        <v>291.38</v>
      </c>
      <c r="N208" s="366">
        <v>388.28</v>
      </c>
      <c r="O208" s="366">
        <v>75.09</v>
      </c>
      <c r="P208" s="366">
        <v>75.09</v>
      </c>
      <c r="Q208" s="366">
        <v>75.09</v>
      </c>
      <c r="R208" s="366">
        <v>75.09</v>
      </c>
      <c r="S208" s="366">
        <v>75.09</v>
      </c>
      <c r="T208" s="366">
        <v>251.06</v>
      </c>
      <c r="U208" s="366">
        <v>665.55</v>
      </c>
      <c r="V208" s="366">
        <v>225.14</v>
      </c>
      <c r="W208" s="366">
        <v>394.42</v>
      </c>
      <c r="X208" s="366">
        <v>394.42</v>
      </c>
      <c r="Y208" s="366">
        <v>394.42</v>
      </c>
      <c r="Z208" s="366">
        <v>262.88</v>
      </c>
      <c r="AA208" s="366">
        <v>551.67999999999995</v>
      </c>
      <c r="AB208" s="366">
        <v>310.8</v>
      </c>
      <c r="AC208" s="366">
        <v>313.26</v>
      </c>
      <c r="AD208" s="366">
        <v>313.26</v>
      </c>
      <c r="AE208" s="366">
        <v>115.83</v>
      </c>
      <c r="AF208" s="366">
        <v>571.25</v>
      </c>
      <c r="AG208" s="366">
        <v>395.94</v>
      </c>
      <c r="AH208" s="366">
        <v>130.51</v>
      </c>
      <c r="AI208" s="366">
        <v>130.51</v>
      </c>
      <c r="AJ208" s="366">
        <v>130.51</v>
      </c>
      <c r="AK208" s="366">
        <v>285.08</v>
      </c>
      <c r="AL208" s="366">
        <v>285.08</v>
      </c>
      <c r="AM208" s="366">
        <v>313.52</v>
      </c>
      <c r="AN208" s="366">
        <v>34.26</v>
      </c>
      <c r="AO208" s="366">
        <v>564.63</v>
      </c>
      <c r="AP208" s="366">
        <v>239.78</v>
      </c>
      <c r="AQ208" s="366">
        <v>706.48</v>
      </c>
      <c r="AR208" s="366">
        <v>296.89999999999998</v>
      </c>
      <c r="AS208" s="366">
        <v>81.89</v>
      </c>
      <c r="AT208" s="366">
        <v>81.89</v>
      </c>
      <c r="AU208" s="366">
        <v>140</v>
      </c>
      <c r="AV208" s="366">
        <v>696.6</v>
      </c>
      <c r="AW208" s="366">
        <v>278.45</v>
      </c>
      <c r="AX208" s="366">
        <v>197.16</v>
      </c>
      <c r="AY208" s="366">
        <v>423.99</v>
      </c>
      <c r="AZ208" s="366">
        <v>234.58</v>
      </c>
      <c r="BA208" s="366">
        <v>526.86</v>
      </c>
      <c r="BB208" s="366">
        <v>426.88</v>
      </c>
      <c r="BC208" s="366">
        <v>468.92</v>
      </c>
      <c r="BD208" s="366">
        <v>378.69</v>
      </c>
      <c r="BE208" s="366">
        <v>229.2</v>
      </c>
      <c r="BF208" s="366">
        <v>307.77</v>
      </c>
      <c r="BG208" s="366">
        <v>270.43</v>
      </c>
      <c r="BH208" s="366">
        <v>75.09</v>
      </c>
      <c r="BI208" s="366">
        <v>296.93</v>
      </c>
      <c r="BJ208" s="366">
        <v>208.55</v>
      </c>
      <c r="BK208" s="366">
        <v>302.36</v>
      </c>
      <c r="BL208" s="366">
        <v>159.72999999999999</v>
      </c>
      <c r="BM208" s="366">
        <v>182.94</v>
      </c>
      <c r="BN208" s="366">
        <v>591.87</v>
      </c>
      <c r="BO208" s="366">
        <v>344.56</v>
      </c>
      <c r="BP208" s="366">
        <v>310.42</v>
      </c>
      <c r="BQ208" s="366">
        <v>155.86000000000001</v>
      </c>
      <c r="BR208" s="366">
        <v>155.86000000000001</v>
      </c>
      <c r="BS208" s="366">
        <v>242.15</v>
      </c>
      <c r="BT208" s="366">
        <v>281.36</v>
      </c>
      <c r="BU208" s="366">
        <v>291.3</v>
      </c>
      <c r="BV208" s="366">
        <v>310.92</v>
      </c>
      <c r="BW208" s="366">
        <v>199.29</v>
      </c>
      <c r="BX208" s="366">
        <v>183.24</v>
      </c>
      <c r="BY208" s="366">
        <v>252.62</v>
      </c>
      <c r="BZ208" s="366">
        <v>252.62</v>
      </c>
      <c r="CA208" s="366">
        <v>310.39</v>
      </c>
      <c r="CB208" s="366">
        <v>201.67</v>
      </c>
      <c r="CC208" s="366">
        <v>168.33</v>
      </c>
      <c r="CD208" s="366">
        <v>170.73</v>
      </c>
      <c r="CE208" s="366">
        <v>285.58999999999997</v>
      </c>
      <c r="CF208" s="366">
        <v>569.98</v>
      </c>
      <c r="CG208" s="366">
        <v>569.98</v>
      </c>
      <c r="CH208" s="366">
        <v>170.86</v>
      </c>
      <c r="CI208" s="366">
        <v>51.71</v>
      </c>
      <c r="CJ208" s="366">
        <v>580.92999999999995</v>
      </c>
      <c r="CK208" s="366">
        <v>257.70999999999998</v>
      </c>
      <c r="CL208" s="366">
        <v>153.79</v>
      </c>
      <c r="CM208" s="366">
        <v>415.2</v>
      </c>
      <c r="CN208" s="366">
        <v>157.91999999999999</v>
      </c>
      <c r="CO208" s="366">
        <v>295.51</v>
      </c>
      <c r="CP208" s="366">
        <v>149.16999999999999</v>
      </c>
      <c r="CQ208" s="366">
        <v>149.16999999999999</v>
      </c>
      <c r="CR208" s="366">
        <v>247.91</v>
      </c>
      <c r="CS208" s="366">
        <v>247.91</v>
      </c>
      <c r="CT208" s="366">
        <v>257.35000000000002</v>
      </c>
      <c r="CU208" s="366">
        <v>249.48</v>
      </c>
      <c r="CV208" s="366">
        <v>252.08</v>
      </c>
      <c r="CW208" s="366">
        <v>225.14</v>
      </c>
      <c r="CX208" s="366">
        <v>187.4</v>
      </c>
      <c r="CY208" s="366">
        <v>461.62</v>
      </c>
      <c r="CZ208" s="366">
        <v>482.86</v>
      </c>
      <c r="DA208" s="366">
        <v>326.33</v>
      </c>
      <c r="DB208" s="366">
        <v>204.53</v>
      </c>
      <c r="DC208" s="366">
        <v>204.53</v>
      </c>
      <c r="DD208" s="366">
        <v>381.58</v>
      </c>
      <c r="DE208" s="366">
        <v>403.96</v>
      </c>
      <c r="DF208" s="366">
        <v>734.4</v>
      </c>
      <c r="DG208" s="366">
        <v>81.36</v>
      </c>
      <c r="DH208" s="366">
        <v>466.52</v>
      </c>
      <c r="DI208" s="366">
        <v>435.8</v>
      </c>
      <c r="DJ208" s="366">
        <v>499.06</v>
      </c>
      <c r="DK208" s="366">
        <v>145.66</v>
      </c>
      <c r="DL208" s="366">
        <v>297.3</v>
      </c>
      <c r="DM208" s="366">
        <v>253.54</v>
      </c>
      <c r="DN208" s="366">
        <v>450.56</v>
      </c>
      <c r="DO208" s="366">
        <v>172.23</v>
      </c>
      <c r="DP208" s="366">
        <v>343.27</v>
      </c>
      <c r="DQ208" s="366">
        <v>210.63</v>
      </c>
      <c r="DR208" s="366">
        <v>466.52</v>
      </c>
      <c r="DS208" s="366">
        <v>273.38</v>
      </c>
      <c r="DT208" s="366">
        <v>261.67</v>
      </c>
      <c r="DU208" s="366">
        <v>355.43</v>
      </c>
      <c r="DV208" s="366">
        <v>288.72000000000003</v>
      </c>
      <c r="DW208" s="366">
        <v>98.31</v>
      </c>
      <c r="DX208" s="366">
        <v>185.61</v>
      </c>
      <c r="DY208" s="366">
        <v>259</v>
      </c>
      <c r="DZ208" s="366">
        <v>391.25</v>
      </c>
      <c r="EA208" s="366">
        <v>279.18</v>
      </c>
      <c r="EB208" s="366">
        <v>253</v>
      </c>
      <c r="EC208" s="366">
        <v>192.17</v>
      </c>
      <c r="ED208" s="366">
        <v>465.57</v>
      </c>
      <c r="EE208" s="366">
        <v>476.36</v>
      </c>
      <c r="EF208" s="366">
        <v>233.5</v>
      </c>
      <c r="EG208" s="366">
        <v>278.45</v>
      </c>
      <c r="EH208" s="366">
        <v>278.45</v>
      </c>
      <c r="EI208" s="366">
        <v>154.38</v>
      </c>
      <c r="EJ208" s="366">
        <v>454.58</v>
      </c>
      <c r="EK208" s="366">
        <v>48.17</v>
      </c>
      <c r="EL208" s="366">
        <v>48.17</v>
      </c>
      <c r="EM208" s="366">
        <v>155.74</v>
      </c>
      <c r="EN208" s="366">
        <v>155.74</v>
      </c>
      <c r="EO208" s="366">
        <v>313.52</v>
      </c>
      <c r="EP208" s="366">
        <v>236.38</v>
      </c>
      <c r="EQ208" s="366">
        <v>266.83999999999997</v>
      </c>
      <c r="ER208" s="366">
        <v>635.59</v>
      </c>
      <c r="ES208" s="366">
        <v>265.86</v>
      </c>
      <c r="ET208" s="366">
        <v>173.83</v>
      </c>
      <c r="EU208" s="366">
        <v>686.04</v>
      </c>
      <c r="EV208" s="366">
        <v>394.42</v>
      </c>
      <c r="EW208" s="366">
        <v>155.30000000000001</v>
      </c>
      <c r="EX208" s="366">
        <v>242.6</v>
      </c>
      <c r="EY208" s="366">
        <v>242.6</v>
      </c>
      <c r="EZ208" s="366">
        <v>139.62</v>
      </c>
      <c r="FA208" s="366">
        <v>152.91</v>
      </c>
      <c r="FB208" s="366">
        <v>129.96</v>
      </c>
      <c r="FC208" s="366">
        <v>205.75</v>
      </c>
      <c r="FD208" s="366">
        <v>33.36</v>
      </c>
      <c r="FE208" s="366">
        <v>158.21</v>
      </c>
      <c r="FF208" s="366">
        <v>133.38999999999999</v>
      </c>
      <c r="FG208" s="366">
        <v>517.9</v>
      </c>
      <c r="FH208" s="366">
        <v>517.9</v>
      </c>
      <c r="FI208" s="366">
        <v>375.29</v>
      </c>
      <c r="FJ208" s="366">
        <v>381.08</v>
      </c>
      <c r="FK208" s="366">
        <v>293.60000000000002</v>
      </c>
      <c r="FL208" s="366">
        <v>291.79000000000002</v>
      </c>
      <c r="FM208" s="366">
        <v>313.52</v>
      </c>
      <c r="FN208" s="366">
        <v>425.17</v>
      </c>
      <c r="FO208" s="366">
        <v>287.55</v>
      </c>
      <c r="FP208" s="366">
        <v>238.1</v>
      </c>
      <c r="FQ208" s="366">
        <v>291.42</v>
      </c>
      <c r="FR208" s="366">
        <v>174.68</v>
      </c>
      <c r="FS208" s="366">
        <v>97.92</v>
      </c>
      <c r="FT208" s="366">
        <v>514.22</v>
      </c>
      <c r="FU208" s="366">
        <v>39.32</v>
      </c>
      <c r="FV208" s="366">
        <v>749.94</v>
      </c>
      <c r="FW208" s="366">
        <v>749.94</v>
      </c>
      <c r="FX208" s="366">
        <v>749.94</v>
      </c>
      <c r="FY208" s="366">
        <v>102.05</v>
      </c>
      <c r="FZ208" s="366">
        <v>148.12</v>
      </c>
      <c r="GA208" s="366">
        <v>229.2</v>
      </c>
      <c r="GB208" s="366">
        <v>136.38999999999999</v>
      </c>
      <c r="GC208" s="366">
        <v>465.57</v>
      </c>
      <c r="GD208" s="366">
        <v>165.34</v>
      </c>
      <c r="GE208" s="366">
        <v>257.45</v>
      </c>
      <c r="GF208" s="366">
        <v>25.79</v>
      </c>
      <c r="GG208" s="366">
        <v>25.79</v>
      </c>
      <c r="GH208" s="366">
        <v>277.64999999999998</v>
      </c>
      <c r="GI208" s="366">
        <v>313.68</v>
      </c>
      <c r="GJ208" s="366">
        <v>313.52</v>
      </c>
      <c r="GK208" s="366">
        <v>290.14999999999998</v>
      </c>
      <c r="GL208" s="366">
        <v>140.71</v>
      </c>
      <c r="GM208" s="366">
        <v>140.71</v>
      </c>
      <c r="GN208" s="366">
        <v>140.71</v>
      </c>
      <c r="GO208" s="366">
        <v>278.95999999999998</v>
      </c>
      <c r="GP208" s="366">
        <v>234.61</v>
      </c>
      <c r="GQ208" s="366">
        <v>335.86</v>
      </c>
      <c r="GR208" s="366">
        <v>341.75</v>
      </c>
      <c r="GS208" s="366">
        <v>208.29</v>
      </c>
      <c r="GT208" s="366">
        <v>278.45</v>
      </c>
      <c r="GU208" s="366">
        <v>100.54</v>
      </c>
      <c r="GV208" s="366">
        <v>461.77</v>
      </c>
      <c r="GW208" s="366">
        <v>116.69</v>
      </c>
      <c r="GX208" s="366">
        <v>275.02</v>
      </c>
      <c r="GY208" s="366">
        <v>131.47999999999999</v>
      </c>
      <c r="GZ208" s="366">
        <v>0</v>
      </c>
      <c r="HA208" s="366">
        <v>292.95999999999998</v>
      </c>
      <c r="HB208" s="366">
        <v>292.95999999999998</v>
      </c>
      <c r="HC208" s="366">
        <v>292.95999999999998</v>
      </c>
      <c r="HD208" s="366">
        <v>427.54</v>
      </c>
      <c r="HE208" s="366">
        <v>149.59</v>
      </c>
      <c r="HF208" s="366">
        <v>105.88</v>
      </c>
      <c r="HG208" s="366">
        <v>233.53</v>
      </c>
      <c r="HH208" s="366">
        <v>233.53</v>
      </c>
      <c r="HI208" s="366">
        <v>233.53</v>
      </c>
      <c r="HJ208" s="366">
        <v>46.66</v>
      </c>
      <c r="HK208" s="366">
        <v>350.94</v>
      </c>
      <c r="HL208" s="366">
        <v>108.47</v>
      </c>
      <c r="HM208" s="366">
        <v>310.8</v>
      </c>
      <c r="HN208" s="366">
        <v>313.52</v>
      </c>
      <c r="HO208" s="366">
        <v>719.24</v>
      </c>
      <c r="HP208" s="366">
        <v>33.799999999999997</v>
      </c>
      <c r="HQ208" s="366">
        <v>749.94</v>
      </c>
      <c r="HR208" s="366">
        <v>571.25</v>
      </c>
      <c r="HS208" s="366">
        <v>309.77</v>
      </c>
      <c r="HT208" s="366">
        <v>192.09</v>
      </c>
      <c r="HU208" s="366">
        <v>159.34</v>
      </c>
      <c r="HV208" s="366">
        <v>177.66</v>
      </c>
    </row>
    <row r="209" spans="1:230">
      <c r="A209" s="366" t="s">
        <v>226</v>
      </c>
      <c r="B209" s="366">
        <v>638.79999999999995</v>
      </c>
      <c r="C209" s="366">
        <v>322.32</v>
      </c>
      <c r="D209" s="366">
        <v>126.23</v>
      </c>
      <c r="E209" s="366">
        <v>126.23</v>
      </c>
      <c r="F209" s="366">
        <v>702.7</v>
      </c>
      <c r="G209" s="366">
        <v>439.21</v>
      </c>
      <c r="H209" s="366">
        <v>82.61</v>
      </c>
      <c r="I209" s="366">
        <v>334.95</v>
      </c>
      <c r="J209" s="366">
        <v>58.83</v>
      </c>
      <c r="K209" s="366">
        <v>58.83</v>
      </c>
      <c r="L209" s="366">
        <v>144.13999999999999</v>
      </c>
      <c r="M209" s="366">
        <v>347.74</v>
      </c>
      <c r="N209" s="366">
        <v>444.64</v>
      </c>
      <c r="O209" s="366">
        <v>368.05</v>
      </c>
      <c r="P209" s="366">
        <v>368.05</v>
      </c>
      <c r="Q209" s="366">
        <v>368.05</v>
      </c>
      <c r="R209" s="366">
        <v>368.05</v>
      </c>
      <c r="S209" s="366">
        <v>368.05</v>
      </c>
      <c r="T209" s="366">
        <v>345.99</v>
      </c>
      <c r="U209" s="366">
        <v>547.25</v>
      </c>
      <c r="V209" s="366">
        <v>422.98</v>
      </c>
      <c r="W209" s="366">
        <v>249.39</v>
      </c>
      <c r="X209" s="366">
        <v>249.39</v>
      </c>
      <c r="Y209" s="366">
        <v>249.39</v>
      </c>
      <c r="Z209" s="366">
        <v>460.72</v>
      </c>
      <c r="AA209" s="366">
        <v>433.38</v>
      </c>
      <c r="AB209" s="366">
        <v>373.48</v>
      </c>
      <c r="AC209" s="366">
        <v>365.61</v>
      </c>
      <c r="AD209" s="366">
        <v>365.61</v>
      </c>
      <c r="AE209" s="366">
        <v>177.13</v>
      </c>
      <c r="AF209" s="366">
        <v>452.95</v>
      </c>
      <c r="AG209" s="366">
        <v>250.91</v>
      </c>
      <c r="AH209" s="366">
        <v>357.17</v>
      </c>
      <c r="AI209" s="366">
        <v>357.17</v>
      </c>
      <c r="AJ209" s="366">
        <v>357.17</v>
      </c>
      <c r="AK209" s="366">
        <v>482.92</v>
      </c>
      <c r="AL209" s="366">
        <v>482.92</v>
      </c>
      <c r="AM209" s="366">
        <v>376.2</v>
      </c>
      <c r="AN209" s="366">
        <v>327.22000000000003</v>
      </c>
      <c r="AO209" s="366">
        <v>455.82</v>
      </c>
      <c r="AP209" s="366">
        <v>284.29000000000002</v>
      </c>
      <c r="AQ209" s="366">
        <v>659.24</v>
      </c>
      <c r="AR209" s="366">
        <v>31.5</v>
      </c>
      <c r="AS209" s="366">
        <v>219.59</v>
      </c>
      <c r="AT209" s="366">
        <v>219.59</v>
      </c>
      <c r="AU209" s="366">
        <v>337.84</v>
      </c>
      <c r="AV209" s="366">
        <v>578.29999999999995</v>
      </c>
      <c r="AW209" s="366">
        <v>80.12</v>
      </c>
      <c r="AX209" s="366">
        <v>416.13</v>
      </c>
      <c r="AY209" s="366">
        <v>480.35</v>
      </c>
      <c r="AZ209" s="366">
        <v>290.94</v>
      </c>
      <c r="BA209" s="366">
        <v>579.21</v>
      </c>
      <c r="BB209" s="366">
        <v>483.24</v>
      </c>
      <c r="BC209" s="366">
        <v>521.27</v>
      </c>
      <c r="BD209" s="366">
        <v>431.04</v>
      </c>
      <c r="BE209" s="366">
        <v>427.04</v>
      </c>
      <c r="BF209" s="366">
        <v>370.45</v>
      </c>
      <c r="BG209" s="366">
        <v>468.27</v>
      </c>
      <c r="BH209" s="366">
        <v>368.05</v>
      </c>
      <c r="BI209" s="366">
        <v>31.53</v>
      </c>
      <c r="BJ209" s="366">
        <v>406.39</v>
      </c>
      <c r="BK209" s="366">
        <v>358.72</v>
      </c>
      <c r="BL209" s="366">
        <v>133.22999999999999</v>
      </c>
      <c r="BM209" s="366">
        <v>110.02</v>
      </c>
      <c r="BN209" s="366">
        <v>473.57</v>
      </c>
      <c r="BO209" s="366">
        <v>400.92</v>
      </c>
      <c r="BP209" s="366">
        <v>366.78</v>
      </c>
      <c r="BQ209" s="366">
        <v>355.65</v>
      </c>
      <c r="BR209" s="366">
        <v>355.65</v>
      </c>
      <c r="BS209" s="366">
        <v>298.51</v>
      </c>
      <c r="BT209" s="366">
        <v>23.45</v>
      </c>
      <c r="BU209" s="366">
        <v>353.98</v>
      </c>
      <c r="BV209" s="366">
        <v>373.6</v>
      </c>
      <c r="BW209" s="366">
        <v>397.13</v>
      </c>
      <c r="BX209" s="366">
        <v>239.6</v>
      </c>
      <c r="BY209" s="366">
        <v>450.46</v>
      </c>
      <c r="BZ209" s="366">
        <v>450.46</v>
      </c>
      <c r="CA209" s="366">
        <v>112.06</v>
      </c>
      <c r="CB209" s="366">
        <v>258.02999999999997</v>
      </c>
      <c r="CC209" s="366">
        <v>387.3</v>
      </c>
      <c r="CD209" s="366">
        <v>397.39</v>
      </c>
      <c r="CE209" s="366">
        <v>341.95</v>
      </c>
      <c r="CF209" s="366">
        <v>451.68</v>
      </c>
      <c r="CG209" s="366">
        <v>451.68</v>
      </c>
      <c r="CH209" s="366">
        <v>340.65</v>
      </c>
      <c r="CI209" s="366">
        <v>311.01</v>
      </c>
      <c r="CJ209" s="366">
        <v>462.63</v>
      </c>
      <c r="CK209" s="366">
        <v>455.55</v>
      </c>
      <c r="CL209" s="366">
        <v>351.63</v>
      </c>
      <c r="CM209" s="366">
        <v>467.55</v>
      </c>
      <c r="CN209" s="366">
        <v>355.76</v>
      </c>
      <c r="CO209" s="366">
        <v>30.11</v>
      </c>
      <c r="CP209" s="366">
        <v>362.34</v>
      </c>
      <c r="CQ209" s="366">
        <v>362.34</v>
      </c>
      <c r="CR209" s="366">
        <v>48.12</v>
      </c>
      <c r="CS209" s="366">
        <v>48.12</v>
      </c>
      <c r="CT209" s="366">
        <v>55.57</v>
      </c>
      <c r="CU209" s="366">
        <v>47.7</v>
      </c>
      <c r="CV209" s="366">
        <v>76.78</v>
      </c>
      <c r="CW209" s="366">
        <v>422.98</v>
      </c>
      <c r="CX209" s="366">
        <v>406.37</v>
      </c>
      <c r="CY209" s="366">
        <v>513.97</v>
      </c>
      <c r="CZ209" s="366">
        <v>535.21</v>
      </c>
      <c r="DA209" s="366">
        <v>382.69</v>
      </c>
      <c r="DB209" s="366">
        <v>402.37</v>
      </c>
      <c r="DC209" s="366">
        <v>402.37</v>
      </c>
      <c r="DD209" s="366">
        <v>236.55</v>
      </c>
      <c r="DE209" s="366">
        <v>460.32</v>
      </c>
      <c r="DF209" s="366">
        <v>687.16</v>
      </c>
      <c r="DG209" s="366">
        <v>340.66</v>
      </c>
      <c r="DH209" s="366">
        <v>522.88</v>
      </c>
      <c r="DI209" s="366">
        <v>317.5</v>
      </c>
      <c r="DJ209" s="366">
        <v>521.39</v>
      </c>
      <c r="DK209" s="366">
        <v>202.02</v>
      </c>
      <c r="DL209" s="366">
        <v>347.98</v>
      </c>
      <c r="DM209" s="366">
        <v>309.89999999999998</v>
      </c>
      <c r="DN209" s="366">
        <v>332.26</v>
      </c>
      <c r="DO209" s="366">
        <v>228.59</v>
      </c>
      <c r="DP209" s="366">
        <v>198.24</v>
      </c>
      <c r="DQ209" s="366">
        <v>408.47</v>
      </c>
      <c r="DR209" s="366">
        <v>522.88</v>
      </c>
      <c r="DS209" s="366">
        <v>44.25</v>
      </c>
      <c r="DT209" s="366">
        <v>43.14</v>
      </c>
      <c r="DU209" s="366">
        <v>413.03</v>
      </c>
      <c r="DV209" s="366">
        <v>479.74</v>
      </c>
      <c r="DW209" s="366">
        <v>203.17</v>
      </c>
      <c r="DX209" s="366">
        <v>383.45</v>
      </c>
      <c r="DY209" s="366">
        <v>456.84</v>
      </c>
      <c r="DZ209" s="366">
        <v>246.22</v>
      </c>
      <c r="EA209" s="366">
        <v>13.78</v>
      </c>
      <c r="EB209" s="366">
        <v>450.84</v>
      </c>
      <c r="EC209" s="366">
        <v>100.79</v>
      </c>
      <c r="ED209" s="366">
        <v>347.27</v>
      </c>
      <c r="EE209" s="366">
        <v>358.06</v>
      </c>
      <c r="EF209" s="366">
        <v>278.01</v>
      </c>
      <c r="EG209" s="366">
        <v>80.12</v>
      </c>
      <c r="EH209" s="366">
        <v>80.12</v>
      </c>
      <c r="EI209" s="366">
        <v>381.04</v>
      </c>
      <c r="EJ209" s="366">
        <v>510.94</v>
      </c>
      <c r="EK209" s="366">
        <v>259.47000000000003</v>
      </c>
      <c r="EL209" s="366">
        <v>259.47000000000003</v>
      </c>
      <c r="EM209" s="366">
        <v>353.58</v>
      </c>
      <c r="EN209" s="366">
        <v>353.58</v>
      </c>
      <c r="EO209" s="366">
        <v>376.2</v>
      </c>
      <c r="EP209" s="366">
        <v>417.16</v>
      </c>
      <c r="EQ209" s="366">
        <v>65.06</v>
      </c>
      <c r="ER209" s="366">
        <v>517.29</v>
      </c>
      <c r="ES209" s="366">
        <v>322.22000000000003</v>
      </c>
      <c r="ET209" s="366">
        <v>337.68</v>
      </c>
      <c r="EU209" s="366">
        <v>638.79999999999995</v>
      </c>
      <c r="EV209" s="366">
        <v>249.39</v>
      </c>
      <c r="EW209" s="366">
        <v>381.96</v>
      </c>
      <c r="EX209" s="366">
        <v>298.95999999999998</v>
      </c>
      <c r="EY209" s="366">
        <v>298.95999999999998</v>
      </c>
      <c r="EZ209" s="366">
        <v>405.39</v>
      </c>
      <c r="FA209" s="366">
        <v>350.75</v>
      </c>
      <c r="FB209" s="366">
        <v>186.32</v>
      </c>
      <c r="FC209" s="366">
        <v>403.59</v>
      </c>
      <c r="FD209" s="366">
        <v>293.24</v>
      </c>
      <c r="FE209" s="366">
        <v>384.87</v>
      </c>
      <c r="FF209" s="366">
        <v>360.05</v>
      </c>
      <c r="FG209" s="366">
        <v>570.25</v>
      </c>
      <c r="FH209" s="366">
        <v>570.25</v>
      </c>
      <c r="FI209" s="366">
        <v>230.26</v>
      </c>
      <c r="FJ209" s="366">
        <v>236.05</v>
      </c>
      <c r="FK209" s="366">
        <v>349.96</v>
      </c>
      <c r="FL209" s="366">
        <v>348.15</v>
      </c>
      <c r="FM209" s="366">
        <v>376.2</v>
      </c>
      <c r="FN209" s="366">
        <v>280.14</v>
      </c>
      <c r="FO209" s="366">
        <v>8.67</v>
      </c>
      <c r="FP209" s="366">
        <v>435.94</v>
      </c>
      <c r="FQ209" s="366">
        <v>26.02</v>
      </c>
      <c r="FR209" s="366">
        <v>161.47999999999999</v>
      </c>
      <c r="FS209" s="366">
        <v>290.12</v>
      </c>
      <c r="FT209" s="366">
        <v>506.23</v>
      </c>
      <c r="FU209" s="366">
        <v>298.62</v>
      </c>
      <c r="FV209" s="366">
        <v>702.7</v>
      </c>
      <c r="FW209" s="366">
        <v>702.7</v>
      </c>
      <c r="FX209" s="366">
        <v>702.7</v>
      </c>
      <c r="FY209" s="366">
        <v>299.89</v>
      </c>
      <c r="FZ209" s="366">
        <v>374.78</v>
      </c>
      <c r="GA209" s="366">
        <v>427.04</v>
      </c>
      <c r="GB209" s="366">
        <v>328.59</v>
      </c>
      <c r="GC209" s="366">
        <v>347.27</v>
      </c>
      <c r="GD209" s="366">
        <v>221.7</v>
      </c>
      <c r="GE209" s="366">
        <v>55.67</v>
      </c>
      <c r="GF209" s="366">
        <v>285.08999999999997</v>
      </c>
      <c r="GG209" s="366">
        <v>285.08999999999997</v>
      </c>
      <c r="GH209" s="366">
        <v>475.49</v>
      </c>
      <c r="GI209" s="366">
        <v>376.36</v>
      </c>
      <c r="GJ209" s="366">
        <v>376.2</v>
      </c>
      <c r="GK209" s="366">
        <v>346.51</v>
      </c>
      <c r="GL209" s="366">
        <v>367.37</v>
      </c>
      <c r="GM209" s="366">
        <v>367.37</v>
      </c>
      <c r="GN209" s="366">
        <v>367.37</v>
      </c>
      <c r="GO209" s="366">
        <v>323.47000000000003</v>
      </c>
      <c r="GP209" s="366">
        <v>432.45</v>
      </c>
      <c r="GQ209" s="366">
        <v>392.22</v>
      </c>
      <c r="GR209" s="366">
        <v>378.61</v>
      </c>
      <c r="GS209" s="366">
        <v>303.22000000000003</v>
      </c>
      <c r="GT209" s="366">
        <v>80.12</v>
      </c>
      <c r="GU209" s="366">
        <v>195.3</v>
      </c>
      <c r="GV209" s="366">
        <v>518.13</v>
      </c>
      <c r="GW209" s="366">
        <v>343.35</v>
      </c>
      <c r="GX209" s="366">
        <v>76.69</v>
      </c>
      <c r="GY209" s="366">
        <v>358.14</v>
      </c>
      <c r="GZ209" s="366">
        <v>292.95999999999998</v>
      </c>
      <c r="HA209" s="366">
        <v>0</v>
      </c>
      <c r="HB209" s="366">
        <v>0</v>
      </c>
      <c r="HC209" s="366">
        <v>0</v>
      </c>
      <c r="HD209" s="366">
        <v>282.51</v>
      </c>
      <c r="HE209" s="366">
        <v>347.43</v>
      </c>
      <c r="HF209" s="366">
        <v>303.72000000000003</v>
      </c>
      <c r="HG209" s="366">
        <v>431.37</v>
      </c>
      <c r="HH209" s="366">
        <v>431.37</v>
      </c>
      <c r="HI209" s="366">
        <v>431.37</v>
      </c>
      <c r="HJ209" s="366">
        <v>305.95999999999998</v>
      </c>
      <c r="HK209" s="366">
        <v>152.61000000000001</v>
      </c>
      <c r="HL209" s="366">
        <v>401.43</v>
      </c>
      <c r="HM209" s="366">
        <v>373.48</v>
      </c>
      <c r="HN209" s="366">
        <v>376.2</v>
      </c>
      <c r="HO209" s="366">
        <v>606.96</v>
      </c>
      <c r="HP209" s="366">
        <v>293.68</v>
      </c>
      <c r="HQ209" s="366">
        <v>702.7</v>
      </c>
      <c r="HR209" s="366">
        <v>452.95</v>
      </c>
      <c r="HS209" s="366">
        <v>372.45</v>
      </c>
      <c r="HT209" s="366">
        <v>324.61</v>
      </c>
      <c r="HU209" s="366">
        <v>359.13</v>
      </c>
      <c r="HV209" s="366">
        <v>404.32</v>
      </c>
    </row>
    <row r="210" spans="1:230">
      <c r="A210" s="366" t="s">
        <v>227</v>
      </c>
      <c r="B210" s="366">
        <v>638.79999999999995</v>
      </c>
      <c r="C210" s="366">
        <v>322.32</v>
      </c>
      <c r="D210" s="366">
        <v>126.23</v>
      </c>
      <c r="E210" s="366">
        <v>126.23</v>
      </c>
      <c r="F210" s="366">
        <v>702.7</v>
      </c>
      <c r="G210" s="366">
        <v>439.21</v>
      </c>
      <c r="H210" s="366">
        <v>82.61</v>
      </c>
      <c r="I210" s="366">
        <v>334.95</v>
      </c>
      <c r="J210" s="366">
        <v>58.83</v>
      </c>
      <c r="K210" s="366">
        <v>58.83</v>
      </c>
      <c r="L210" s="366">
        <v>144.13999999999999</v>
      </c>
      <c r="M210" s="366">
        <v>347.74</v>
      </c>
      <c r="N210" s="366">
        <v>444.64</v>
      </c>
      <c r="O210" s="366">
        <v>368.05</v>
      </c>
      <c r="P210" s="366">
        <v>368.05</v>
      </c>
      <c r="Q210" s="366">
        <v>368.05</v>
      </c>
      <c r="R210" s="366">
        <v>368.05</v>
      </c>
      <c r="S210" s="366">
        <v>368.05</v>
      </c>
      <c r="T210" s="366">
        <v>345.99</v>
      </c>
      <c r="U210" s="366">
        <v>547.25</v>
      </c>
      <c r="V210" s="366">
        <v>422.98</v>
      </c>
      <c r="W210" s="366">
        <v>249.39</v>
      </c>
      <c r="X210" s="366">
        <v>249.39</v>
      </c>
      <c r="Y210" s="366">
        <v>249.39</v>
      </c>
      <c r="Z210" s="366">
        <v>460.72</v>
      </c>
      <c r="AA210" s="366">
        <v>433.38</v>
      </c>
      <c r="AB210" s="366">
        <v>373.48</v>
      </c>
      <c r="AC210" s="366">
        <v>365.61</v>
      </c>
      <c r="AD210" s="366">
        <v>365.61</v>
      </c>
      <c r="AE210" s="366">
        <v>177.13</v>
      </c>
      <c r="AF210" s="366">
        <v>452.95</v>
      </c>
      <c r="AG210" s="366">
        <v>250.91</v>
      </c>
      <c r="AH210" s="366">
        <v>357.17</v>
      </c>
      <c r="AI210" s="366">
        <v>357.17</v>
      </c>
      <c r="AJ210" s="366">
        <v>357.17</v>
      </c>
      <c r="AK210" s="366">
        <v>482.92</v>
      </c>
      <c r="AL210" s="366">
        <v>482.92</v>
      </c>
      <c r="AM210" s="366">
        <v>376.2</v>
      </c>
      <c r="AN210" s="366">
        <v>327.22000000000003</v>
      </c>
      <c r="AO210" s="366">
        <v>455.82</v>
      </c>
      <c r="AP210" s="366">
        <v>284.29000000000002</v>
      </c>
      <c r="AQ210" s="366">
        <v>659.24</v>
      </c>
      <c r="AR210" s="366">
        <v>31.5</v>
      </c>
      <c r="AS210" s="366">
        <v>219.59</v>
      </c>
      <c r="AT210" s="366">
        <v>219.59</v>
      </c>
      <c r="AU210" s="366">
        <v>337.84</v>
      </c>
      <c r="AV210" s="366">
        <v>578.29999999999995</v>
      </c>
      <c r="AW210" s="366">
        <v>80.12</v>
      </c>
      <c r="AX210" s="366">
        <v>416.13</v>
      </c>
      <c r="AY210" s="366">
        <v>480.35</v>
      </c>
      <c r="AZ210" s="366">
        <v>290.94</v>
      </c>
      <c r="BA210" s="366">
        <v>579.21</v>
      </c>
      <c r="BB210" s="366">
        <v>483.24</v>
      </c>
      <c r="BC210" s="366">
        <v>521.27</v>
      </c>
      <c r="BD210" s="366">
        <v>431.04</v>
      </c>
      <c r="BE210" s="366">
        <v>427.04</v>
      </c>
      <c r="BF210" s="366">
        <v>370.45</v>
      </c>
      <c r="BG210" s="366">
        <v>468.27</v>
      </c>
      <c r="BH210" s="366">
        <v>368.05</v>
      </c>
      <c r="BI210" s="366">
        <v>31.53</v>
      </c>
      <c r="BJ210" s="366">
        <v>406.39</v>
      </c>
      <c r="BK210" s="366">
        <v>358.72</v>
      </c>
      <c r="BL210" s="366">
        <v>133.22999999999999</v>
      </c>
      <c r="BM210" s="366">
        <v>110.02</v>
      </c>
      <c r="BN210" s="366">
        <v>473.57</v>
      </c>
      <c r="BO210" s="366">
        <v>400.92</v>
      </c>
      <c r="BP210" s="366">
        <v>366.78</v>
      </c>
      <c r="BQ210" s="366">
        <v>355.65</v>
      </c>
      <c r="BR210" s="366">
        <v>355.65</v>
      </c>
      <c r="BS210" s="366">
        <v>298.51</v>
      </c>
      <c r="BT210" s="366">
        <v>23.45</v>
      </c>
      <c r="BU210" s="366">
        <v>353.98</v>
      </c>
      <c r="BV210" s="366">
        <v>373.6</v>
      </c>
      <c r="BW210" s="366">
        <v>397.13</v>
      </c>
      <c r="BX210" s="366">
        <v>239.6</v>
      </c>
      <c r="BY210" s="366">
        <v>450.46</v>
      </c>
      <c r="BZ210" s="366">
        <v>450.46</v>
      </c>
      <c r="CA210" s="366">
        <v>112.06</v>
      </c>
      <c r="CB210" s="366">
        <v>258.02999999999997</v>
      </c>
      <c r="CC210" s="366">
        <v>387.3</v>
      </c>
      <c r="CD210" s="366">
        <v>397.39</v>
      </c>
      <c r="CE210" s="366">
        <v>341.95</v>
      </c>
      <c r="CF210" s="366">
        <v>451.68</v>
      </c>
      <c r="CG210" s="366">
        <v>451.68</v>
      </c>
      <c r="CH210" s="366">
        <v>340.65</v>
      </c>
      <c r="CI210" s="366">
        <v>311.01</v>
      </c>
      <c r="CJ210" s="366">
        <v>462.63</v>
      </c>
      <c r="CK210" s="366">
        <v>455.55</v>
      </c>
      <c r="CL210" s="366">
        <v>351.63</v>
      </c>
      <c r="CM210" s="366">
        <v>467.55</v>
      </c>
      <c r="CN210" s="366">
        <v>355.76</v>
      </c>
      <c r="CO210" s="366">
        <v>30.11</v>
      </c>
      <c r="CP210" s="366">
        <v>362.34</v>
      </c>
      <c r="CQ210" s="366">
        <v>362.34</v>
      </c>
      <c r="CR210" s="366">
        <v>48.12</v>
      </c>
      <c r="CS210" s="366">
        <v>48.12</v>
      </c>
      <c r="CT210" s="366">
        <v>55.57</v>
      </c>
      <c r="CU210" s="366">
        <v>47.7</v>
      </c>
      <c r="CV210" s="366">
        <v>76.78</v>
      </c>
      <c r="CW210" s="366">
        <v>422.98</v>
      </c>
      <c r="CX210" s="366">
        <v>406.37</v>
      </c>
      <c r="CY210" s="366">
        <v>513.97</v>
      </c>
      <c r="CZ210" s="366">
        <v>535.21</v>
      </c>
      <c r="DA210" s="366">
        <v>382.69</v>
      </c>
      <c r="DB210" s="366">
        <v>402.37</v>
      </c>
      <c r="DC210" s="366">
        <v>402.37</v>
      </c>
      <c r="DD210" s="366">
        <v>236.55</v>
      </c>
      <c r="DE210" s="366">
        <v>460.32</v>
      </c>
      <c r="DF210" s="366">
        <v>687.16</v>
      </c>
      <c r="DG210" s="366">
        <v>340.66</v>
      </c>
      <c r="DH210" s="366">
        <v>522.88</v>
      </c>
      <c r="DI210" s="366">
        <v>317.5</v>
      </c>
      <c r="DJ210" s="366">
        <v>521.39</v>
      </c>
      <c r="DK210" s="366">
        <v>202.02</v>
      </c>
      <c r="DL210" s="366">
        <v>347.98</v>
      </c>
      <c r="DM210" s="366">
        <v>309.89999999999998</v>
      </c>
      <c r="DN210" s="366">
        <v>332.26</v>
      </c>
      <c r="DO210" s="366">
        <v>228.59</v>
      </c>
      <c r="DP210" s="366">
        <v>198.24</v>
      </c>
      <c r="DQ210" s="366">
        <v>408.47</v>
      </c>
      <c r="DR210" s="366">
        <v>522.88</v>
      </c>
      <c r="DS210" s="366">
        <v>44.25</v>
      </c>
      <c r="DT210" s="366">
        <v>43.14</v>
      </c>
      <c r="DU210" s="366">
        <v>413.03</v>
      </c>
      <c r="DV210" s="366">
        <v>479.74</v>
      </c>
      <c r="DW210" s="366">
        <v>203.17</v>
      </c>
      <c r="DX210" s="366">
        <v>383.45</v>
      </c>
      <c r="DY210" s="366">
        <v>456.84</v>
      </c>
      <c r="DZ210" s="366">
        <v>246.22</v>
      </c>
      <c r="EA210" s="366">
        <v>13.78</v>
      </c>
      <c r="EB210" s="366">
        <v>450.84</v>
      </c>
      <c r="EC210" s="366">
        <v>100.79</v>
      </c>
      <c r="ED210" s="366">
        <v>347.27</v>
      </c>
      <c r="EE210" s="366">
        <v>358.06</v>
      </c>
      <c r="EF210" s="366">
        <v>278.01</v>
      </c>
      <c r="EG210" s="366">
        <v>80.12</v>
      </c>
      <c r="EH210" s="366">
        <v>80.12</v>
      </c>
      <c r="EI210" s="366">
        <v>381.04</v>
      </c>
      <c r="EJ210" s="366">
        <v>510.94</v>
      </c>
      <c r="EK210" s="366">
        <v>259.47000000000003</v>
      </c>
      <c r="EL210" s="366">
        <v>259.47000000000003</v>
      </c>
      <c r="EM210" s="366">
        <v>353.58</v>
      </c>
      <c r="EN210" s="366">
        <v>353.58</v>
      </c>
      <c r="EO210" s="366">
        <v>376.2</v>
      </c>
      <c r="EP210" s="366">
        <v>417.16</v>
      </c>
      <c r="EQ210" s="366">
        <v>65.06</v>
      </c>
      <c r="ER210" s="366">
        <v>517.29</v>
      </c>
      <c r="ES210" s="366">
        <v>322.22000000000003</v>
      </c>
      <c r="ET210" s="366">
        <v>337.68</v>
      </c>
      <c r="EU210" s="366">
        <v>638.79999999999995</v>
      </c>
      <c r="EV210" s="366">
        <v>249.39</v>
      </c>
      <c r="EW210" s="366">
        <v>381.96</v>
      </c>
      <c r="EX210" s="366">
        <v>298.95999999999998</v>
      </c>
      <c r="EY210" s="366">
        <v>298.95999999999998</v>
      </c>
      <c r="EZ210" s="366">
        <v>405.39</v>
      </c>
      <c r="FA210" s="366">
        <v>350.75</v>
      </c>
      <c r="FB210" s="366">
        <v>186.32</v>
      </c>
      <c r="FC210" s="366">
        <v>403.59</v>
      </c>
      <c r="FD210" s="366">
        <v>293.24</v>
      </c>
      <c r="FE210" s="366">
        <v>384.87</v>
      </c>
      <c r="FF210" s="366">
        <v>360.05</v>
      </c>
      <c r="FG210" s="366">
        <v>570.25</v>
      </c>
      <c r="FH210" s="366">
        <v>570.25</v>
      </c>
      <c r="FI210" s="366">
        <v>230.26</v>
      </c>
      <c r="FJ210" s="366">
        <v>236.05</v>
      </c>
      <c r="FK210" s="366">
        <v>349.96</v>
      </c>
      <c r="FL210" s="366">
        <v>348.15</v>
      </c>
      <c r="FM210" s="366">
        <v>376.2</v>
      </c>
      <c r="FN210" s="366">
        <v>280.14</v>
      </c>
      <c r="FO210" s="366">
        <v>8.67</v>
      </c>
      <c r="FP210" s="366">
        <v>435.94</v>
      </c>
      <c r="FQ210" s="366">
        <v>26.02</v>
      </c>
      <c r="FR210" s="366">
        <v>161.47999999999999</v>
      </c>
      <c r="FS210" s="366">
        <v>290.12</v>
      </c>
      <c r="FT210" s="366">
        <v>506.23</v>
      </c>
      <c r="FU210" s="366">
        <v>298.62</v>
      </c>
      <c r="FV210" s="366">
        <v>702.7</v>
      </c>
      <c r="FW210" s="366">
        <v>702.7</v>
      </c>
      <c r="FX210" s="366">
        <v>702.7</v>
      </c>
      <c r="FY210" s="366">
        <v>299.89</v>
      </c>
      <c r="FZ210" s="366">
        <v>374.78</v>
      </c>
      <c r="GA210" s="366">
        <v>427.04</v>
      </c>
      <c r="GB210" s="366">
        <v>328.59</v>
      </c>
      <c r="GC210" s="366">
        <v>347.27</v>
      </c>
      <c r="GD210" s="366">
        <v>221.7</v>
      </c>
      <c r="GE210" s="366">
        <v>55.67</v>
      </c>
      <c r="GF210" s="366">
        <v>285.08999999999997</v>
      </c>
      <c r="GG210" s="366">
        <v>285.08999999999997</v>
      </c>
      <c r="GH210" s="366">
        <v>475.49</v>
      </c>
      <c r="GI210" s="366">
        <v>376.36</v>
      </c>
      <c r="GJ210" s="366">
        <v>376.2</v>
      </c>
      <c r="GK210" s="366">
        <v>346.51</v>
      </c>
      <c r="GL210" s="366">
        <v>367.37</v>
      </c>
      <c r="GM210" s="366">
        <v>367.37</v>
      </c>
      <c r="GN210" s="366">
        <v>367.37</v>
      </c>
      <c r="GO210" s="366">
        <v>323.47000000000003</v>
      </c>
      <c r="GP210" s="366">
        <v>432.45</v>
      </c>
      <c r="GQ210" s="366">
        <v>392.22</v>
      </c>
      <c r="GR210" s="366">
        <v>378.61</v>
      </c>
      <c r="GS210" s="366">
        <v>303.22000000000003</v>
      </c>
      <c r="GT210" s="366">
        <v>80.12</v>
      </c>
      <c r="GU210" s="366">
        <v>195.3</v>
      </c>
      <c r="GV210" s="366">
        <v>518.13</v>
      </c>
      <c r="GW210" s="366">
        <v>343.35</v>
      </c>
      <c r="GX210" s="366">
        <v>76.69</v>
      </c>
      <c r="GY210" s="366">
        <v>358.14</v>
      </c>
      <c r="GZ210" s="366">
        <v>292.95999999999998</v>
      </c>
      <c r="HA210" s="366">
        <v>0</v>
      </c>
      <c r="HB210" s="366">
        <v>0</v>
      </c>
      <c r="HC210" s="366">
        <v>0</v>
      </c>
      <c r="HD210" s="366">
        <v>282.51</v>
      </c>
      <c r="HE210" s="366">
        <v>347.43</v>
      </c>
      <c r="HF210" s="366">
        <v>303.72000000000003</v>
      </c>
      <c r="HG210" s="366">
        <v>431.37</v>
      </c>
      <c r="HH210" s="366">
        <v>431.37</v>
      </c>
      <c r="HI210" s="366">
        <v>431.37</v>
      </c>
      <c r="HJ210" s="366">
        <v>305.95999999999998</v>
      </c>
      <c r="HK210" s="366">
        <v>152.61000000000001</v>
      </c>
      <c r="HL210" s="366">
        <v>401.43</v>
      </c>
      <c r="HM210" s="366">
        <v>373.48</v>
      </c>
      <c r="HN210" s="366">
        <v>376.2</v>
      </c>
      <c r="HO210" s="366">
        <v>606.96</v>
      </c>
      <c r="HP210" s="366">
        <v>293.68</v>
      </c>
      <c r="HQ210" s="366">
        <v>702.7</v>
      </c>
      <c r="HR210" s="366">
        <v>452.95</v>
      </c>
      <c r="HS210" s="366">
        <v>372.45</v>
      </c>
      <c r="HT210" s="366">
        <v>324.61</v>
      </c>
      <c r="HU210" s="366">
        <v>359.13</v>
      </c>
      <c r="HV210" s="366">
        <v>404.32</v>
      </c>
    </row>
    <row r="211" spans="1:230">
      <c r="A211" s="366" t="s">
        <v>228</v>
      </c>
      <c r="B211" s="366">
        <v>638.79999999999995</v>
      </c>
      <c r="C211" s="366">
        <v>322.32</v>
      </c>
      <c r="D211" s="366">
        <v>126.23</v>
      </c>
      <c r="E211" s="366">
        <v>126.23</v>
      </c>
      <c r="F211" s="366">
        <v>702.7</v>
      </c>
      <c r="G211" s="366">
        <v>439.21</v>
      </c>
      <c r="H211" s="366">
        <v>82.61</v>
      </c>
      <c r="I211" s="366">
        <v>334.95</v>
      </c>
      <c r="J211" s="366">
        <v>58.83</v>
      </c>
      <c r="K211" s="366">
        <v>58.83</v>
      </c>
      <c r="L211" s="366">
        <v>144.13999999999999</v>
      </c>
      <c r="M211" s="366">
        <v>347.74</v>
      </c>
      <c r="N211" s="366">
        <v>444.64</v>
      </c>
      <c r="O211" s="366">
        <v>368.05</v>
      </c>
      <c r="P211" s="366">
        <v>368.05</v>
      </c>
      <c r="Q211" s="366">
        <v>368.05</v>
      </c>
      <c r="R211" s="366">
        <v>368.05</v>
      </c>
      <c r="S211" s="366">
        <v>368.05</v>
      </c>
      <c r="T211" s="366">
        <v>345.99</v>
      </c>
      <c r="U211" s="366">
        <v>547.25</v>
      </c>
      <c r="V211" s="366">
        <v>422.98</v>
      </c>
      <c r="W211" s="366">
        <v>249.39</v>
      </c>
      <c r="X211" s="366">
        <v>249.39</v>
      </c>
      <c r="Y211" s="366">
        <v>249.39</v>
      </c>
      <c r="Z211" s="366">
        <v>460.72</v>
      </c>
      <c r="AA211" s="366">
        <v>433.38</v>
      </c>
      <c r="AB211" s="366">
        <v>373.48</v>
      </c>
      <c r="AC211" s="366">
        <v>365.61</v>
      </c>
      <c r="AD211" s="366">
        <v>365.61</v>
      </c>
      <c r="AE211" s="366">
        <v>177.13</v>
      </c>
      <c r="AF211" s="366">
        <v>452.95</v>
      </c>
      <c r="AG211" s="366">
        <v>250.91</v>
      </c>
      <c r="AH211" s="366">
        <v>357.17</v>
      </c>
      <c r="AI211" s="366">
        <v>357.17</v>
      </c>
      <c r="AJ211" s="366">
        <v>357.17</v>
      </c>
      <c r="AK211" s="366">
        <v>482.92</v>
      </c>
      <c r="AL211" s="366">
        <v>482.92</v>
      </c>
      <c r="AM211" s="366">
        <v>376.2</v>
      </c>
      <c r="AN211" s="366">
        <v>327.22000000000003</v>
      </c>
      <c r="AO211" s="366">
        <v>455.82</v>
      </c>
      <c r="AP211" s="366">
        <v>284.29000000000002</v>
      </c>
      <c r="AQ211" s="366">
        <v>659.24</v>
      </c>
      <c r="AR211" s="366">
        <v>31.5</v>
      </c>
      <c r="AS211" s="366">
        <v>219.59</v>
      </c>
      <c r="AT211" s="366">
        <v>219.59</v>
      </c>
      <c r="AU211" s="366">
        <v>337.84</v>
      </c>
      <c r="AV211" s="366">
        <v>578.29999999999995</v>
      </c>
      <c r="AW211" s="366">
        <v>80.12</v>
      </c>
      <c r="AX211" s="366">
        <v>416.13</v>
      </c>
      <c r="AY211" s="366">
        <v>480.35</v>
      </c>
      <c r="AZ211" s="366">
        <v>290.94</v>
      </c>
      <c r="BA211" s="366">
        <v>579.21</v>
      </c>
      <c r="BB211" s="366">
        <v>483.24</v>
      </c>
      <c r="BC211" s="366">
        <v>521.27</v>
      </c>
      <c r="BD211" s="366">
        <v>431.04</v>
      </c>
      <c r="BE211" s="366">
        <v>427.04</v>
      </c>
      <c r="BF211" s="366">
        <v>370.45</v>
      </c>
      <c r="BG211" s="366">
        <v>468.27</v>
      </c>
      <c r="BH211" s="366">
        <v>368.05</v>
      </c>
      <c r="BI211" s="366">
        <v>31.53</v>
      </c>
      <c r="BJ211" s="366">
        <v>406.39</v>
      </c>
      <c r="BK211" s="366">
        <v>358.72</v>
      </c>
      <c r="BL211" s="366">
        <v>133.22999999999999</v>
      </c>
      <c r="BM211" s="366">
        <v>110.02</v>
      </c>
      <c r="BN211" s="366">
        <v>473.57</v>
      </c>
      <c r="BO211" s="366">
        <v>400.92</v>
      </c>
      <c r="BP211" s="366">
        <v>366.78</v>
      </c>
      <c r="BQ211" s="366">
        <v>355.65</v>
      </c>
      <c r="BR211" s="366">
        <v>355.65</v>
      </c>
      <c r="BS211" s="366">
        <v>298.51</v>
      </c>
      <c r="BT211" s="366">
        <v>23.45</v>
      </c>
      <c r="BU211" s="366">
        <v>353.98</v>
      </c>
      <c r="BV211" s="366">
        <v>373.6</v>
      </c>
      <c r="BW211" s="366">
        <v>397.13</v>
      </c>
      <c r="BX211" s="366">
        <v>239.6</v>
      </c>
      <c r="BY211" s="366">
        <v>450.46</v>
      </c>
      <c r="BZ211" s="366">
        <v>450.46</v>
      </c>
      <c r="CA211" s="366">
        <v>112.06</v>
      </c>
      <c r="CB211" s="366">
        <v>258.02999999999997</v>
      </c>
      <c r="CC211" s="366">
        <v>387.3</v>
      </c>
      <c r="CD211" s="366">
        <v>397.39</v>
      </c>
      <c r="CE211" s="366">
        <v>341.95</v>
      </c>
      <c r="CF211" s="366">
        <v>451.68</v>
      </c>
      <c r="CG211" s="366">
        <v>451.68</v>
      </c>
      <c r="CH211" s="366">
        <v>340.65</v>
      </c>
      <c r="CI211" s="366">
        <v>311.01</v>
      </c>
      <c r="CJ211" s="366">
        <v>462.63</v>
      </c>
      <c r="CK211" s="366">
        <v>455.55</v>
      </c>
      <c r="CL211" s="366">
        <v>351.63</v>
      </c>
      <c r="CM211" s="366">
        <v>467.55</v>
      </c>
      <c r="CN211" s="366">
        <v>355.76</v>
      </c>
      <c r="CO211" s="366">
        <v>30.11</v>
      </c>
      <c r="CP211" s="366">
        <v>362.34</v>
      </c>
      <c r="CQ211" s="366">
        <v>362.34</v>
      </c>
      <c r="CR211" s="366">
        <v>48.12</v>
      </c>
      <c r="CS211" s="366">
        <v>48.12</v>
      </c>
      <c r="CT211" s="366">
        <v>55.57</v>
      </c>
      <c r="CU211" s="366">
        <v>47.7</v>
      </c>
      <c r="CV211" s="366">
        <v>76.78</v>
      </c>
      <c r="CW211" s="366">
        <v>422.98</v>
      </c>
      <c r="CX211" s="366">
        <v>406.37</v>
      </c>
      <c r="CY211" s="366">
        <v>513.97</v>
      </c>
      <c r="CZ211" s="366">
        <v>535.21</v>
      </c>
      <c r="DA211" s="366">
        <v>382.69</v>
      </c>
      <c r="DB211" s="366">
        <v>402.37</v>
      </c>
      <c r="DC211" s="366">
        <v>402.37</v>
      </c>
      <c r="DD211" s="366">
        <v>236.55</v>
      </c>
      <c r="DE211" s="366">
        <v>460.32</v>
      </c>
      <c r="DF211" s="366">
        <v>687.16</v>
      </c>
      <c r="DG211" s="366">
        <v>340.66</v>
      </c>
      <c r="DH211" s="366">
        <v>522.88</v>
      </c>
      <c r="DI211" s="366">
        <v>317.5</v>
      </c>
      <c r="DJ211" s="366">
        <v>521.39</v>
      </c>
      <c r="DK211" s="366">
        <v>202.02</v>
      </c>
      <c r="DL211" s="366">
        <v>347.98</v>
      </c>
      <c r="DM211" s="366">
        <v>309.89999999999998</v>
      </c>
      <c r="DN211" s="366">
        <v>332.26</v>
      </c>
      <c r="DO211" s="366">
        <v>228.59</v>
      </c>
      <c r="DP211" s="366">
        <v>198.24</v>
      </c>
      <c r="DQ211" s="366">
        <v>408.47</v>
      </c>
      <c r="DR211" s="366">
        <v>522.88</v>
      </c>
      <c r="DS211" s="366">
        <v>44.25</v>
      </c>
      <c r="DT211" s="366">
        <v>43.14</v>
      </c>
      <c r="DU211" s="366">
        <v>413.03</v>
      </c>
      <c r="DV211" s="366">
        <v>479.74</v>
      </c>
      <c r="DW211" s="366">
        <v>203.17</v>
      </c>
      <c r="DX211" s="366">
        <v>383.45</v>
      </c>
      <c r="DY211" s="366">
        <v>456.84</v>
      </c>
      <c r="DZ211" s="366">
        <v>246.22</v>
      </c>
      <c r="EA211" s="366">
        <v>13.78</v>
      </c>
      <c r="EB211" s="366">
        <v>450.84</v>
      </c>
      <c r="EC211" s="366">
        <v>100.79</v>
      </c>
      <c r="ED211" s="366">
        <v>347.27</v>
      </c>
      <c r="EE211" s="366">
        <v>358.06</v>
      </c>
      <c r="EF211" s="366">
        <v>278.01</v>
      </c>
      <c r="EG211" s="366">
        <v>80.12</v>
      </c>
      <c r="EH211" s="366">
        <v>80.12</v>
      </c>
      <c r="EI211" s="366">
        <v>381.04</v>
      </c>
      <c r="EJ211" s="366">
        <v>510.94</v>
      </c>
      <c r="EK211" s="366">
        <v>259.47000000000003</v>
      </c>
      <c r="EL211" s="366">
        <v>259.47000000000003</v>
      </c>
      <c r="EM211" s="366">
        <v>353.58</v>
      </c>
      <c r="EN211" s="366">
        <v>353.58</v>
      </c>
      <c r="EO211" s="366">
        <v>376.2</v>
      </c>
      <c r="EP211" s="366">
        <v>417.16</v>
      </c>
      <c r="EQ211" s="366">
        <v>65.06</v>
      </c>
      <c r="ER211" s="366">
        <v>517.29</v>
      </c>
      <c r="ES211" s="366">
        <v>322.22000000000003</v>
      </c>
      <c r="ET211" s="366">
        <v>337.68</v>
      </c>
      <c r="EU211" s="366">
        <v>638.79999999999995</v>
      </c>
      <c r="EV211" s="366">
        <v>249.39</v>
      </c>
      <c r="EW211" s="366">
        <v>381.96</v>
      </c>
      <c r="EX211" s="366">
        <v>298.95999999999998</v>
      </c>
      <c r="EY211" s="366">
        <v>298.95999999999998</v>
      </c>
      <c r="EZ211" s="366">
        <v>405.39</v>
      </c>
      <c r="FA211" s="366">
        <v>350.75</v>
      </c>
      <c r="FB211" s="366">
        <v>186.32</v>
      </c>
      <c r="FC211" s="366">
        <v>403.59</v>
      </c>
      <c r="FD211" s="366">
        <v>293.24</v>
      </c>
      <c r="FE211" s="366">
        <v>384.87</v>
      </c>
      <c r="FF211" s="366">
        <v>360.05</v>
      </c>
      <c r="FG211" s="366">
        <v>570.25</v>
      </c>
      <c r="FH211" s="366">
        <v>570.25</v>
      </c>
      <c r="FI211" s="366">
        <v>230.26</v>
      </c>
      <c r="FJ211" s="366">
        <v>236.05</v>
      </c>
      <c r="FK211" s="366">
        <v>349.96</v>
      </c>
      <c r="FL211" s="366">
        <v>348.15</v>
      </c>
      <c r="FM211" s="366">
        <v>376.2</v>
      </c>
      <c r="FN211" s="366">
        <v>280.14</v>
      </c>
      <c r="FO211" s="366">
        <v>8.67</v>
      </c>
      <c r="FP211" s="366">
        <v>435.94</v>
      </c>
      <c r="FQ211" s="366">
        <v>26.02</v>
      </c>
      <c r="FR211" s="366">
        <v>161.47999999999999</v>
      </c>
      <c r="FS211" s="366">
        <v>290.12</v>
      </c>
      <c r="FT211" s="366">
        <v>506.23</v>
      </c>
      <c r="FU211" s="366">
        <v>298.62</v>
      </c>
      <c r="FV211" s="366">
        <v>702.7</v>
      </c>
      <c r="FW211" s="366">
        <v>702.7</v>
      </c>
      <c r="FX211" s="366">
        <v>702.7</v>
      </c>
      <c r="FY211" s="366">
        <v>299.89</v>
      </c>
      <c r="FZ211" s="366">
        <v>374.78</v>
      </c>
      <c r="GA211" s="366">
        <v>427.04</v>
      </c>
      <c r="GB211" s="366">
        <v>328.59</v>
      </c>
      <c r="GC211" s="366">
        <v>347.27</v>
      </c>
      <c r="GD211" s="366">
        <v>221.7</v>
      </c>
      <c r="GE211" s="366">
        <v>55.67</v>
      </c>
      <c r="GF211" s="366">
        <v>285.08999999999997</v>
      </c>
      <c r="GG211" s="366">
        <v>285.08999999999997</v>
      </c>
      <c r="GH211" s="366">
        <v>475.49</v>
      </c>
      <c r="GI211" s="366">
        <v>376.36</v>
      </c>
      <c r="GJ211" s="366">
        <v>376.2</v>
      </c>
      <c r="GK211" s="366">
        <v>346.51</v>
      </c>
      <c r="GL211" s="366">
        <v>367.37</v>
      </c>
      <c r="GM211" s="366">
        <v>367.37</v>
      </c>
      <c r="GN211" s="366">
        <v>367.37</v>
      </c>
      <c r="GO211" s="366">
        <v>323.47000000000003</v>
      </c>
      <c r="GP211" s="366">
        <v>432.45</v>
      </c>
      <c r="GQ211" s="366">
        <v>392.22</v>
      </c>
      <c r="GR211" s="366">
        <v>378.61</v>
      </c>
      <c r="GS211" s="366">
        <v>303.22000000000003</v>
      </c>
      <c r="GT211" s="366">
        <v>80.12</v>
      </c>
      <c r="GU211" s="366">
        <v>195.3</v>
      </c>
      <c r="GV211" s="366">
        <v>518.13</v>
      </c>
      <c r="GW211" s="366">
        <v>343.35</v>
      </c>
      <c r="GX211" s="366">
        <v>76.69</v>
      </c>
      <c r="GY211" s="366">
        <v>358.14</v>
      </c>
      <c r="GZ211" s="366">
        <v>292.95999999999998</v>
      </c>
      <c r="HA211" s="366">
        <v>0</v>
      </c>
      <c r="HB211" s="366">
        <v>0</v>
      </c>
      <c r="HC211" s="366">
        <v>0</v>
      </c>
      <c r="HD211" s="366">
        <v>282.51</v>
      </c>
      <c r="HE211" s="366">
        <v>347.43</v>
      </c>
      <c r="HF211" s="366">
        <v>303.72000000000003</v>
      </c>
      <c r="HG211" s="366">
        <v>431.37</v>
      </c>
      <c r="HH211" s="366">
        <v>431.37</v>
      </c>
      <c r="HI211" s="366">
        <v>431.37</v>
      </c>
      <c r="HJ211" s="366">
        <v>305.95999999999998</v>
      </c>
      <c r="HK211" s="366">
        <v>152.61000000000001</v>
      </c>
      <c r="HL211" s="366">
        <v>401.43</v>
      </c>
      <c r="HM211" s="366">
        <v>373.48</v>
      </c>
      <c r="HN211" s="366">
        <v>376.2</v>
      </c>
      <c r="HO211" s="366">
        <v>606.96</v>
      </c>
      <c r="HP211" s="366">
        <v>293.68</v>
      </c>
      <c r="HQ211" s="366">
        <v>702.7</v>
      </c>
      <c r="HR211" s="366">
        <v>452.95</v>
      </c>
      <c r="HS211" s="366">
        <v>372.45</v>
      </c>
      <c r="HT211" s="366">
        <v>324.61</v>
      </c>
      <c r="HU211" s="366">
        <v>359.13</v>
      </c>
      <c r="HV211" s="366">
        <v>404.32</v>
      </c>
    </row>
    <row r="212" spans="1:230">
      <c r="A212" s="366" t="s">
        <v>229</v>
      </c>
      <c r="B212" s="366">
        <v>356.29</v>
      </c>
      <c r="C212" s="366">
        <v>510.2</v>
      </c>
      <c r="D212" s="366">
        <v>314.11</v>
      </c>
      <c r="E212" s="366">
        <v>314.11</v>
      </c>
      <c r="F212" s="366">
        <v>420.19</v>
      </c>
      <c r="G212" s="366">
        <v>156.69999999999999</v>
      </c>
      <c r="H212" s="366">
        <v>270.49</v>
      </c>
      <c r="I212" s="366">
        <v>250.98</v>
      </c>
      <c r="J212" s="366">
        <v>246.71</v>
      </c>
      <c r="K212" s="366">
        <v>246.71</v>
      </c>
      <c r="L212" s="366">
        <v>332.02</v>
      </c>
      <c r="M212" s="366">
        <v>535.62</v>
      </c>
      <c r="N212" s="366">
        <v>632.52</v>
      </c>
      <c r="O212" s="366">
        <v>502.63</v>
      </c>
      <c r="P212" s="366">
        <v>502.63</v>
      </c>
      <c r="Q212" s="366">
        <v>502.63</v>
      </c>
      <c r="R212" s="366">
        <v>502.63</v>
      </c>
      <c r="S212" s="366">
        <v>502.63</v>
      </c>
      <c r="T212" s="366">
        <v>186.79</v>
      </c>
      <c r="U212" s="366">
        <v>264.74</v>
      </c>
      <c r="V212" s="366">
        <v>592.02</v>
      </c>
      <c r="W212" s="366">
        <v>135.41999999999999</v>
      </c>
      <c r="X212" s="366">
        <v>135.41999999999999</v>
      </c>
      <c r="Y212" s="366">
        <v>135.41999999999999</v>
      </c>
      <c r="Z212" s="366">
        <v>629.76</v>
      </c>
      <c r="AA212" s="366">
        <v>150.87</v>
      </c>
      <c r="AB212" s="366">
        <v>156.12</v>
      </c>
      <c r="AC212" s="366">
        <v>124.59</v>
      </c>
      <c r="AD212" s="366">
        <v>124.59</v>
      </c>
      <c r="AE212" s="366">
        <v>365.01</v>
      </c>
      <c r="AF212" s="366">
        <v>170.44</v>
      </c>
      <c r="AG212" s="366">
        <v>166.94</v>
      </c>
      <c r="AH212" s="366">
        <v>297.02999999999997</v>
      </c>
      <c r="AI212" s="366">
        <v>297.02999999999997</v>
      </c>
      <c r="AJ212" s="366">
        <v>297.02999999999997</v>
      </c>
      <c r="AK212" s="366">
        <v>651.96</v>
      </c>
      <c r="AL212" s="366">
        <v>651.96</v>
      </c>
      <c r="AM212" s="366">
        <v>158.84</v>
      </c>
      <c r="AN212" s="366">
        <v>461.8</v>
      </c>
      <c r="AO212" s="366">
        <v>173.31</v>
      </c>
      <c r="AP212" s="366">
        <v>200.32</v>
      </c>
      <c r="AQ212" s="366">
        <v>376.73</v>
      </c>
      <c r="AR212" s="366">
        <v>286.45</v>
      </c>
      <c r="AS212" s="366">
        <v>407.47</v>
      </c>
      <c r="AT212" s="366">
        <v>407.47</v>
      </c>
      <c r="AU212" s="366">
        <v>506.88</v>
      </c>
      <c r="AV212" s="366">
        <v>295.79000000000002</v>
      </c>
      <c r="AW212" s="366">
        <v>209.25</v>
      </c>
      <c r="AX212" s="366">
        <v>248.95</v>
      </c>
      <c r="AY212" s="366">
        <v>668.23</v>
      </c>
      <c r="AZ212" s="366">
        <v>478.82</v>
      </c>
      <c r="BA212" s="366">
        <v>338.19</v>
      </c>
      <c r="BB212" s="366">
        <v>671.12</v>
      </c>
      <c r="BC212" s="366">
        <v>269.02</v>
      </c>
      <c r="BD212" s="366">
        <v>190.02</v>
      </c>
      <c r="BE212" s="366">
        <v>596.08000000000004</v>
      </c>
      <c r="BF212" s="366">
        <v>153.09</v>
      </c>
      <c r="BG212" s="366">
        <v>637.30999999999995</v>
      </c>
      <c r="BH212" s="366">
        <v>502.63</v>
      </c>
      <c r="BI212" s="366">
        <v>286.48</v>
      </c>
      <c r="BJ212" s="366">
        <v>575.42999999999995</v>
      </c>
      <c r="BK212" s="366">
        <v>546.6</v>
      </c>
      <c r="BL212" s="366">
        <v>321.11</v>
      </c>
      <c r="BM212" s="366">
        <v>297.89999999999998</v>
      </c>
      <c r="BN212" s="366">
        <v>191.06</v>
      </c>
      <c r="BO212" s="366">
        <v>588.79999999999995</v>
      </c>
      <c r="BP212" s="366">
        <v>554.66</v>
      </c>
      <c r="BQ212" s="366">
        <v>271.68</v>
      </c>
      <c r="BR212" s="366">
        <v>271.68</v>
      </c>
      <c r="BS212" s="366">
        <v>486.39</v>
      </c>
      <c r="BT212" s="366">
        <v>278.39999999999998</v>
      </c>
      <c r="BU212" s="366">
        <v>146.55000000000001</v>
      </c>
      <c r="BV212" s="366">
        <v>156.24</v>
      </c>
      <c r="BW212" s="366">
        <v>566.16999999999996</v>
      </c>
      <c r="BX212" s="366">
        <v>427.48</v>
      </c>
      <c r="BY212" s="366">
        <v>619.5</v>
      </c>
      <c r="BZ212" s="366">
        <v>619.5</v>
      </c>
      <c r="CA212" s="366">
        <v>170.45</v>
      </c>
      <c r="CB212" s="366">
        <v>445.91</v>
      </c>
      <c r="CC212" s="366">
        <v>277.77999999999997</v>
      </c>
      <c r="CD212" s="366">
        <v>291.26</v>
      </c>
      <c r="CE212" s="366">
        <v>529.83000000000004</v>
      </c>
      <c r="CF212" s="366">
        <v>169.17</v>
      </c>
      <c r="CG212" s="366">
        <v>169.17</v>
      </c>
      <c r="CH212" s="366">
        <v>256.68</v>
      </c>
      <c r="CI212" s="366">
        <v>375.83</v>
      </c>
      <c r="CJ212" s="366">
        <v>180.12</v>
      </c>
      <c r="CK212" s="366">
        <v>624.59</v>
      </c>
      <c r="CL212" s="366">
        <v>520.66999999999996</v>
      </c>
      <c r="CM212" s="366">
        <v>226.53</v>
      </c>
      <c r="CN212" s="366">
        <v>524.79999999999995</v>
      </c>
      <c r="CO212" s="366">
        <v>285.06</v>
      </c>
      <c r="CP212" s="366">
        <v>278.37</v>
      </c>
      <c r="CQ212" s="366">
        <v>278.37</v>
      </c>
      <c r="CR212" s="366">
        <v>236.38</v>
      </c>
      <c r="CS212" s="366">
        <v>236.38</v>
      </c>
      <c r="CT212" s="366">
        <v>226.94</v>
      </c>
      <c r="CU212" s="366">
        <v>234.81</v>
      </c>
      <c r="CV212" s="366">
        <v>228.76</v>
      </c>
      <c r="CW212" s="366">
        <v>592.02</v>
      </c>
      <c r="CX212" s="366">
        <v>265.49</v>
      </c>
      <c r="CY212" s="366">
        <v>272.95</v>
      </c>
      <c r="CZ212" s="366">
        <v>255.08</v>
      </c>
      <c r="DA212" s="366">
        <v>570.57000000000005</v>
      </c>
      <c r="DB212" s="366">
        <v>571.41</v>
      </c>
      <c r="DC212" s="366">
        <v>571.41</v>
      </c>
      <c r="DD212" s="366">
        <v>84.31</v>
      </c>
      <c r="DE212" s="366">
        <v>648.20000000000005</v>
      </c>
      <c r="DF212" s="366">
        <v>404.65</v>
      </c>
      <c r="DG212" s="366">
        <v>346.18</v>
      </c>
      <c r="DH212" s="366">
        <v>710.76</v>
      </c>
      <c r="DI212" s="366">
        <v>34.99</v>
      </c>
      <c r="DJ212" s="366">
        <v>238.88</v>
      </c>
      <c r="DK212" s="366">
        <v>389.9</v>
      </c>
      <c r="DL212" s="366">
        <v>142.22</v>
      </c>
      <c r="DM212" s="366">
        <v>497.78</v>
      </c>
      <c r="DN212" s="366">
        <v>49.75</v>
      </c>
      <c r="DO212" s="366">
        <v>416.47</v>
      </c>
      <c r="DP212" s="366">
        <v>84.27</v>
      </c>
      <c r="DQ212" s="366">
        <v>577.51</v>
      </c>
      <c r="DR212" s="366">
        <v>710.76</v>
      </c>
      <c r="DS212" s="366">
        <v>285.95999999999998</v>
      </c>
      <c r="DT212" s="366">
        <v>274.25</v>
      </c>
      <c r="DU212" s="366">
        <v>600.91</v>
      </c>
      <c r="DV212" s="366">
        <v>655.6</v>
      </c>
      <c r="DW212" s="366">
        <v>391.05</v>
      </c>
      <c r="DX212" s="366">
        <v>552.49</v>
      </c>
      <c r="DY212" s="366">
        <v>625.88</v>
      </c>
      <c r="DZ212" s="366">
        <v>36.29</v>
      </c>
      <c r="EA212" s="366">
        <v>268.73</v>
      </c>
      <c r="EB212" s="366">
        <v>619.88</v>
      </c>
      <c r="EC212" s="366">
        <v>288.67</v>
      </c>
      <c r="ED212" s="366">
        <v>64.760000000000005</v>
      </c>
      <c r="EE212" s="366">
        <v>75.55</v>
      </c>
      <c r="EF212" s="366">
        <v>194.04</v>
      </c>
      <c r="EG212" s="366">
        <v>209.25</v>
      </c>
      <c r="EH212" s="366">
        <v>209.25</v>
      </c>
      <c r="EI212" s="366">
        <v>291.73</v>
      </c>
      <c r="EJ212" s="366">
        <v>698.82</v>
      </c>
      <c r="EK212" s="366">
        <v>428.51</v>
      </c>
      <c r="EL212" s="366">
        <v>428.51</v>
      </c>
      <c r="EM212" s="366">
        <v>522.62</v>
      </c>
      <c r="EN212" s="366">
        <v>522.62</v>
      </c>
      <c r="EO212" s="366">
        <v>158.84</v>
      </c>
      <c r="EP212" s="366">
        <v>209.73</v>
      </c>
      <c r="EQ212" s="366">
        <v>217.45</v>
      </c>
      <c r="ER212" s="366">
        <v>234.78</v>
      </c>
      <c r="ES212" s="366">
        <v>510.1</v>
      </c>
      <c r="ET212" s="366">
        <v>253.71</v>
      </c>
      <c r="EU212" s="366">
        <v>356.29</v>
      </c>
      <c r="EV212" s="366">
        <v>135.41999999999999</v>
      </c>
      <c r="EW212" s="366">
        <v>291.11</v>
      </c>
      <c r="EX212" s="366">
        <v>486.84</v>
      </c>
      <c r="EY212" s="366">
        <v>486.84</v>
      </c>
      <c r="EZ212" s="366">
        <v>567.16</v>
      </c>
      <c r="FA212" s="366">
        <v>519.79</v>
      </c>
      <c r="FB212" s="366">
        <v>374.2</v>
      </c>
      <c r="FC212" s="366">
        <v>572.63</v>
      </c>
      <c r="FD212" s="366">
        <v>427.82</v>
      </c>
      <c r="FE212" s="366">
        <v>295.56</v>
      </c>
      <c r="FF212" s="366">
        <v>363.37</v>
      </c>
      <c r="FG212" s="366">
        <v>329.23</v>
      </c>
      <c r="FH212" s="366">
        <v>329.23</v>
      </c>
      <c r="FI212" s="366">
        <v>146.29</v>
      </c>
      <c r="FJ212" s="366">
        <v>152.08000000000001</v>
      </c>
      <c r="FK212" s="366">
        <v>537.84</v>
      </c>
      <c r="FL212" s="366">
        <v>536.03</v>
      </c>
      <c r="FM212" s="366">
        <v>158.84</v>
      </c>
      <c r="FN212" s="366">
        <v>166.17</v>
      </c>
      <c r="FO212" s="366">
        <v>277.10000000000002</v>
      </c>
      <c r="FP212" s="366">
        <v>604.98</v>
      </c>
      <c r="FQ212" s="366">
        <v>280.97000000000003</v>
      </c>
      <c r="FR212" s="366">
        <v>349.36</v>
      </c>
      <c r="FS212" s="366">
        <v>364.08</v>
      </c>
      <c r="FT212" s="366">
        <v>223.72</v>
      </c>
      <c r="FU212" s="366">
        <v>388.22</v>
      </c>
      <c r="FV212" s="366">
        <v>420.19</v>
      </c>
      <c r="FW212" s="366">
        <v>420.19</v>
      </c>
      <c r="FX212" s="366">
        <v>420.19</v>
      </c>
      <c r="FY212" s="366">
        <v>468.93</v>
      </c>
      <c r="FZ212" s="366">
        <v>318.43</v>
      </c>
      <c r="GA212" s="366">
        <v>596.08000000000004</v>
      </c>
      <c r="GB212" s="366">
        <v>402.55</v>
      </c>
      <c r="GC212" s="366">
        <v>64.760000000000005</v>
      </c>
      <c r="GD212" s="366">
        <v>409.58</v>
      </c>
      <c r="GE212" s="366">
        <v>226.84</v>
      </c>
      <c r="GF212" s="366">
        <v>401.75</v>
      </c>
      <c r="GG212" s="366">
        <v>401.75</v>
      </c>
      <c r="GH212" s="366">
        <v>644.53</v>
      </c>
      <c r="GI212" s="366">
        <v>159</v>
      </c>
      <c r="GJ212" s="366">
        <v>158.84</v>
      </c>
      <c r="GK212" s="366">
        <v>534.39</v>
      </c>
      <c r="GL212" s="366">
        <v>305.39999999999998</v>
      </c>
      <c r="GM212" s="366">
        <v>305.39999999999998</v>
      </c>
      <c r="GN212" s="366">
        <v>305.39999999999998</v>
      </c>
      <c r="GO212" s="366">
        <v>166.73</v>
      </c>
      <c r="GP212" s="366">
        <v>601.49</v>
      </c>
      <c r="GQ212" s="366">
        <v>580.1</v>
      </c>
      <c r="GR212" s="366">
        <v>96.1</v>
      </c>
      <c r="GS212" s="366">
        <v>219.25</v>
      </c>
      <c r="GT212" s="366">
        <v>209.25</v>
      </c>
      <c r="GU212" s="366">
        <v>383.18</v>
      </c>
      <c r="GV212" s="366">
        <v>706.01</v>
      </c>
      <c r="GW212" s="366">
        <v>329.86</v>
      </c>
      <c r="GX212" s="366">
        <v>205.82</v>
      </c>
      <c r="GY212" s="366">
        <v>296.06</v>
      </c>
      <c r="GZ212" s="366">
        <v>427.54</v>
      </c>
      <c r="HA212" s="366">
        <v>282.51</v>
      </c>
      <c r="HB212" s="366">
        <v>282.51</v>
      </c>
      <c r="HC212" s="366">
        <v>282.51</v>
      </c>
      <c r="HD212" s="366">
        <v>0</v>
      </c>
      <c r="HE212" s="366">
        <v>516.47</v>
      </c>
      <c r="HF212" s="366">
        <v>472.76</v>
      </c>
      <c r="HG212" s="366">
        <v>600.41</v>
      </c>
      <c r="HH212" s="366">
        <v>600.41</v>
      </c>
      <c r="HI212" s="366">
        <v>600.41</v>
      </c>
      <c r="HJ212" s="366">
        <v>380.88</v>
      </c>
      <c r="HK212" s="366">
        <v>135.87</v>
      </c>
      <c r="HL212" s="366">
        <v>536.01</v>
      </c>
      <c r="HM212" s="366">
        <v>156.12</v>
      </c>
      <c r="HN212" s="366">
        <v>158.84</v>
      </c>
      <c r="HO212" s="366">
        <v>324.45</v>
      </c>
      <c r="HP212" s="366">
        <v>428.26</v>
      </c>
      <c r="HQ212" s="366">
        <v>420.19</v>
      </c>
      <c r="HR212" s="366">
        <v>170.44</v>
      </c>
      <c r="HS212" s="366">
        <v>155.09</v>
      </c>
      <c r="HT212" s="366">
        <v>240.64</v>
      </c>
      <c r="HU212" s="366">
        <v>275.16000000000003</v>
      </c>
      <c r="HV212" s="366">
        <v>309.94</v>
      </c>
    </row>
    <row r="213" spans="1:230">
      <c r="A213" s="366" t="s">
        <v>230</v>
      </c>
      <c r="B213" s="366">
        <v>774.97</v>
      </c>
      <c r="C213" s="366">
        <v>320.43</v>
      </c>
      <c r="D213" s="366">
        <v>221.2</v>
      </c>
      <c r="E213" s="366">
        <v>221.2</v>
      </c>
      <c r="F213" s="366">
        <v>838.87</v>
      </c>
      <c r="G213" s="366">
        <v>646.44000000000005</v>
      </c>
      <c r="H213" s="366">
        <v>264.82</v>
      </c>
      <c r="I213" s="366">
        <v>265.49</v>
      </c>
      <c r="J213" s="366">
        <v>288.60000000000002</v>
      </c>
      <c r="K213" s="366">
        <v>288.60000000000002</v>
      </c>
      <c r="L213" s="366">
        <v>211.81</v>
      </c>
      <c r="M213" s="366">
        <v>345.85</v>
      </c>
      <c r="N213" s="366">
        <v>345.69</v>
      </c>
      <c r="O213" s="366">
        <v>172.96</v>
      </c>
      <c r="P213" s="366">
        <v>172.96</v>
      </c>
      <c r="Q213" s="366">
        <v>172.96</v>
      </c>
      <c r="R213" s="366">
        <v>172.96</v>
      </c>
      <c r="S213" s="366">
        <v>172.96</v>
      </c>
      <c r="T213" s="366">
        <v>339.99</v>
      </c>
      <c r="U213" s="366">
        <v>754.48</v>
      </c>
      <c r="V213" s="366">
        <v>126.02</v>
      </c>
      <c r="W213" s="366">
        <v>483.35</v>
      </c>
      <c r="X213" s="366">
        <v>483.35</v>
      </c>
      <c r="Y213" s="366">
        <v>483.35</v>
      </c>
      <c r="Z213" s="366">
        <v>160.85</v>
      </c>
      <c r="AA213" s="366">
        <v>640.61</v>
      </c>
      <c r="AB213" s="366">
        <v>399.73</v>
      </c>
      <c r="AC213" s="366">
        <v>402.19</v>
      </c>
      <c r="AD213" s="366">
        <v>402.19</v>
      </c>
      <c r="AE213" s="366">
        <v>170.3</v>
      </c>
      <c r="AF213" s="366">
        <v>660.18</v>
      </c>
      <c r="AG213" s="366">
        <v>484.87</v>
      </c>
      <c r="AH213" s="366">
        <v>219.44</v>
      </c>
      <c r="AI213" s="366">
        <v>219.44</v>
      </c>
      <c r="AJ213" s="366">
        <v>219.44</v>
      </c>
      <c r="AK213" s="366">
        <v>183.05</v>
      </c>
      <c r="AL213" s="366">
        <v>183.05</v>
      </c>
      <c r="AM213" s="366">
        <v>402.45</v>
      </c>
      <c r="AN213" s="366">
        <v>183.85</v>
      </c>
      <c r="AO213" s="366">
        <v>653.55999999999995</v>
      </c>
      <c r="AP213" s="366">
        <v>328.71</v>
      </c>
      <c r="AQ213" s="366">
        <v>795.41</v>
      </c>
      <c r="AR213" s="366">
        <v>351.37</v>
      </c>
      <c r="AS213" s="366">
        <v>136.36000000000001</v>
      </c>
      <c r="AT213" s="366">
        <v>136.36000000000001</v>
      </c>
      <c r="AU213" s="366">
        <v>40.880000000000003</v>
      </c>
      <c r="AV213" s="366">
        <v>785.53</v>
      </c>
      <c r="AW213" s="366">
        <v>332.92</v>
      </c>
      <c r="AX213" s="366">
        <v>286.08999999999997</v>
      </c>
      <c r="AY213" s="366">
        <v>381.4</v>
      </c>
      <c r="AZ213" s="366">
        <v>289.05</v>
      </c>
      <c r="BA213" s="366">
        <v>615.79</v>
      </c>
      <c r="BB213" s="366">
        <v>384.29</v>
      </c>
      <c r="BC213" s="366">
        <v>557.85</v>
      </c>
      <c r="BD213" s="366">
        <v>467.62</v>
      </c>
      <c r="BE213" s="366">
        <v>130.08000000000001</v>
      </c>
      <c r="BF213" s="366">
        <v>396.7</v>
      </c>
      <c r="BG213" s="366">
        <v>168.4</v>
      </c>
      <c r="BH213" s="366">
        <v>172.96</v>
      </c>
      <c r="BI213" s="366">
        <v>351.4</v>
      </c>
      <c r="BJ213" s="366">
        <v>106.52</v>
      </c>
      <c r="BK213" s="366">
        <v>356.83</v>
      </c>
      <c r="BL213" s="366">
        <v>214.2</v>
      </c>
      <c r="BM213" s="366">
        <v>237.41</v>
      </c>
      <c r="BN213" s="366">
        <v>680.8</v>
      </c>
      <c r="BO213" s="366">
        <v>399.03</v>
      </c>
      <c r="BP213" s="366">
        <v>364.89</v>
      </c>
      <c r="BQ213" s="366">
        <v>244.79</v>
      </c>
      <c r="BR213" s="366">
        <v>244.79</v>
      </c>
      <c r="BS213" s="366">
        <v>296.62</v>
      </c>
      <c r="BT213" s="366">
        <v>335.83</v>
      </c>
      <c r="BU213" s="366">
        <v>380.23</v>
      </c>
      <c r="BV213" s="366">
        <v>399.85</v>
      </c>
      <c r="BW213" s="366">
        <v>100.17</v>
      </c>
      <c r="BX213" s="366">
        <v>237.71</v>
      </c>
      <c r="BY213" s="366">
        <v>153.5</v>
      </c>
      <c r="BZ213" s="366">
        <v>153.5</v>
      </c>
      <c r="CA213" s="366">
        <v>364.86</v>
      </c>
      <c r="CB213" s="366">
        <v>256.14</v>
      </c>
      <c r="CC213" s="366">
        <v>257.26</v>
      </c>
      <c r="CD213" s="366">
        <v>259.66000000000003</v>
      </c>
      <c r="CE213" s="366">
        <v>340.06</v>
      </c>
      <c r="CF213" s="366">
        <v>658.91</v>
      </c>
      <c r="CG213" s="366">
        <v>658.91</v>
      </c>
      <c r="CH213" s="366">
        <v>259.79000000000002</v>
      </c>
      <c r="CI213" s="366">
        <v>162.69999999999999</v>
      </c>
      <c r="CJ213" s="366">
        <v>669.86</v>
      </c>
      <c r="CK213" s="366">
        <v>158.59</v>
      </c>
      <c r="CL213" s="366">
        <v>54.67</v>
      </c>
      <c r="CM213" s="366">
        <v>504.13</v>
      </c>
      <c r="CN213" s="366">
        <v>55.89</v>
      </c>
      <c r="CO213" s="366">
        <v>349.98</v>
      </c>
      <c r="CP213" s="366">
        <v>238.1</v>
      </c>
      <c r="CQ213" s="366">
        <v>238.1</v>
      </c>
      <c r="CR213" s="366">
        <v>302.38</v>
      </c>
      <c r="CS213" s="366">
        <v>302.38</v>
      </c>
      <c r="CT213" s="366">
        <v>311.82</v>
      </c>
      <c r="CU213" s="366">
        <v>303.95</v>
      </c>
      <c r="CV213" s="366">
        <v>306.55</v>
      </c>
      <c r="CW213" s="366">
        <v>126.02</v>
      </c>
      <c r="CX213" s="366">
        <v>276.33</v>
      </c>
      <c r="CY213" s="366">
        <v>550.54999999999995</v>
      </c>
      <c r="CZ213" s="366">
        <v>571.79</v>
      </c>
      <c r="DA213" s="366">
        <v>283.74</v>
      </c>
      <c r="DB213" s="366">
        <v>102.5</v>
      </c>
      <c r="DC213" s="366">
        <v>102.5</v>
      </c>
      <c r="DD213" s="366">
        <v>470.51</v>
      </c>
      <c r="DE213" s="366">
        <v>361.37</v>
      </c>
      <c r="DF213" s="366">
        <v>823.33</v>
      </c>
      <c r="DG213" s="366">
        <v>192.35</v>
      </c>
      <c r="DH213" s="366">
        <v>423.93</v>
      </c>
      <c r="DI213" s="366">
        <v>524.73</v>
      </c>
      <c r="DJ213" s="366">
        <v>587.99</v>
      </c>
      <c r="DK213" s="366">
        <v>200.13</v>
      </c>
      <c r="DL213" s="366">
        <v>386.23</v>
      </c>
      <c r="DM213" s="366">
        <v>308.01</v>
      </c>
      <c r="DN213" s="366">
        <v>539.49</v>
      </c>
      <c r="DO213" s="366">
        <v>226.7</v>
      </c>
      <c r="DP213" s="366">
        <v>432.2</v>
      </c>
      <c r="DQ213" s="366">
        <v>111.51</v>
      </c>
      <c r="DR213" s="366">
        <v>423.93</v>
      </c>
      <c r="DS213" s="366">
        <v>327.85</v>
      </c>
      <c r="DT213" s="366">
        <v>316.14</v>
      </c>
      <c r="DU213" s="366">
        <v>253.4</v>
      </c>
      <c r="DV213" s="366">
        <v>186.69</v>
      </c>
      <c r="DW213" s="366">
        <v>152.78</v>
      </c>
      <c r="DX213" s="366">
        <v>86.49</v>
      </c>
      <c r="DY213" s="366">
        <v>159.88</v>
      </c>
      <c r="DZ213" s="366">
        <v>480.18</v>
      </c>
      <c r="EA213" s="366">
        <v>333.65</v>
      </c>
      <c r="EB213" s="366">
        <v>153.88</v>
      </c>
      <c r="EC213" s="366">
        <v>246.64</v>
      </c>
      <c r="ED213" s="366">
        <v>554.5</v>
      </c>
      <c r="EE213" s="366">
        <v>565.29</v>
      </c>
      <c r="EF213" s="366">
        <v>322.43</v>
      </c>
      <c r="EG213" s="366">
        <v>332.92</v>
      </c>
      <c r="EH213" s="366">
        <v>332.92</v>
      </c>
      <c r="EI213" s="366">
        <v>243.31</v>
      </c>
      <c r="EJ213" s="366">
        <v>509.05</v>
      </c>
      <c r="EK213" s="366">
        <v>121.74</v>
      </c>
      <c r="EL213" s="366">
        <v>121.74</v>
      </c>
      <c r="EM213" s="366">
        <v>6.15</v>
      </c>
      <c r="EN213" s="366">
        <v>6.15</v>
      </c>
      <c r="EO213" s="366">
        <v>402.45</v>
      </c>
      <c r="EP213" s="366">
        <v>325.31</v>
      </c>
      <c r="EQ213" s="366">
        <v>321.31</v>
      </c>
      <c r="ER213" s="366">
        <v>724.52</v>
      </c>
      <c r="ES213" s="366">
        <v>320.33</v>
      </c>
      <c r="ET213" s="366">
        <v>262.76</v>
      </c>
      <c r="EU213" s="366">
        <v>774.97</v>
      </c>
      <c r="EV213" s="366">
        <v>483.35</v>
      </c>
      <c r="EW213" s="366">
        <v>244.23</v>
      </c>
      <c r="EX213" s="366">
        <v>297.07</v>
      </c>
      <c r="EY213" s="366">
        <v>297.07</v>
      </c>
      <c r="EZ213" s="366">
        <v>108.43</v>
      </c>
      <c r="FA213" s="366">
        <v>27.97</v>
      </c>
      <c r="FB213" s="366">
        <v>184.43</v>
      </c>
      <c r="FC213" s="366">
        <v>106.63</v>
      </c>
      <c r="FD213" s="366">
        <v>149.87</v>
      </c>
      <c r="FE213" s="366">
        <v>247.14</v>
      </c>
      <c r="FF213" s="366">
        <v>222.32</v>
      </c>
      <c r="FG213" s="366">
        <v>606.83000000000004</v>
      </c>
      <c r="FH213" s="366">
        <v>606.83000000000004</v>
      </c>
      <c r="FI213" s="366">
        <v>464.22</v>
      </c>
      <c r="FJ213" s="366">
        <v>470.01</v>
      </c>
      <c r="FK213" s="366">
        <v>348.07</v>
      </c>
      <c r="FL213" s="366">
        <v>346.26</v>
      </c>
      <c r="FM213" s="366">
        <v>402.45</v>
      </c>
      <c r="FN213" s="366">
        <v>514.1</v>
      </c>
      <c r="FO213" s="366">
        <v>342.02</v>
      </c>
      <c r="FP213" s="366">
        <v>138.97999999999999</v>
      </c>
      <c r="FQ213" s="366">
        <v>345.89</v>
      </c>
      <c r="FR213" s="366">
        <v>229.15</v>
      </c>
      <c r="FS213" s="366">
        <v>152.38999999999999</v>
      </c>
      <c r="FT213" s="366">
        <v>603.15</v>
      </c>
      <c r="FU213" s="366">
        <v>150.31</v>
      </c>
      <c r="FV213" s="366">
        <v>838.87</v>
      </c>
      <c r="FW213" s="366">
        <v>838.87</v>
      </c>
      <c r="FX213" s="366">
        <v>838.87</v>
      </c>
      <c r="FY213" s="366">
        <v>78.83</v>
      </c>
      <c r="FZ213" s="366">
        <v>237.05</v>
      </c>
      <c r="GA213" s="366">
        <v>130.08000000000001</v>
      </c>
      <c r="GB213" s="366">
        <v>190.86</v>
      </c>
      <c r="GC213" s="366">
        <v>554.5</v>
      </c>
      <c r="GD213" s="366">
        <v>219.81</v>
      </c>
      <c r="GE213" s="366">
        <v>311.92</v>
      </c>
      <c r="GF213" s="366">
        <v>136.78</v>
      </c>
      <c r="GG213" s="366">
        <v>136.78</v>
      </c>
      <c r="GH213" s="366">
        <v>178.53</v>
      </c>
      <c r="GI213" s="366">
        <v>402.61</v>
      </c>
      <c r="GJ213" s="366">
        <v>402.45</v>
      </c>
      <c r="GK213" s="366">
        <v>344.62</v>
      </c>
      <c r="GL213" s="366">
        <v>229.64</v>
      </c>
      <c r="GM213" s="366">
        <v>229.64</v>
      </c>
      <c r="GN213" s="366">
        <v>229.64</v>
      </c>
      <c r="GO213" s="366">
        <v>367.89</v>
      </c>
      <c r="GP213" s="366">
        <v>135.49</v>
      </c>
      <c r="GQ213" s="366">
        <v>390.33</v>
      </c>
      <c r="GR213" s="366">
        <v>430.68</v>
      </c>
      <c r="GS213" s="366">
        <v>297.22000000000003</v>
      </c>
      <c r="GT213" s="366">
        <v>332.92</v>
      </c>
      <c r="GU213" s="366">
        <v>155.01</v>
      </c>
      <c r="GV213" s="366">
        <v>516.24</v>
      </c>
      <c r="GW213" s="366">
        <v>205.62</v>
      </c>
      <c r="GX213" s="366">
        <v>329.49</v>
      </c>
      <c r="GY213" s="366">
        <v>220.41</v>
      </c>
      <c r="GZ213" s="366">
        <v>149.59</v>
      </c>
      <c r="HA213" s="366">
        <v>347.43</v>
      </c>
      <c r="HB213" s="366">
        <v>347.43</v>
      </c>
      <c r="HC213" s="366">
        <v>347.43</v>
      </c>
      <c r="HD213" s="366">
        <v>516.47</v>
      </c>
      <c r="HE213" s="366">
        <v>0</v>
      </c>
      <c r="HF213" s="366">
        <v>44.43</v>
      </c>
      <c r="HG213" s="366">
        <v>131.5</v>
      </c>
      <c r="HH213" s="366">
        <v>131.5</v>
      </c>
      <c r="HI213" s="366">
        <v>131.5</v>
      </c>
      <c r="HJ213" s="366">
        <v>157.65</v>
      </c>
      <c r="HK213" s="366">
        <v>405.41</v>
      </c>
      <c r="HL213" s="366">
        <v>206.34</v>
      </c>
      <c r="HM213" s="366">
        <v>399.73</v>
      </c>
      <c r="HN213" s="366">
        <v>402.45</v>
      </c>
      <c r="HO213" s="366">
        <v>808.17</v>
      </c>
      <c r="HP213" s="366">
        <v>150.31</v>
      </c>
      <c r="HQ213" s="366">
        <v>838.87</v>
      </c>
      <c r="HR213" s="366">
        <v>660.18</v>
      </c>
      <c r="HS213" s="366">
        <v>398.7</v>
      </c>
      <c r="HT213" s="366">
        <v>281.02</v>
      </c>
      <c r="HU213" s="366">
        <v>248.27</v>
      </c>
      <c r="HV213" s="366">
        <v>266.58999999999997</v>
      </c>
    </row>
    <row r="214" spans="1:230">
      <c r="A214" s="366" t="s">
        <v>231</v>
      </c>
      <c r="B214" s="366">
        <v>731.26</v>
      </c>
      <c r="C214" s="366">
        <v>276.72000000000003</v>
      </c>
      <c r="D214" s="366">
        <v>177.49</v>
      </c>
      <c r="E214" s="366">
        <v>177.49</v>
      </c>
      <c r="F214" s="366">
        <v>795.16</v>
      </c>
      <c r="G214" s="366">
        <v>602.73</v>
      </c>
      <c r="H214" s="366">
        <v>221.11</v>
      </c>
      <c r="I214" s="366">
        <v>221.78</v>
      </c>
      <c r="J214" s="366">
        <v>244.89</v>
      </c>
      <c r="K214" s="366">
        <v>244.89</v>
      </c>
      <c r="L214" s="366">
        <v>168.1</v>
      </c>
      <c r="M214" s="366">
        <v>302.14</v>
      </c>
      <c r="N214" s="366">
        <v>342.56</v>
      </c>
      <c r="O214" s="366">
        <v>180.97</v>
      </c>
      <c r="P214" s="366">
        <v>180.97</v>
      </c>
      <c r="Q214" s="366">
        <v>180.97</v>
      </c>
      <c r="R214" s="366">
        <v>180.97</v>
      </c>
      <c r="S214" s="366">
        <v>180.97</v>
      </c>
      <c r="T214" s="366">
        <v>296.27999999999997</v>
      </c>
      <c r="U214" s="366">
        <v>710.77</v>
      </c>
      <c r="V214" s="366">
        <v>163.16</v>
      </c>
      <c r="W214" s="366">
        <v>439.64</v>
      </c>
      <c r="X214" s="366">
        <v>439.64</v>
      </c>
      <c r="Y214" s="366">
        <v>439.64</v>
      </c>
      <c r="Z214" s="366">
        <v>157.72</v>
      </c>
      <c r="AA214" s="366">
        <v>596.9</v>
      </c>
      <c r="AB214" s="366">
        <v>356.02</v>
      </c>
      <c r="AC214" s="366">
        <v>358.48</v>
      </c>
      <c r="AD214" s="366">
        <v>358.48</v>
      </c>
      <c r="AE214" s="366">
        <v>126.59</v>
      </c>
      <c r="AF214" s="366">
        <v>616.47</v>
      </c>
      <c r="AG214" s="366">
        <v>441.16</v>
      </c>
      <c r="AH214" s="366">
        <v>175.73</v>
      </c>
      <c r="AI214" s="366">
        <v>175.73</v>
      </c>
      <c r="AJ214" s="366">
        <v>175.73</v>
      </c>
      <c r="AK214" s="366">
        <v>179.92</v>
      </c>
      <c r="AL214" s="366">
        <v>179.92</v>
      </c>
      <c r="AM214" s="366">
        <v>358.74</v>
      </c>
      <c r="AN214" s="366">
        <v>140.13999999999999</v>
      </c>
      <c r="AO214" s="366">
        <v>609.85</v>
      </c>
      <c r="AP214" s="366">
        <v>285</v>
      </c>
      <c r="AQ214" s="366">
        <v>751.7</v>
      </c>
      <c r="AR214" s="366">
        <v>307.66000000000003</v>
      </c>
      <c r="AS214" s="366">
        <v>92.65</v>
      </c>
      <c r="AT214" s="366">
        <v>92.65</v>
      </c>
      <c r="AU214" s="366">
        <v>78.02</v>
      </c>
      <c r="AV214" s="366">
        <v>741.82</v>
      </c>
      <c r="AW214" s="366">
        <v>289.20999999999998</v>
      </c>
      <c r="AX214" s="366">
        <v>242.38</v>
      </c>
      <c r="AY214" s="366">
        <v>378.27</v>
      </c>
      <c r="AZ214" s="366">
        <v>245.34</v>
      </c>
      <c r="BA214" s="366">
        <v>572.08000000000004</v>
      </c>
      <c r="BB214" s="366">
        <v>381.16</v>
      </c>
      <c r="BC214" s="366">
        <v>514.14</v>
      </c>
      <c r="BD214" s="366">
        <v>423.91</v>
      </c>
      <c r="BE214" s="366">
        <v>167.22</v>
      </c>
      <c r="BF214" s="366">
        <v>352.99</v>
      </c>
      <c r="BG214" s="366">
        <v>165.27</v>
      </c>
      <c r="BH214" s="366">
        <v>180.97</v>
      </c>
      <c r="BI214" s="366">
        <v>307.69</v>
      </c>
      <c r="BJ214" s="366">
        <v>103.39</v>
      </c>
      <c r="BK214" s="366">
        <v>313.12</v>
      </c>
      <c r="BL214" s="366">
        <v>170.49</v>
      </c>
      <c r="BM214" s="366">
        <v>193.7</v>
      </c>
      <c r="BN214" s="366">
        <v>637.09</v>
      </c>
      <c r="BO214" s="366">
        <v>355.32</v>
      </c>
      <c r="BP214" s="366">
        <v>321.18</v>
      </c>
      <c r="BQ214" s="366">
        <v>201.08</v>
      </c>
      <c r="BR214" s="366">
        <v>201.08</v>
      </c>
      <c r="BS214" s="366">
        <v>252.91</v>
      </c>
      <c r="BT214" s="366">
        <v>292.12</v>
      </c>
      <c r="BU214" s="366">
        <v>336.52</v>
      </c>
      <c r="BV214" s="366">
        <v>356.14</v>
      </c>
      <c r="BW214" s="366">
        <v>137.31</v>
      </c>
      <c r="BX214" s="366">
        <v>194</v>
      </c>
      <c r="BY214" s="366">
        <v>190.64</v>
      </c>
      <c r="BZ214" s="366">
        <v>190.64</v>
      </c>
      <c r="CA214" s="366">
        <v>321.14999999999998</v>
      </c>
      <c r="CB214" s="366">
        <v>212.43</v>
      </c>
      <c r="CC214" s="366">
        <v>213.55</v>
      </c>
      <c r="CD214" s="366">
        <v>215.95</v>
      </c>
      <c r="CE214" s="366">
        <v>296.35000000000002</v>
      </c>
      <c r="CF214" s="366">
        <v>615.20000000000005</v>
      </c>
      <c r="CG214" s="366">
        <v>615.20000000000005</v>
      </c>
      <c r="CH214" s="366">
        <v>216.08</v>
      </c>
      <c r="CI214" s="366">
        <v>118.99</v>
      </c>
      <c r="CJ214" s="366">
        <v>626.15</v>
      </c>
      <c r="CK214" s="366">
        <v>195.73</v>
      </c>
      <c r="CL214" s="366">
        <v>91.81</v>
      </c>
      <c r="CM214" s="366">
        <v>460.42</v>
      </c>
      <c r="CN214" s="366">
        <v>52.76</v>
      </c>
      <c r="CO214" s="366">
        <v>306.27</v>
      </c>
      <c r="CP214" s="366">
        <v>194.39</v>
      </c>
      <c r="CQ214" s="366">
        <v>194.39</v>
      </c>
      <c r="CR214" s="366">
        <v>258.67</v>
      </c>
      <c r="CS214" s="366">
        <v>258.67</v>
      </c>
      <c r="CT214" s="366">
        <v>268.11</v>
      </c>
      <c r="CU214" s="366">
        <v>260.24</v>
      </c>
      <c r="CV214" s="366">
        <v>262.83999999999997</v>
      </c>
      <c r="CW214" s="366">
        <v>163.16</v>
      </c>
      <c r="CX214" s="366">
        <v>232.62</v>
      </c>
      <c r="CY214" s="366">
        <v>506.84</v>
      </c>
      <c r="CZ214" s="366">
        <v>528.08000000000004</v>
      </c>
      <c r="DA214" s="366">
        <v>280.61</v>
      </c>
      <c r="DB214" s="366">
        <v>99.37</v>
      </c>
      <c r="DC214" s="366">
        <v>99.37</v>
      </c>
      <c r="DD214" s="366">
        <v>426.8</v>
      </c>
      <c r="DE214" s="366">
        <v>358.24</v>
      </c>
      <c r="DF214" s="366">
        <v>779.62</v>
      </c>
      <c r="DG214" s="366">
        <v>148.63999999999999</v>
      </c>
      <c r="DH214" s="366">
        <v>420.8</v>
      </c>
      <c r="DI214" s="366">
        <v>481.02</v>
      </c>
      <c r="DJ214" s="366">
        <v>544.28</v>
      </c>
      <c r="DK214" s="366">
        <v>156.41999999999999</v>
      </c>
      <c r="DL214" s="366">
        <v>342.52</v>
      </c>
      <c r="DM214" s="366">
        <v>264.3</v>
      </c>
      <c r="DN214" s="366">
        <v>495.78</v>
      </c>
      <c r="DO214" s="366">
        <v>182.99</v>
      </c>
      <c r="DP214" s="366">
        <v>388.49</v>
      </c>
      <c r="DQ214" s="366">
        <v>148.65</v>
      </c>
      <c r="DR214" s="366">
        <v>420.8</v>
      </c>
      <c r="DS214" s="366">
        <v>284.14</v>
      </c>
      <c r="DT214" s="366">
        <v>272.43</v>
      </c>
      <c r="DU214" s="366">
        <v>250.27</v>
      </c>
      <c r="DV214" s="366">
        <v>183.56</v>
      </c>
      <c r="DW214" s="366">
        <v>109.07</v>
      </c>
      <c r="DX214" s="366">
        <v>123.63</v>
      </c>
      <c r="DY214" s="366">
        <v>197.02</v>
      </c>
      <c r="DZ214" s="366">
        <v>436.47</v>
      </c>
      <c r="EA214" s="366">
        <v>289.94</v>
      </c>
      <c r="EB214" s="366">
        <v>191.02</v>
      </c>
      <c r="EC214" s="366">
        <v>202.93</v>
      </c>
      <c r="ED214" s="366">
        <v>510.79</v>
      </c>
      <c r="EE214" s="366">
        <v>521.58000000000004</v>
      </c>
      <c r="EF214" s="366">
        <v>278.72000000000003</v>
      </c>
      <c r="EG214" s="366">
        <v>289.20999999999998</v>
      </c>
      <c r="EH214" s="366">
        <v>289.20999999999998</v>
      </c>
      <c r="EI214" s="366">
        <v>199.6</v>
      </c>
      <c r="EJ214" s="366">
        <v>465.34</v>
      </c>
      <c r="EK214" s="366">
        <v>78.03</v>
      </c>
      <c r="EL214" s="366">
        <v>78.03</v>
      </c>
      <c r="EM214" s="366">
        <v>50.58</v>
      </c>
      <c r="EN214" s="366">
        <v>50.58</v>
      </c>
      <c r="EO214" s="366">
        <v>358.74</v>
      </c>
      <c r="EP214" s="366">
        <v>281.60000000000002</v>
      </c>
      <c r="EQ214" s="366">
        <v>277.60000000000002</v>
      </c>
      <c r="ER214" s="366">
        <v>680.81</v>
      </c>
      <c r="ES214" s="366">
        <v>276.62</v>
      </c>
      <c r="ET214" s="366">
        <v>219.05</v>
      </c>
      <c r="EU214" s="366">
        <v>731.26</v>
      </c>
      <c r="EV214" s="366">
        <v>439.64</v>
      </c>
      <c r="EW214" s="366">
        <v>200.52</v>
      </c>
      <c r="EX214" s="366">
        <v>253.36</v>
      </c>
      <c r="EY214" s="366">
        <v>253.36</v>
      </c>
      <c r="EZ214" s="366">
        <v>145.57</v>
      </c>
      <c r="FA214" s="366">
        <v>72.400000000000006</v>
      </c>
      <c r="FB214" s="366">
        <v>140.72</v>
      </c>
      <c r="FC214" s="366">
        <v>143.77000000000001</v>
      </c>
      <c r="FD214" s="366">
        <v>106.16</v>
      </c>
      <c r="FE214" s="366">
        <v>203.43</v>
      </c>
      <c r="FF214" s="366">
        <v>178.61</v>
      </c>
      <c r="FG214" s="366">
        <v>563.12</v>
      </c>
      <c r="FH214" s="366">
        <v>563.12</v>
      </c>
      <c r="FI214" s="366">
        <v>420.51</v>
      </c>
      <c r="FJ214" s="366">
        <v>426.3</v>
      </c>
      <c r="FK214" s="366">
        <v>304.36</v>
      </c>
      <c r="FL214" s="366">
        <v>302.55</v>
      </c>
      <c r="FM214" s="366">
        <v>358.74</v>
      </c>
      <c r="FN214" s="366">
        <v>470.39</v>
      </c>
      <c r="FO214" s="366">
        <v>298.31</v>
      </c>
      <c r="FP214" s="366">
        <v>176.12</v>
      </c>
      <c r="FQ214" s="366">
        <v>302.18</v>
      </c>
      <c r="FR214" s="366">
        <v>185.44</v>
      </c>
      <c r="FS214" s="366">
        <v>108.68</v>
      </c>
      <c r="FT214" s="366">
        <v>559.44000000000005</v>
      </c>
      <c r="FU214" s="366">
        <v>106.6</v>
      </c>
      <c r="FV214" s="366">
        <v>795.16</v>
      </c>
      <c r="FW214" s="366">
        <v>795.16</v>
      </c>
      <c r="FX214" s="366">
        <v>795.16</v>
      </c>
      <c r="FY214" s="366">
        <v>40.07</v>
      </c>
      <c r="FZ214" s="366">
        <v>193.34</v>
      </c>
      <c r="GA214" s="366">
        <v>167.22</v>
      </c>
      <c r="GB214" s="366">
        <v>147.15</v>
      </c>
      <c r="GC214" s="366">
        <v>510.79</v>
      </c>
      <c r="GD214" s="366">
        <v>176.1</v>
      </c>
      <c r="GE214" s="366">
        <v>268.20999999999998</v>
      </c>
      <c r="GF214" s="366">
        <v>93.07</v>
      </c>
      <c r="GG214" s="366">
        <v>93.07</v>
      </c>
      <c r="GH214" s="366">
        <v>215.67</v>
      </c>
      <c r="GI214" s="366">
        <v>358.9</v>
      </c>
      <c r="GJ214" s="366">
        <v>358.74</v>
      </c>
      <c r="GK214" s="366">
        <v>300.91000000000003</v>
      </c>
      <c r="GL214" s="366">
        <v>185.93</v>
      </c>
      <c r="GM214" s="366">
        <v>185.93</v>
      </c>
      <c r="GN214" s="366">
        <v>185.93</v>
      </c>
      <c r="GO214" s="366">
        <v>324.18</v>
      </c>
      <c r="GP214" s="366">
        <v>172.63</v>
      </c>
      <c r="GQ214" s="366">
        <v>346.62</v>
      </c>
      <c r="GR214" s="366">
        <v>386.97</v>
      </c>
      <c r="GS214" s="366">
        <v>253.51</v>
      </c>
      <c r="GT214" s="366">
        <v>289.20999999999998</v>
      </c>
      <c r="GU214" s="366">
        <v>111.3</v>
      </c>
      <c r="GV214" s="366">
        <v>472.53</v>
      </c>
      <c r="GW214" s="366">
        <v>161.91</v>
      </c>
      <c r="GX214" s="366">
        <v>285.77999999999997</v>
      </c>
      <c r="GY214" s="366">
        <v>176.7</v>
      </c>
      <c r="GZ214" s="366">
        <v>105.88</v>
      </c>
      <c r="HA214" s="366">
        <v>303.72000000000003</v>
      </c>
      <c r="HB214" s="366">
        <v>303.72000000000003</v>
      </c>
      <c r="HC214" s="366">
        <v>303.72000000000003</v>
      </c>
      <c r="HD214" s="366">
        <v>472.76</v>
      </c>
      <c r="HE214" s="366">
        <v>44.43</v>
      </c>
      <c r="HF214" s="366">
        <v>0</v>
      </c>
      <c r="HG214" s="366">
        <v>128.37</v>
      </c>
      <c r="HH214" s="366">
        <v>128.37</v>
      </c>
      <c r="HI214" s="366">
        <v>128.37</v>
      </c>
      <c r="HJ214" s="366">
        <v>113.94</v>
      </c>
      <c r="HK214" s="366">
        <v>361.7</v>
      </c>
      <c r="HL214" s="366">
        <v>214.35</v>
      </c>
      <c r="HM214" s="366">
        <v>356.02</v>
      </c>
      <c r="HN214" s="366">
        <v>358.74</v>
      </c>
      <c r="HO214" s="366">
        <v>764.46</v>
      </c>
      <c r="HP214" s="366">
        <v>106.6</v>
      </c>
      <c r="HQ214" s="366">
        <v>795.16</v>
      </c>
      <c r="HR214" s="366">
        <v>616.47</v>
      </c>
      <c r="HS214" s="366">
        <v>354.99</v>
      </c>
      <c r="HT214" s="366">
        <v>237.31</v>
      </c>
      <c r="HU214" s="366">
        <v>204.56</v>
      </c>
      <c r="HV214" s="366">
        <v>222.88</v>
      </c>
    </row>
    <row r="215" spans="1:230">
      <c r="A215" s="366" t="s">
        <v>232</v>
      </c>
      <c r="B215" s="366">
        <v>858.91</v>
      </c>
      <c r="C215" s="366">
        <v>281.12</v>
      </c>
      <c r="D215" s="366">
        <v>305.14</v>
      </c>
      <c r="E215" s="366">
        <v>305.14</v>
      </c>
      <c r="F215" s="366">
        <v>922.81</v>
      </c>
      <c r="G215" s="366">
        <v>730.38</v>
      </c>
      <c r="H215" s="366">
        <v>348.76</v>
      </c>
      <c r="I215" s="366">
        <v>349.43</v>
      </c>
      <c r="J215" s="366">
        <v>372.54</v>
      </c>
      <c r="K215" s="366">
        <v>372.54</v>
      </c>
      <c r="L215" s="366">
        <v>295.75</v>
      </c>
      <c r="M215" s="366">
        <v>306.74</v>
      </c>
      <c r="N215" s="366">
        <v>282.7</v>
      </c>
      <c r="O215" s="366">
        <v>304.45999999999998</v>
      </c>
      <c r="P215" s="366">
        <v>304.45999999999998</v>
      </c>
      <c r="Q215" s="366">
        <v>304.45999999999998</v>
      </c>
      <c r="R215" s="366">
        <v>304.45999999999998</v>
      </c>
      <c r="S215" s="366">
        <v>304.45999999999998</v>
      </c>
      <c r="T215" s="366">
        <v>423.93</v>
      </c>
      <c r="U215" s="366">
        <v>838.42</v>
      </c>
      <c r="V215" s="366">
        <v>257.52</v>
      </c>
      <c r="W215" s="366">
        <v>567.29</v>
      </c>
      <c r="X215" s="366">
        <v>567.29</v>
      </c>
      <c r="Y215" s="366">
        <v>567.29</v>
      </c>
      <c r="Z215" s="366">
        <v>97.86</v>
      </c>
      <c r="AA215" s="366">
        <v>724.55</v>
      </c>
      <c r="AB215" s="366">
        <v>483.67</v>
      </c>
      <c r="AC215" s="366">
        <v>486.13</v>
      </c>
      <c r="AD215" s="366">
        <v>486.13</v>
      </c>
      <c r="AE215" s="366">
        <v>254.24</v>
      </c>
      <c r="AF215" s="366">
        <v>744.12</v>
      </c>
      <c r="AG215" s="366">
        <v>568.80999999999995</v>
      </c>
      <c r="AH215" s="366">
        <v>303.38</v>
      </c>
      <c r="AI215" s="366">
        <v>303.38</v>
      </c>
      <c r="AJ215" s="366">
        <v>303.38</v>
      </c>
      <c r="AK215" s="366">
        <v>120.06</v>
      </c>
      <c r="AL215" s="366">
        <v>120.06</v>
      </c>
      <c r="AM215" s="366">
        <v>486.39</v>
      </c>
      <c r="AN215" s="366">
        <v>267.79000000000002</v>
      </c>
      <c r="AO215" s="366">
        <v>737.5</v>
      </c>
      <c r="AP215" s="366">
        <v>412.65</v>
      </c>
      <c r="AQ215" s="366">
        <v>879.35</v>
      </c>
      <c r="AR215" s="366">
        <v>435.31</v>
      </c>
      <c r="AS215" s="366">
        <v>220.3</v>
      </c>
      <c r="AT215" s="366">
        <v>220.3</v>
      </c>
      <c r="AU215" s="366">
        <v>172.38</v>
      </c>
      <c r="AV215" s="366">
        <v>869.47</v>
      </c>
      <c r="AW215" s="366">
        <v>416.86</v>
      </c>
      <c r="AX215" s="366">
        <v>370.03</v>
      </c>
      <c r="AY215" s="366">
        <v>318.41000000000003</v>
      </c>
      <c r="AZ215" s="366">
        <v>330.3</v>
      </c>
      <c r="BA215" s="366">
        <v>699.73</v>
      </c>
      <c r="BB215" s="366">
        <v>321.3</v>
      </c>
      <c r="BC215" s="366">
        <v>641.79</v>
      </c>
      <c r="BD215" s="366">
        <v>551.55999999999995</v>
      </c>
      <c r="BE215" s="366">
        <v>261.58</v>
      </c>
      <c r="BF215" s="366">
        <v>480.64</v>
      </c>
      <c r="BG215" s="366">
        <v>105.41</v>
      </c>
      <c r="BH215" s="366">
        <v>304.45999999999998</v>
      </c>
      <c r="BI215" s="366">
        <v>435.34</v>
      </c>
      <c r="BJ215" s="366">
        <v>59.94</v>
      </c>
      <c r="BK215" s="366">
        <v>440.77</v>
      </c>
      <c r="BL215" s="366">
        <v>298.14</v>
      </c>
      <c r="BM215" s="366">
        <v>321.35000000000002</v>
      </c>
      <c r="BN215" s="366">
        <v>764.74</v>
      </c>
      <c r="BO215" s="366">
        <v>482.97</v>
      </c>
      <c r="BP215" s="366">
        <v>448.83</v>
      </c>
      <c r="BQ215" s="366">
        <v>328.73</v>
      </c>
      <c r="BR215" s="366">
        <v>328.73</v>
      </c>
      <c r="BS215" s="366">
        <v>304.93</v>
      </c>
      <c r="BT215" s="366">
        <v>419.77</v>
      </c>
      <c r="BU215" s="366">
        <v>464.17</v>
      </c>
      <c r="BV215" s="366">
        <v>483.79</v>
      </c>
      <c r="BW215" s="366">
        <v>231.67</v>
      </c>
      <c r="BX215" s="366">
        <v>321.64999999999998</v>
      </c>
      <c r="BY215" s="366">
        <v>285</v>
      </c>
      <c r="BZ215" s="366">
        <v>285</v>
      </c>
      <c r="CA215" s="366">
        <v>448.8</v>
      </c>
      <c r="CB215" s="366">
        <v>340.08</v>
      </c>
      <c r="CC215" s="366">
        <v>341.2</v>
      </c>
      <c r="CD215" s="366">
        <v>343.6</v>
      </c>
      <c r="CE215" s="366">
        <v>424</v>
      </c>
      <c r="CF215" s="366">
        <v>742.85</v>
      </c>
      <c r="CG215" s="366">
        <v>742.85</v>
      </c>
      <c r="CH215" s="366">
        <v>343.73</v>
      </c>
      <c r="CI215" s="366">
        <v>246.64</v>
      </c>
      <c r="CJ215" s="366">
        <v>753.8</v>
      </c>
      <c r="CK215" s="366">
        <v>290.08999999999997</v>
      </c>
      <c r="CL215" s="366">
        <v>186.17</v>
      </c>
      <c r="CM215" s="366">
        <v>588.07000000000005</v>
      </c>
      <c r="CN215" s="366">
        <v>75.61</v>
      </c>
      <c r="CO215" s="366">
        <v>433.92</v>
      </c>
      <c r="CP215" s="366">
        <v>322.04000000000002</v>
      </c>
      <c r="CQ215" s="366">
        <v>322.04000000000002</v>
      </c>
      <c r="CR215" s="366">
        <v>386.32</v>
      </c>
      <c r="CS215" s="366">
        <v>386.32</v>
      </c>
      <c r="CT215" s="366">
        <v>395.76</v>
      </c>
      <c r="CU215" s="366">
        <v>387.89</v>
      </c>
      <c r="CV215" s="366">
        <v>390.49</v>
      </c>
      <c r="CW215" s="366">
        <v>257.52</v>
      </c>
      <c r="CX215" s="366">
        <v>360.27</v>
      </c>
      <c r="CY215" s="366">
        <v>634.49</v>
      </c>
      <c r="CZ215" s="366">
        <v>655.73</v>
      </c>
      <c r="DA215" s="366">
        <v>220.75</v>
      </c>
      <c r="DB215" s="366">
        <v>36.979999999999997</v>
      </c>
      <c r="DC215" s="366">
        <v>36.979999999999997</v>
      </c>
      <c r="DD215" s="366">
        <v>554.45000000000005</v>
      </c>
      <c r="DE215" s="366">
        <v>298.38</v>
      </c>
      <c r="DF215" s="366">
        <v>907.27</v>
      </c>
      <c r="DG215" s="366">
        <v>276.29000000000002</v>
      </c>
      <c r="DH215" s="366">
        <v>360.94</v>
      </c>
      <c r="DI215" s="366">
        <v>608.66999999999996</v>
      </c>
      <c r="DJ215" s="366">
        <v>671.93</v>
      </c>
      <c r="DK215" s="366">
        <v>284.07</v>
      </c>
      <c r="DL215" s="366">
        <v>470.17</v>
      </c>
      <c r="DM215" s="366">
        <v>293.54000000000002</v>
      </c>
      <c r="DN215" s="366">
        <v>623.42999999999995</v>
      </c>
      <c r="DO215" s="366">
        <v>310.64</v>
      </c>
      <c r="DP215" s="366">
        <v>516.14</v>
      </c>
      <c r="DQ215" s="366">
        <v>243.01</v>
      </c>
      <c r="DR215" s="366">
        <v>360.94</v>
      </c>
      <c r="DS215" s="366">
        <v>411.79</v>
      </c>
      <c r="DT215" s="366">
        <v>400.08</v>
      </c>
      <c r="DU215" s="366">
        <v>190.41</v>
      </c>
      <c r="DV215" s="366">
        <v>123.7</v>
      </c>
      <c r="DW215" s="366">
        <v>236.72</v>
      </c>
      <c r="DX215" s="366">
        <v>217.99</v>
      </c>
      <c r="DY215" s="366">
        <v>291.38</v>
      </c>
      <c r="DZ215" s="366">
        <v>564.12</v>
      </c>
      <c r="EA215" s="366">
        <v>417.59</v>
      </c>
      <c r="EB215" s="366">
        <v>285.38</v>
      </c>
      <c r="EC215" s="366">
        <v>330.58</v>
      </c>
      <c r="ED215" s="366">
        <v>638.44000000000005</v>
      </c>
      <c r="EE215" s="366">
        <v>649.23</v>
      </c>
      <c r="EF215" s="366">
        <v>406.37</v>
      </c>
      <c r="EG215" s="366">
        <v>416.86</v>
      </c>
      <c r="EH215" s="366">
        <v>416.86</v>
      </c>
      <c r="EI215" s="366">
        <v>327.25</v>
      </c>
      <c r="EJ215" s="366">
        <v>592.99</v>
      </c>
      <c r="EK215" s="366">
        <v>205.68</v>
      </c>
      <c r="EL215" s="366">
        <v>205.68</v>
      </c>
      <c r="EM215" s="366">
        <v>137.65</v>
      </c>
      <c r="EN215" s="366">
        <v>137.65</v>
      </c>
      <c r="EO215" s="366">
        <v>486.39</v>
      </c>
      <c r="EP215" s="366">
        <v>409.25</v>
      </c>
      <c r="EQ215" s="366">
        <v>405.25</v>
      </c>
      <c r="ER215" s="366">
        <v>808.46</v>
      </c>
      <c r="ES215" s="366">
        <v>281.22000000000003</v>
      </c>
      <c r="ET215" s="366">
        <v>346.7</v>
      </c>
      <c r="EU215" s="366">
        <v>858.91</v>
      </c>
      <c r="EV215" s="366">
        <v>567.29</v>
      </c>
      <c r="EW215" s="366">
        <v>328.17</v>
      </c>
      <c r="EX215" s="366">
        <v>381.01</v>
      </c>
      <c r="EY215" s="366">
        <v>381.01</v>
      </c>
      <c r="EZ215" s="366">
        <v>239.93</v>
      </c>
      <c r="FA215" s="366">
        <v>159.47</v>
      </c>
      <c r="FB215" s="366">
        <v>268.37</v>
      </c>
      <c r="FC215" s="366">
        <v>238.13</v>
      </c>
      <c r="FD215" s="366">
        <v>233.81</v>
      </c>
      <c r="FE215" s="366">
        <v>331.08</v>
      </c>
      <c r="FF215" s="366">
        <v>306.26</v>
      </c>
      <c r="FG215" s="366">
        <v>690.77</v>
      </c>
      <c r="FH215" s="366">
        <v>690.77</v>
      </c>
      <c r="FI215" s="366">
        <v>548.16</v>
      </c>
      <c r="FJ215" s="366">
        <v>553.95000000000005</v>
      </c>
      <c r="FK215" s="366">
        <v>308.95999999999998</v>
      </c>
      <c r="FL215" s="366">
        <v>307.14999999999998</v>
      </c>
      <c r="FM215" s="366">
        <v>486.39</v>
      </c>
      <c r="FN215" s="366">
        <v>598.04</v>
      </c>
      <c r="FO215" s="366">
        <v>425.96</v>
      </c>
      <c r="FP215" s="366">
        <v>270.48</v>
      </c>
      <c r="FQ215" s="366">
        <v>429.83</v>
      </c>
      <c r="FR215" s="366">
        <v>313.08999999999997</v>
      </c>
      <c r="FS215" s="366">
        <v>236.33</v>
      </c>
      <c r="FT215" s="366">
        <v>687.09</v>
      </c>
      <c r="FU215" s="366">
        <v>234.25</v>
      </c>
      <c r="FV215" s="366">
        <v>922.81</v>
      </c>
      <c r="FW215" s="366">
        <v>922.81</v>
      </c>
      <c r="FX215" s="366">
        <v>922.81</v>
      </c>
      <c r="FY215" s="366">
        <v>167.72</v>
      </c>
      <c r="FZ215" s="366">
        <v>320.99</v>
      </c>
      <c r="GA215" s="366">
        <v>261.58</v>
      </c>
      <c r="GB215" s="366">
        <v>274.8</v>
      </c>
      <c r="GC215" s="366">
        <v>638.44000000000005</v>
      </c>
      <c r="GD215" s="366">
        <v>303.75</v>
      </c>
      <c r="GE215" s="366">
        <v>395.86</v>
      </c>
      <c r="GF215" s="366">
        <v>220.72</v>
      </c>
      <c r="GG215" s="366">
        <v>220.72</v>
      </c>
      <c r="GH215" s="366">
        <v>310.02999999999997</v>
      </c>
      <c r="GI215" s="366">
        <v>486.55</v>
      </c>
      <c r="GJ215" s="366">
        <v>486.39</v>
      </c>
      <c r="GK215" s="366">
        <v>305.51</v>
      </c>
      <c r="GL215" s="366">
        <v>313.58</v>
      </c>
      <c r="GM215" s="366">
        <v>313.58</v>
      </c>
      <c r="GN215" s="366">
        <v>313.58</v>
      </c>
      <c r="GO215" s="366">
        <v>451.83</v>
      </c>
      <c r="GP215" s="366">
        <v>266.99</v>
      </c>
      <c r="GQ215" s="366">
        <v>474.27</v>
      </c>
      <c r="GR215" s="366">
        <v>514.62</v>
      </c>
      <c r="GS215" s="366">
        <v>381.16</v>
      </c>
      <c r="GT215" s="366">
        <v>416.86</v>
      </c>
      <c r="GU215" s="366">
        <v>238.95</v>
      </c>
      <c r="GV215" s="366">
        <v>600.17999999999995</v>
      </c>
      <c r="GW215" s="366">
        <v>289.56</v>
      </c>
      <c r="GX215" s="366">
        <v>413.43</v>
      </c>
      <c r="GY215" s="366">
        <v>304.35000000000002</v>
      </c>
      <c r="GZ215" s="366">
        <v>233.53</v>
      </c>
      <c r="HA215" s="366">
        <v>431.37</v>
      </c>
      <c r="HB215" s="366">
        <v>431.37</v>
      </c>
      <c r="HC215" s="366">
        <v>431.37</v>
      </c>
      <c r="HD215" s="366">
        <v>600.41</v>
      </c>
      <c r="HE215" s="366">
        <v>131.5</v>
      </c>
      <c r="HF215" s="366">
        <v>128.37</v>
      </c>
      <c r="HG215" s="366">
        <v>0</v>
      </c>
      <c r="HH215" s="366">
        <v>0</v>
      </c>
      <c r="HI215" s="366">
        <v>0</v>
      </c>
      <c r="HJ215" s="366">
        <v>241.59</v>
      </c>
      <c r="HK215" s="366">
        <v>489.35</v>
      </c>
      <c r="HL215" s="366">
        <v>337.84</v>
      </c>
      <c r="HM215" s="366">
        <v>483.67</v>
      </c>
      <c r="HN215" s="366">
        <v>486.39</v>
      </c>
      <c r="HO215" s="366">
        <v>892.11</v>
      </c>
      <c r="HP215" s="366">
        <v>234.25</v>
      </c>
      <c r="HQ215" s="366">
        <v>922.81</v>
      </c>
      <c r="HR215" s="366">
        <v>744.12</v>
      </c>
      <c r="HS215" s="366">
        <v>482.64</v>
      </c>
      <c r="HT215" s="366">
        <v>364.96</v>
      </c>
      <c r="HU215" s="366">
        <v>332.21</v>
      </c>
      <c r="HV215" s="366">
        <v>350.53</v>
      </c>
    </row>
    <row r="216" spans="1:230">
      <c r="A216" s="366" t="s">
        <v>233</v>
      </c>
      <c r="B216" s="366">
        <v>858.91</v>
      </c>
      <c r="C216" s="366">
        <v>281.12</v>
      </c>
      <c r="D216" s="366">
        <v>305.14</v>
      </c>
      <c r="E216" s="366">
        <v>305.14</v>
      </c>
      <c r="F216" s="366">
        <v>922.81</v>
      </c>
      <c r="G216" s="366">
        <v>730.38</v>
      </c>
      <c r="H216" s="366">
        <v>348.76</v>
      </c>
      <c r="I216" s="366">
        <v>349.43</v>
      </c>
      <c r="J216" s="366">
        <v>372.54</v>
      </c>
      <c r="K216" s="366">
        <v>372.54</v>
      </c>
      <c r="L216" s="366">
        <v>295.75</v>
      </c>
      <c r="M216" s="366">
        <v>306.74</v>
      </c>
      <c r="N216" s="366">
        <v>282.7</v>
      </c>
      <c r="O216" s="366">
        <v>304.45999999999998</v>
      </c>
      <c r="P216" s="366">
        <v>304.45999999999998</v>
      </c>
      <c r="Q216" s="366">
        <v>304.45999999999998</v>
      </c>
      <c r="R216" s="366">
        <v>304.45999999999998</v>
      </c>
      <c r="S216" s="366">
        <v>304.45999999999998</v>
      </c>
      <c r="T216" s="366">
        <v>423.93</v>
      </c>
      <c r="U216" s="366">
        <v>838.42</v>
      </c>
      <c r="V216" s="366">
        <v>257.52</v>
      </c>
      <c r="W216" s="366">
        <v>567.29</v>
      </c>
      <c r="X216" s="366">
        <v>567.29</v>
      </c>
      <c r="Y216" s="366">
        <v>567.29</v>
      </c>
      <c r="Z216" s="366">
        <v>97.86</v>
      </c>
      <c r="AA216" s="366">
        <v>724.55</v>
      </c>
      <c r="AB216" s="366">
        <v>483.67</v>
      </c>
      <c r="AC216" s="366">
        <v>486.13</v>
      </c>
      <c r="AD216" s="366">
        <v>486.13</v>
      </c>
      <c r="AE216" s="366">
        <v>254.24</v>
      </c>
      <c r="AF216" s="366">
        <v>744.12</v>
      </c>
      <c r="AG216" s="366">
        <v>568.80999999999995</v>
      </c>
      <c r="AH216" s="366">
        <v>303.38</v>
      </c>
      <c r="AI216" s="366">
        <v>303.38</v>
      </c>
      <c r="AJ216" s="366">
        <v>303.38</v>
      </c>
      <c r="AK216" s="366">
        <v>120.06</v>
      </c>
      <c r="AL216" s="366">
        <v>120.06</v>
      </c>
      <c r="AM216" s="366">
        <v>486.39</v>
      </c>
      <c r="AN216" s="366">
        <v>267.79000000000002</v>
      </c>
      <c r="AO216" s="366">
        <v>737.5</v>
      </c>
      <c r="AP216" s="366">
        <v>412.65</v>
      </c>
      <c r="AQ216" s="366">
        <v>879.35</v>
      </c>
      <c r="AR216" s="366">
        <v>435.31</v>
      </c>
      <c r="AS216" s="366">
        <v>220.3</v>
      </c>
      <c r="AT216" s="366">
        <v>220.3</v>
      </c>
      <c r="AU216" s="366">
        <v>172.38</v>
      </c>
      <c r="AV216" s="366">
        <v>869.47</v>
      </c>
      <c r="AW216" s="366">
        <v>416.86</v>
      </c>
      <c r="AX216" s="366">
        <v>370.03</v>
      </c>
      <c r="AY216" s="366">
        <v>318.41000000000003</v>
      </c>
      <c r="AZ216" s="366">
        <v>330.3</v>
      </c>
      <c r="BA216" s="366">
        <v>699.73</v>
      </c>
      <c r="BB216" s="366">
        <v>321.3</v>
      </c>
      <c r="BC216" s="366">
        <v>641.79</v>
      </c>
      <c r="BD216" s="366">
        <v>551.55999999999995</v>
      </c>
      <c r="BE216" s="366">
        <v>261.58</v>
      </c>
      <c r="BF216" s="366">
        <v>480.64</v>
      </c>
      <c r="BG216" s="366">
        <v>105.41</v>
      </c>
      <c r="BH216" s="366">
        <v>304.45999999999998</v>
      </c>
      <c r="BI216" s="366">
        <v>435.34</v>
      </c>
      <c r="BJ216" s="366">
        <v>59.94</v>
      </c>
      <c r="BK216" s="366">
        <v>440.77</v>
      </c>
      <c r="BL216" s="366">
        <v>298.14</v>
      </c>
      <c r="BM216" s="366">
        <v>321.35000000000002</v>
      </c>
      <c r="BN216" s="366">
        <v>764.74</v>
      </c>
      <c r="BO216" s="366">
        <v>482.97</v>
      </c>
      <c r="BP216" s="366">
        <v>448.83</v>
      </c>
      <c r="BQ216" s="366">
        <v>328.73</v>
      </c>
      <c r="BR216" s="366">
        <v>328.73</v>
      </c>
      <c r="BS216" s="366">
        <v>304.93</v>
      </c>
      <c r="BT216" s="366">
        <v>419.77</v>
      </c>
      <c r="BU216" s="366">
        <v>464.17</v>
      </c>
      <c r="BV216" s="366">
        <v>483.79</v>
      </c>
      <c r="BW216" s="366">
        <v>231.67</v>
      </c>
      <c r="BX216" s="366">
        <v>321.64999999999998</v>
      </c>
      <c r="BY216" s="366">
        <v>285</v>
      </c>
      <c r="BZ216" s="366">
        <v>285</v>
      </c>
      <c r="CA216" s="366">
        <v>448.8</v>
      </c>
      <c r="CB216" s="366">
        <v>340.08</v>
      </c>
      <c r="CC216" s="366">
        <v>341.2</v>
      </c>
      <c r="CD216" s="366">
        <v>343.6</v>
      </c>
      <c r="CE216" s="366">
        <v>424</v>
      </c>
      <c r="CF216" s="366">
        <v>742.85</v>
      </c>
      <c r="CG216" s="366">
        <v>742.85</v>
      </c>
      <c r="CH216" s="366">
        <v>343.73</v>
      </c>
      <c r="CI216" s="366">
        <v>246.64</v>
      </c>
      <c r="CJ216" s="366">
        <v>753.8</v>
      </c>
      <c r="CK216" s="366">
        <v>290.08999999999997</v>
      </c>
      <c r="CL216" s="366">
        <v>186.17</v>
      </c>
      <c r="CM216" s="366">
        <v>588.07000000000005</v>
      </c>
      <c r="CN216" s="366">
        <v>75.61</v>
      </c>
      <c r="CO216" s="366">
        <v>433.92</v>
      </c>
      <c r="CP216" s="366">
        <v>322.04000000000002</v>
      </c>
      <c r="CQ216" s="366">
        <v>322.04000000000002</v>
      </c>
      <c r="CR216" s="366">
        <v>386.32</v>
      </c>
      <c r="CS216" s="366">
        <v>386.32</v>
      </c>
      <c r="CT216" s="366">
        <v>395.76</v>
      </c>
      <c r="CU216" s="366">
        <v>387.89</v>
      </c>
      <c r="CV216" s="366">
        <v>390.49</v>
      </c>
      <c r="CW216" s="366">
        <v>257.52</v>
      </c>
      <c r="CX216" s="366">
        <v>360.27</v>
      </c>
      <c r="CY216" s="366">
        <v>634.49</v>
      </c>
      <c r="CZ216" s="366">
        <v>655.73</v>
      </c>
      <c r="DA216" s="366">
        <v>220.75</v>
      </c>
      <c r="DB216" s="366">
        <v>36.979999999999997</v>
      </c>
      <c r="DC216" s="366">
        <v>36.979999999999997</v>
      </c>
      <c r="DD216" s="366">
        <v>554.45000000000005</v>
      </c>
      <c r="DE216" s="366">
        <v>298.38</v>
      </c>
      <c r="DF216" s="366">
        <v>907.27</v>
      </c>
      <c r="DG216" s="366">
        <v>276.29000000000002</v>
      </c>
      <c r="DH216" s="366">
        <v>360.94</v>
      </c>
      <c r="DI216" s="366">
        <v>608.66999999999996</v>
      </c>
      <c r="DJ216" s="366">
        <v>671.93</v>
      </c>
      <c r="DK216" s="366">
        <v>284.07</v>
      </c>
      <c r="DL216" s="366">
        <v>470.17</v>
      </c>
      <c r="DM216" s="366">
        <v>293.54000000000002</v>
      </c>
      <c r="DN216" s="366">
        <v>623.42999999999995</v>
      </c>
      <c r="DO216" s="366">
        <v>310.64</v>
      </c>
      <c r="DP216" s="366">
        <v>516.14</v>
      </c>
      <c r="DQ216" s="366">
        <v>243.01</v>
      </c>
      <c r="DR216" s="366">
        <v>360.94</v>
      </c>
      <c r="DS216" s="366">
        <v>411.79</v>
      </c>
      <c r="DT216" s="366">
        <v>400.08</v>
      </c>
      <c r="DU216" s="366">
        <v>190.41</v>
      </c>
      <c r="DV216" s="366">
        <v>123.7</v>
      </c>
      <c r="DW216" s="366">
        <v>236.72</v>
      </c>
      <c r="DX216" s="366">
        <v>217.99</v>
      </c>
      <c r="DY216" s="366">
        <v>291.38</v>
      </c>
      <c r="DZ216" s="366">
        <v>564.12</v>
      </c>
      <c r="EA216" s="366">
        <v>417.59</v>
      </c>
      <c r="EB216" s="366">
        <v>285.38</v>
      </c>
      <c r="EC216" s="366">
        <v>330.58</v>
      </c>
      <c r="ED216" s="366">
        <v>638.44000000000005</v>
      </c>
      <c r="EE216" s="366">
        <v>649.23</v>
      </c>
      <c r="EF216" s="366">
        <v>406.37</v>
      </c>
      <c r="EG216" s="366">
        <v>416.86</v>
      </c>
      <c r="EH216" s="366">
        <v>416.86</v>
      </c>
      <c r="EI216" s="366">
        <v>327.25</v>
      </c>
      <c r="EJ216" s="366">
        <v>592.99</v>
      </c>
      <c r="EK216" s="366">
        <v>205.68</v>
      </c>
      <c r="EL216" s="366">
        <v>205.68</v>
      </c>
      <c r="EM216" s="366">
        <v>137.65</v>
      </c>
      <c r="EN216" s="366">
        <v>137.65</v>
      </c>
      <c r="EO216" s="366">
        <v>486.39</v>
      </c>
      <c r="EP216" s="366">
        <v>409.25</v>
      </c>
      <c r="EQ216" s="366">
        <v>405.25</v>
      </c>
      <c r="ER216" s="366">
        <v>808.46</v>
      </c>
      <c r="ES216" s="366">
        <v>281.22000000000003</v>
      </c>
      <c r="ET216" s="366">
        <v>346.7</v>
      </c>
      <c r="EU216" s="366">
        <v>858.91</v>
      </c>
      <c r="EV216" s="366">
        <v>567.29</v>
      </c>
      <c r="EW216" s="366">
        <v>328.17</v>
      </c>
      <c r="EX216" s="366">
        <v>381.01</v>
      </c>
      <c r="EY216" s="366">
        <v>381.01</v>
      </c>
      <c r="EZ216" s="366">
        <v>239.93</v>
      </c>
      <c r="FA216" s="366">
        <v>159.47</v>
      </c>
      <c r="FB216" s="366">
        <v>268.37</v>
      </c>
      <c r="FC216" s="366">
        <v>238.13</v>
      </c>
      <c r="FD216" s="366">
        <v>233.81</v>
      </c>
      <c r="FE216" s="366">
        <v>331.08</v>
      </c>
      <c r="FF216" s="366">
        <v>306.26</v>
      </c>
      <c r="FG216" s="366">
        <v>690.77</v>
      </c>
      <c r="FH216" s="366">
        <v>690.77</v>
      </c>
      <c r="FI216" s="366">
        <v>548.16</v>
      </c>
      <c r="FJ216" s="366">
        <v>553.95000000000005</v>
      </c>
      <c r="FK216" s="366">
        <v>308.95999999999998</v>
      </c>
      <c r="FL216" s="366">
        <v>307.14999999999998</v>
      </c>
      <c r="FM216" s="366">
        <v>486.39</v>
      </c>
      <c r="FN216" s="366">
        <v>598.04</v>
      </c>
      <c r="FO216" s="366">
        <v>425.96</v>
      </c>
      <c r="FP216" s="366">
        <v>270.48</v>
      </c>
      <c r="FQ216" s="366">
        <v>429.83</v>
      </c>
      <c r="FR216" s="366">
        <v>313.08999999999997</v>
      </c>
      <c r="FS216" s="366">
        <v>236.33</v>
      </c>
      <c r="FT216" s="366">
        <v>687.09</v>
      </c>
      <c r="FU216" s="366">
        <v>234.25</v>
      </c>
      <c r="FV216" s="366">
        <v>922.81</v>
      </c>
      <c r="FW216" s="366">
        <v>922.81</v>
      </c>
      <c r="FX216" s="366">
        <v>922.81</v>
      </c>
      <c r="FY216" s="366">
        <v>167.72</v>
      </c>
      <c r="FZ216" s="366">
        <v>320.99</v>
      </c>
      <c r="GA216" s="366">
        <v>261.58</v>
      </c>
      <c r="GB216" s="366">
        <v>274.8</v>
      </c>
      <c r="GC216" s="366">
        <v>638.44000000000005</v>
      </c>
      <c r="GD216" s="366">
        <v>303.75</v>
      </c>
      <c r="GE216" s="366">
        <v>395.86</v>
      </c>
      <c r="GF216" s="366">
        <v>220.72</v>
      </c>
      <c r="GG216" s="366">
        <v>220.72</v>
      </c>
      <c r="GH216" s="366">
        <v>310.02999999999997</v>
      </c>
      <c r="GI216" s="366">
        <v>486.55</v>
      </c>
      <c r="GJ216" s="366">
        <v>486.39</v>
      </c>
      <c r="GK216" s="366">
        <v>305.51</v>
      </c>
      <c r="GL216" s="366">
        <v>313.58</v>
      </c>
      <c r="GM216" s="366">
        <v>313.58</v>
      </c>
      <c r="GN216" s="366">
        <v>313.58</v>
      </c>
      <c r="GO216" s="366">
        <v>451.83</v>
      </c>
      <c r="GP216" s="366">
        <v>266.99</v>
      </c>
      <c r="GQ216" s="366">
        <v>474.27</v>
      </c>
      <c r="GR216" s="366">
        <v>514.62</v>
      </c>
      <c r="GS216" s="366">
        <v>381.16</v>
      </c>
      <c r="GT216" s="366">
        <v>416.86</v>
      </c>
      <c r="GU216" s="366">
        <v>238.95</v>
      </c>
      <c r="GV216" s="366">
        <v>600.17999999999995</v>
      </c>
      <c r="GW216" s="366">
        <v>289.56</v>
      </c>
      <c r="GX216" s="366">
        <v>413.43</v>
      </c>
      <c r="GY216" s="366">
        <v>304.35000000000002</v>
      </c>
      <c r="GZ216" s="366">
        <v>233.53</v>
      </c>
      <c r="HA216" s="366">
        <v>431.37</v>
      </c>
      <c r="HB216" s="366">
        <v>431.37</v>
      </c>
      <c r="HC216" s="366">
        <v>431.37</v>
      </c>
      <c r="HD216" s="366">
        <v>600.41</v>
      </c>
      <c r="HE216" s="366">
        <v>131.5</v>
      </c>
      <c r="HF216" s="366">
        <v>128.37</v>
      </c>
      <c r="HG216" s="366">
        <v>0</v>
      </c>
      <c r="HH216" s="366">
        <v>0</v>
      </c>
      <c r="HI216" s="366">
        <v>0</v>
      </c>
      <c r="HJ216" s="366">
        <v>241.59</v>
      </c>
      <c r="HK216" s="366">
        <v>489.35</v>
      </c>
      <c r="HL216" s="366">
        <v>337.84</v>
      </c>
      <c r="HM216" s="366">
        <v>483.67</v>
      </c>
      <c r="HN216" s="366">
        <v>486.39</v>
      </c>
      <c r="HO216" s="366">
        <v>892.11</v>
      </c>
      <c r="HP216" s="366">
        <v>234.25</v>
      </c>
      <c r="HQ216" s="366">
        <v>922.81</v>
      </c>
      <c r="HR216" s="366">
        <v>744.12</v>
      </c>
      <c r="HS216" s="366">
        <v>482.64</v>
      </c>
      <c r="HT216" s="366">
        <v>364.96</v>
      </c>
      <c r="HU216" s="366">
        <v>332.21</v>
      </c>
      <c r="HV216" s="366">
        <v>350.53</v>
      </c>
    </row>
    <row r="217" spans="1:230">
      <c r="A217" s="366" t="s">
        <v>234</v>
      </c>
      <c r="B217" s="366">
        <v>858.91</v>
      </c>
      <c r="C217" s="366">
        <v>281.12</v>
      </c>
      <c r="D217" s="366">
        <v>305.14</v>
      </c>
      <c r="E217" s="366">
        <v>305.14</v>
      </c>
      <c r="F217" s="366">
        <v>922.81</v>
      </c>
      <c r="G217" s="366">
        <v>730.38</v>
      </c>
      <c r="H217" s="366">
        <v>348.76</v>
      </c>
      <c r="I217" s="366">
        <v>349.43</v>
      </c>
      <c r="J217" s="366">
        <v>372.54</v>
      </c>
      <c r="K217" s="366">
        <v>372.54</v>
      </c>
      <c r="L217" s="366">
        <v>295.75</v>
      </c>
      <c r="M217" s="366">
        <v>306.74</v>
      </c>
      <c r="N217" s="366">
        <v>282.7</v>
      </c>
      <c r="O217" s="366">
        <v>304.45999999999998</v>
      </c>
      <c r="P217" s="366">
        <v>304.45999999999998</v>
      </c>
      <c r="Q217" s="366">
        <v>304.45999999999998</v>
      </c>
      <c r="R217" s="366">
        <v>304.45999999999998</v>
      </c>
      <c r="S217" s="366">
        <v>304.45999999999998</v>
      </c>
      <c r="T217" s="366">
        <v>423.93</v>
      </c>
      <c r="U217" s="366">
        <v>838.42</v>
      </c>
      <c r="V217" s="366">
        <v>257.52</v>
      </c>
      <c r="W217" s="366">
        <v>567.29</v>
      </c>
      <c r="X217" s="366">
        <v>567.29</v>
      </c>
      <c r="Y217" s="366">
        <v>567.29</v>
      </c>
      <c r="Z217" s="366">
        <v>97.86</v>
      </c>
      <c r="AA217" s="366">
        <v>724.55</v>
      </c>
      <c r="AB217" s="366">
        <v>483.67</v>
      </c>
      <c r="AC217" s="366">
        <v>486.13</v>
      </c>
      <c r="AD217" s="366">
        <v>486.13</v>
      </c>
      <c r="AE217" s="366">
        <v>254.24</v>
      </c>
      <c r="AF217" s="366">
        <v>744.12</v>
      </c>
      <c r="AG217" s="366">
        <v>568.80999999999995</v>
      </c>
      <c r="AH217" s="366">
        <v>303.38</v>
      </c>
      <c r="AI217" s="366">
        <v>303.38</v>
      </c>
      <c r="AJ217" s="366">
        <v>303.38</v>
      </c>
      <c r="AK217" s="366">
        <v>120.06</v>
      </c>
      <c r="AL217" s="366">
        <v>120.06</v>
      </c>
      <c r="AM217" s="366">
        <v>486.39</v>
      </c>
      <c r="AN217" s="366">
        <v>267.79000000000002</v>
      </c>
      <c r="AO217" s="366">
        <v>737.5</v>
      </c>
      <c r="AP217" s="366">
        <v>412.65</v>
      </c>
      <c r="AQ217" s="366">
        <v>879.35</v>
      </c>
      <c r="AR217" s="366">
        <v>435.31</v>
      </c>
      <c r="AS217" s="366">
        <v>220.3</v>
      </c>
      <c r="AT217" s="366">
        <v>220.3</v>
      </c>
      <c r="AU217" s="366">
        <v>172.38</v>
      </c>
      <c r="AV217" s="366">
        <v>869.47</v>
      </c>
      <c r="AW217" s="366">
        <v>416.86</v>
      </c>
      <c r="AX217" s="366">
        <v>370.03</v>
      </c>
      <c r="AY217" s="366">
        <v>318.41000000000003</v>
      </c>
      <c r="AZ217" s="366">
        <v>330.3</v>
      </c>
      <c r="BA217" s="366">
        <v>699.73</v>
      </c>
      <c r="BB217" s="366">
        <v>321.3</v>
      </c>
      <c r="BC217" s="366">
        <v>641.79</v>
      </c>
      <c r="BD217" s="366">
        <v>551.55999999999995</v>
      </c>
      <c r="BE217" s="366">
        <v>261.58</v>
      </c>
      <c r="BF217" s="366">
        <v>480.64</v>
      </c>
      <c r="BG217" s="366">
        <v>105.41</v>
      </c>
      <c r="BH217" s="366">
        <v>304.45999999999998</v>
      </c>
      <c r="BI217" s="366">
        <v>435.34</v>
      </c>
      <c r="BJ217" s="366">
        <v>59.94</v>
      </c>
      <c r="BK217" s="366">
        <v>440.77</v>
      </c>
      <c r="BL217" s="366">
        <v>298.14</v>
      </c>
      <c r="BM217" s="366">
        <v>321.35000000000002</v>
      </c>
      <c r="BN217" s="366">
        <v>764.74</v>
      </c>
      <c r="BO217" s="366">
        <v>482.97</v>
      </c>
      <c r="BP217" s="366">
        <v>448.83</v>
      </c>
      <c r="BQ217" s="366">
        <v>328.73</v>
      </c>
      <c r="BR217" s="366">
        <v>328.73</v>
      </c>
      <c r="BS217" s="366">
        <v>304.93</v>
      </c>
      <c r="BT217" s="366">
        <v>419.77</v>
      </c>
      <c r="BU217" s="366">
        <v>464.17</v>
      </c>
      <c r="BV217" s="366">
        <v>483.79</v>
      </c>
      <c r="BW217" s="366">
        <v>231.67</v>
      </c>
      <c r="BX217" s="366">
        <v>321.64999999999998</v>
      </c>
      <c r="BY217" s="366">
        <v>285</v>
      </c>
      <c r="BZ217" s="366">
        <v>285</v>
      </c>
      <c r="CA217" s="366">
        <v>448.8</v>
      </c>
      <c r="CB217" s="366">
        <v>340.08</v>
      </c>
      <c r="CC217" s="366">
        <v>341.2</v>
      </c>
      <c r="CD217" s="366">
        <v>343.6</v>
      </c>
      <c r="CE217" s="366">
        <v>424</v>
      </c>
      <c r="CF217" s="366">
        <v>742.85</v>
      </c>
      <c r="CG217" s="366">
        <v>742.85</v>
      </c>
      <c r="CH217" s="366">
        <v>343.73</v>
      </c>
      <c r="CI217" s="366">
        <v>246.64</v>
      </c>
      <c r="CJ217" s="366">
        <v>753.8</v>
      </c>
      <c r="CK217" s="366">
        <v>290.08999999999997</v>
      </c>
      <c r="CL217" s="366">
        <v>186.17</v>
      </c>
      <c r="CM217" s="366">
        <v>588.07000000000005</v>
      </c>
      <c r="CN217" s="366">
        <v>75.61</v>
      </c>
      <c r="CO217" s="366">
        <v>433.92</v>
      </c>
      <c r="CP217" s="366">
        <v>322.04000000000002</v>
      </c>
      <c r="CQ217" s="366">
        <v>322.04000000000002</v>
      </c>
      <c r="CR217" s="366">
        <v>386.32</v>
      </c>
      <c r="CS217" s="366">
        <v>386.32</v>
      </c>
      <c r="CT217" s="366">
        <v>395.76</v>
      </c>
      <c r="CU217" s="366">
        <v>387.89</v>
      </c>
      <c r="CV217" s="366">
        <v>390.49</v>
      </c>
      <c r="CW217" s="366">
        <v>257.52</v>
      </c>
      <c r="CX217" s="366">
        <v>360.27</v>
      </c>
      <c r="CY217" s="366">
        <v>634.49</v>
      </c>
      <c r="CZ217" s="366">
        <v>655.73</v>
      </c>
      <c r="DA217" s="366">
        <v>220.75</v>
      </c>
      <c r="DB217" s="366">
        <v>36.979999999999997</v>
      </c>
      <c r="DC217" s="366">
        <v>36.979999999999997</v>
      </c>
      <c r="DD217" s="366">
        <v>554.45000000000005</v>
      </c>
      <c r="DE217" s="366">
        <v>298.38</v>
      </c>
      <c r="DF217" s="366">
        <v>907.27</v>
      </c>
      <c r="DG217" s="366">
        <v>276.29000000000002</v>
      </c>
      <c r="DH217" s="366">
        <v>360.94</v>
      </c>
      <c r="DI217" s="366">
        <v>608.66999999999996</v>
      </c>
      <c r="DJ217" s="366">
        <v>671.93</v>
      </c>
      <c r="DK217" s="366">
        <v>284.07</v>
      </c>
      <c r="DL217" s="366">
        <v>470.17</v>
      </c>
      <c r="DM217" s="366">
        <v>293.54000000000002</v>
      </c>
      <c r="DN217" s="366">
        <v>623.42999999999995</v>
      </c>
      <c r="DO217" s="366">
        <v>310.64</v>
      </c>
      <c r="DP217" s="366">
        <v>516.14</v>
      </c>
      <c r="DQ217" s="366">
        <v>243.01</v>
      </c>
      <c r="DR217" s="366">
        <v>360.94</v>
      </c>
      <c r="DS217" s="366">
        <v>411.79</v>
      </c>
      <c r="DT217" s="366">
        <v>400.08</v>
      </c>
      <c r="DU217" s="366">
        <v>190.41</v>
      </c>
      <c r="DV217" s="366">
        <v>123.7</v>
      </c>
      <c r="DW217" s="366">
        <v>236.72</v>
      </c>
      <c r="DX217" s="366">
        <v>217.99</v>
      </c>
      <c r="DY217" s="366">
        <v>291.38</v>
      </c>
      <c r="DZ217" s="366">
        <v>564.12</v>
      </c>
      <c r="EA217" s="366">
        <v>417.59</v>
      </c>
      <c r="EB217" s="366">
        <v>285.38</v>
      </c>
      <c r="EC217" s="366">
        <v>330.58</v>
      </c>
      <c r="ED217" s="366">
        <v>638.44000000000005</v>
      </c>
      <c r="EE217" s="366">
        <v>649.23</v>
      </c>
      <c r="EF217" s="366">
        <v>406.37</v>
      </c>
      <c r="EG217" s="366">
        <v>416.86</v>
      </c>
      <c r="EH217" s="366">
        <v>416.86</v>
      </c>
      <c r="EI217" s="366">
        <v>327.25</v>
      </c>
      <c r="EJ217" s="366">
        <v>592.99</v>
      </c>
      <c r="EK217" s="366">
        <v>205.68</v>
      </c>
      <c r="EL217" s="366">
        <v>205.68</v>
      </c>
      <c r="EM217" s="366">
        <v>137.65</v>
      </c>
      <c r="EN217" s="366">
        <v>137.65</v>
      </c>
      <c r="EO217" s="366">
        <v>486.39</v>
      </c>
      <c r="EP217" s="366">
        <v>409.25</v>
      </c>
      <c r="EQ217" s="366">
        <v>405.25</v>
      </c>
      <c r="ER217" s="366">
        <v>808.46</v>
      </c>
      <c r="ES217" s="366">
        <v>281.22000000000003</v>
      </c>
      <c r="ET217" s="366">
        <v>346.7</v>
      </c>
      <c r="EU217" s="366">
        <v>858.91</v>
      </c>
      <c r="EV217" s="366">
        <v>567.29</v>
      </c>
      <c r="EW217" s="366">
        <v>328.17</v>
      </c>
      <c r="EX217" s="366">
        <v>381.01</v>
      </c>
      <c r="EY217" s="366">
        <v>381.01</v>
      </c>
      <c r="EZ217" s="366">
        <v>239.93</v>
      </c>
      <c r="FA217" s="366">
        <v>159.47</v>
      </c>
      <c r="FB217" s="366">
        <v>268.37</v>
      </c>
      <c r="FC217" s="366">
        <v>238.13</v>
      </c>
      <c r="FD217" s="366">
        <v>233.81</v>
      </c>
      <c r="FE217" s="366">
        <v>331.08</v>
      </c>
      <c r="FF217" s="366">
        <v>306.26</v>
      </c>
      <c r="FG217" s="366">
        <v>690.77</v>
      </c>
      <c r="FH217" s="366">
        <v>690.77</v>
      </c>
      <c r="FI217" s="366">
        <v>548.16</v>
      </c>
      <c r="FJ217" s="366">
        <v>553.95000000000005</v>
      </c>
      <c r="FK217" s="366">
        <v>308.95999999999998</v>
      </c>
      <c r="FL217" s="366">
        <v>307.14999999999998</v>
      </c>
      <c r="FM217" s="366">
        <v>486.39</v>
      </c>
      <c r="FN217" s="366">
        <v>598.04</v>
      </c>
      <c r="FO217" s="366">
        <v>425.96</v>
      </c>
      <c r="FP217" s="366">
        <v>270.48</v>
      </c>
      <c r="FQ217" s="366">
        <v>429.83</v>
      </c>
      <c r="FR217" s="366">
        <v>313.08999999999997</v>
      </c>
      <c r="FS217" s="366">
        <v>236.33</v>
      </c>
      <c r="FT217" s="366">
        <v>687.09</v>
      </c>
      <c r="FU217" s="366">
        <v>234.25</v>
      </c>
      <c r="FV217" s="366">
        <v>922.81</v>
      </c>
      <c r="FW217" s="366">
        <v>922.81</v>
      </c>
      <c r="FX217" s="366">
        <v>922.81</v>
      </c>
      <c r="FY217" s="366">
        <v>167.72</v>
      </c>
      <c r="FZ217" s="366">
        <v>320.99</v>
      </c>
      <c r="GA217" s="366">
        <v>261.58</v>
      </c>
      <c r="GB217" s="366">
        <v>274.8</v>
      </c>
      <c r="GC217" s="366">
        <v>638.44000000000005</v>
      </c>
      <c r="GD217" s="366">
        <v>303.75</v>
      </c>
      <c r="GE217" s="366">
        <v>395.86</v>
      </c>
      <c r="GF217" s="366">
        <v>220.72</v>
      </c>
      <c r="GG217" s="366">
        <v>220.72</v>
      </c>
      <c r="GH217" s="366">
        <v>310.02999999999997</v>
      </c>
      <c r="GI217" s="366">
        <v>486.55</v>
      </c>
      <c r="GJ217" s="366">
        <v>486.39</v>
      </c>
      <c r="GK217" s="366">
        <v>305.51</v>
      </c>
      <c r="GL217" s="366">
        <v>313.58</v>
      </c>
      <c r="GM217" s="366">
        <v>313.58</v>
      </c>
      <c r="GN217" s="366">
        <v>313.58</v>
      </c>
      <c r="GO217" s="366">
        <v>451.83</v>
      </c>
      <c r="GP217" s="366">
        <v>266.99</v>
      </c>
      <c r="GQ217" s="366">
        <v>474.27</v>
      </c>
      <c r="GR217" s="366">
        <v>514.62</v>
      </c>
      <c r="GS217" s="366">
        <v>381.16</v>
      </c>
      <c r="GT217" s="366">
        <v>416.86</v>
      </c>
      <c r="GU217" s="366">
        <v>238.95</v>
      </c>
      <c r="GV217" s="366">
        <v>600.17999999999995</v>
      </c>
      <c r="GW217" s="366">
        <v>289.56</v>
      </c>
      <c r="GX217" s="366">
        <v>413.43</v>
      </c>
      <c r="GY217" s="366">
        <v>304.35000000000002</v>
      </c>
      <c r="GZ217" s="366">
        <v>233.53</v>
      </c>
      <c r="HA217" s="366">
        <v>431.37</v>
      </c>
      <c r="HB217" s="366">
        <v>431.37</v>
      </c>
      <c r="HC217" s="366">
        <v>431.37</v>
      </c>
      <c r="HD217" s="366">
        <v>600.41</v>
      </c>
      <c r="HE217" s="366">
        <v>131.5</v>
      </c>
      <c r="HF217" s="366">
        <v>128.37</v>
      </c>
      <c r="HG217" s="366">
        <v>0</v>
      </c>
      <c r="HH217" s="366">
        <v>0</v>
      </c>
      <c r="HI217" s="366">
        <v>0</v>
      </c>
      <c r="HJ217" s="366">
        <v>241.59</v>
      </c>
      <c r="HK217" s="366">
        <v>489.35</v>
      </c>
      <c r="HL217" s="366">
        <v>337.84</v>
      </c>
      <c r="HM217" s="366">
        <v>483.67</v>
      </c>
      <c r="HN217" s="366">
        <v>486.39</v>
      </c>
      <c r="HO217" s="366">
        <v>892.11</v>
      </c>
      <c r="HP217" s="366">
        <v>234.25</v>
      </c>
      <c r="HQ217" s="366">
        <v>922.81</v>
      </c>
      <c r="HR217" s="366">
        <v>744.12</v>
      </c>
      <c r="HS217" s="366">
        <v>482.64</v>
      </c>
      <c r="HT217" s="366">
        <v>364.96</v>
      </c>
      <c r="HU217" s="366">
        <v>332.21</v>
      </c>
      <c r="HV217" s="366">
        <v>350.53</v>
      </c>
    </row>
    <row r="218" spans="1:230">
      <c r="A218" s="366" t="s">
        <v>235</v>
      </c>
      <c r="B218" s="366">
        <v>639.38</v>
      </c>
      <c r="C218" s="366">
        <v>278.95999999999998</v>
      </c>
      <c r="D218" s="366">
        <v>179.73</v>
      </c>
      <c r="E218" s="366">
        <v>179.73</v>
      </c>
      <c r="F218" s="366">
        <v>703.28</v>
      </c>
      <c r="G218" s="366">
        <v>510.85</v>
      </c>
      <c r="H218" s="366">
        <v>223.35</v>
      </c>
      <c r="I218" s="366">
        <v>129.9</v>
      </c>
      <c r="J218" s="366">
        <v>247.13</v>
      </c>
      <c r="K218" s="366">
        <v>247.13</v>
      </c>
      <c r="L218" s="366">
        <v>170.34</v>
      </c>
      <c r="M218" s="366">
        <v>304.38</v>
      </c>
      <c r="N218" s="366">
        <v>401.28</v>
      </c>
      <c r="O218" s="366">
        <v>121.75</v>
      </c>
      <c r="P218" s="366">
        <v>121.75</v>
      </c>
      <c r="Q218" s="366">
        <v>121.75</v>
      </c>
      <c r="R218" s="366">
        <v>121.75</v>
      </c>
      <c r="S218" s="366">
        <v>121.75</v>
      </c>
      <c r="T218" s="366">
        <v>204.4</v>
      </c>
      <c r="U218" s="366">
        <v>618.89</v>
      </c>
      <c r="V218" s="366">
        <v>233.2</v>
      </c>
      <c r="W218" s="366">
        <v>347.76</v>
      </c>
      <c r="X218" s="366">
        <v>347.76</v>
      </c>
      <c r="Y218" s="366">
        <v>347.76</v>
      </c>
      <c r="Z218" s="366">
        <v>270.94</v>
      </c>
      <c r="AA218" s="366">
        <v>505.02</v>
      </c>
      <c r="AB218" s="366">
        <v>264.14</v>
      </c>
      <c r="AC218" s="366">
        <v>266.60000000000002</v>
      </c>
      <c r="AD218" s="366">
        <v>266.60000000000002</v>
      </c>
      <c r="AE218" s="366">
        <v>128.83000000000001</v>
      </c>
      <c r="AF218" s="366">
        <v>524.59</v>
      </c>
      <c r="AG218" s="366">
        <v>349.28</v>
      </c>
      <c r="AH218" s="366">
        <v>83.85</v>
      </c>
      <c r="AI218" s="366">
        <v>83.85</v>
      </c>
      <c r="AJ218" s="366">
        <v>83.85</v>
      </c>
      <c r="AK218" s="366">
        <v>293.14</v>
      </c>
      <c r="AL218" s="366">
        <v>293.14</v>
      </c>
      <c r="AM218" s="366">
        <v>266.86</v>
      </c>
      <c r="AN218" s="366">
        <v>80.92</v>
      </c>
      <c r="AO218" s="366">
        <v>517.97</v>
      </c>
      <c r="AP218" s="366">
        <v>193.12</v>
      </c>
      <c r="AQ218" s="366">
        <v>659.82</v>
      </c>
      <c r="AR218" s="366">
        <v>309.89999999999998</v>
      </c>
      <c r="AS218" s="366">
        <v>94.89</v>
      </c>
      <c r="AT218" s="366">
        <v>94.89</v>
      </c>
      <c r="AU218" s="366">
        <v>148.06</v>
      </c>
      <c r="AV218" s="366">
        <v>649.94000000000005</v>
      </c>
      <c r="AW218" s="366">
        <v>291.45</v>
      </c>
      <c r="AX218" s="366">
        <v>150.5</v>
      </c>
      <c r="AY218" s="366">
        <v>436.99</v>
      </c>
      <c r="AZ218" s="366">
        <v>247.58</v>
      </c>
      <c r="BA218" s="366">
        <v>480.2</v>
      </c>
      <c r="BB218" s="366">
        <v>439.88</v>
      </c>
      <c r="BC218" s="366">
        <v>422.26</v>
      </c>
      <c r="BD218" s="366">
        <v>332.03</v>
      </c>
      <c r="BE218" s="366">
        <v>237.26</v>
      </c>
      <c r="BF218" s="366">
        <v>261.11</v>
      </c>
      <c r="BG218" s="366">
        <v>278.49</v>
      </c>
      <c r="BH218" s="366">
        <v>121.75</v>
      </c>
      <c r="BI218" s="366">
        <v>309.93</v>
      </c>
      <c r="BJ218" s="366">
        <v>216.61</v>
      </c>
      <c r="BK218" s="366">
        <v>315.36</v>
      </c>
      <c r="BL218" s="366">
        <v>172.73</v>
      </c>
      <c r="BM218" s="366">
        <v>195.94</v>
      </c>
      <c r="BN218" s="366">
        <v>545.21</v>
      </c>
      <c r="BO218" s="366">
        <v>357.56</v>
      </c>
      <c r="BP218" s="366">
        <v>323.42</v>
      </c>
      <c r="BQ218" s="366">
        <v>109.2</v>
      </c>
      <c r="BR218" s="366">
        <v>109.2</v>
      </c>
      <c r="BS218" s="366">
        <v>255.15</v>
      </c>
      <c r="BT218" s="366">
        <v>294.36</v>
      </c>
      <c r="BU218" s="366">
        <v>244.64</v>
      </c>
      <c r="BV218" s="366">
        <v>264.26</v>
      </c>
      <c r="BW218" s="366">
        <v>207.35</v>
      </c>
      <c r="BX218" s="366">
        <v>196.24</v>
      </c>
      <c r="BY218" s="366">
        <v>260.68</v>
      </c>
      <c r="BZ218" s="366">
        <v>260.68</v>
      </c>
      <c r="CA218" s="366">
        <v>323.39</v>
      </c>
      <c r="CB218" s="366">
        <v>214.67</v>
      </c>
      <c r="CC218" s="366">
        <v>121.67</v>
      </c>
      <c r="CD218" s="366">
        <v>124.07</v>
      </c>
      <c r="CE218" s="366">
        <v>298.58999999999997</v>
      </c>
      <c r="CF218" s="366">
        <v>523.32000000000005</v>
      </c>
      <c r="CG218" s="366">
        <v>523.32000000000005</v>
      </c>
      <c r="CH218" s="366">
        <v>124.2</v>
      </c>
      <c r="CI218" s="366">
        <v>5.05</v>
      </c>
      <c r="CJ218" s="366">
        <v>534.27</v>
      </c>
      <c r="CK218" s="366">
        <v>265.77</v>
      </c>
      <c r="CL218" s="366">
        <v>161.85</v>
      </c>
      <c r="CM218" s="366">
        <v>368.54</v>
      </c>
      <c r="CN218" s="366">
        <v>165.98</v>
      </c>
      <c r="CO218" s="366">
        <v>308.51</v>
      </c>
      <c r="CP218" s="366">
        <v>102.51</v>
      </c>
      <c r="CQ218" s="366">
        <v>102.51</v>
      </c>
      <c r="CR218" s="366">
        <v>260.91000000000003</v>
      </c>
      <c r="CS218" s="366">
        <v>260.91000000000003</v>
      </c>
      <c r="CT218" s="366">
        <v>270.35000000000002</v>
      </c>
      <c r="CU218" s="366">
        <v>262.48</v>
      </c>
      <c r="CV218" s="366">
        <v>265.08</v>
      </c>
      <c r="CW218" s="366">
        <v>233.2</v>
      </c>
      <c r="CX218" s="366">
        <v>140.74</v>
      </c>
      <c r="CY218" s="366">
        <v>414.96</v>
      </c>
      <c r="CZ218" s="366">
        <v>436.2</v>
      </c>
      <c r="DA218" s="366">
        <v>339.33</v>
      </c>
      <c r="DB218" s="366">
        <v>212.59</v>
      </c>
      <c r="DC218" s="366">
        <v>212.59</v>
      </c>
      <c r="DD218" s="366">
        <v>334.92</v>
      </c>
      <c r="DE218" s="366">
        <v>416.96</v>
      </c>
      <c r="DF218" s="366">
        <v>687.74</v>
      </c>
      <c r="DG218" s="366">
        <v>34.700000000000003</v>
      </c>
      <c r="DH218" s="366">
        <v>479.52</v>
      </c>
      <c r="DI218" s="366">
        <v>389.14</v>
      </c>
      <c r="DJ218" s="366">
        <v>452.4</v>
      </c>
      <c r="DK218" s="366">
        <v>158.66</v>
      </c>
      <c r="DL218" s="366">
        <v>250.64</v>
      </c>
      <c r="DM218" s="366">
        <v>266.54000000000002</v>
      </c>
      <c r="DN218" s="366">
        <v>403.9</v>
      </c>
      <c r="DO218" s="366">
        <v>185.23</v>
      </c>
      <c r="DP218" s="366">
        <v>296.61</v>
      </c>
      <c r="DQ218" s="366">
        <v>218.69</v>
      </c>
      <c r="DR218" s="366">
        <v>479.52</v>
      </c>
      <c r="DS218" s="366">
        <v>286.38</v>
      </c>
      <c r="DT218" s="366">
        <v>274.67</v>
      </c>
      <c r="DU218" s="366">
        <v>363.49</v>
      </c>
      <c r="DV218" s="366">
        <v>296.77999999999997</v>
      </c>
      <c r="DW218" s="366">
        <v>111.31</v>
      </c>
      <c r="DX218" s="366">
        <v>193.67</v>
      </c>
      <c r="DY218" s="366">
        <v>267.06</v>
      </c>
      <c r="DZ218" s="366">
        <v>344.59</v>
      </c>
      <c r="EA218" s="366">
        <v>292.18</v>
      </c>
      <c r="EB218" s="366">
        <v>261.06</v>
      </c>
      <c r="EC218" s="366">
        <v>205.17</v>
      </c>
      <c r="ED218" s="366">
        <v>418.91</v>
      </c>
      <c r="EE218" s="366">
        <v>429.7</v>
      </c>
      <c r="EF218" s="366">
        <v>186.84</v>
      </c>
      <c r="EG218" s="366">
        <v>291.45</v>
      </c>
      <c r="EH218" s="366">
        <v>291.45</v>
      </c>
      <c r="EI218" s="366">
        <v>107.72</v>
      </c>
      <c r="EJ218" s="366">
        <v>467.58</v>
      </c>
      <c r="EK218" s="366">
        <v>61.17</v>
      </c>
      <c r="EL218" s="366">
        <v>61.17</v>
      </c>
      <c r="EM218" s="366">
        <v>163.80000000000001</v>
      </c>
      <c r="EN218" s="366">
        <v>163.80000000000001</v>
      </c>
      <c r="EO218" s="366">
        <v>266.86</v>
      </c>
      <c r="EP218" s="366">
        <v>189.72</v>
      </c>
      <c r="EQ218" s="366">
        <v>279.83999999999997</v>
      </c>
      <c r="ER218" s="366">
        <v>588.92999999999995</v>
      </c>
      <c r="ES218" s="366">
        <v>278.86</v>
      </c>
      <c r="ET218" s="366">
        <v>127.17</v>
      </c>
      <c r="EU218" s="366">
        <v>639.38</v>
      </c>
      <c r="EV218" s="366">
        <v>347.76</v>
      </c>
      <c r="EW218" s="366">
        <v>108.64</v>
      </c>
      <c r="EX218" s="366">
        <v>255.6</v>
      </c>
      <c r="EY218" s="366">
        <v>255.6</v>
      </c>
      <c r="EZ218" s="366">
        <v>186.28</v>
      </c>
      <c r="FA218" s="366">
        <v>160.97</v>
      </c>
      <c r="FB218" s="366">
        <v>142.96</v>
      </c>
      <c r="FC218" s="366">
        <v>213.81</v>
      </c>
      <c r="FD218" s="366">
        <v>46.94</v>
      </c>
      <c r="FE218" s="366">
        <v>111.55</v>
      </c>
      <c r="FF218" s="366">
        <v>86.73</v>
      </c>
      <c r="FG218" s="366">
        <v>471.24</v>
      </c>
      <c r="FH218" s="366">
        <v>471.24</v>
      </c>
      <c r="FI218" s="366">
        <v>328.63</v>
      </c>
      <c r="FJ218" s="366">
        <v>334.42</v>
      </c>
      <c r="FK218" s="366">
        <v>306.60000000000002</v>
      </c>
      <c r="FL218" s="366">
        <v>304.79000000000002</v>
      </c>
      <c r="FM218" s="366">
        <v>266.86</v>
      </c>
      <c r="FN218" s="366">
        <v>378.51</v>
      </c>
      <c r="FO218" s="366">
        <v>300.55</v>
      </c>
      <c r="FP218" s="366">
        <v>246.16</v>
      </c>
      <c r="FQ218" s="366">
        <v>304.42</v>
      </c>
      <c r="FR218" s="366">
        <v>187.68</v>
      </c>
      <c r="FS218" s="366">
        <v>87.44</v>
      </c>
      <c r="FT218" s="366">
        <v>467.56</v>
      </c>
      <c r="FU218" s="366">
        <v>7.34</v>
      </c>
      <c r="FV218" s="366">
        <v>703.28</v>
      </c>
      <c r="FW218" s="366">
        <v>703.28</v>
      </c>
      <c r="FX218" s="366">
        <v>703.28</v>
      </c>
      <c r="FY218" s="366">
        <v>110.11</v>
      </c>
      <c r="FZ218" s="366">
        <v>101.46</v>
      </c>
      <c r="GA218" s="366">
        <v>237.26</v>
      </c>
      <c r="GB218" s="366">
        <v>125.91</v>
      </c>
      <c r="GC218" s="366">
        <v>418.91</v>
      </c>
      <c r="GD218" s="366">
        <v>178.34</v>
      </c>
      <c r="GE218" s="366">
        <v>270.45</v>
      </c>
      <c r="GF218" s="366">
        <v>20.87</v>
      </c>
      <c r="GG218" s="366">
        <v>20.87</v>
      </c>
      <c r="GH218" s="366">
        <v>285.70999999999998</v>
      </c>
      <c r="GI218" s="366">
        <v>267.02</v>
      </c>
      <c r="GJ218" s="366">
        <v>266.86</v>
      </c>
      <c r="GK218" s="366">
        <v>303.14999999999998</v>
      </c>
      <c r="GL218" s="366">
        <v>94.05</v>
      </c>
      <c r="GM218" s="366">
        <v>94.05</v>
      </c>
      <c r="GN218" s="366">
        <v>94.05</v>
      </c>
      <c r="GO218" s="366">
        <v>232.3</v>
      </c>
      <c r="GP218" s="366">
        <v>242.67</v>
      </c>
      <c r="GQ218" s="366">
        <v>348.86</v>
      </c>
      <c r="GR218" s="366">
        <v>295.08999999999997</v>
      </c>
      <c r="GS218" s="366">
        <v>161.63</v>
      </c>
      <c r="GT218" s="366">
        <v>291.45</v>
      </c>
      <c r="GU218" s="366">
        <v>113.54</v>
      </c>
      <c r="GV218" s="366">
        <v>474.77</v>
      </c>
      <c r="GW218" s="366">
        <v>70.03</v>
      </c>
      <c r="GX218" s="366">
        <v>288.02</v>
      </c>
      <c r="GY218" s="366">
        <v>84.82</v>
      </c>
      <c r="GZ218" s="366">
        <v>46.66</v>
      </c>
      <c r="HA218" s="366">
        <v>305.95999999999998</v>
      </c>
      <c r="HB218" s="366">
        <v>305.95999999999998</v>
      </c>
      <c r="HC218" s="366">
        <v>305.95999999999998</v>
      </c>
      <c r="HD218" s="366">
        <v>380.88</v>
      </c>
      <c r="HE218" s="366">
        <v>157.65</v>
      </c>
      <c r="HF218" s="366">
        <v>113.94</v>
      </c>
      <c r="HG218" s="366">
        <v>241.59</v>
      </c>
      <c r="HH218" s="366">
        <v>241.59</v>
      </c>
      <c r="HI218" s="366">
        <v>241.59</v>
      </c>
      <c r="HJ218" s="366">
        <v>0</v>
      </c>
      <c r="HK218" s="366">
        <v>318.20999999999998</v>
      </c>
      <c r="HL218" s="366">
        <v>155.13</v>
      </c>
      <c r="HM218" s="366">
        <v>264.14</v>
      </c>
      <c r="HN218" s="366">
        <v>266.86</v>
      </c>
      <c r="HO218" s="366">
        <v>672.58</v>
      </c>
      <c r="HP218" s="366">
        <v>47.38</v>
      </c>
      <c r="HQ218" s="366">
        <v>703.28</v>
      </c>
      <c r="HR218" s="366">
        <v>524.59</v>
      </c>
      <c r="HS218" s="366">
        <v>263.11</v>
      </c>
      <c r="HT218" s="366">
        <v>145.43</v>
      </c>
      <c r="HU218" s="366">
        <v>112.68</v>
      </c>
      <c r="HV218" s="366">
        <v>131</v>
      </c>
    </row>
    <row r="219" spans="1:230">
      <c r="A219" s="366" t="s">
        <v>236</v>
      </c>
      <c r="B219" s="366">
        <v>492.16</v>
      </c>
      <c r="C219" s="366">
        <v>380.3</v>
      </c>
      <c r="D219" s="366">
        <v>184.21</v>
      </c>
      <c r="E219" s="366">
        <v>184.21</v>
      </c>
      <c r="F219" s="366">
        <v>556.05999999999995</v>
      </c>
      <c r="G219" s="366">
        <v>292.57</v>
      </c>
      <c r="H219" s="366">
        <v>140.59</v>
      </c>
      <c r="I219" s="366">
        <v>188.31</v>
      </c>
      <c r="J219" s="366">
        <v>116.81</v>
      </c>
      <c r="K219" s="366">
        <v>116.81</v>
      </c>
      <c r="L219" s="366">
        <v>202.12</v>
      </c>
      <c r="M219" s="366">
        <v>405.72</v>
      </c>
      <c r="N219" s="366">
        <v>502.62</v>
      </c>
      <c r="O219" s="366">
        <v>426.03</v>
      </c>
      <c r="P219" s="366">
        <v>426.03</v>
      </c>
      <c r="Q219" s="366">
        <v>426.03</v>
      </c>
      <c r="R219" s="366">
        <v>426.03</v>
      </c>
      <c r="S219" s="366">
        <v>426.03</v>
      </c>
      <c r="T219" s="366">
        <v>199.35</v>
      </c>
      <c r="U219" s="366">
        <v>400.61</v>
      </c>
      <c r="V219" s="366">
        <v>480.96</v>
      </c>
      <c r="W219" s="366">
        <v>102.75</v>
      </c>
      <c r="X219" s="366">
        <v>102.75</v>
      </c>
      <c r="Y219" s="366">
        <v>102.75</v>
      </c>
      <c r="Z219" s="366">
        <v>518.70000000000005</v>
      </c>
      <c r="AA219" s="366">
        <v>286.74</v>
      </c>
      <c r="AB219" s="366">
        <v>226.84</v>
      </c>
      <c r="AC219" s="366">
        <v>218.97</v>
      </c>
      <c r="AD219" s="366">
        <v>218.97</v>
      </c>
      <c r="AE219" s="366">
        <v>235.11</v>
      </c>
      <c r="AF219" s="366">
        <v>306.31</v>
      </c>
      <c r="AG219" s="366">
        <v>104.27</v>
      </c>
      <c r="AH219" s="366">
        <v>234.36</v>
      </c>
      <c r="AI219" s="366">
        <v>234.36</v>
      </c>
      <c r="AJ219" s="366">
        <v>234.36</v>
      </c>
      <c r="AK219" s="366">
        <v>540.9</v>
      </c>
      <c r="AL219" s="366">
        <v>540.9</v>
      </c>
      <c r="AM219" s="366">
        <v>229.56</v>
      </c>
      <c r="AN219" s="366">
        <v>385.2</v>
      </c>
      <c r="AO219" s="366">
        <v>309.18</v>
      </c>
      <c r="AP219" s="366">
        <v>137.65</v>
      </c>
      <c r="AQ219" s="366">
        <v>512.6</v>
      </c>
      <c r="AR219" s="366">
        <v>156.55000000000001</v>
      </c>
      <c r="AS219" s="366">
        <v>277.57</v>
      </c>
      <c r="AT219" s="366">
        <v>277.57</v>
      </c>
      <c r="AU219" s="366">
        <v>395.82</v>
      </c>
      <c r="AV219" s="366">
        <v>431.66</v>
      </c>
      <c r="AW219" s="366">
        <v>79.349999999999994</v>
      </c>
      <c r="AX219" s="366">
        <v>269.49</v>
      </c>
      <c r="AY219" s="366">
        <v>538.33000000000004</v>
      </c>
      <c r="AZ219" s="366">
        <v>348.92</v>
      </c>
      <c r="BA219" s="366">
        <v>432.57</v>
      </c>
      <c r="BB219" s="366">
        <v>541.22</v>
      </c>
      <c r="BC219" s="366">
        <v>374.63</v>
      </c>
      <c r="BD219" s="366">
        <v>284.39999999999998</v>
      </c>
      <c r="BE219" s="366">
        <v>485.02</v>
      </c>
      <c r="BF219" s="366">
        <v>223.81</v>
      </c>
      <c r="BG219" s="366">
        <v>526.25</v>
      </c>
      <c r="BH219" s="366">
        <v>426.03</v>
      </c>
      <c r="BI219" s="366">
        <v>156.58000000000001</v>
      </c>
      <c r="BJ219" s="366">
        <v>464.37</v>
      </c>
      <c r="BK219" s="366">
        <v>416.7</v>
      </c>
      <c r="BL219" s="366">
        <v>191.21</v>
      </c>
      <c r="BM219" s="366">
        <v>168</v>
      </c>
      <c r="BN219" s="366">
        <v>326.93</v>
      </c>
      <c r="BO219" s="366">
        <v>458.9</v>
      </c>
      <c r="BP219" s="366">
        <v>424.76</v>
      </c>
      <c r="BQ219" s="366">
        <v>209.01</v>
      </c>
      <c r="BR219" s="366">
        <v>209.01</v>
      </c>
      <c r="BS219" s="366">
        <v>356.49</v>
      </c>
      <c r="BT219" s="366">
        <v>148.5</v>
      </c>
      <c r="BU219" s="366">
        <v>207.34</v>
      </c>
      <c r="BV219" s="366">
        <v>226.96</v>
      </c>
      <c r="BW219" s="366">
        <v>455.11</v>
      </c>
      <c r="BX219" s="366">
        <v>297.58</v>
      </c>
      <c r="BY219" s="366">
        <v>508.44</v>
      </c>
      <c r="BZ219" s="366">
        <v>508.44</v>
      </c>
      <c r="CA219" s="366">
        <v>40.549999999999997</v>
      </c>
      <c r="CB219" s="366">
        <v>316.01</v>
      </c>
      <c r="CC219" s="366">
        <v>240.66</v>
      </c>
      <c r="CD219" s="366">
        <v>254.14</v>
      </c>
      <c r="CE219" s="366">
        <v>399.93</v>
      </c>
      <c r="CF219" s="366">
        <v>305.04000000000002</v>
      </c>
      <c r="CG219" s="366">
        <v>305.04000000000002</v>
      </c>
      <c r="CH219" s="366">
        <v>194.01</v>
      </c>
      <c r="CI219" s="366">
        <v>313.16000000000003</v>
      </c>
      <c r="CJ219" s="366">
        <v>315.99</v>
      </c>
      <c r="CK219" s="366">
        <v>513.53</v>
      </c>
      <c r="CL219" s="366">
        <v>409.61</v>
      </c>
      <c r="CM219" s="366">
        <v>320.91000000000003</v>
      </c>
      <c r="CN219" s="366">
        <v>413.74</v>
      </c>
      <c r="CO219" s="366">
        <v>155.16</v>
      </c>
      <c r="CP219" s="366">
        <v>215.7</v>
      </c>
      <c r="CQ219" s="366">
        <v>215.7</v>
      </c>
      <c r="CR219" s="366">
        <v>106.48</v>
      </c>
      <c r="CS219" s="366">
        <v>106.48</v>
      </c>
      <c r="CT219" s="366">
        <v>97.04</v>
      </c>
      <c r="CU219" s="366">
        <v>104.91</v>
      </c>
      <c r="CV219" s="366">
        <v>98.86</v>
      </c>
      <c r="CW219" s="366">
        <v>480.96</v>
      </c>
      <c r="CX219" s="366">
        <v>259.73</v>
      </c>
      <c r="CY219" s="366">
        <v>367.33</v>
      </c>
      <c r="CZ219" s="366">
        <v>388.57</v>
      </c>
      <c r="DA219" s="366">
        <v>440.67</v>
      </c>
      <c r="DB219" s="366">
        <v>460.35</v>
      </c>
      <c r="DC219" s="366">
        <v>460.35</v>
      </c>
      <c r="DD219" s="366">
        <v>89.91</v>
      </c>
      <c r="DE219" s="366">
        <v>518.29999999999995</v>
      </c>
      <c r="DF219" s="366">
        <v>540.52</v>
      </c>
      <c r="DG219" s="366">
        <v>283.51</v>
      </c>
      <c r="DH219" s="366">
        <v>580.86</v>
      </c>
      <c r="DI219" s="366">
        <v>170.86</v>
      </c>
      <c r="DJ219" s="366">
        <v>374.75</v>
      </c>
      <c r="DK219" s="366">
        <v>260</v>
      </c>
      <c r="DL219" s="366">
        <v>201.34</v>
      </c>
      <c r="DM219" s="366">
        <v>367.88</v>
      </c>
      <c r="DN219" s="366">
        <v>185.62</v>
      </c>
      <c r="DO219" s="366">
        <v>286.57</v>
      </c>
      <c r="DP219" s="366">
        <v>51.6</v>
      </c>
      <c r="DQ219" s="366">
        <v>466.45</v>
      </c>
      <c r="DR219" s="366">
        <v>580.86</v>
      </c>
      <c r="DS219" s="366">
        <v>156.06</v>
      </c>
      <c r="DT219" s="366">
        <v>144.35</v>
      </c>
      <c r="DU219" s="366">
        <v>471.01</v>
      </c>
      <c r="DV219" s="366">
        <v>537.72</v>
      </c>
      <c r="DW219" s="366">
        <v>261.14999999999998</v>
      </c>
      <c r="DX219" s="366">
        <v>441.43</v>
      </c>
      <c r="DY219" s="366">
        <v>514.82000000000005</v>
      </c>
      <c r="DZ219" s="366">
        <v>99.58</v>
      </c>
      <c r="EA219" s="366">
        <v>138.83000000000001</v>
      </c>
      <c r="EB219" s="366">
        <v>508.82</v>
      </c>
      <c r="EC219" s="366">
        <v>158.77000000000001</v>
      </c>
      <c r="ED219" s="366">
        <v>200.63</v>
      </c>
      <c r="EE219" s="366">
        <v>211.42</v>
      </c>
      <c r="EF219" s="366">
        <v>131.37</v>
      </c>
      <c r="EG219" s="366">
        <v>79.349999999999994</v>
      </c>
      <c r="EH219" s="366">
        <v>79.349999999999994</v>
      </c>
      <c r="EI219" s="366">
        <v>254.61</v>
      </c>
      <c r="EJ219" s="366">
        <v>568.91999999999996</v>
      </c>
      <c r="EK219" s="366">
        <v>317.45</v>
      </c>
      <c r="EL219" s="366">
        <v>317.45</v>
      </c>
      <c r="EM219" s="366">
        <v>411.56</v>
      </c>
      <c r="EN219" s="366">
        <v>411.56</v>
      </c>
      <c r="EO219" s="366">
        <v>229.56</v>
      </c>
      <c r="EP219" s="366">
        <v>270.52</v>
      </c>
      <c r="EQ219" s="366">
        <v>87.55</v>
      </c>
      <c r="ER219" s="366">
        <v>370.65</v>
      </c>
      <c r="ES219" s="366">
        <v>380.2</v>
      </c>
      <c r="ET219" s="366">
        <v>191.04</v>
      </c>
      <c r="EU219" s="366">
        <v>492.16</v>
      </c>
      <c r="EV219" s="366">
        <v>102.75</v>
      </c>
      <c r="EW219" s="366">
        <v>253.99</v>
      </c>
      <c r="EX219" s="366">
        <v>356.94</v>
      </c>
      <c r="EY219" s="366">
        <v>356.94</v>
      </c>
      <c r="EZ219" s="366">
        <v>463.37</v>
      </c>
      <c r="FA219" s="366">
        <v>408.73</v>
      </c>
      <c r="FB219" s="366">
        <v>244.3</v>
      </c>
      <c r="FC219" s="366">
        <v>461.57</v>
      </c>
      <c r="FD219" s="366">
        <v>351.22</v>
      </c>
      <c r="FE219" s="366">
        <v>258.44</v>
      </c>
      <c r="FF219" s="366">
        <v>300.7</v>
      </c>
      <c r="FG219" s="366">
        <v>423.61</v>
      </c>
      <c r="FH219" s="366">
        <v>423.61</v>
      </c>
      <c r="FI219" s="366">
        <v>83.62</v>
      </c>
      <c r="FJ219" s="366">
        <v>89.41</v>
      </c>
      <c r="FK219" s="366">
        <v>407.94</v>
      </c>
      <c r="FL219" s="366">
        <v>406.13</v>
      </c>
      <c r="FM219" s="366">
        <v>229.56</v>
      </c>
      <c r="FN219" s="366">
        <v>133.5</v>
      </c>
      <c r="FO219" s="366">
        <v>147.19999999999999</v>
      </c>
      <c r="FP219" s="366">
        <v>493.92</v>
      </c>
      <c r="FQ219" s="366">
        <v>151.07</v>
      </c>
      <c r="FR219" s="366">
        <v>219.46</v>
      </c>
      <c r="FS219" s="366">
        <v>301.41000000000003</v>
      </c>
      <c r="FT219" s="366">
        <v>359.59</v>
      </c>
      <c r="FU219" s="366">
        <v>325.55</v>
      </c>
      <c r="FV219" s="366">
        <v>556.05999999999995</v>
      </c>
      <c r="FW219" s="366">
        <v>556.05999999999995</v>
      </c>
      <c r="FX219" s="366">
        <v>556.05999999999995</v>
      </c>
      <c r="FY219" s="366">
        <v>357.87</v>
      </c>
      <c r="FZ219" s="366">
        <v>281.31</v>
      </c>
      <c r="GA219" s="366">
        <v>485.02</v>
      </c>
      <c r="GB219" s="366">
        <v>339.88</v>
      </c>
      <c r="GC219" s="366">
        <v>200.63</v>
      </c>
      <c r="GD219" s="366">
        <v>279.68</v>
      </c>
      <c r="GE219" s="366">
        <v>96.94</v>
      </c>
      <c r="GF219" s="366">
        <v>339.08</v>
      </c>
      <c r="GG219" s="366">
        <v>339.08</v>
      </c>
      <c r="GH219" s="366">
        <v>533.47</v>
      </c>
      <c r="GI219" s="366">
        <v>229.72</v>
      </c>
      <c r="GJ219" s="366">
        <v>229.56</v>
      </c>
      <c r="GK219" s="366">
        <v>404.49</v>
      </c>
      <c r="GL219" s="366">
        <v>268.27999999999997</v>
      </c>
      <c r="GM219" s="366">
        <v>268.27999999999997</v>
      </c>
      <c r="GN219" s="366">
        <v>268.27999999999997</v>
      </c>
      <c r="GO219" s="366">
        <v>176.83</v>
      </c>
      <c r="GP219" s="366">
        <v>490.43</v>
      </c>
      <c r="GQ219" s="366">
        <v>450.2</v>
      </c>
      <c r="GR219" s="366">
        <v>231.97</v>
      </c>
      <c r="GS219" s="366">
        <v>156.58000000000001</v>
      </c>
      <c r="GT219" s="366">
        <v>79.349999999999994</v>
      </c>
      <c r="GU219" s="366">
        <v>253.28</v>
      </c>
      <c r="GV219" s="366">
        <v>576.11</v>
      </c>
      <c r="GW219" s="366">
        <v>284</v>
      </c>
      <c r="GX219" s="366">
        <v>75.92</v>
      </c>
      <c r="GY219" s="366">
        <v>233.39</v>
      </c>
      <c r="GZ219" s="366">
        <v>350.94</v>
      </c>
      <c r="HA219" s="366">
        <v>152.61000000000001</v>
      </c>
      <c r="HB219" s="366">
        <v>152.61000000000001</v>
      </c>
      <c r="HC219" s="366">
        <v>152.61000000000001</v>
      </c>
      <c r="HD219" s="366">
        <v>135.87</v>
      </c>
      <c r="HE219" s="366">
        <v>405.41</v>
      </c>
      <c r="HF219" s="366">
        <v>361.7</v>
      </c>
      <c r="HG219" s="366">
        <v>489.35</v>
      </c>
      <c r="HH219" s="366">
        <v>489.35</v>
      </c>
      <c r="HI219" s="366">
        <v>489.35</v>
      </c>
      <c r="HJ219" s="366">
        <v>318.20999999999998</v>
      </c>
      <c r="HK219" s="366">
        <v>0</v>
      </c>
      <c r="HL219" s="366">
        <v>459.41</v>
      </c>
      <c r="HM219" s="366">
        <v>226.84</v>
      </c>
      <c r="HN219" s="366">
        <v>229.56</v>
      </c>
      <c r="HO219" s="366">
        <v>460.32</v>
      </c>
      <c r="HP219" s="366">
        <v>351.66</v>
      </c>
      <c r="HQ219" s="366">
        <v>556.05999999999995</v>
      </c>
      <c r="HR219" s="366">
        <v>306.31</v>
      </c>
      <c r="HS219" s="366">
        <v>225.81</v>
      </c>
      <c r="HT219" s="366">
        <v>177.97</v>
      </c>
      <c r="HU219" s="366">
        <v>212.49</v>
      </c>
      <c r="HV219" s="366">
        <v>272.82</v>
      </c>
    </row>
    <row r="220" spans="1:230">
      <c r="A220" s="366" t="s">
        <v>237</v>
      </c>
      <c r="B220" s="366">
        <v>794.51</v>
      </c>
      <c r="C220" s="366">
        <v>374.43</v>
      </c>
      <c r="D220" s="366">
        <v>275.2</v>
      </c>
      <c r="E220" s="366">
        <v>275.2</v>
      </c>
      <c r="F220" s="366">
        <v>858.41</v>
      </c>
      <c r="G220" s="366">
        <v>665.98</v>
      </c>
      <c r="H220" s="366">
        <v>318.82</v>
      </c>
      <c r="I220" s="366">
        <v>285.02999999999997</v>
      </c>
      <c r="J220" s="366">
        <v>342.6</v>
      </c>
      <c r="K220" s="366">
        <v>342.6</v>
      </c>
      <c r="L220" s="366">
        <v>265.81</v>
      </c>
      <c r="M220" s="366">
        <v>399.85</v>
      </c>
      <c r="N220" s="366">
        <v>496.75</v>
      </c>
      <c r="O220" s="366">
        <v>33.380000000000003</v>
      </c>
      <c r="P220" s="366">
        <v>33.380000000000003</v>
      </c>
      <c r="Q220" s="366">
        <v>33.380000000000003</v>
      </c>
      <c r="R220" s="366">
        <v>33.380000000000003</v>
      </c>
      <c r="S220" s="366">
        <v>33.380000000000003</v>
      </c>
      <c r="T220" s="366">
        <v>359.53</v>
      </c>
      <c r="U220" s="366">
        <v>774.02</v>
      </c>
      <c r="V220" s="366">
        <v>150.94999999999999</v>
      </c>
      <c r="W220" s="366">
        <v>502.89</v>
      </c>
      <c r="X220" s="366">
        <v>502.89</v>
      </c>
      <c r="Y220" s="366">
        <v>502.89</v>
      </c>
      <c r="Z220" s="366">
        <v>367.19</v>
      </c>
      <c r="AA220" s="366">
        <v>660.15</v>
      </c>
      <c r="AB220" s="366">
        <v>419.27</v>
      </c>
      <c r="AC220" s="366">
        <v>421.73</v>
      </c>
      <c r="AD220" s="366">
        <v>421.73</v>
      </c>
      <c r="AE220" s="366">
        <v>224.3</v>
      </c>
      <c r="AF220" s="366">
        <v>679.72</v>
      </c>
      <c r="AG220" s="366">
        <v>504.41</v>
      </c>
      <c r="AH220" s="366">
        <v>238.98</v>
      </c>
      <c r="AI220" s="366">
        <v>238.98</v>
      </c>
      <c r="AJ220" s="366">
        <v>238.98</v>
      </c>
      <c r="AK220" s="366">
        <v>389.39</v>
      </c>
      <c r="AL220" s="366">
        <v>389.39</v>
      </c>
      <c r="AM220" s="366">
        <v>421.99</v>
      </c>
      <c r="AN220" s="366">
        <v>74.209999999999994</v>
      </c>
      <c r="AO220" s="366">
        <v>673.1</v>
      </c>
      <c r="AP220" s="366">
        <v>348.25</v>
      </c>
      <c r="AQ220" s="366">
        <v>814.95</v>
      </c>
      <c r="AR220" s="366">
        <v>405.37</v>
      </c>
      <c r="AS220" s="366">
        <v>190.36</v>
      </c>
      <c r="AT220" s="366">
        <v>190.36</v>
      </c>
      <c r="AU220" s="366">
        <v>165.46</v>
      </c>
      <c r="AV220" s="366">
        <v>805.07</v>
      </c>
      <c r="AW220" s="366">
        <v>386.92</v>
      </c>
      <c r="AX220" s="366">
        <v>305.63</v>
      </c>
      <c r="AY220" s="366">
        <v>532.46</v>
      </c>
      <c r="AZ220" s="366">
        <v>343.05</v>
      </c>
      <c r="BA220" s="366">
        <v>635.33000000000004</v>
      </c>
      <c r="BB220" s="366">
        <v>535.35</v>
      </c>
      <c r="BC220" s="366">
        <v>577.39</v>
      </c>
      <c r="BD220" s="366">
        <v>487.16</v>
      </c>
      <c r="BE220" s="366">
        <v>155.01</v>
      </c>
      <c r="BF220" s="366">
        <v>416.24</v>
      </c>
      <c r="BG220" s="366">
        <v>374.74</v>
      </c>
      <c r="BH220" s="366">
        <v>33.380000000000003</v>
      </c>
      <c r="BI220" s="366">
        <v>405.4</v>
      </c>
      <c r="BJ220" s="366">
        <v>312.86</v>
      </c>
      <c r="BK220" s="366">
        <v>410.83</v>
      </c>
      <c r="BL220" s="366">
        <v>268.2</v>
      </c>
      <c r="BM220" s="366">
        <v>291.41000000000003</v>
      </c>
      <c r="BN220" s="366">
        <v>700.34</v>
      </c>
      <c r="BO220" s="366">
        <v>453.03</v>
      </c>
      <c r="BP220" s="366">
        <v>418.89</v>
      </c>
      <c r="BQ220" s="366">
        <v>264.33</v>
      </c>
      <c r="BR220" s="366">
        <v>264.33</v>
      </c>
      <c r="BS220" s="366">
        <v>350.62</v>
      </c>
      <c r="BT220" s="366">
        <v>389.83</v>
      </c>
      <c r="BU220" s="366">
        <v>399.77</v>
      </c>
      <c r="BV220" s="366">
        <v>419.39</v>
      </c>
      <c r="BW220" s="366">
        <v>171.79</v>
      </c>
      <c r="BX220" s="366">
        <v>291.70999999999998</v>
      </c>
      <c r="BY220" s="366">
        <v>178.43</v>
      </c>
      <c r="BZ220" s="366">
        <v>178.43</v>
      </c>
      <c r="CA220" s="366">
        <v>418.86</v>
      </c>
      <c r="CB220" s="366">
        <v>310.14</v>
      </c>
      <c r="CC220" s="366">
        <v>276.8</v>
      </c>
      <c r="CD220" s="366">
        <v>279.2</v>
      </c>
      <c r="CE220" s="366">
        <v>394.06</v>
      </c>
      <c r="CF220" s="366">
        <v>678.45</v>
      </c>
      <c r="CG220" s="366">
        <v>678.45</v>
      </c>
      <c r="CH220" s="366">
        <v>279.33</v>
      </c>
      <c r="CI220" s="366">
        <v>160.18</v>
      </c>
      <c r="CJ220" s="366">
        <v>689.4</v>
      </c>
      <c r="CK220" s="366">
        <v>183.52</v>
      </c>
      <c r="CL220" s="366">
        <v>151.66999999999999</v>
      </c>
      <c r="CM220" s="366">
        <v>523.66999999999996</v>
      </c>
      <c r="CN220" s="366">
        <v>262.23</v>
      </c>
      <c r="CO220" s="366">
        <v>403.98</v>
      </c>
      <c r="CP220" s="366">
        <v>257.64</v>
      </c>
      <c r="CQ220" s="366">
        <v>257.64</v>
      </c>
      <c r="CR220" s="366">
        <v>356.38</v>
      </c>
      <c r="CS220" s="366">
        <v>356.38</v>
      </c>
      <c r="CT220" s="366">
        <v>365.82</v>
      </c>
      <c r="CU220" s="366">
        <v>357.95</v>
      </c>
      <c r="CV220" s="366">
        <v>360.55</v>
      </c>
      <c r="CW220" s="366">
        <v>150.94999999999999</v>
      </c>
      <c r="CX220" s="366">
        <v>295.87</v>
      </c>
      <c r="CY220" s="366">
        <v>570.09</v>
      </c>
      <c r="CZ220" s="366">
        <v>591.33000000000004</v>
      </c>
      <c r="DA220" s="366">
        <v>434.8</v>
      </c>
      <c r="DB220" s="366">
        <v>308.83999999999997</v>
      </c>
      <c r="DC220" s="366">
        <v>308.83999999999997</v>
      </c>
      <c r="DD220" s="366">
        <v>490.05</v>
      </c>
      <c r="DE220" s="366">
        <v>512.42999999999995</v>
      </c>
      <c r="DF220" s="366">
        <v>842.87</v>
      </c>
      <c r="DG220" s="366">
        <v>189.83</v>
      </c>
      <c r="DH220" s="366">
        <v>574.99</v>
      </c>
      <c r="DI220" s="366">
        <v>544.27</v>
      </c>
      <c r="DJ220" s="366">
        <v>607.53</v>
      </c>
      <c r="DK220" s="366">
        <v>254.13</v>
      </c>
      <c r="DL220" s="366">
        <v>405.77</v>
      </c>
      <c r="DM220" s="366">
        <v>362.01</v>
      </c>
      <c r="DN220" s="366">
        <v>559.03</v>
      </c>
      <c r="DO220" s="366">
        <v>280.7</v>
      </c>
      <c r="DP220" s="366">
        <v>451.74</v>
      </c>
      <c r="DQ220" s="366">
        <v>154.01</v>
      </c>
      <c r="DR220" s="366">
        <v>574.99</v>
      </c>
      <c r="DS220" s="366">
        <v>381.85</v>
      </c>
      <c r="DT220" s="366">
        <v>370.14</v>
      </c>
      <c r="DU220" s="366">
        <v>459.74</v>
      </c>
      <c r="DV220" s="366">
        <v>393.03</v>
      </c>
      <c r="DW220" s="366">
        <v>206.78</v>
      </c>
      <c r="DX220" s="366">
        <v>158.11000000000001</v>
      </c>
      <c r="DY220" s="366">
        <v>184.81</v>
      </c>
      <c r="DZ220" s="366">
        <v>499.72</v>
      </c>
      <c r="EA220" s="366">
        <v>387.65</v>
      </c>
      <c r="EB220" s="366">
        <v>178.81</v>
      </c>
      <c r="EC220" s="366">
        <v>300.64</v>
      </c>
      <c r="ED220" s="366">
        <v>574.04</v>
      </c>
      <c r="EE220" s="366">
        <v>584.83000000000004</v>
      </c>
      <c r="EF220" s="366">
        <v>341.97</v>
      </c>
      <c r="EG220" s="366">
        <v>386.92</v>
      </c>
      <c r="EH220" s="366">
        <v>386.92</v>
      </c>
      <c r="EI220" s="366">
        <v>262.85000000000002</v>
      </c>
      <c r="EJ220" s="366">
        <v>563.04999999999995</v>
      </c>
      <c r="EK220" s="366">
        <v>156.63999999999999</v>
      </c>
      <c r="EL220" s="366">
        <v>156.63999999999999</v>
      </c>
      <c r="EM220" s="366">
        <v>212.49</v>
      </c>
      <c r="EN220" s="366">
        <v>212.49</v>
      </c>
      <c r="EO220" s="366">
        <v>421.99</v>
      </c>
      <c r="EP220" s="366">
        <v>344.85</v>
      </c>
      <c r="EQ220" s="366">
        <v>375.31</v>
      </c>
      <c r="ER220" s="366">
        <v>744.06</v>
      </c>
      <c r="ES220" s="366">
        <v>374.33</v>
      </c>
      <c r="ET220" s="366">
        <v>282.3</v>
      </c>
      <c r="EU220" s="366">
        <v>794.51</v>
      </c>
      <c r="EV220" s="366">
        <v>502.89</v>
      </c>
      <c r="EW220" s="366">
        <v>263.77</v>
      </c>
      <c r="EX220" s="366">
        <v>351.07</v>
      </c>
      <c r="EY220" s="366">
        <v>351.07</v>
      </c>
      <c r="EZ220" s="366">
        <v>97.91</v>
      </c>
      <c r="FA220" s="366">
        <v>178.37</v>
      </c>
      <c r="FB220" s="366">
        <v>238.43</v>
      </c>
      <c r="FC220" s="366">
        <v>178.25</v>
      </c>
      <c r="FD220" s="366">
        <v>113.46</v>
      </c>
      <c r="FE220" s="366">
        <v>266.68</v>
      </c>
      <c r="FF220" s="366">
        <v>241.86</v>
      </c>
      <c r="FG220" s="366">
        <v>626.37</v>
      </c>
      <c r="FH220" s="366">
        <v>626.37</v>
      </c>
      <c r="FI220" s="366">
        <v>483.76</v>
      </c>
      <c r="FJ220" s="366">
        <v>489.55</v>
      </c>
      <c r="FK220" s="366">
        <v>402.07</v>
      </c>
      <c r="FL220" s="366">
        <v>400.26</v>
      </c>
      <c r="FM220" s="366">
        <v>421.99</v>
      </c>
      <c r="FN220" s="366">
        <v>533.64</v>
      </c>
      <c r="FO220" s="366">
        <v>396.02</v>
      </c>
      <c r="FP220" s="366">
        <v>163.91</v>
      </c>
      <c r="FQ220" s="366">
        <v>399.89</v>
      </c>
      <c r="FR220" s="366">
        <v>283.14999999999998</v>
      </c>
      <c r="FS220" s="366">
        <v>206.39</v>
      </c>
      <c r="FT220" s="366">
        <v>622.69000000000005</v>
      </c>
      <c r="FU220" s="366">
        <v>147.79</v>
      </c>
      <c r="FV220" s="366">
        <v>858.41</v>
      </c>
      <c r="FW220" s="366">
        <v>858.41</v>
      </c>
      <c r="FX220" s="366">
        <v>858.41</v>
      </c>
      <c r="FY220" s="366">
        <v>203.41</v>
      </c>
      <c r="FZ220" s="366">
        <v>256.58999999999997</v>
      </c>
      <c r="GA220" s="366">
        <v>155.01</v>
      </c>
      <c r="GB220" s="366">
        <v>244.86</v>
      </c>
      <c r="GC220" s="366">
        <v>574.04</v>
      </c>
      <c r="GD220" s="366">
        <v>273.81</v>
      </c>
      <c r="GE220" s="366">
        <v>365.92</v>
      </c>
      <c r="GF220" s="366">
        <v>134.26</v>
      </c>
      <c r="GG220" s="366">
        <v>134.26</v>
      </c>
      <c r="GH220" s="366">
        <v>203.46</v>
      </c>
      <c r="GI220" s="366">
        <v>422.15</v>
      </c>
      <c r="GJ220" s="366">
        <v>421.99</v>
      </c>
      <c r="GK220" s="366">
        <v>398.62</v>
      </c>
      <c r="GL220" s="366">
        <v>249.18</v>
      </c>
      <c r="GM220" s="366">
        <v>249.18</v>
      </c>
      <c r="GN220" s="366">
        <v>249.18</v>
      </c>
      <c r="GO220" s="366">
        <v>387.43</v>
      </c>
      <c r="GP220" s="366">
        <v>160.41999999999999</v>
      </c>
      <c r="GQ220" s="366">
        <v>444.33</v>
      </c>
      <c r="GR220" s="366">
        <v>450.22</v>
      </c>
      <c r="GS220" s="366">
        <v>316.76</v>
      </c>
      <c r="GT220" s="366">
        <v>386.92</v>
      </c>
      <c r="GU220" s="366">
        <v>209.01</v>
      </c>
      <c r="GV220" s="366">
        <v>570.24</v>
      </c>
      <c r="GW220" s="366">
        <v>225.16</v>
      </c>
      <c r="GX220" s="366">
        <v>383.49</v>
      </c>
      <c r="GY220" s="366">
        <v>239.95</v>
      </c>
      <c r="GZ220" s="366">
        <v>108.47</v>
      </c>
      <c r="HA220" s="366">
        <v>401.43</v>
      </c>
      <c r="HB220" s="366">
        <v>401.43</v>
      </c>
      <c r="HC220" s="366">
        <v>401.43</v>
      </c>
      <c r="HD220" s="366">
        <v>536.01</v>
      </c>
      <c r="HE220" s="366">
        <v>206.34</v>
      </c>
      <c r="HF220" s="366">
        <v>214.35</v>
      </c>
      <c r="HG220" s="366">
        <v>337.84</v>
      </c>
      <c r="HH220" s="366">
        <v>337.84</v>
      </c>
      <c r="HI220" s="366">
        <v>337.84</v>
      </c>
      <c r="HJ220" s="366">
        <v>155.13</v>
      </c>
      <c r="HK220" s="366">
        <v>459.41</v>
      </c>
      <c r="HL220" s="366">
        <v>0</v>
      </c>
      <c r="HM220" s="366">
        <v>419.27</v>
      </c>
      <c r="HN220" s="366">
        <v>421.99</v>
      </c>
      <c r="HO220" s="366">
        <v>827.71</v>
      </c>
      <c r="HP220" s="366">
        <v>113.9</v>
      </c>
      <c r="HQ220" s="366">
        <v>858.41</v>
      </c>
      <c r="HR220" s="366">
        <v>679.72</v>
      </c>
      <c r="HS220" s="366">
        <v>418.24</v>
      </c>
      <c r="HT220" s="366">
        <v>300.56</v>
      </c>
      <c r="HU220" s="366">
        <v>267.81</v>
      </c>
      <c r="HV220" s="366">
        <v>286.13</v>
      </c>
    </row>
    <row r="221" spans="1:230">
      <c r="A221" s="366" t="s">
        <v>238</v>
      </c>
      <c r="B221" s="366">
        <v>404.31</v>
      </c>
      <c r="C221" s="366">
        <v>510.46</v>
      </c>
      <c r="D221" s="366">
        <v>405.08</v>
      </c>
      <c r="E221" s="366">
        <v>405.08</v>
      </c>
      <c r="F221" s="366">
        <v>468.21</v>
      </c>
      <c r="G221" s="366">
        <v>275.77999999999997</v>
      </c>
      <c r="H221" s="366">
        <v>361.46</v>
      </c>
      <c r="I221" s="366">
        <v>134.24</v>
      </c>
      <c r="J221" s="366">
        <v>337.68</v>
      </c>
      <c r="K221" s="366">
        <v>337.68</v>
      </c>
      <c r="L221" s="366">
        <v>401.84</v>
      </c>
      <c r="M221" s="366">
        <v>535.88</v>
      </c>
      <c r="N221" s="366">
        <v>632.78</v>
      </c>
      <c r="O221" s="366">
        <v>385.89</v>
      </c>
      <c r="P221" s="366">
        <v>385.89</v>
      </c>
      <c r="Q221" s="366">
        <v>385.89</v>
      </c>
      <c r="R221" s="366">
        <v>385.89</v>
      </c>
      <c r="S221" s="366">
        <v>385.89</v>
      </c>
      <c r="T221" s="366">
        <v>59.74</v>
      </c>
      <c r="U221" s="366">
        <v>383.82</v>
      </c>
      <c r="V221" s="366">
        <v>475.28</v>
      </c>
      <c r="W221" s="366">
        <v>256.39</v>
      </c>
      <c r="X221" s="366">
        <v>256.39</v>
      </c>
      <c r="Y221" s="366">
        <v>256.39</v>
      </c>
      <c r="Z221" s="366">
        <v>513.02</v>
      </c>
      <c r="AA221" s="366">
        <v>269.95</v>
      </c>
      <c r="AB221" s="366">
        <v>0</v>
      </c>
      <c r="AC221" s="366">
        <v>31.53</v>
      </c>
      <c r="AD221" s="366">
        <v>31.53</v>
      </c>
      <c r="AE221" s="366">
        <v>360.33</v>
      </c>
      <c r="AF221" s="366">
        <v>289.52</v>
      </c>
      <c r="AG221" s="366">
        <v>257.91000000000003</v>
      </c>
      <c r="AH221" s="366">
        <v>180.29</v>
      </c>
      <c r="AI221" s="366">
        <v>180.29</v>
      </c>
      <c r="AJ221" s="366">
        <v>180.29</v>
      </c>
      <c r="AK221" s="366">
        <v>535.22</v>
      </c>
      <c r="AL221" s="366">
        <v>535.22</v>
      </c>
      <c r="AM221" s="366">
        <v>8.7799999999999994</v>
      </c>
      <c r="AN221" s="366">
        <v>345.06</v>
      </c>
      <c r="AO221" s="366">
        <v>282.89999999999998</v>
      </c>
      <c r="AP221" s="366">
        <v>89.19</v>
      </c>
      <c r="AQ221" s="366">
        <v>424.75</v>
      </c>
      <c r="AR221" s="366">
        <v>377.42</v>
      </c>
      <c r="AS221" s="366">
        <v>326.39</v>
      </c>
      <c r="AT221" s="366">
        <v>326.39</v>
      </c>
      <c r="AU221" s="366">
        <v>390.14</v>
      </c>
      <c r="AV221" s="366">
        <v>414.87</v>
      </c>
      <c r="AW221" s="366">
        <v>300.22000000000003</v>
      </c>
      <c r="AX221" s="366">
        <v>121.9</v>
      </c>
      <c r="AY221" s="366">
        <v>668.49</v>
      </c>
      <c r="AZ221" s="366">
        <v>479.08</v>
      </c>
      <c r="BA221" s="366">
        <v>245.13</v>
      </c>
      <c r="BB221" s="366">
        <v>671.38</v>
      </c>
      <c r="BC221" s="366">
        <v>187.19</v>
      </c>
      <c r="BD221" s="366">
        <v>96.96</v>
      </c>
      <c r="BE221" s="366">
        <v>479.34</v>
      </c>
      <c r="BF221" s="366">
        <v>3.03</v>
      </c>
      <c r="BG221" s="366">
        <v>520.57000000000005</v>
      </c>
      <c r="BH221" s="366">
        <v>385.89</v>
      </c>
      <c r="BI221" s="366">
        <v>377.45</v>
      </c>
      <c r="BJ221" s="366">
        <v>458.69</v>
      </c>
      <c r="BK221" s="366">
        <v>546.86</v>
      </c>
      <c r="BL221" s="366">
        <v>404.23</v>
      </c>
      <c r="BM221" s="366">
        <v>388.87</v>
      </c>
      <c r="BN221" s="366">
        <v>310.14</v>
      </c>
      <c r="BO221" s="366">
        <v>589.05999999999995</v>
      </c>
      <c r="BP221" s="366">
        <v>554.91999999999996</v>
      </c>
      <c r="BQ221" s="366">
        <v>154.94</v>
      </c>
      <c r="BR221" s="366">
        <v>154.94</v>
      </c>
      <c r="BS221" s="366">
        <v>486.65</v>
      </c>
      <c r="BT221" s="366">
        <v>369.37</v>
      </c>
      <c r="BU221" s="366">
        <v>19.5</v>
      </c>
      <c r="BV221" s="366">
        <v>0.12</v>
      </c>
      <c r="BW221" s="366">
        <v>449.43</v>
      </c>
      <c r="BX221" s="366">
        <v>427.74</v>
      </c>
      <c r="BY221" s="366">
        <v>502.76</v>
      </c>
      <c r="BZ221" s="366">
        <v>502.76</v>
      </c>
      <c r="CA221" s="366">
        <v>261.42</v>
      </c>
      <c r="CB221" s="366">
        <v>446.17</v>
      </c>
      <c r="CC221" s="366">
        <v>150.72999999999999</v>
      </c>
      <c r="CD221" s="366">
        <v>164.21</v>
      </c>
      <c r="CE221" s="366">
        <v>530.09</v>
      </c>
      <c r="CF221" s="366">
        <v>288.25</v>
      </c>
      <c r="CG221" s="366">
        <v>288.25</v>
      </c>
      <c r="CH221" s="366">
        <v>139.94</v>
      </c>
      <c r="CI221" s="366">
        <v>259.08999999999997</v>
      </c>
      <c r="CJ221" s="366">
        <v>299.2</v>
      </c>
      <c r="CK221" s="366">
        <v>507.85</v>
      </c>
      <c r="CL221" s="366">
        <v>403.93</v>
      </c>
      <c r="CM221" s="366">
        <v>133.47</v>
      </c>
      <c r="CN221" s="366">
        <v>408.06</v>
      </c>
      <c r="CO221" s="366">
        <v>376.03</v>
      </c>
      <c r="CP221" s="366">
        <v>161.63</v>
      </c>
      <c r="CQ221" s="366">
        <v>161.63</v>
      </c>
      <c r="CR221" s="366">
        <v>327.35000000000002</v>
      </c>
      <c r="CS221" s="366">
        <v>327.35000000000002</v>
      </c>
      <c r="CT221" s="366">
        <v>317.91000000000003</v>
      </c>
      <c r="CU221" s="366">
        <v>325.77999999999997</v>
      </c>
      <c r="CV221" s="366">
        <v>319.73</v>
      </c>
      <c r="CW221" s="366">
        <v>475.28</v>
      </c>
      <c r="CX221" s="366">
        <v>138.44</v>
      </c>
      <c r="CY221" s="366">
        <v>179.89</v>
      </c>
      <c r="CZ221" s="366">
        <v>201.13</v>
      </c>
      <c r="DA221" s="366">
        <v>570.83000000000004</v>
      </c>
      <c r="DB221" s="366">
        <v>454.67</v>
      </c>
      <c r="DC221" s="366">
        <v>454.67</v>
      </c>
      <c r="DD221" s="366">
        <v>203.39</v>
      </c>
      <c r="DE221" s="366">
        <v>648.46</v>
      </c>
      <c r="DF221" s="366">
        <v>452.67</v>
      </c>
      <c r="DG221" s="366">
        <v>229.44</v>
      </c>
      <c r="DH221" s="366">
        <v>711.02</v>
      </c>
      <c r="DI221" s="366">
        <v>154.07</v>
      </c>
      <c r="DJ221" s="366">
        <v>217.33</v>
      </c>
      <c r="DK221" s="366">
        <v>390.16</v>
      </c>
      <c r="DL221" s="366">
        <v>25.5</v>
      </c>
      <c r="DM221" s="366">
        <v>498.04</v>
      </c>
      <c r="DN221" s="366">
        <v>168.83</v>
      </c>
      <c r="DO221" s="366">
        <v>416.73</v>
      </c>
      <c r="DP221" s="366">
        <v>205.24</v>
      </c>
      <c r="DQ221" s="366">
        <v>460.77</v>
      </c>
      <c r="DR221" s="366">
        <v>711.02</v>
      </c>
      <c r="DS221" s="366">
        <v>376.93</v>
      </c>
      <c r="DT221" s="366">
        <v>365.22</v>
      </c>
      <c r="DU221" s="366">
        <v>601.16999999999996</v>
      </c>
      <c r="DV221" s="366">
        <v>538.86</v>
      </c>
      <c r="DW221" s="366">
        <v>342.81</v>
      </c>
      <c r="DX221" s="366">
        <v>435.75</v>
      </c>
      <c r="DY221" s="366">
        <v>509.14</v>
      </c>
      <c r="DZ221" s="366">
        <v>192.41</v>
      </c>
      <c r="EA221" s="366">
        <v>359.7</v>
      </c>
      <c r="EB221" s="366">
        <v>503.14</v>
      </c>
      <c r="EC221" s="366">
        <v>379.64</v>
      </c>
      <c r="ED221" s="366">
        <v>183.84</v>
      </c>
      <c r="EE221" s="366">
        <v>194.63</v>
      </c>
      <c r="EF221" s="366">
        <v>95.47</v>
      </c>
      <c r="EG221" s="366">
        <v>300.22000000000003</v>
      </c>
      <c r="EH221" s="366">
        <v>300.22000000000003</v>
      </c>
      <c r="EI221" s="366">
        <v>164.68</v>
      </c>
      <c r="EJ221" s="366">
        <v>699.08</v>
      </c>
      <c r="EK221" s="366">
        <v>311.77</v>
      </c>
      <c r="EL221" s="366">
        <v>311.77</v>
      </c>
      <c r="EM221" s="366">
        <v>405.88</v>
      </c>
      <c r="EN221" s="366">
        <v>405.88</v>
      </c>
      <c r="EO221" s="366">
        <v>8.7799999999999994</v>
      </c>
      <c r="EP221" s="366">
        <v>82.68</v>
      </c>
      <c r="EQ221" s="366">
        <v>308.42</v>
      </c>
      <c r="ER221" s="366">
        <v>353.86</v>
      </c>
      <c r="ES221" s="366">
        <v>510.36</v>
      </c>
      <c r="ET221" s="366">
        <v>136.97</v>
      </c>
      <c r="EU221" s="366">
        <v>404.31</v>
      </c>
      <c r="EV221" s="366">
        <v>256.39</v>
      </c>
      <c r="EW221" s="366">
        <v>164.06</v>
      </c>
      <c r="EX221" s="366">
        <v>487.1</v>
      </c>
      <c r="EY221" s="366">
        <v>487.1</v>
      </c>
      <c r="EZ221" s="366">
        <v>450.42</v>
      </c>
      <c r="FA221" s="366">
        <v>403.05</v>
      </c>
      <c r="FB221" s="366">
        <v>374.46</v>
      </c>
      <c r="FC221" s="366">
        <v>455.89</v>
      </c>
      <c r="FD221" s="366">
        <v>311.08</v>
      </c>
      <c r="FE221" s="366">
        <v>168.51</v>
      </c>
      <c r="FF221" s="366">
        <v>246.63</v>
      </c>
      <c r="FG221" s="366">
        <v>236.17</v>
      </c>
      <c r="FH221" s="366">
        <v>236.17</v>
      </c>
      <c r="FI221" s="366">
        <v>237.26</v>
      </c>
      <c r="FJ221" s="366">
        <v>243.05</v>
      </c>
      <c r="FK221" s="366">
        <v>538.1</v>
      </c>
      <c r="FL221" s="366">
        <v>536.29</v>
      </c>
      <c r="FM221" s="366">
        <v>8.7799999999999994</v>
      </c>
      <c r="FN221" s="366">
        <v>287.14</v>
      </c>
      <c r="FO221" s="366">
        <v>368.07</v>
      </c>
      <c r="FP221" s="366">
        <v>488.24</v>
      </c>
      <c r="FQ221" s="366">
        <v>371.94</v>
      </c>
      <c r="FR221" s="366">
        <v>419.18</v>
      </c>
      <c r="FS221" s="366">
        <v>247.34</v>
      </c>
      <c r="FT221" s="366">
        <v>232.49</v>
      </c>
      <c r="FU221" s="366">
        <v>271.48</v>
      </c>
      <c r="FV221" s="366">
        <v>468.21</v>
      </c>
      <c r="FW221" s="366">
        <v>468.21</v>
      </c>
      <c r="FX221" s="366">
        <v>468.21</v>
      </c>
      <c r="FY221" s="366">
        <v>352.19</v>
      </c>
      <c r="FZ221" s="366">
        <v>191.38</v>
      </c>
      <c r="GA221" s="366">
        <v>479.34</v>
      </c>
      <c r="GB221" s="366">
        <v>285.81</v>
      </c>
      <c r="GC221" s="366">
        <v>183.84</v>
      </c>
      <c r="GD221" s="366">
        <v>409.84</v>
      </c>
      <c r="GE221" s="366">
        <v>317.81</v>
      </c>
      <c r="GF221" s="366">
        <v>285.01</v>
      </c>
      <c r="GG221" s="366">
        <v>285.01</v>
      </c>
      <c r="GH221" s="366">
        <v>527.79</v>
      </c>
      <c r="GI221" s="366">
        <v>8.94</v>
      </c>
      <c r="GJ221" s="366">
        <v>8.7799999999999994</v>
      </c>
      <c r="GK221" s="366">
        <v>534.65</v>
      </c>
      <c r="GL221" s="366">
        <v>178.35</v>
      </c>
      <c r="GM221" s="366">
        <v>178.35</v>
      </c>
      <c r="GN221" s="366">
        <v>178.35</v>
      </c>
      <c r="GO221" s="366">
        <v>50.01</v>
      </c>
      <c r="GP221" s="366">
        <v>484.75</v>
      </c>
      <c r="GQ221" s="366">
        <v>580.36</v>
      </c>
      <c r="GR221" s="366">
        <v>60.02</v>
      </c>
      <c r="GS221" s="366">
        <v>102.51</v>
      </c>
      <c r="GT221" s="366">
        <v>300.22000000000003</v>
      </c>
      <c r="GU221" s="366">
        <v>345.04</v>
      </c>
      <c r="GV221" s="366">
        <v>706.27</v>
      </c>
      <c r="GW221" s="366">
        <v>202.81</v>
      </c>
      <c r="GX221" s="366">
        <v>296.79000000000002</v>
      </c>
      <c r="GY221" s="366">
        <v>179.32</v>
      </c>
      <c r="GZ221" s="366">
        <v>310.8</v>
      </c>
      <c r="HA221" s="366">
        <v>373.48</v>
      </c>
      <c r="HB221" s="366">
        <v>373.48</v>
      </c>
      <c r="HC221" s="366">
        <v>373.48</v>
      </c>
      <c r="HD221" s="366">
        <v>156.12</v>
      </c>
      <c r="HE221" s="366">
        <v>399.73</v>
      </c>
      <c r="HF221" s="366">
        <v>356.02</v>
      </c>
      <c r="HG221" s="366">
        <v>483.67</v>
      </c>
      <c r="HH221" s="366">
        <v>483.67</v>
      </c>
      <c r="HI221" s="366">
        <v>483.67</v>
      </c>
      <c r="HJ221" s="366">
        <v>264.14</v>
      </c>
      <c r="HK221" s="366">
        <v>226.84</v>
      </c>
      <c r="HL221" s="366">
        <v>419.27</v>
      </c>
      <c r="HM221" s="366">
        <v>0</v>
      </c>
      <c r="HN221" s="366">
        <v>8.7799999999999994</v>
      </c>
      <c r="HO221" s="366">
        <v>437.51</v>
      </c>
      <c r="HP221" s="366">
        <v>311.52</v>
      </c>
      <c r="HQ221" s="366">
        <v>468.21</v>
      </c>
      <c r="HR221" s="366">
        <v>289.52</v>
      </c>
      <c r="HS221" s="366">
        <v>5.03</v>
      </c>
      <c r="HT221" s="366">
        <v>142.07</v>
      </c>
      <c r="HU221" s="366">
        <v>158.41999999999999</v>
      </c>
      <c r="HV221" s="366">
        <v>182.89</v>
      </c>
    </row>
    <row r="222" spans="1:230">
      <c r="A222" s="366" t="s">
        <v>534</v>
      </c>
      <c r="B222" s="366">
        <v>407.03</v>
      </c>
      <c r="C222" s="366">
        <v>513.17999999999995</v>
      </c>
      <c r="D222" s="366">
        <v>407.8</v>
      </c>
      <c r="E222" s="366">
        <v>407.8</v>
      </c>
      <c r="F222" s="366">
        <v>470.93</v>
      </c>
      <c r="G222" s="366">
        <v>278.5</v>
      </c>
      <c r="H222" s="366">
        <v>364.18</v>
      </c>
      <c r="I222" s="366">
        <v>136.96</v>
      </c>
      <c r="J222" s="366">
        <v>340.4</v>
      </c>
      <c r="K222" s="366">
        <v>340.4</v>
      </c>
      <c r="L222" s="366">
        <v>404.56</v>
      </c>
      <c r="M222" s="366">
        <v>538.6</v>
      </c>
      <c r="N222" s="366">
        <v>635.5</v>
      </c>
      <c r="O222" s="366">
        <v>388.61</v>
      </c>
      <c r="P222" s="366">
        <v>388.61</v>
      </c>
      <c r="Q222" s="366">
        <v>388.61</v>
      </c>
      <c r="R222" s="366">
        <v>388.61</v>
      </c>
      <c r="S222" s="366">
        <v>388.61</v>
      </c>
      <c r="T222" s="366">
        <v>62.46</v>
      </c>
      <c r="U222" s="366">
        <v>386.54</v>
      </c>
      <c r="V222" s="366">
        <v>478</v>
      </c>
      <c r="W222" s="366">
        <v>259.11</v>
      </c>
      <c r="X222" s="366">
        <v>259.11</v>
      </c>
      <c r="Y222" s="366">
        <v>259.11</v>
      </c>
      <c r="Z222" s="366">
        <v>515.74</v>
      </c>
      <c r="AA222" s="366">
        <v>272.67</v>
      </c>
      <c r="AB222" s="366">
        <v>8.7799999999999994</v>
      </c>
      <c r="AC222" s="366">
        <v>34.25</v>
      </c>
      <c r="AD222" s="366">
        <v>34.25</v>
      </c>
      <c r="AE222" s="366">
        <v>363.05</v>
      </c>
      <c r="AF222" s="366">
        <v>292.24</v>
      </c>
      <c r="AG222" s="366">
        <v>260.63</v>
      </c>
      <c r="AH222" s="366">
        <v>183.01</v>
      </c>
      <c r="AI222" s="366">
        <v>183.01</v>
      </c>
      <c r="AJ222" s="366">
        <v>183.01</v>
      </c>
      <c r="AK222" s="366">
        <v>537.94000000000005</v>
      </c>
      <c r="AL222" s="366">
        <v>537.94000000000005</v>
      </c>
      <c r="AM222" s="366">
        <v>0</v>
      </c>
      <c r="AN222" s="366">
        <v>347.78</v>
      </c>
      <c r="AO222" s="366">
        <v>285.62</v>
      </c>
      <c r="AP222" s="366">
        <v>91.91</v>
      </c>
      <c r="AQ222" s="366">
        <v>427.47</v>
      </c>
      <c r="AR222" s="366">
        <v>380.14</v>
      </c>
      <c r="AS222" s="366">
        <v>329.11</v>
      </c>
      <c r="AT222" s="366">
        <v>329.11</v>
      </c>
      <c r="AU222" s="366">
        <v>392.86</v>
      </c>
      <c r="AV222" s="366">
        <v>417.59</v>
      </c>
      <c r="AW222" s="366">
        <v>302.94</v>
      </c>
      <c r="AX222" s="366">
        <v>124.62</v>
      </c>
      <c r="AY222" s="366">
        <v>671.21</v>
      </c>
      <c r="AZ222" s="366">
        <v>481.8</v>
      </c>
      <c r="BA222" s="366">
        <v>247.85</v>
      </c>
      <c r="BB222" s="366">
        <v>674.1</v>
      </c>
      <c r="BC222" s="366">
        <v>189.91</v>
      </c>
      <c r="BD222" s="366">
        <v>99.68</v>
      </c>
      <c r="BE222" s="366">
        <v>482.06</v>
      </c>
      <c r="BF222" s="366">
        <v>5.75</v>
      </c>
      <c r="BG222" s="366">
        <v>523.29</v>
      </c>
      <c r="BH222" s="366">
        <v>388.61</v>
      </c>
      <c r="BI222" s="366">
        <v>380.17</v>
      </c>
      <c r="BJ222" s="366">
        <v>461.41</v>
      </c>
      <c r="BK222" s="366">
        <v>549.58000000000004</v>
      </c>
      <c r="BL222" s="366">
        <v>406.95</v>
      </c>
      <c r="BM222" s="366">
        <v>391.59</v>
      </c>
      <c r="BN222" s="366">
        <v>312.86</v>
      </c>
      <c r="BO222" s="366">
        <v>591.78</v>
      </c>
      <c r="BP222" s="366">
        <v>557.64</v>
      </c>
      <c r="BQ222" s="366">
        <v>157.66</v>
      </c>
      <c r="BR222" s="366">
        <v>157.66</v>
      </c>
      <c r="BS222" s="366">
        <v>489.37</v>
      </c>
      <c r="BT222" s="366">
        <v>372.09</v>
      </c>
      <c r="BU222" s="366">
        <v>22.22</v>
      </c>
      <c r="BV222" s="366">
        <v>8.9</v>
      </c>
      <c r="BW222" s="366">
        <v>452.15</v>
      </c>
      <c r="BX222" s="366">
        <v>430.46</v>
      </c>
      <c r="BY222" s="366">
        <v>505.48</v>
      </c>
      <c r="BZ222" s="366">
        <v>505.48</v>
      </c>
      <c r="CA222" s="366">
        <v>264.14</v>
      </c>
      <c r="CB222" s="366">
        <v>448.89</v>
      </c>
      <c r="CC222" s="366">
        <v>153.44999999999999</v>
      </c>
      <c r="CD222" s="366">
        <v>166.93</v>
      </c>
      <c r="CE222" s="366">
        <v>532.80999999999995</v>
      </c>
      <c r="CF222" s="366">
        <v>290.97000000000003</v>
      </c>
      <c r="CG222" s="366">
        <v>290.97000000000003</v>
      </c>
      <c r="CH222" s="366">
        <v>142.66</v>
      </c>
      <c r="CI222" s="366">
        <v>261.81</v>
      </c>
      <c r="CJ222" s="366">
        <v>301.92</v>
      </c>
      <c r="CK222" s="366">
        <v>510.57</v>
      </c>
      <c r="CL222" s="366">
        <v>406.65</v>
      </c>
      <c r="CM222" s="366">
        <v>136.19</v>
      </c>
      <c r="CN222" s="366">
        <v>410.78</v>
      </c>
      <c r="CO222" s="366">
        <v>378.75</v>
      </c>
      <c r="CP222" s="366">
        <v>164.35</v>
      </c>
      <c r="CQ222" s="366">
        <v>164.35</v>
      </c>
      <c r="CR222" s="366">
        <v>330.07</v>
      </c>
      <c r="CS222" s="366">
        <v>330.07</v>
      </c>
      <c r="CT222" s="366">
        <v>320.63</v>
      </c>
      <c r="CU222" s="366">
        <v>328.5</v>
      </c>
      <c r="CV222" s="366">
        <v>322.45</v>
      </c>
      <c r="CW222" s="366">
        <v>478</v>
      </c>
      <c r="CX222" s="366">
        <v>141.16</v>
      </c>
      <c r="CY222" s="366">
        <v>182.61</v>
      </c>
      <c r="CZ222" s="366">
        <v>203.85</v>
      </c>
      <c r="DA222" s="366">
        <v>573.54999999999995</v>
      </c>
      <c r="DB222" s="366">
        <v>457.39</v>
      </c>
      <c r="DC222" s="366">
        <v>457.39</v>
      </c>
      <c r="DD222" s="366">
        <v>206.11</v>
      </c>
      <c r="DE222" s="366">
        <v>651.17999999999995</v>
      </c>
      <c r="DF222" s="366">
        <v>455.39</v>
      </c>
      <c r="DG222" s="366">
        <v>232.16</v>
      </c>
      <c r="DH222" s="366">
        <v>713.74</v>
      </c>
      <c r="DI222" s="366">
        <v>156.79</v>
      </c>
      <c r="DJ222" s="366">
        <v>220.05</v>
      </c>
      <c r="DK222" s="366">
        <v>392.88</v>
      </c>
      <c r="DL222" s="366">
        <v>28.22</v>
      </c>
      <c r="DM222" s="366">
        <v>500.76</v>
      </c>
      <c r="DN222" s="366">
        <v>171.55</v>
      </c>
      <c r="DO222" s="366">
        <v>419.45</v>
      </c>
      <c r="DP222" s="366">
        <v>207.96</v>
      </c>
      <c r="DQ222" s="366">
        <v>463.49</v>
      </c>
      <c r="DR222" s="366">
        <v>713.74</v>
      </c>
      <c r="DS222" s="366">
        <v>379.65</v>
      </c>
      <c r="DT222" s="366">
        <v>367.94</v>
      </c>
      <c r="DU222" s="366">
        <v>603.89</v>
      </c>
      <c r="DV222" s="366">
        <v>541.58000000000004</v>
      </c>
      <c r="DW222" s="366">
        <v>345.53</v>
      </c>
      <c r="DX222" s="366">
        <v>438.47</v>
      </c>
      <c r="DY222" s="366">
        <v>511.86</v>
      </c>
      <c r="DZ222" s="366">
        <v>195.13</v>
      </c>
      <c r="EA222" s="366">
        <v>362.42</v>
      </c>
      <c r="EB222" s="366">
        <v>505.86</v>
      </c>
      <c r="EC222" s="366">
        <v>382.36</v>
      </c>
      <c r="ED222" s="366">
        <v>186.56</v>
      </c>
      <c r="EE222" s="366">
        <v>197.35</v>
      </c>
      <c r="EF222" s="366">
        <v>98.19</v>
      </c>
      <c r="EG222" s="366">
        <v>302.94</v>
      </c>
      <c r="EH222" s="366">
        <v>302.94</v>
      </c>
      <c r="EI222" s="366">
        <v>167.4</v>
      </c>
      <c r="EJ222" s="366">
        <v>701.8</v>
      </c>
      <c r="EK222" s="366">
        <v>314.49</v>
      </c>
      <c r="EL222" s="366">
        <v>314.49</v>
      </c>
      <c r="EM222" s="366">
        <v>408.6</v>
      </c>
      <c r="EN222" s="366">
        <v>408.6</v>
      </c>
      <c r="EO222" s="366">
        <v>0</v>
      </c>
      <c r="EP222" s="366">
        <v>85.4</v>
      </c>
      <c r="EQ222" s="366">
        <v>311.14</v>
      </c>
      <c r="ER222" s="366">
        <v>356.58</v>
      </c>
      <c r="ES222" s="366">
        <v>513.08000000000004</v>
      </c>
      <c r="ET222" s="366">
        <v>139.69</v>
      </c>
      <c r="EU222" s="366">
        <v>407.03</v>
      </c>
      <c r="EV222" s="366">
        <v>259.11</v>
      </c>
      <c r="EW222" s="366">
        <v>166.78</v>
      </c>
      <c r="EX222" s="366">
        <v>489.82</v>
      </c>
      <c r="EY222" s="366">
        <v>489.82</v>
      </c>
      <c r="EZ222" s="366">
        <v>453.14</v>
      </c>
      <c r="FA222" s="366">
        <v>405.77</v>
      </c>
      <c r="FB222" s="366">
        <v>377.18</v>
      </c>
      <c r="FC222" s="366">
        <v>458.61</v>
      </c>
      <c r="FD222" s="366">
        <v>313.8</v>
      </c>
      <c r="FE222" s="366">
        <v>171.23</v>
      </c>
      <c r="FF222" s="366">
        <v>249.35</v>
      </c>
      <c r="FG222" s="366">
        <v>238.89</v>
      </c>
      <c r="FH222" s="366">
        <v>238.89</v>
      </c>
      <c r="FI222" s="366">
        <v>239.98</v>
      </c>
      <c r="FJ222" s="366">
        <v>245.77</v>
      </c>
      <c r="FK222" s="366">
        <v>540.82000000000005</v>
      </c>
      <c r="FL222" s="366">
        <v>539.01</v>
      </c>
      <c r="FM222" s="366">
        <v>0</v>
      </c>
      <c r="FN222" s="366">
        <v>289.86</v>
      </c>
      <c r="FO222" s="366">
        <v>370.79</v>
      </c>
      <c r="FP222" s="366">
        <v>490.96</v>
      </c>
      <c r="FQ222" s="366">
        <v>374.66</v>
      </c>
      <c r="FR222" s="366">
        <v>421.9</v>
      </c>
      <c r="FS222" s="366">
        <v>250.06</v>
      </c>
      <c r="FT222" s="366">
        <v>235.21</v>
      </c>
      <c r="FU222" s="366">
        <v>274.2</v>
      </c>
      <c r="FV222" s="366">
        <v>470.93</v>
      </c>
      <c r="FW222" s="366">
        <v>470.93</v>
      </c>
      <c r="FX222" s="366">
        <v>470.93</v>
      </c>
      <c r="FY222" s="366">
        <v>354.91</v>
      </c>
      <c r="FZ222" s="366">
        <v>194.1</v>
      </c>
      <c r="GA222" s="366">
        <v>482.06</v>
      </c>
      <c r="GB222" s="366">
        <v>288.52999999999997</v>
      </c>
      <c r="GC222" s="366">
        <v>186.56</v>
      </c>
      <c r="GD222" s="366">
        <v>412.56</v>
      </c>
      <c r="GE222" s="366">
        <v>320.52999999999997</v>
      </c>
      <c r="GF222" s="366">
        <v>287.73</v>
      </c>
      <c r="GG222" s="366">
        <v>287.73</v>
      </c>
      <c r="GH222" s="366">
        <v>530.51</v>
      </c>
      <c r="GI222" s="366">
        <v>0.16</v>
      </c>
      <c r="GJ222" s="366">
        <v>0</v>
      </c>
      <c r="GK222" s="366">
        <v>537.37</v>
      </c>
      <c r="GL222" s="366">
        <v>181.07</v>
      </c>
      <c r="GM222" s="366">
        <v>181.07</v>
      </c>
      <c r="GN222" s="366">
        <v>181.07</v>
      </c>
      <c r="GO222" s="366">
        <v>52.73</v>
      </c>
      <c r="GP222" s="366">
        <v>487.47</v>
      </c>
      <c r="GQ222" s="366">
        <v>583.08000000000004</v>
      </c>
      <c r="GR222" s="366">
        <v>62.74</v>
      </c>
      <c r="GS222" s="366">
        <v>105.23</v>
      </c>
      <c r="GT222" s="366">
        <v>302.94</v>
      </c>
      <c r="GU222" s="366">
        <v>347.76</v>
      </c>
      <c r="GV222" s="366">
        <v>708.99</v>
      </c>
      <c r="GW222" s="366">
        <v>205.53</v>
      </c>
      <c r="GX222" s="366">
        <v>299.51</v>
      </c>
      <c r="GY222" s="366">
        <v>182.04</v>
      </c>
      <c r="GZ222" s="366">
        <v>313.52</v>
      </c>
      <c r="HA222" s="366">
        <v>376.2</v>
      </c>
      <c r="HB222" s="366">
        <v>376.2</v>
      </c>
      <c r="HC222" s="366">
        <v>376.2</v>
      </c>
      <c r="HD222" s="366">
        <v>158.84</v>
      </c>
      <c r="HE222" s="366">
        <v>402.45</v>
      </c>
      <c r="HF222" s="366">
        <v>358.74</v>
      </c>
      <c r="HG222" s="366">
        <v>486.39</v>
      </c>
      <c r="HH222" s="366">
        <v>486.39</v>
      </c>
      <c r="HI222" s="366">
        <v>486.39</v>
      </c>
      <c r="HJ222" s="366">
        <v>266.86</v>
      </c>
      <c r="HK222" s="366">
        <v>229.56</v>
      </c>
      <c r="HL222" s="366">
        <v>421.99</v>
      </c>
      <c r="HM222" s="366">
        <v>8.7799999999999994</v>
      </c>
      <c r="HN222" s="366">
        <v>0</v>
      </c>
      <c r="HO222" s="366">
        <v>440.23</v>
      </c>
      <c r="HP222" s="366">
        <v>314.24</v>
      </c>
      <c r="HQ222" s="366">
        <v>470.93</v>
      </c>
      <c r="HR222" s="366">
        <v>292.24</v>
      </c>
      <c r="HS222" s="366">
        <v>3.75</v>
      </c>
      <c r="HT222" s="366">
        <v>144.79</v>
      </c>
      <c r="HU222" s="366">
        <v>161.13999999999999</v>
      </c>
      <c r="HV222" s="366">
        <v>185.61</v>
      </c>
    </row>
    <row r="223" spans="1:230">
      <c r="A223" s="366" t="s">
        <v>535</v>
      </c>
      <c r="B223" s="366">
        <v>33.200000000000003</v>
      </c>
      <c r="C223" s="366">
        <v>834.65</v>
      </c>
      <c r="D223" s="366">
        <v>638.55999999999995</v>
      </c>
      <c r="E223" s="366">
        <v>638.55999999999995</v>
      </c>
      <c r="F223" s="366">
        <v>97.1</v>
      </c>
      <c r="G223" s="366">
        <v>179.41</v>
      </c>
      <c r="H223" s="366">
        <v>594.94000000000005</v>
      </c>
      <c r="I223" s="366">
        <v>542.67999999999995</v>
      </c>
      <c r="J223" s="366">
        <v>571.16</v>
      </c>
      <c r="K223" s="366">
        <v>571.16</v>
      </c>
      <c r="L223" s="366">
        <v>656.47</v>
      </c>
      <c r="M223" s="366">
        <v>860.07</v>
      </c>
      <c r="N223" s="366">
        <v>956.97</v>
      </c>
      <c r="O223" s="366">
        <v>794.33</v>
      </c>
      <c r="P223" s="366">
        <v>794.33</v>
      </c>
      <c r="Q223" s="366">
        <v>794.33</v>
      </c>
      <c r="R223" s="366">
        <v>794.33</v>
      </c>
      <c r="S223" s="366">
        <v>794.33</v>
      </c>
      <c r="T223" s="366">
        <v>468.18</v>
      </c>
      <c r="U223" s="366">
        <v>59.71</v>
      </c>
      <c r="V223" s="366">
        <v>883.72</v>
      </c>
      <c r="W223" s="366">
        <v>459.87</v>
      </c>
      <c r="X223" s="366">
        <v>459.87</v>
      </c>
      <c r="Y223" s="366">
        <v>459.87</v>
      </c>
      <c r="Z223" s="366">
        <v>921.46</v>
      </c>
      <c r="AA223" s="366">
        <v>173.58</v>
      </c>
      <c r="AB223" s="366">
        <v>437.51</v>
      </c>
      <c r="AC223" s="366">
        <v>405.98</v>
      </c>
      <c r="AD223" s="366">
        <v>405.98</v>
      </c>
      <c r="AE223" s="366">
        <v>689.46</v>
      </c>
      <c r="AF223" s="366">
        <v>154.01</v>
      </c>
      <c r="AG223" s="366">
        <v>491.39</v>
      </c>
      <c r="AH223" s="366">
        <v>588.73</v>
      </c>
      <c r="AI223" s="366">
        <v>588.73</v>
      </c>
      <c r="AJ223" s="366">
        <v>588.73</v>
      </c>
      <c r="AK223" s="366">
        <v>943.66</v>
      </c>
      <c r="AL223" s="366">
        <v>943.66</v>
      </c>
      <c r="AM223" s="366">
        <v>440.23</v>
      </c>
      <c r="AN223" s="366">
        <v>753.5</v>
      </c>
      <c r="AO223" s="366">
        <v>196.02</v>
      </c>
      <c r="AP223" s="366">
        <v>487.3</v>
      </c>
      <c r="AQ223" s="366">
        <v>53.64</v>
      </c>
      <c r="AR223" s="366">
        <v>610.9</v>
      </c>
      <c r="AS223" s="366">
        <v>731.92</v>
      </c>
      <c r="AT223" s="366">
        <v>731.92</v>
      </c>
      <c r="AU223" s="366">
        <v>798.58</v>
      </c>
      <c r="AV223" s="366">
        <v>28.66</v>
      </c>
      <c r="AW223" s="366">
        <v>533.70000000000005</v>
      </c>
      <c r="AX223" s="366">
        <v>530.34</v>
      </c>
      <c r="AY223" s="366">
        <v>992.68</v>
      </c>
      <c r="AZ223" s="366">
        <v>803.27</v>
      </c>
      <c r="BA223" s="366">
        <v>192.38</v>
      </c>
      <c r="BB223" s="366">
        <v>995.57</v>
      </c>
      <c r="BC223" s="366">
        <v>273.27999999999997</v>
      </c>
      <c r="BD223" s="366">
        <v>340.55</v>
      </c>
      <c r="BE223" s="366">
        <v>887.78</v>
      </c>
      <c r="BF223" s="366">
        <v>434.48</v>
      </c>
      <c r="BG223" s="366">
        <v>929.01</v>
      </c>
      <c r="BH223" s="366">
        <v>794.33</v>
      </c>
      <c r="BI223" s="366">
        <v>610.92999999999995</v>
      </c>
      <c r="BJ223" s="366">
        <v>867.13</v>
      </c>
      <c r="BK223" s="366">
        <v>871.05</v>
      </c>
      <c r="BL223" s="366">
        <v>645.55999999999995</v>
      </c>
      <c r="BM223" s="366">
        <v>622.35</v>
      </c>
      <c r="BN223" s="366">
        <v>133.38999999999999</v>
      </c>
      <c r="BO223" s="366">
        <v>913.25</v>
      </c>
      <c r="BP223" s="366">
        <v>879.11</v>
      </c>
      <c r="BQ223" s="366">
        <v>563.38</v>
      </c>
      <c r="BR223" s="366">
        <v>563.38</v>
      </c>
      <c r="BS223" s="366">
        <v>810.84</v>
      </c>
      <c r="BT223" s="366">
        <v>602.85</v>
      </c>
      <c r="BU223" s="366">
        <v>427.94</v>
      </c>
      <c r="BV223" s="366">
        <v>437.63</v>
      </c>
      <c r="BW223" s="366">
        <v>857.87</v>
      </c>
      <c r="BX223" s="366">
        <v>751.93</v>
      </c>
      <c r="BY223" s="366">
        <v>911.2</v>
      </c>
      <c r="BZ223" s="366">
        <v>911.2</v>
      </c>
      <c r="CA223" s="366">
        <v>494.9</v>
      </c>
      <c r="CB223" s="366">
        <v>770.36</v>
      </c>
      <c r="CC223" s="366">
        <v>559.16999999999996</v>
      </c>
      <c r="CD223" s="366">
        <v>572.65</v>
      </c>
      <c r="CE223" s="366">
        <v>854.28</v>
      </c>
      <c r="CF223" s="366">
        <v>191.88</v>
      </c>
      <c r="CG223" s="366">
        <v>191.88</v>
      </c>
      <c r="CH223" s="366">
        <v>548.38</v>
      </c>
      <c r="CI223" s="366">
        <v>667.53</v>
      </c>
      <c r="CJ223" s="366">
        <v>144.47</v>
      </c>
      <c r="CK223" s="366">
        <v>916.29</v>
      </c>
      <c r="CL223" s="366">
        <v>812.37</v>
      </c>
      <c r="CM223" s="366">
        <v>304.04000000000002</v>
      </c>
      <c r="CN223" s="366">
        <v>816.5</v>
      </c>
      <c r="CO223" s="366">
        <v>609.51</v>
      </c>
      <c r="CP223" s="366">
        <v>570.07000000000005</v>
      </c>
      <c r="CQ223" s="366">
        <v>570.07000000000005</v>
      </c>
      <c r="CR223" s="366">
        <v>560.83000000000004</v>
      </c>
      <c r="CS223" s="366">
        <v>560.83000000000004</v>
      </c>
      <c r="CT223" s="366">
        <v>551.39</v>
      </c>
      <c r="CU223" s="366">
        <v>559.26</v>
      </c>
      <c r="CV223" s="366">
        <v>553.21</v>
      </c>
      <c r="CW223" s="366">
        <v>883.72</v>
      </c>
      <c r="CX223" s="366">
        <v>546.88</v>
      </c>
      <c r="CY223" s="366">
        <v>265.98</v>
      </c>
      <c r="CZ223" s="366">
        <v>277.79000000000002</v>
      </c>
      <c r="DA223" s="366">
        <v>895.02</v>
      </c>
      <c r="DB223" s="366">
        <v>863.11</v>
      </c>
      <c r="DC223" s="366">
        <v>863.11</v>
      </c>
      <c r="DD223" s="366">
        <v>371.72</v>
      </c>
      <c r="DE223" s="366">
        <v>972.65</v>
      </c>
      <c r="DF223" s="366">
        <v>81.56</v>
      </c>
      <c r="DG223" s="366">
        <v>637.88</v>
      </c>
      <c r="DH223" s="366">
        <v>1035.21</v>
      </c>
      <c r="DI223" s="366">
        <v>289.45999999999998</v>
      </c>
      <c r="DJ223" s="366">
        <v>261.58999999999997</v>
      </c>
      <c r="DK223" s="366">
        <v>714.35</v>
      </c>
      <c r="DL223" s="366">
        <v>423.61</v>
      </c>
      <c r="DM223" s="366">
        <v>822.23</v>
      </c>
      <c r="DN223" s="366">
        <v>276.49</v>
      </c>
      <c r="DO223" s="366">
        <v>740.92</v>
      </c>
      <c r="DP223" s="366">
        <v>408.72</v>
      </c>
      <c r="DQ223" s="366">
        <v>869.21</v>
      </c>
      <c r="DR223" s="366">
        <v>1035.21</v>
      </c>
      <c r="DS223" s="366">
        <v>610.41</v>
      </c>
      <c r="DT223" s="366">
        <v>598.70000000000005</v>
      </c>
      <c r="DU223" s="366">
        <v>925.36</v>
      </c>
      <c r="DV223" s="366">
        <v>947.3</v>
      </c>
      <c r="DW223" s="366">
        <v>715.5</v>
      </c>
      <c r="DX223" s="366">
        <v>844.19</v>
      </c>
      <c r="DY223" s="366">
        <v>917.58</v>
      </c>
      <c r="DZ223" s="366">
        <v>360.74</v>
      </c>
      <c r="EA223" s="366">
        <v>593.17999999999995</v>
      </c>
      <c r="EB223" s="366">
        <v>911.58</v>
      </c>
      <c r="EC223" s="366">
        <v>613.12</v>
      </c>
      <c r="ED223" s="366">
        <v>259.69</v>
      </c>
      <c r="EE223" s="366">
        <v>249.81</v>
      </c>
      <c r="EF223" s="366">
        <v>493.58</v>
      </c>
      <c r="EG223" s="366">
        <v>533.70000000000005</v>
      </c>
      <c r="EH223" s="366">
        <v>533.70000000000005</v>
      </c>
      <c r="EI223" s="366">
        <v>573.12</v>
      </c>
      <c r="EJ223" s="366">
        <v>1023.27</v>
      </c>
      <c r="EK223" s="366">
        <v>720.21</v>
      </c>
      <c r="EL223" s="366">
        <v>720.21</v>
      </c>
      <c r="EM223" s="366">
        <v>814.32</v>
      </c>
      <c r="EN223" s="366">
        <v>814.32</v>
      </c>
      <c r="EO223" s="366">
        <v>440.23</v>
      </c>
      <c r="EP223" s="366">
        <v>491.12</v>
      </c>
      <c r="EQ223" s="366">
        <v>541.9</v>
      </c>
      <c r="ER223" s="366">
        <v>93.23</v>
      </c>
      <c r="ES223" s="366">
        <v>834.55</v>
      </c>
      <c r="ET223" s="366">
        <v>545.41</v>
      </c>
      <c r="EU223" s="366">
        <v>33.200000000000003</v>
      </c>
      <c r="EV223" s="366">
        <v>459.87</v>
      </c>
      <c r="EW223" s="366">
        <v>572.5</v>
      </c>
      <c r="EX223" s="366">
        <v>811.29</v>
      </c>
      <c r="EY223" s="366">
        <v>811.29</v>
      </c>
      <c r="EZ223" s="366">
        <v>858.86</v>
      </c>
      <c r="FA223" s="366">
        <v>811.49</v>
      </c>
      <c r="FB223" s="366">
        <v>698.65</v>
      </c>
      <c r="FC223" s="366">
        <v>864.33</v>
      </c>
      <c r="FD223" s="366">
        <v>719.52</v>
      </c>
      <c r="FE223" s="366">
        <v>576.95000000000005</v>
      </c>
      <c r="FF223" s="366">
        <v>655.07000000000005</v>
      </c>
      <c r="FG223" s="366">
        <v>322.26</v>
      </c>
      <c r="FH223" s="366">
        <v>322.26</v>
      </c>
      <c r="FI223" s="366">
        <v>470.74</v>
      </c>
      <c r="FJ223" s="366">
        <v>476.53</v>
      </c>
      <c r="FK223" s="366">
        <v>862.29</v>
      </c>
      <c r="FL223" s="366">
        <v>860.48</v>
      </c>
      <c r="FM223" s="366">
        <v>440.23</v>
      </c>
      <c r="FN223" s="366">
        <v>490.62</v>
      </c>
      <c r="FO223" s="366">
        <v>601.54999999999995</v>
      </c>
      <c r="FP223" s="366">
        <v>896.68</v>
      </c>
      <c r="FQ223" s="366">
        <v>605.41999999999996</v>
      </c>
      <c r="FR223" s="366">
        <v>673.81</v>
      </c>
      <c r="FS223" s="366">
        <v>655.78</v>
      </c>
      <c r="FT223" s="366">
        <v>246.43</v>
      </c>
      <c r="FU223" s="366">
        <v>679.92</v>
      </c>
      <c r="FV223" s="366">
        <v>97.1</v>
      </c>
      <c r="FW223" s="366">
        <v>97.1</v>
      </c>
      <c r="FX223" s="366">
        <v>97.1</v>
      </c>
      <c r="FY223" s="366">
        <v>760.63</v>
      </c>
      <c r="FZ223" s="366">
        <v>599.82000000000005</v>
      </c>
      <c r="GA223" s="366">
        <v>887.78</v>
      </c>
      <c r="GB223" s="366">
        <v>694.25</v>
      </c>
      <c r="GC223" s="366">
        <v>259.69</v>
      </c>
      <c r="GD223" s="366">
        <v>734.03</v>
      </c>
      <c r="GE223" s="366">
        <v>551.29</v>
      </c>
      <c r="GF223" s="366">
        <v>693.45</v>
      </c>
      <c r="GG223" s="366">
        <v>693.45</v>
      </c>
      <c r="GH223" s="366">
        <v>936.23</v>
      </c>
      <c r="GI223" s="366">
        <v>440.39</v>
      </c>
      <c r="GJ223" s="366">
        <v>440.23</v>
      </c>
      <c r="GK223" s="366">
        <v>858.84</v>
      </c>
      <c r="GL223" s="366">
        <v>586.79</v>
      </c>
      <c r="GM223" s="366">
        <v>586.79</v>
      </c>
      <c r="GN223" s="366">
        <v>586.79</v>
      </c>
      <c r="GO223" s="366">
        <v>448.12</v>
      </c>
      <c r="GP223" s="366">
        <v>893.19</v>
      </c>
      <c r="GQ223" s="366">
        <v>904.55</v>
      </c>
      <c r="GR223" s="366">
        <v>383.51</v>
      </c>
      <c r="GS223" s="366">
        <v>510.95</v>
      </c>
      <c r="GT223" s="366">
        <v>533.70000000000005</v>
      </c>
      <c r="GU223" s="366">
        <v>707.63</v>
      </c>
      <c r="GV223" s="366">
        <v>1030.46</v>
      </c>
      <c r="GW223" s="366">
        <v>611.25</v>
      </c>
      <c r="GX223" s="366">
        <v>530.27</v>
      </c>
      <c r="GY223" s="366">
        <v>587.76</v>
      </c>
      <c r="GZ223" s="366">
        <v>719.24</v>
      </c>
      <c r="HA223" s="366">
        <v>606.96</v>
      </c>
      <c r="HB223" s="366">
        <v>606.96</v>
      </c>
      <c r="HC223" s="366">
        <v>606.96</v>
      </c>
      <c r="HD223" s="366">
        <v>324.45</v>
      </c>
      <c r="HE223" s="366">
        <v>808.17</v>
      </c>
      <c r="HF223" s="366">
        <v>764.46</v>
      </c>
      <c r="HG223" s="366">
        <v>892.11</v>
      </c>
      <c r="HH223" s="366">
        <v>892.11</v>
      </c>
      <c r="HI223" s="366">
        <v>892.11</v>
      </c>
      <c r="HJ223" s="366">
        <v>672.58</v>
      </c>
      <c r="HK223" s="366">
        <v>460.32</v>
      </c>
      <c r="HL223" s="366">
        <v>827.71</v>
      </c>
      <c r="HM223" s="366">
        <v>437.51</v>
      </c>
      <c r="HN223" s="366">
        <v>440.23</v>
      </c>
      <c r="HO223" s="366">
        <v>0</v>
      </c>
      <c r="HP223" s="366">
        <v>719.96</v>
      </c>
      <c r="HQ223" s="366">
        <v>97.1</v>
      </c>
      <c r="HR223" s="366">
        <v>154.01</v>
      </c>
      <c r="HS223" s="366">
        <v>436.48</v>
      </c>
      <c r="HT223" s="366">
        <v>540.17999999999995</v>
      </c>
      <c r="HU223" s="366">
        <v>566.86</v>
      </c>
      <c r="HV223" s="366">
        <v>591.33000000000004</v>
      </c>
    </row>
    <row r="224" spans="1:230">
      <c r="A224" s="366" t="s">
        <v>536</v>
      </c>
      <c r="B224" s="366">
        <v>686.76</v>
      </c>
      <c r="C224" s="366">
        <v>266.68</v>
      </c>
      <c r="D224" s="366">
        <v>167.45</v>
      </c>
      <c r="E224" s="366">
        <v>167.45</v>
      </c>
      <c r="F224" s="366">
        <v>750.66</v>
      </c>
      <c r="G224" s="366">
        <v>558.23</v>
      </c>
      <c r="H224" s="366">
        <v>211.07</v>
      </c>
      <c r="I224" s="366">
        <v>177.28</v>
      </c>
      <c r="J224" s="366">
        <v>234.85</v>
      </c>
      <c r="K224" s="366">
        <v>234.85</v>
      </c>
      <c r="L224" s="366">
        <v>158.06</v>
      </c>
      <c r="M224" s="366">
        <v>292.10000000000002</v>
      </c>
      <c r="N224" s="366">
        <v>389</v>
      </c>
      <c r="O224" s="366">
        <v>80.52</v>
      </c>
      <c r="P224" s="366">
        <v>80.52</v>
      </c>
      <c r="Q224" s="366">
        <v>80.52</v>
      </c>
      <c r="R224" s="366">
        <v>80.52</v>
      </c>
      <c r="S224" s="366">
        <v>80.52</v>
      </c>
      <c r="T224" s="366">
        <v>251.78</v>
      </c>
      <c r="U224" s="366">
        <v>666.27</v>
      </c>
      <c r="V224" s="366">
        <v>225.86</v>
      </c>
      <c r="W224" s="366">
        <v>395.14</v>
      </c>
      <c r="X224" s="366">
        <v>395.14</v>
      </c>
      <c r="Y224" s="366">
        <v>395.14</v>
      </c>
      <c r="Z224" s="366">
        <v>263.60000000000002</v>
      </c>
      <c r="AA224" s="366">
        <v>552.4</v>
      </c>
      <c r="AB224" s="366">
        <v>311.52</v>
      </c>
      <c r="AC224" s="366">
        <v>313.98</v>
      </c>
      <c r="AD224" s="366">
        <v>313.98</v>
      </c>
      <c r="AE224" s="366">
        <v>116.55</v>
      </c>
      <c r="AF224" s="366">
        <v>571.97</v>
      </c>
      <c r="AG224" s="366">
        <v>396.66</v>
      </c>
      <c r="AH224" s="366">
        <v>131.22999999999999</v>
      </c>
      <c r="AI224" s="366">
        <v>131.22999999999999</v>
      </c>
      <c r="AJ224" s="366">
        <v>131.22999999999999</v>
      </c>
      <c r="AK224" s="366">
        <v>285.8</v>
      </c>
      <c r="AL224" s="366">
        <v>285.8</v>
      </c>
      <c r="AM224" s="366">
        <v>314.24</v>
      </c>
      <c r="AN224" s="366">
        <v>68.06</v>
      </c>
      <c r="AO224" s="366">
        <v>565.35</v>
      </c>
      <c r="AP224" s="366">
        <v>240.5</v>
      </c>
      <c r="AQ224" s="366">
        <v>707.2</v>
      </c>
      <c r="AR224" s="366">
        <v>297.62</v>
      </c>
      <c r="AS224" s="366">
        <v>82.61</v>
      </c>
      <c r="AT224" s="366">
        <v>82.61</v>
      </c>
      <c r="AU224" s="366">
        <v>140.72</v>
      </c>
      <c r="AV224" s="366">
        <v>697.32</v>
      </c>
      <c r="AW224" s="366">
        <v>279.17</v>
      </c>
      <c r="AX224" s="366">
        <v>197.88</v>
      </c>
      <c r="AY224" s="366">
        <v>424.71</v>
      </c>
      <c r="AZ224" s="366">
        <v>235.3</v>
      </c>
      <c r="BA224" s="366">
        <v>527.58000000000004</v>
      </c>
      <c r="BB224" s="366">
        <v>427.6</v>
      </c>
      <c r="BC224" s="366">
        <v>469.64</v>
      </c>
      <c r="BD224" s="366">
        <v>379.41</v>
      </c>
      <c r="BE224" s="366">
        <v>229.92</v>
      </c>
      <c r="BF224" s="366">
        <v>308.49</v>
      </c>
      <c r="BG224" s="366">
        <v>271.14999999999998</v>
      </c>
      <c r="BH224" s="366">
        <v>80.52</v>
      </c>
      <c r="BI224" s="366">
        <v>297.64999999999998</v>
      </c>
      <c r="BJ224" s="366">
        <v>209.27</v>
      </c>
      <c r="BK224" s="366">
        <v>303.08</v>
      </c>
      <c r="BL224" s="366">
        <v>160.44999999999999</v>
      </c>
      <c r="BM224" s="366">
        <v>183.66</v>
      </c>
      <c r="BN224" s="366">
        <v>592.59</v>
      </c>
      <c r="BO224" s="366">
        <v>345.28</v>
      </c>
      <c r="BP224" s="366">
        <v>311.14</v>
      </c>
      <c r="BQ224" s="366">
        <v>156.58000000000001</v>
      </c>
      <c r="BR224" s="366">
        <v>156.58000000000001</v>
      </c>
      <c r="BS224" s="366">
        <v>242.87</v>
      </c>
      <c r="BT224" s="366">
        <v>282.08</v>
      </c>
      <c r="BU224" s="366">
        <v>292.02</v>
      </c>
      <c r="BV224" s="366">
        <v>311.64</v>
      </c>
      <c r="BW224" s="366">
        <v>200.01</v>
      </c>
      <c r="BX224" s="366">
        <v>183.96</v>
      </c>
      <c r="BY224" s="366">
        <v>253.34</v>
      </c>
      <c r="BZ224" s="366">
        <v>253.34</v>
      </c>
      <c r="CA224" s="366">
        <v>311.11</v>
      </c>
      <c r="CB224" s="366">
        <v>202.39</v>
      </c>
      <c r="CC224" s="366">
        <v>169.05</v>
      </c>
      <c r="CD224" s="366">
        <v>171.45</v>
      </c>
      <c r="CE224" s="366">
        <v>286.31</v>
      </c>
      <c r="CF224" s="366">
        <v>570.70000000000005</v>
      </c>
      <c r="CG224" s="366">
        <v>570.70000000000005</v>
      </c>
      <c r="CH224" s="366">
        <v>171.58</v>
      </c>
      <c r="CI224" s="366">
        <v>52.43</v>
      </c>
      <c r="CJ224" s="366">
        <v>581.65</v>
      </c>
      <c r="CK224" s="366">
        <v>258.43</v>
      </c>
      <c r="CL224" s="366">
        <v>154.51</v>
      </c>
      <c r="CM224" s="366">
        <v>415.92</v>
      </c>
      <c r="CN224" s="366">
        <v>158.63999999999999</v>
      </c>
      <c r="CO224" s="366">
        <v>296.23</v>
      </c>
      <c r="CP224" s="366">
        <v>149.88999999999999</v>
      </c>
      <c r="CQ224" s="366">
        <v>149.88999999999999</v>
      </c>
      <c r="CR224" s="366">
        <v>248.63</v>
      </c>
      <c r="CS224" s="366">
        <v>248.63</v>
      </c>
      <c r="CT224" s="366">
        <v>258.07</v>
      </c>
      <c r="CU224" s="366">
        <v>250.2</v>
      </c>
      <c r="CV224" s="366">
        <v>252.8</v>
      </c>
      <c r="CW224" s="366">
        <v>225.86</v>
      </c>
      <c r="CX224" s="366">
        <v>188.12</v>
      </c>
      <c r="CY224" s="366">
        <v>462.34</v>
      </c>
      <c r="CZ224" s="366">
        <v>483.58</v>
      </c>
      <c r="DA224" s="366">
        <v>327.05</v>
      </c>
      <c r="DB224" s="366">
        <v>205.25</v>
      </c>
      <c r="DC224" s="366">
        <v>205.25</v>
      </c>
      <c r="DD224" s="366">
        <v>382.3</v>
      </c>
      <c r="DE224" s="366">
        <v>404.68</v>
      </c>
      <c r="DF224" s="366">
        <v>735.12</v>
      </c>
      <c r="DG224" s="366">
        <v>82.08</v>
      </c>
      <c r="DH224" s="366">
        <v>467.24</v>
      </c>
      <c r="DI224" s="366">
        <v>436.52</v>
      </c>
      <c r="DJ224" s="366">
        <v>499.78</v>
      </c>
      <c r="DK224" s="366">
        <v>146.38</v>
      </c>
      <c r="DL224" s="366">
        <v>298.02</v>
      </c>
      <c r="DM224" s="366">
        <v>254.26</v>
      </c>
      <c r="DN224" s="366">
        <v>451.28</v>
      </c>
      <c r="DO224" s="366">
        <v>172.95</v>
      </c>
      <c r="DP224" s="366">
        <v>343.99</v>
      </c>
      <c r="DQ224" s="366">
        <v>211.35</v>
      </c>
      <c r="DR224" s="366">
        <v>467.24</v>
      </c>
      <c r="DS224" s="366">
        <v>274.10000000000002</v>
      </c>
      <c r="DT224" s="366">
        <v>262.39</v>
      </c>
      <c r="DU224" s="366">
        <v>356.15</v>
      </c>
      <c r="DV224" s="366">
        <v>289.44</v>
      </c>
      <c r="DW224" s="366">
        <v>99.03</v>
      </c>
      <c r="DX224" s="366">
        <v>186.33</v>
      </c>
      <c r="DY224" s="366">
        <v>259.72000000000003</v>
      </c>
      <c r="DZ224" s="366">
        <v>391.97</v>
      </c>
      <c r="EA224" s="366">
        <v>279.89999999999998</v>
      </c>
      <c r="EB224" s="366">
        <v>253.72</v>
      </c>
      <c r="EC224" s="366">
        <v>192.89</v>
      </c>
      <c r="ED224" s="366">
        <v>466.29</v>
      </c>
      <c r="EE224" s="366">
        <v>477.08</v>
      </c>
      <c r="EF224" s="366">
        <v>234.22</v>
      </c>
      <c r="EG224" s="366">
        <v>279.17</v>
      </c>
      <c r="EH224" s="366">
        <v>279.17</v>
      </c>
      <c r="EI224" s="366">
        <v>155.1</v>
      </c>
      <c r="EJ224" s="366">
        <v>455.3</v>
      </c>
      <c r="EK224" s="366">
        <v>48.89</v>
      </c>
      <c r="EL224" s="366">
        <v>48.89</v>
      </c>
      <c r="EM224" s="366">
        <v>156.46</v>
      </c>
      <c r="EN224" s="366">
        <v>156.46</v>
      </c>
      <c r="EO224" s="366">
        <v>314.24</v>
      </c>
      <c r="EP224" s="366">
        <v>237.1</v>
      </c>
      <c r="EQ224" s="366">
        <v>267.56</v>
      </c>
      <c r="ER224" s="366">
        <v>636.30999999999995</v>
      </c>
      <c r="ES224" s="366">
        <v>266.58</v>
      </c>
      <c r="ET224" s="366">
        <v>174.55</v>
      </c>
      <c r="EU224" s="366">
        <v>686.76</v>
      </c>
      <c r="EV224" s="366">
        <v>395.14</v>
      </c>
      <c r="EW224" s="366">
        <v>156.02000000000001</v>
      </c>
      <c r="EX224" s="366">
        <v>243.32</v>
      </c>
      <c r="EY224" s="366">
        <v>243.32</v>
      </c>
      <c r="EZ224" s="366">
        <v>145.05000000000001</v>
      </c>
      <c r="FA224" s="366">
        <v>153.63</v>
      </c>
      <c r="FB224" s="366">
        <v>130.68</v>
      </c>
      <c r="FC224" s="366">
        <v>206.47</v>
      </c>
      <c r="FD224" s="366">
        <v>0.44</v>
      </c>
      <c r="FE224" s="366">
        <v>158.93</v>
      </c>
      <c r="FF224" s="366">
        <v>134.11000000000001</v>
      </c>
      <c r="FG224" s="366">
        <v>518.62</v>
      </c>
      <c r="FH224" s="366">
        <v>518.62</v>
      </c>
      <c r="FI224" s="366">
        <v>376.01</v>
      </c>
      <c r="FJ224" s="366">
        <v>381.8</v>
      </c>
      <c r="FK224" s="366">
        <v>294.32</v>
      </c>
      <c r="FL224" s="366">
        <v>292.51</v>
      </c>
      <c r="FM224" s="366">
        <v>314.24</v>
      </c>
      <c r="FN224" s="366">
        <v>425.89</v>
      </c>
      <c r="FO224" s="366">
        <v>288.27</v>
      </c>
      <c r="FP224" s="366">
        <v>238.82</v>
      </c>
      <c r="FQ224" s="366">
        <v>292.14</v>
      </c>
      <c r="FR224" s="366">
        <v>175.4</v>
      </c>
      <c r="FS224" s="366">
        <v>98.64</v>
      </c>
      <c r="FT224" s="366">
        <v>514.94000000000005</v>
      </c>
      <c r="FU224" s="366">
        <v>40.04</v>
      </c>
      <c r="FV224" s="366">
        <v>750.66</v>
      </c>
      <c r="FW224" s="366">
        <v>750.66</v>
      </c>
      <c r="FX224" s="366">
        <v>750.66</v>
      </c>
      <c r="FY224" s="366">
        <v>102.77</v>
      </c>
      <c r="FZ224" s="366">
        <v>148.84</v>
      </c>
      <c r="GA224" s="366">
        <v>229.92</v>
      </c>
      <c r="GB224" s="366">
        <v>137.11000000000001</v>
      </c>
      <c r="GC224" s="366">
        <v>466.29</v>
      </c>
      <c r="GD224" s="366">
        <v>166.06</v>
      </c>
      <c r="GE224" s="366">
        <v>258.17</v>
      </c>
      <c r="GF224" s="366">
        <v>26.51</v>
      </c>
      <c r="GG224" s="366">
        <v>26.51</v>
      </c>
      <c r="GH224" s="366">
        <v>278.37</v>
      </c>
      <c r="GI224" s="366">
        <v>314.39999999999998</v>
      </c>
      <c r="GJ224" s="366">
        <v>314.24</v>
      </c>
      <c r="GK224" s="366">
        <v>290.87</v>
      </c>
      <c r="GL224" s="366">
        <v>141.43</v>
      </c>
      <c r="GM224" s="366">
        <v>141.43</v>
      </c>
      <c r="GN224" s="366">
        <v>141.43</v>
      </c>
      <c r="GO224" s="366">
        <v>279.68</v>
      </c>
      <c r="GP224" s="366">
        <v>235.33</v>
      </c>
      <c r="GQ224" s="366">
        <v>336.58</v>
      </c>
      <c r="GR224" s="366">
        <v>342.47</v>
      </c>
      <c r="GS224" s="366">
        <v>209.01</v>
      </c>
      <c r="GT224" s="366">
        <v>279.17</v>
      </c>
      <c r="GU224" s="366">
        <v>101.26</v>
      </c>
      <c r="GV224" s="366">
        <v>462.49</v>
      </c>
      <c r="GW224" s="366">
        <v>117.41</v>
      </c>
      <c r="GX224" s="366">
        <v>275.74</v>
      </c>
      <c r="GY224" s="366">
        <v>132.19999999999999</v>
      </c>
      <c r="GZ224" s="366">
        <v>33.799999999999997</v>
      </c>
      <c r="HA224" s="366">
        <v>293.68</v>
      </c>
      <c r="HB224" s="366">
        <v>293.68</v>
      </c>
      <c r="HC224" s="366">
        <v>293.68</v>
      </c>
      <c r="HD224" s="366">
        <v>428.26</v>
      </c>
      <c r="HE224" s="366">
        <v>150.31</v>
      </c>
      <c r="HF224" s="366">
        <v>106.6</v>
      </c>
      <c r="HG224" s="366">
        <v>234.25</v>
      </c>
      <c r="HH224" s="366">
        <v>234.25</v>
      </c>
      <c r="HI224" s="366">
        <v>234.25</v>
      </c>
      <c r="HJ224" s="366">
        <v>47.38</v>
      </c>
      <c r="HK224" s="366">
        <v>351.66</v>
      </c>
      <c r="HL224" s="366">
        <v>113.9</v>
      </c>
      <c r="HM224" s="366">
        <v>311.52</v>
      </c>
      <c r="HN224" s="366">
        <v>314.24</v>
      </c>
      <c r="HO224" s="366">
        <v>719.96</v>
      </c>
      <c r="HP224" s="366">
        <v>0</v>
      </c>
      <c r="HQ224" s="366">
        <v>750.66</v>
      </c>
      <c r="HR224" s="366">
        <v>571.97</v>
      </c>
      <c r="HS224" s="366">
        <v>310.49</v>
      </c>
      <c r="HT224" s="366">
        <v>192.81</v>
      </c>
      <c r="HU224" s="366">
        <v>160.06</v>
      </c>
      <c r="HV224" s="366">
        <v>178.38</v>
      </c>
    </row>
    <row r="225" spans="1:230">
      <c r="A225" s="366" t="s">
        <v>537</v>
      </c>
      <c r="B225" s="366">
        <v>63.9</v>
      </c>
      <c r="C225" s="366">
        <v>930.39</v>
      </c>
      <c r="D225" s="366">
        <v>734.3</v>
      </c>
      <c r="E225" s="366">
        <v>734.3</v>
      </c>
      <c r="F225" s="366">
        <v>0</v>
      </c>
      <c r="G225" s="366">
        <v>275.14999999999998</v>
      </c>
      <c r="H225" s="366">
        <v>690.68</v>
      </c>
      <c r="I225" s="366">
        <v>573.38</v>
      </c>
      <c r="J225" s="366">
        <v>666.9</v>
      </c>
      <c r="K225" s="366">
        <v>666.9</v>
      </c>
      <c r="L225" s="366">
        <v>752.21</v>
      </c>
      <c r="M225" s="366">
        <v>955.81</v>
      </c>
      <c r="N225" s="366">
        <v>1052.71</v>
      </c>
      <c r="O225" s="366">
        <v>825.03</v>
      </c>
      <c r="P225" s="366">
        <v>825.03</v>
      </c>
      <c r="Q225" s="366">
        <v>825.03</v>
      </c>
      <c r="R225" s="366">
        <v>825.03</v>
      </c>
      <c r="S225" s="366">
        <v>825.03</v>
      </c>
      <c r="T225" s="366">
        <v>498.88</v>
      </c>
      <c r="U225" s="366">
        <v>155.44999999999999</v>
      </c>
      <c r="V225" s="366">
        <v>914.42</v>
      </c>
      <c r="W225" s="366">
        <v>555.61</v>
      </c>
      <c r="X225" s="366">
        <v>555.61</v>
      </c>
      <c r="Y225" s="366">
        <v>555.61</v>
      </c>
      <c r="Z225" s="366">
        <v>952.16</v>
      </c>
      <c r="AA225" s="366">
        <v>269.32</v>
      </c>
      <c r="AB225" s="366">
        <v>468.21</v>
      </c>
      <c r="AC225" s="366">
        <v>436.68</v>
      </c>
      <c r="AD225" s="366">
        <v>436.68</v>
      </c>
      <c r="AE225" s="366">
        <v>785.2</v>
      </c>
      <c r="AF225" s="366">
        <v>249.75</v>
      </c>
      <c r="AG225" s="366">
        <v>587.13</v>
      </c>
      <c r="AH225" s="366">
        <v>619.42999999999995</v>
      </c>
      <c r="AI225" s="366">
        <v>619.42999999999995</v>
      </c>
      <c r="AJ225" s="366">
        <v>619.42999999999995</v>
      </c>
      <c r="AK225" s="366">
        <v>974.36</v>
      </c>
      <c r="AL225" s="366">
        <v>974.36</v>
      </c>
      <c r="AM225" s="366">
        <v>470.93</v>
      </c>
      <c r="AN225" s="366">
        <v>784.2</v>
      </c>
      <c r="AO225" s="366">
        <v>291.76</v>
      </c>
      <c r="AP225" s="366">
        <v>518</v>
      </c>
      <c r="AQ225" s="366">
        <v>57.93</v>
      </c>
      <c r="AR225" s="366">
        <v>706.64</v>
      </c>
      <c r="AS225" s="366">
        <v>765.53</v>
      </c>
      <c r="AT225" s="366">
        <v>765.53</v>
      </c>
      <c r="AU225" s="366">
        <v>829.28</v>
      </c>
      <c r="AV225" s="366">
        <v>125.76</v>
      </c>
      <c r="AW225" s="366">
        <v>629.44000000000005</v>
      </c>
      <c r="AX225" s="366">
        <v>561.04</v>
      </c>
      <c r="AY225" s="366">
        <v>1088.42</v>
      </c>
      <c r="AZ225" s="366">
        <v>899.01</v>
      </c>
      <c r="BA225" s="366">
        <v>223.08</v>
      </c>
      <c r="BB225" s="366">
        <v>1091.31</v>
      </c>
      <c r="BC225" s="366">
        <v>303.98</v>
      </c>
      <c r="BD225" s="366">
        <v>371.25</v>
      </c>
      <c r="BE225" s="366">
        <v>918.48</v>
      </c>
      <c r="BF225" s="366">
        <v>465.18</v>
      </c>
      <c r="BG225" s="366">
        <v>959.71</v>
      </c>
      <c r="BH225" s="366">
        <v>825.03</v>
      </c>
      <c r="BI225" s="366">
        <v>706.67</v>
      </c>
      <c r="BJ225" s="366">
        <v>897.83</v>
      </c>
      <c r="BK225" s="366">
        <v>966.79</v>
      </c>
      <c r="BL225" s="366">
        <v>741.3</v>
      </c>
      <c r="BM225" s="366">
        <v>718.09</v>
      </c>
      <c r="BN225" s="366">
        <v>229.13</v>
      </c>
      <c r="BO225" s="366">
        <v>1008.99</v>
      </c>
      <c r="BP225" s="366">
        <v>974.85</v>
      </c>
      <c r="BQ225" s="366">
        <v>594.08000000000004</v>
      </c>
      <c r="BR225" s="366">
        <v>594.08000000000004</v>
      </c>
      <c r="BS225" s="366">
        <v>906.58</v>
      </c>
      <c r="BT225" s="366">
        <v>698.59</v>
      </c>
      <c r="BU225" s="366">
        <v>458.64</v>
      </c>
      <c r="BV225" s="366">
        <v>468.33</v>
      </c>
      <c r="BW225" s="366">
        <v>888.57</v>
      </c>
      <c r="BX225" s="366">
        <v>847.67</v>
      </c>
      <c r="BY225" s="366">
        <v>941.9</v>
      </c>
      <c r="BZ225" s="366">
        <v>941.9</v>
      </c>
      <c r="CA225" s="366">
        <v>590.64</v>
      </c>
      <c r="CB225" s="366">
        <v>866.1</v>
      </c>
      <c r="CC225" s="366">
        <v>589.87</v>
      </c>
      <c r="CD225" s="366">
        <v>603.35</v>
      </c>
      <c r="CE225" s="366">
        <v>950.02</v>
      </c>
      <c r="CF225" s="366">
        <v>287.62</v>
      </c>
      <c r="CG225" s="366">
        <v>287.62</v>
      </c>
      <c r="CH225" s="366">
        <v>579.08000000000004</v>
      </c>
      <c r="CI225" s="366">
        <v>698.23</v>
      </c>
      <c r="CJ225" s="366">
        <v>240.21</v>
      </c>
      <c r="CK225" s="366">
        <v>946.99</v>
      </c>
      <c r="CL225" s="366">
        <v>843.07</v>
      </c>
      <c r="CM225" s="366">
        <v>334.74</v>
      </c>
      <c r="CN225" s="366">
        <v>847.2</v>
      </c>
      <c r="CO225" s="366">
        <v>705.25</v>
      </c>
      <c r="CP225" s="366">
        <v>600.77</v>
      </c>
      <c r="CQ225" s="366">
        <v>600.77</v>
      </c>
      <c r="CR225" s="366">
        <v>656.57</v>
      </c>
      <c r="CS225" s="366">
        <v>656.57</v>
      </c>
      <c r="CT225" s="366">
        <v>647.13</v>
      </c>
      <c r="CU225" s="366">
        <v>655</v>
      </c>
      <c r="CV225" s="366">
        <v>648.95000000000005</v>
      </c>
      <c r="CW225" s="366">
        <v>914.42</v>
      </c>
      <c r="CX225" s="366">
        <v>577.58000000000004</v>
      </c>
      <c r="CY225" s="366">
        <v>296.68</v>
      </c>
      <c r="CZ225" s="366">
        <v>317.92</v>
      </c>
      <c r="DA225" s="366">
        <v>990.76</v>
      </c>
      <c r="DB225" s="366">
        <v>893.81</v>
      </c>
      <c r="DC225" s="366">
        <v>893.81</v>
      </c>
      <c r="DD225" s="366">
        <v>467.46</v>
      </c>
      <c r="DE225" s="366">
        <v>1068.3900000000001</v>
      </c>
      <c r="DF225" s="366">
        <v>15.54</v>
      </c>
      <c r="DG225" s="366">
        <v>668.58</v>
      </c>
      <c r="DH225" s="366">
        <v>1130.95</v>
      </c>
      <c r="DI225" s="366">
        <v>385.2</v>
      </c>
      <c r="DJ225" s="366">
        <v>334.12</v>
      </c>
      <c r="DK225" s="366">
        <v>810.09</v>
      </c>
      <c r="DL225" s="366">
        <v>454.31</v>
      </c>
      <c r="DM225" s="366">
        <v>917.97</v>
      </c>
      <c r="DN225" s="366">
        <v>372.23</v>
      </c>
      <c r="DO225" s="366">
        <v>836.66</v>
      </c>
      <c r="DP225" s="366">
        <v>504.46</v>
      </c>
      <c r="DQ225" s="366">
        <v>899.91</v>
      </c>
      <c r="DR225" s="366">
        <v>1130.95</v>
      </c>
      <c r="DS225" s="366">
        <v>706.15</v>
      </c>
      <c r="DT225" s="366">
        <v>694.44</v>
      </c>
      <c r="DU225" s="366">
        <v>1021.1</v>
      </c>
      <c r="DV225" s="366">
        <v>978</v>
      </c>
      <c r="DW225" s="366">
        <v>781.95</v>
      </c>
      <c r="DX225" s="366">
        <v>874.89</v>
      </c>
      <c r="DY225" s="366">
        <v>948.28</v>
      </c>
      <c r="DZ225" s="366">
        <v>456.48</v>
      </c>
      <c r="EA225" s="366">
        <v>688.92</v>
      </c>
      <c r="EB225" s="366">
        <v>942.28</v>
      </c>
      <c r="EC225" s="366">
        <v>708.86</v>
      </c>
      <c r="ED225" s="366">
        <v>355.43</v>
      </c>
      <c r="EE225" s="366">
        <v>345.55</v>
      </c>
      <c r="EF225" s="366">
        <v>524.28</v>
      </c>
      <c r="EG225" s="366">
        <v>629.44000000000005</v>
      </c>
      <c r="EH225" s="366">
        <v>629.44000000000005</v>
      </c>
      <c r="EI225" s="366">
        <v>603.82000000000005</v>
      </c>
      <c r="EJ225" s="366">
        <v>1119.01</v>
      </c>
      <c r="EK225" s="366">
        <v>750.91</v>
      </c>
      <c r="EL225" s="366">
        <v>750.91</v>
      </c>
      <c r="EM225" s="366">
        <v>845.02</v>
      </c>
      <c r="EN225" s="366">
        <v>845.02</v>
      </c>
      <c r="EO225" s="366">
        <v>470.93</v>
      </c>
      <c r="EP225" s="366">
        <v>521.82000000000005</v>
      </c>
      <c r="EQ225" s="366">
        <v>637.64</v>
      </c>
      <c r="ER225" s="366">
        <v>188.97</v>
      </c>
      <c r="ES225" s="366">
        <v>930.29</v>
      </c>
      <c r="ET225" s="366">
        <v>576.11</v>
      </c>
      <c r="EU225" s="366">
        <v>63.9</v>
      </c>
      <c r="EV225" s="366">
        <v>555.61</v>
      </c>
      <c r="EW225" s="366">
        <v>603.20000000000005</v>
      </c>
      <c r="EX225" s="366">
        <v>907.03</v>
      </c>
      <c r="EY225" s="366">
        <v>907.03</v>
      </c>
      <c r="EZ225" s="366">
        <v>889.56</v>
      </c>
      <c r="FA225" s="366">
        <v>842.19</v>
      </c>
      <c r="FB225" s="366">
        <v>794.39</v>
      </c>
      <c r="FC225" s="366">
        <v>895.03</v>
      </c>
      <c r="FD225" s="366">
        <v>750.22</v>
      </c>
      <c r="FE225" s="366">
        <v>607.65</v>
      </c>
      <c r="FF225" s="366">
        <v>685.77</v>
      </c>
      <c r="FG225" s="366">
        <v>352.96</v>
      </c>
      <c r="FH225" s="366">
        <v>352.96</v>
      </c>
      <c r="FI225" s="366">
        <v>566.48</v>
      </c>
      <c r="FJ225" s="366">
        <v>572.27</v>
      </c>
      <c r="FK225" s="366">
        <v>958.03</v>
      </c>
      <c r="FL225" s="366">
        <v>956.22</v>
      </c>
      <c r="FM225" s="366">
        <v>470.93</v>
      </c>
      <c r="FN225" s="366">
        <v>586.36</v>
      </c>
      <c r="FO225" s="366">
        <v>697.29</v>
      </c>
      <c r="FP225" s="366">
        <v>927.38</v>
      </c>
      <c r="FQ225" s="366">
        <v>701.16</v>
      </c>
      <c r="FR225" s="366">
        <v>769.55</v>
      </c>
      <c r="FS225" s="366">
        <v>686.48</v>
      </c>
      <c r="FT225" s="366">
        <v>342.17</v>
      </c>
      <c r="FU225" s="366">
        <v>710.62</v>
      </c>
      <c r="FV225" s="366">
        <v>0</v>
      </c>
      <c r="FW225" s="366">
        <v>0</v>
      </c>
      <c r="FX225" s="366">
        <v>0</v>
      </c>
      <c r="FY225" s="366">
        <v>791.33</v>
      </c>
      <c r="FZ225" s="366">
        <v>630.52</v>
      </c>
      <c r="GA225" s="366">
        <v>918.48</v>
      </c>
      <c r="GB225" s="366">
        <v>724.95</v>
      </c>
      <c r="GC225" s="366">
        <v>355.43</v>
      </c>
      <c r="GD225" s="366">
        <v>829.77</v>
      </c>
      <c r="GE225" s="366">
        <v>647.03</v>
      </c>
      <c r="GF225" s="366">
        <v>724.15</v>
      </c>
      <c r="GG225" s="366">
        <v>724.15</v>
      </c>
      <c r="GH225" s="366">
        <v>966.93</v>
      </c>
      <c r="GI225" s="366">
        <v>471.09</v>
      </c>
      <c r="GJ225" s="366">
        <v>470.93</v>
      </c>
      <c r="GK225" s="366">
        <v>954.58</v>
      </c>
      <c r="GL225" s="366">
        <v>617.49</v>
      </c>
      <c r="GM225" s="366">
        <v>617.49</v>
      </c>
      <c r="GN225" s="366">
        <v>617.49</v>
      </c>
      <c r="GO225" s="366">
        <v>478.82</v>
      </c>
      <c r="GP225" s="366">
        <v>923.89</v>
      </c>
      <c r="GQ225" s="366">
        <v>1000.29</v>
      </c>
      <c r="GR225" s="366">
        <v>465.17</v>
      </c>
      <c r="GS225" s="366">
        <v>541.65</v>
      </c>
      <c r="GT225" s="366">
        <v>629.44000000000005</v>
      </c>
      <c r="GU225" s="366">
        <v>784.18</v>
      </c>
      <c r="GV225" s="366">
        <v>1126.2</v>
      </c>
      <c r="GW225" s="366">
        <v>641.95000000000005</v>
      </c>
      <c r="GX225" s="366">
        <v>626.01</v>
      </c>
      <c r="GY225" s="366">
        <v>618.46</v>
      </c>
      <c r="GZ225" s="366">
        <v>749.94</v>
      </c>
      <c r="HA225" s="366">
        <v>702.7</v>
      </c>
      <c r="HB225" s="366">
        <v>702.7</v>
      </c>
      <c r="HC225" s="366">
        <v>702.7</v>
      </c>
      <c r="HD225" s="366">
        <v>420.19</v>
      </c>
      <c r="HE225" s="366">
        <v>838.87</v>
      </c>
      <c r="HF225" s="366">
        <v>795.16</v>
      </c>
      <c r="HG225" s="366">
        <v>922.81</v>
      </c>
      <c r="HH225" s="366">
        <v>922.81</v>
      </c>
      <c r="HI225" s="366">
        <v>922.81</v>
      </c>
      <c r="HJ225" s="366">
        <v>703.28</v>
      </c>
      <c r="HK225" s="366">
        <v>556.05999999999995</v>
      </c>
      <c r="HL225" s="366">
        <v>858.41</v>
      </c>
      <c r="HM225" s="366">
        <v>468.21</v>
      </c>
      <c r="HN225" s="366">
        <v>470.93</v>
      </c>
      <c r="HO225" s="366">
        <v>97.1</v>
      </c>
      <c r="HP225" s="366">
        <v>750.66</v>
      </c>
      <c r="HQ225" s="366">
        <v>0</v>
      </c>
      <c r="HR225" s="366">
        <v>249.75</v>
      </c>
      <c r="HS225" s="366">
        <v>467.18</v>
      </c>
      <c r="HT225" s="366">
        <v>570.88</v>
      </c>
      <c r="HU225" s="366">
        <v>597.55999999999995</v>
      </c>
      <c r="HV225" s="366">
        <v>622.03</v>
      </c>
    </row>
    <row r="226" spans="1:230">
      <c r="A226" s="366" t="s">
        <v>538</v>
      </c>
      <c r="B226" s="366">
        <v>185.85</v>
      </c>
      <c r="C226" s="366">
        <v>680.64</v>
      </c>
      <c r="D226" s="366">
        <v>484.55</v>
      </c>
      <c r="E226" s="366">
        <v>484.55</v>
      </c>
      <c r="F226" s="366">
        <v>249.75</v>
      </c>
      <c r="G226" s="366">
        <v>25.4</v>
      </c>
      <c r="H226" s="366">
        <v>440.93</v>
      </c>
      <c r="I226" s="366">
        <v>394.69</v>
      </c>
      <c r="J226" s="366">
        <v>417.15</v>
      </c>
      <c r="K226" s="366">
        <v>417.15</v>
      </c>
      <c r="L226" s="366">
        <v>502.46</v>
      </c>
      <c r="M226" s="366">
        <v>706.06</v>
      </c>
      <c r="N226" s="366">
        <v>802.96</v>
      </c>
      <c r="O226" s="366">
        <v>646.34</v>
      </c>
      <c r="P226" s="366">
        <v>646.34</v>
      </c>
      <c r="Q226" s="366">
        <v>646.34</v>
      </c>
      <c r="R226" s="366">
        <v>646.34</v>
      </c>
      <c r="S226" s="366">
        <v>646.34</v>
      </c>
      <c r="T226" s="366">
        <v>320.19</v>
      </c>
      <c r="U226" s="366">
        <v>94.3</v>
      </c>
      <c r="V226" s="366">
        <v>735.73</v>
      </c>
      <c r="W226" s="366">
        <v>305.86</v>
      </c>
      <c r="X226" s="366">
        <v>305.86</v>
      </c>
      <c r="Y226" s="366">
        <v>305.86</v>
      </c>
      <c r="Z226" s="366">
        <v>773.47</v>
      </c>
      <c r="AA226" s="366">
        <v>19.57</v>
      </c>
      <c r="AB226" s="366">
        <v>289.52</v>
      </c>
      <c r="AC226" s="366">
        <v>257.99</v>
      </c>
      <c r="AD226" s="366">
        <v>257.99</v>
      </c>
      <c r="AE226" s="366">
        <v>535.45000000000005</v>
      </c>
      <c r="AF226" s="366">
        <v>0</v>
      </c>
      <c r="AG226" s="366">
        <v>337.38</v>
      </c>
      <c r="AH226" s="366">
        <v>440.74</v>
      </c>
      <c r="AI226" s="366">
        <v>440.74</v>
      </c>
      <c r="AJ226" s="366">
        <v>440.74</v>
      </c>
      <c r="AK226" s="366">
        <v>795.67</v>
      </c>
      <c r="AL226" s="366">
        <v>795.67</v>
      </c>
      <c r="AM226" s="366">
        <v>292.24</v>
      </c>
      <c r="AN226" s="366">
        <v>605.51</v>
      </c>
      <c r="AO226" s="366">
        <v>42.01</v>
      </c>
      <c r="AP226" s="366">
        <v>339.31</v>
      </c>
      <c r="AQ226" s="366">
        <v>206.29</v>
      </c>
      <c r="AR226" s="366">
        <v>456.89</v>
      </c>
      <c r="AS226" s="366">
        <v>577.91</v>
      </c>
      <c r="AT226" s="366">
        <v>577.91</v>
      </c>
      <c r="AU226" s="366">
        <v>650.59</v>
      </c>
      <c r="AV226" s="366">
        <v>125.35</v>
      </c>
      <c r="AW226" s="366">
        <v>379.69</v>
      </c>
      <c r="AX226" s="366">
        <v>382.35</v>
      </c>
      <c r="AY226" s="366">
        <v>838.67</v>
      </c>
      <c r="AZ226" s="366">
        <v>649.26</v>
      </c>
      <c r="BA226" s="366">
        <v>218.62</v>
      </c>
      <c r="BB226" s="366">
        <v>841.56</v>
      </c>
      <c r="BC226" s="366">
        <v>137.72</v>
      </c>
      <c r="BD226" s="366">
        <v>227.95</v>
      </c>
      <c r="BE226" s="366">
        <v>739.79</v>
      </c>
      <c r="BF226" s="366">
        <v>286.49</v>
      </c>
      <c r="BG226" s="366">
        <v>781.02</v>
      </c>
      <c r="BH226" s="366">
        <v>646.34</v>
      </c>
      <c r="BI226" s="366">
        <v>456.92</v>
      </c>
      <c r="BJ226" s="366">
        <v>719.14</v>
      </c>
      <c r="BK226" s="366">
        <v>717.04</v>
      </c>
      <c r="BL226" s="366">
        <v>491.55</v>
      </c>
      <c r="BM226" s="366">
        <v>468.34</v>
      </c>
      <c r="BN226" s="366">
        <v>20.62</v>
      </c>
      <c r="BO226" s="366">
        <v>759.24</v>
      </c>
      <c r="BP226" s="366">
        <v>725.1</v>
      </c>
      <c r="BQ226" s="366">
        <v>415.39</v>
      </c>
      <c r="BR226" s="366">
        <v>415.39</v>
      </c>
      <c r="BS226" s="366">
        <v>656.83</v>
      </c>
      <c r="BT226" s="366">
        <v>448.84</v>
      </c>
      <c r="BU226" s="366">
        <v>279.95</v>
      </c>
      <c r="BV226" s="366">
        <v>289.64</v>
      </c>
      <c r="BW226" s="366">
        <v>709.88</v>
      </c>
      <c r="BX226" s="366">
        <v>597.91999999999996</v>
      </c>
      <c r="BY226" s="366">
        <v>763.21</v>
      </c>
      <c r="BZ226" s="366">
        <v>763.21</v>
      </c>
      <c r="CA226" s="366">
        <v>340.89</v>
      </c>
      <c r="CB226" s="366">
        <v>616.35</v>
      </c>
      <c r="CC226" s="366">
        <v>411.18</v>
      </c>
      <c r="CD226" s="366">
        <v>424.66</v>
      </c>
      <c r="CE226" s="366">
        <v>700.27</v>
      </c>
      <c r="CF226" s="366">
        <v>37.869999999999997</v>
      </c>
      <c r="CG226" s="366">
        <v>37.869999999999997</v>
      </c>
      <c r="CH226" s="366">
        <v>400.39</v>
      </c>
      <c r="CI226" s="366">
        <v>519.54</v>
      </c>
      <c r="CJ226" s="366">
        <v>9.68</v>
      </c>
      <c r="CK226" s="366">
        <v>768.3</v>
      </c>
      <c r="CL226" s="366">
        <v>664.38</v>
      </c>
      <c r="CM226" s="366">
        <v>191.44</v>
      </c>
      <c r="CN226" s="366">
        <v>668.51</v>
      </c>
      <c r="CO226" s="366">
        <v>455.5</v>
      </c>
      <c r="CP226" s="366">
        <v>422.08</v>
      </c>
      <c r="CQ226" s="366">
        <v>422.08</v>
      </c>
      <c r="CR226" s="366">
        <v>406.82</v>
      </c>
      <c r="CS226" s="366">
        <v>406.82</v>
      </c>
      <c r="CT226" s="366">
        <v>397.38</v>
      </c>
      <c r="CU226" s="366">
        <v>405.25</v>
      </c>
      <c r="CV226" s="366">
        <v>399.2</v>
      </c>
      <c r="CW226" s="366">
        <v>735.73</v>
      </c>
      <c r="CX226" s="366">
        <v>398.89</v>
      </c>
      <c r="CY226" s="366">
        <v>153.38</v>
      </c>
      <c r="CZ226" s="366">
        <v>123.78</v>
      </c>
      <c r="DA226" s="366">
        <v>741.01</v>
      </c>
      <c r="DB226" s="366">
        <v>715.12</v>
      </c>
      <c r="DC226" s="366">
        <v>715.12</v>
      </c>
      <c r="DD226" s="366">
        <v>217.71</v>
      </c>
      <c r="DE226" s="366">
        <v>818.64</v>
      </c>
      <c r="DF226" s="366">
        <v>234.21</v>
      </c>
      <c r="DG226" s="366">
        <v>489.89</v>
      </c>
      <c r="DH226" s="366">
        <v>881.2</v>
      </c>
      <c r="DI226" s="366">
        <v>135.44999999999999</v>
      </c>
      <c r="DJ226" s="366">
        <v>107.58</v>
      </c>
      <c r="DK226" s="366">
        <v>560.34</v>
      </c>
      <c r="DL226" s="366">
        <v>275.62</v>
      </c>
      <c r="DM226" s="366">
        <v>668.22</v>
      </c>
      <c r="DN226" s="366">
        <v>122.48</v>
      </c>
      <c r="DO226" s="366">
        <v>586.91</v>
      </c>
      <c r="DP226" s="366">
        <v>254.71</v>
      </c>
      <c r="DQ226" s="366">
        <v>721.22</v>
      </c>
      <c r="DR226" s="366">
        <v>881.2</v>
      </c>
      <c r="DS226" s="366">
        <v>456.4</v>
      </c>
      <c r="DT226" s="366">
        <v>444.69</v>
      </c>
      <c r="DU226" s="366">
        <v>771.35</v>
      </c>
      <c r="DV226" s="366">
        <v>799.31</v>
      </c>
      <c r="DW226" s="366">
        <v>561.49</v>
      </c>
      <c r="DX226" s="366">
        <v>696.2</v>
      </c>
      <c r="DY226" s="366">
        <v>769.59</v>
      </c>
      <c r="DZ226" s="366">
        <v>206.73</v>
      </c>
      <c r="EA226" s="366">
        <v>439.17</v>
      </c>
      <c r="EB226" s="366">
        <v>763.59</v>
      </c>
      <c r="EC226" s="366">
        <v>459.11</v>
      </c>
      <c r="ED226" s="366">
        <v>105.68</v>
      </c>
      <c r="EE226" s="366">
        <v>95.8</v>
      </c>
      <c r="EF226" s="366">
        <v>345.59</v>
      </c>
      <c r="EG226" s="366">
        <v>379.69</v>
      </c>
      <c r="EH226" s="366">
        <v>379.69</v>
      </c>
      <c r="EI226" s="366">
        <v>425.13</v>
      </c>
      <c r="EJ226" s="366">
        <v>869.26</v>
      </c>
      <c r="EK226" s="366">
        <v>572.22</v>
      </c>
      <c r="EL226" s="366">
        <v>572.22</v>
      </c>
      <c r="EM226" s="366">
        <v>666.33</v>
      </c>
      <c r="EN226" s="366">
        <v>666.33</v>
      </c>
      <c r="EO226" s="366">
        <v>292.24</v>
      </c>
      <c r="EP226" s="366">
        <v>343.13</v>
      </c>
      <c r="EQ226" s="366">
        <v>387.89</v>
      </c>
      <c r="ER226" s="366">
        <v>103.48</v>
      </c>
      <c r="ES226" s="366">
        <v>680.54</v>
      </c>
      <c r="ET226" s="366">
        <v>397.42</v>
      </c>
      <c r="EU226" s="366">
        <v>185.85</v>
      </c>
      <c r="EV226" s="366">
        <v>305.86</v>
      </c>
      <c r="EW226" s="366">
        <v>424.51</v>
      </c>
      <c r="EX226" s="366">
        <v>657.28</v>
      </c>
      <c r="EY226" s="366">
        <v>657.28</v>
      </c>
      <c r="EZ226" s="366">
        <v>710.87</v>
      </c>
      <c r="FA226" s="366">
        <v>663.5</v>
      </c>
      <c r="FB226" s="366">
        <v>544.64</v>
      </c>
      <c r="FC226" s="366">
        <v>716.34</v>
      </c>
      <c r="FD226" s="366">
        <v>571.53</v>
      </c>
      <c r="FE226" s="366">
        <v>428.96</v>
      </c>
      <c r="FF226" s="366">
        <v>507.08</v>
      </c>
      <c r="FG226" s="366">
        <v>209.66</v>
      </c>
      <c r="FH226" s="366">
        <v>209.66</v>
      </c>
      <c r="FI226" s="366">
        <v>316.73</v>
      </c>
      <c r="FJ226" s="366">
        <v>322.52</v>
      </c>
      <c r="FK226" s="366">
        <v>708.28</v>
      </c>
      <c r="FL226" s="366">
        <v>706.47</v>
      </c>
      <c r="FM226" s="366">
        <v>292.24</v>
      </c>
      <c r="FN226" s="366">
        <v>336.61</v>
      </c>
      <c r="FO226" s="366">
        <v>447.54</v>
      </c>
      <c r="FP226" s="366">
        <v>748.69</v>
      </c>
      <c r="FQ226" s="366">
        <v>451.41</v>
      </c>
      <c r="FR226" s="366">
        <v>519.79999999999995</v>
      </c>
      <c r="FS226" s="366">
        <v>507.79</v>
      </c>
      <c r="FT226" s="366">
        <v>92.42</v>
      </c>
      <c r="FU226" s="366">
        <v>531.92999999999995</v>
      </c>
      <c r="FV226" s="366">
        <v>249.75</v>
      </c>
      <c r="FW226" s="366">
        <v>249.75</v>
      </c>
      <c r="FX226" s="366">
        <v>249.75</v>
      </c>
      <c r="FY226" s="366">
        <v>612.64</v>
      </c>
      <c r="FZ226" s="366">
        <v>451.83</v>
      </c>
      <c r="GA226" s="366">
        <v>739.79</v>
      </c>
      <c r="GB226" s="366">
        <v>546.26</v>
      </c>
      <c r="GC226" s="366">
        <v>105.68</v>
      </c>
      <c r="GD226" s="366">
        <v>580.02</v>
      </c>
      <c r="GE226" s="366">
        <v>397.28</v>
      </c>
      <c r="GF226" s="366">
        <v>545.46</v>
      </c>
      <c r="GG226" s="366">
        <v>545.46</v>
      </c>
      <c r="GH226" s="366">
        <v>788.24</v>
      </c>
      <c r="GI226" s="366">
        <v>292.39999999999998</v>
      </c>
      <c r="GJ226" s="366">
        <v>292.24</v>
      </c>
      <c r="GK226" s="366">
        <v>704.83</v>
      </c>
      <c r="GL226" s="366">
        <v>438.8</v>
      </c>
      <c r="GM226" s="366">
        <v>438.8</v>
      </c>
      <c r="GN226" s="366">
        <v>438.8</v>
      </c>
      <c r="GO226" s="366">
        <v>300.13</v>
      </c>
      <c r="GP226" s="366">
        <v>745.2</v>
      </c>
      <c r="GQ226" s="366">
        <v>750.54</v>
      </c>
      <c r="GR226" s="366">
        <v>229.5</v>
      </c>
      <c r="GS226" s="366">
        <v>362.96</v>
      </c>
      <c r="GT226" s="366">
        <v>379.69</v>
      </c>
      <c r="GU226" s="366">
        <v>553.62</v>
      </c>
      <c r="GV226" s="366">
        <v>876.45</v>
      </c>
      <c r="GW226" s="366">
        <v>463.26</v>
      </c>
      <c r="GX226" s="366">
        <v>376.26</v>
      </c>
      <c r="GY226" s="366">
        <v>439.77</v>
      </c>
      <c r="GZ226" s="366">
        <v>571.25</v>
      </c>
      <c r="HA226" s="366">
        <v>452.95</v>
      </c>
      <c r="HB226" s="366">
        <v>452.95</v>
      </c>
      <c r="HC226" s="366">
        <v>452.95</v>
      </c>
      <c r="HD226" s="366">
        <v>170.44</v>
      </c>
      <c r="HE226" s="366">
        <v>660.18</v>
      </c>
      <c r="HF226" s="366">
        <v>616.47</v>
      </c>
      <c r="HG226" s="366">
        <v>744.12</v>
      </c>
      <c r="HH226" s="366">
        <v>744.12</v>
      </c>
      <c r="HI226" s="366">
        <v>744.12</v>
      </c>
      <c r="HJ226" s="366">
        <v>524.59</v>
      </c>
      <c r="HK226" s="366">
        <v>306.31</v>
      </c>
      <c r="HL226" s="366">
        <v>679.72</v>
      </c>
      <c r="HM226" s="366">
        <v>289.52</v>
      </c>
      <c r="HN226" s="366">
        <v>292.24</v>
      </c>
      <c r="HO226" s="366">
        <v>154.01</v>
      </c>
      <c r="HP226" s="366">
        <v>571.97</v>
      </c>
      <c r="HQ226" s="366">
        <v>249.75</v>
      </c>
      <c r="HR226" s="366">
        <v>0</v>
      </c>
      <c r="HS226" s="366">
        <v>288.49</v>
      </c>
      <c r="HT226" s="366">
        <v>392.19</v>
      </c>
      <c r="HU226" s="366">
        <v>418.87</v>
      </c>
      <c r="HV226" s="366">
        <v>443.34</v>
      </c>
    </row>
    <row r="227" spans="1:230">
      <c r="A227" s="366" t="s">
        <v>545</v>
      </c>
      <c r="B227" s="366">
        <v>403.28</v>
      </c>
      <c r="C227" s="366">
        <v>509.43</v>
      </c>
      <c r="D227" s="366">
        <v>404.05</v>
      </c>
      <c r="E227" s="366">
        <v>404.05</v>
      </c>
      <c r="F227" s="366">
        <v>467.18</v>
      </c>
      <c r="G227" s="366">
        <v>274.75</v>
      </c>
      <c r="H227" s="366">
        <v>360.43</v>
      </c>
      <c r="I227" s="366">
        <v>133.21</v>
      </c>
      <c r="J227" s="366">
        <v>336.65</v>
      </c>
      <c r="K227" s="366">
        <v>336.65</v>
      </c>
      <c r="L227" s="366">
        <v>400.81</v>
      </c>
      <c r="M227" s="366">
        <v>534.85</v>
      </c>
      <c r="N227" s="366">
        <v>631.75</v>
      </c>
      <c r="O227" s="366">
        <v>384.86</v>
      </c>
      <c r="P227" s="366">
        <v>384.86</v>
      </c>
      <c r="Q227" s="366">
        <v>384.86</v>
      </c>
      <c r="R227" s="366">
        <v>384.86</v>
      </c>
      <c r="S227" s="366">
        <v>384.86</v>
      </c>
      <c r="T227" s="366">
        <v>58.71</v>
      </c>
      <c r="U227" s="366">
        <v>382.79</v>
      </c>
      <c r="V227" s="366">
        <v>474.25</v>
      </c>
      <c r="W227" s="366">
        <v>255.36</v>
      </c>
      <c r="X227" s="366">
        <v>255.36</v>
      </c>
      <c r="Y227" s="366">
        <v>255.36</v>
      </c>
      <c r="Z227" s="366">
        <v>511.99</v>
      </c>
      <c r="AA227" s="366">
        <v>268.92</v>
      </c>
      <c r="AB227" s="366">
        <v>5.03</v>
      </c>
      <c r="AC227" s="366">
        <v>30.5</v>
      </c>
      <c r="AD227" s="366">
        <v>30.5</v>
      </c>
      <c r="AE227" s="366">
        <v>359.3</v>
      </c>
      <c r="AF227" s="366">
        <v>288.49</v>
      </c>
      <c r="AG227" s="366">
        <v>256.88</v>
      </c>
      <c r="AH227" s="366">
        <v>179.26</v>
      </c>
      <c r="AI227" s="366">
        <v>179.26</v>
      </c>
      <c r="AJ227" s="366">
        <v>179.26</v>
      </c>
      <c r="AK227" s="366">
        <v>534.19000000000005</v>
      </c>
      <c r="AL227" s="366">
        <v>534.19000000000005</v>
      </c>
      <c r="AM227" s="366">
        <v>3.75</v>
      </c>
      <c r="AN227" s="366">
        <v>344.03</v>
      </c>
      <c r="AO227" s="366">
        <v>281.87</v>
      </c>
      <c r="AP227" s="366">
        <v>88.16</v>
      </c>
      <c r="AQ227" s="366">
        <v>423.72</v>
      </c>
      <c r="AR227" s="366">
        <v>376.39</v>
      </c>
      <c r="AS227" s="366">
        <v>325.36</v>
      </c>
      <c r="AT227" s="366">
        <v>325.36</v>
      </c>
      <c r="AU227" s="366">
        <v>389.11</v>
      </c>
      <c r="AV227" s="366">
        <v>413.84</v>
      </c>
      <c r="AW227" s="366">
        <v>299.19</v>
      </c>
      <c r="AX227" s="366">
        <v>120.87</v>
      </c>
      <c r="AY227" s="366">
        <v>667.46</v>
      </c>
      <c r="AZ227" s="366">
        <v>478.05</v>
      </c>
      <c r="BA227" s="366">
        <v>244.1</v>
      </c>
      <c r="BB227" s="366">
        <v>670.35</v>
      </c>
      <c r="BC227" s="366">
        <v>186.16</v>
      </c>
      <c r="BD227" s="366">
        <v>95.93</v>
      </c>
      <c r="BE227" s="366">
        <v>478.31</v>
      </c>
      <c r="BF227" s="366">
        <v>2</v>
      </c>
      <c r="BG227" s="366">
        <v>519.54</v>
      </c>
      <c r="BH227" s="366">
        <v>384.86</v>
      </c>
      <c r="BI227" s="366">
        <v>376.42</v>
      </c>
      <c r="BJ227" s="366">
        <v>457.66</v>
      </c>
      <c r="BK227" s="366">
        <v>545.83000000000004</v>
      </c>
      <c r="BL227" s="366">
        <v>403.2</v>
      </c>
      <c r="BM227" s="366">
        <v>387.84</v>
      </c>
      <c r="BN227" s="366">
        <v>309.11</v>
      </c>
      <c r="BO227" s="366">
        <v>588.03</v>
      </c>
      <c r="BP227" s="366">
        <v>553.89</v>
      </c>
      <c r="BQ227" s="366">
        <v>153.91</v>
      </c>
      <c r="BR227" s="366">
        <v>153.91</v>
      </c>
      <c r="BS227" s="366">
        <v>485.62</v>
      </c>
      <c r="BT227" s="366">
        <v>368.34</v>
      </c>
      <c r="BU227" s="366">
        <v>18.47</v>
      </c>
      <c r="BV227" s="366">
        <v>5.15</v>
      </c>
      <c r="BW227" s="366">
        <v>448.4</v>
      </c>
      <c r="BX227" s="366">
        <v>426.71</v>
      </c>
      <c r="BY227" s="366">
        <v>501.73</v>
      </c>
      <c r="BZ227" s="366">
        <v>501.73</v>
      </c>
      <c r="CA227" s="366">
        <v>260.39</v>
      </c>
      <c r="CB227" s="366">
        <v>445.14</v>
      </c>
      <c r="CC227" s="366">
        <v>149.69999999999999</v>
      </c>
      <c r="CD227" s="366">
        <v>163.18</v>
      </c>
      <c r="CE227" s="366">
        <v>529.05999999999995</v>
      </c>
      <c r="CF227" s="366">
        <v>287.22000000000003</v>
      </c>
      <c r="CG227" s="366">
        <v>287.22000000000003</v>
      </c>
      <c r="CH227" s="366">
        <v>138.91</v>
      </c>
      <c r="CI227" s="366">
        <v>258.06</v>
      </c>
      <c r="CJ227" s="366">
        <v>298.17</v>
      </c>
      <c r="CK227" s="366">
        <v>506.82</v>
      </c>
      <c r="CL227" s="366">
        <v>402.9</v>
      </c>
      <c r="CM227" s="366">
        <v>132.44</v>
      </c>
      <c r="CN227" s="366">
        <v>407.03</v>
      </c>
      <c r="CO227" s="366">
        <v>375</v>
      </c>
      <c r="CP227" s="366">
        <v>160.6</v>
      </c>
      <c r="CQ227" s="366">
        <v>160.6</v>
      </c>
      <c r="CR227" s="366">
        <v>326.32</v>
      </c>
      <c r="CS227" s="366">
        <v>326.32</v>
      </c>
      <c r="CT227" s="366">
        <v>316.88</v>
      </c>
      <c r="CU227" s="366">
        <v>324.75</v>
      </c>
      <c r="CV227" s="366">
        <v>318.7</v>
      </c>
      <c r="CW227" s="366">
        <v>474.25</v>
      </c>
      <c r="CX227" s="366">
        <v>137.41</v>
      </c>
      <c r="CY227" s="366">
        <v>178.86</v>
      </c>
      <c r="CZ227" s="366">
        <v>200.1</v>
      </c>
      <c r="DA227" s="366">
        <v>569.79999999999995</v>
      </c>
      <c r="DB227" s="366">
        <v>453.64</v>
      </c>
      <c r="DC227" s="366">
        <v>453.64</v>
      </c>
      <c r="DD227" s="366">
        <v>202.36</v>
      </c>
      <c r="DE227" s="366">
        <v>647.42999999999995</v>
      </c>
      <c r="DF227" s="366">
        <v>451.64</v>
      </c>
      <c r="DG227" s="366">
        <v>228.41</v>
      </c>
      <c r="DH227" s="366">
        <v>709.99</v>
      </c>
      <c r="DI227" s="366">
        <v>153.04</v>
      </c>
      <c r="DJ227" s="366">
        <v>216.3</v>
      </c>
      <c r="DK227" s="366">
        <v>389.13</v>
      </c>
      <c r="DL227" s="366">
        <v>24.47</v>
      </c>
      <c r="DM227" s="366">
        <v>497.01</v>
      </c>
      <c r="DN227" s="366">
        <v>167.8</v>
      </c>
      <c r="DO227" s="366">
        <v>415.7</v>
      </c>
      <c r="DP227" s="366">
        <v>204.21</v>
      </c>
      <c r="DQ227" s="366">
        <v>459.74</v>
      </c>
      <c r="DR227" s="366">
        <v>709.99</v>
      </c>
      <c r="DS227" s="366">
        <v>375.9</v>
      </c>
      <c r="DT227" s="366">
        <v>364.19</v>
      </c>
      <c r="DU227" s="366">
        <v>600.14</v>
      </c>
      <c r="DV227" s="366">
        <v>537.83000000000004</v>
      </c>
      <c r="DW227" s="366">
        <v>341.78</v>
      </c>
      <c r="DX227" s="366">
        <v>434.72</v>
      </c>
      <c r="DY227" s="366">
        <v>508.11</v>
      </c>
      <c r="DZ227" s="366">
        <v>191.38</v>
      </c>
      <c r="EA227" s="366">
        <v>358.67</v>
      </c>
      <c r="EB227" s="366">
        <v>502.11</v>
      </c>
      <c r="EC227" s="366">
        <v>378.61</v>
      </c>
      <c r="ED227" s="366">
        <v>182.81</v>
      </c>
      <c r="EE227" s="366">
        <v>193.6</v>
      </c>
      <c r="EF227" s="366">
        <v>94.44</v>
      </c>
      <c r="EG227" s="366">
        <v>299.19</v>
      </c>
      <c r="EH227" s="366">
        <v>299.19</v>
      </c>
      <c r="EI227" s="366">
        <v>163.65</v>
      </c>
      <c r="EJ227" s="366">
        <v>698.05</v>
      </c>
      <c r="EK227" s="366">
        <v>310.74</v>
      </c>
      <c r="EL227" s="366">
        <v>310.74</v>
      </c>
      <c r="EM227" s="366">
        <v>404.85</v>
      </c>
      <c r="EN227" s="366">
        <v>404.85</v>
      </c>
      <c r="EO227" s="366">
        <v>3.75</v>
      </c>
      <c r="EP227" s="366">
        <v>81.650000000000006</v>
      </c>
      <c r="EQ227" s="366">
        <v>307.39</v>
      </c>
      <c r="ER227" s="366">
        <v>352.83</v>
      </c>
      <c r="ES227" s="366">
        <v>509.33</v>
      </c>
      <c r="ET227" s="366">
        <v>135.94</v>
      </c>
      <c r="EU227" s="366">
        <v>403.28</v>
      </c>
      <c r="EV227" s="366">
        <v>255.36</v>
      </c>
      <c r="EW227" s="366">
        <v>163.03</v>
      </c>
      <c r="EX227" s="366">
        <v>486.07</v>
      </c>
      <c r="EY227" s="366">
        <v>486.07</v>
      </c>
      <c r="EZ227" s="366">
        <v>449.39</v>
      </c>
      <c r="FA227" s="366">
        <v>402.02</v>
      </c>
      <c r="FB227" s="366">
        <v>373.43</v>
      </c>
      <c r="FC227" s="366">
        <v>454.86</v>
      </c>
      <c r="FD227" s="366">
        <v>310.05</v>
      </c>
      <c r="FE227" s="366">
        <v>167.48</v>
      </c>
      <c r="FF227" s="366">
        <v>245.6</v>
      </c>
      <c r="FG227" s="366">
        <v>235.14</v>
      </c>
      <c r="FH227" s="366">
        <v>235.14</v>
      </c>
      <c r="FI227" s="366">
        <v>236.23</v>
      </c>
      <c r="FJ227" s="366">
        <v>242.02</v>
      </c>
      <c r="FK227" s="366">
        <v>537.07000000000005</v>
      </c>
      <c r="FL227" s="366">
        <v>535.26</v>
      </c>
      <c r="FM227" s="366">
        <v>3.75</v>
      </c>
      <c r="FN227" s="366">
        <v>286.11</v>
      </c>
      <c r="FO227" s="366">
        <v>367.04</v>
      </c>
      <c r="FP227" s="366">
        <v>487.21</v>
      </c>
      <c r="FQ227" s="366">
        <v>370.91</v>
      </c>
      <c r="FR227" s="366">
        <v>418.15</v>
      </c>
      <c r="FS227" s="366">
        <v>246.31</v>
      </c>
      <c r="FT227" s="366">
        <v>231.46</v>
      </c>
      <c r="FU227" s="366">
        <v>270.45</v>
      </c>
      <c r="FV227" s="366">
        <v>467.18</v>
      </c>
      <c r="FW227" s="366">
        <v>467.18</v>
      </c>
      <c r="FX227" s="366">
        <v>467.18</v>
      </c>
      <c r="FY227" s="366">
        <v>351.16</v>
      </c>
      <c r="FZ227" s="366">
        <v>190.35</v>
      </c>
      <c r="GA227" s="366">
        <v>478.31</v>
      </c>
      <c r="GB227" s="366">
        <v>284.77999999999997</v>
      </c>
      <c r="GC227" s="366">
        <v>182.81</v>
      </c>
      <c r="GD227" s="366">
        <v>408.81</v>
      </c>
      <c r="GE227" s="366">
        <v>316.77999999999997</v>
      </c>
      <c r="GF227" s="366">
        <v>283.98</v>
      </c>
      <c r="GG227" s="366">
        <v>283.98</v>
      </c>
      <c r="GH227" s="366">
        <v>526.76</v>
      </c>
      <c r="GI227" s="366">
        <v>3.91</v>
      </c>
      <c r="GJ227" s="366">
        <v>3.75</v>
      </c>
      <c r="GK227" s="366">
        <v>533.62</v>
      </c>
      <c r="GL227" s="366">
        <v>177.32</v>
      </c>
      <c r="GM227" s="366">
        <v>177.32</v>
      </c>
      <c r="GN227" s="366">
        <v>177.32</v>
      </c>
      <c r="GO227" s="366">
        <v>48.98</v>
      </c>
      <c r="GP227" s="366">
        <v>483.72</v>
      </c>
      <c r="GQ227" s="366">
        <v>579.33000000000004</v>
      </c>
      <c r="GR227" s="366">
        <v>58.99</v>
      </c>
      <c r="GS227" s="366">
        <v>101.48</v>
      </c>
      <c r="GT227" s="366">
        <v>299.19</v>
      </c>
      <c r="GU227" s="366">
        <v>344.01</v>
      </c>
      <c r="GV227" s="366">
        <v>705.24</v>
      </c>
      <c r="GW227" s="366">
        <v>201.78</v>
      </c>
      <c r="GX227" s="366">
        <v>295.76</v>
      </c>
      <c r="GY227" s="366">
        <v>178.29</v>
      </c>
      <c r="GZ227" s="366">
        <v>309.77</v>
      </c>
      <c r="HA227" s="366">
        <v>372.45</v>
      </c>
      <c r="HB227" s="366">
        <v>372.45</v>
      </c>
      <c r="HC227" s="366">
        <v>372.45</v>
      </c>
      <c r="HD227" s="366">
        <v>155.09</v>
      </c>
      <c r="HE227" s="366">
        <v>398.7</v>
      </c>
      <c r="HF227" s="366">
        <v>354.99</v>
      </c>
      <c r="HG227" s="366">
        <v>482.64</v>
      </c>
      <c r="HH227" s="366">
        <v>482.64</v>
      </c>
      <c r="HI227" s="366">
        <v>482.64</v>
      </c>
      <c r="HJ227" s="366">
        <v>263.11</v>
      </c>
      <c r="HK227" s="366">
        <v>225.81</v>
      </c>
      <c r="HL227" s="366">
        <v>418.24</v>
      </c>
      <c r="HM227" s="366">
        <v>5.03</v>
      </c>
      <c r="HN227" s="366">
        <v>3.75</v>
      </c>
      <c r="HO227" s="366">
        <v>436.48</v>
      </c>
      <c r="HP227" s="366">
        <v>310.49</v>
      </c>
      <c r="HQ227" s="366">
        <v>467.18</v>
      </c>
      <c r="HR227" s="366">
        <v>288.49</v>
      </c>
      <c r="HS227" s="366">
        <v>0</v>
      </c>
      <c r="HT227" s="366">
        <v>141.04</v>
      </c>
      <c r="HU227" s="366">
        <v>157.38999999999999</v>
      </c>
      <c r="HV227" s="366">
        <v>181.86</v>
      </c>
    </row>
    <row r="228" spans="1:230">
      <c r="A228" s="366" t="s">
        <v>539</v>
      </c>
      <c r="B228" s="366">
        <v>506.98</v>
      </c>
      <c r="C228" s="366">
        <v>391.75</v>
      </c>
      <c r="D228" s="366">
        <v>292.52</v>
      </c>
      <c r="E228" s="366">
        <v>292.52</v>
      </c>
      <c r="F228" s="366">
        <v>570.88</v>
      </c>
      <c r="G228" s="366">
        <v>378.45</v>
      </c>
      <c r="H228" s="366">
        <v>312.58999999999997</v>
      </c>
      <c r="I228" s="366">
        <v>15.53</v>
      </c>
      <c r="J228" s="366">
        <v>288.81</v>
      </c>
      <c r="K228" s="366">
        <v>288.81</v>
      </c>
      <c r="L228" s="366">
        <v>283.13</v>
      </c>
      <c r="M228" s="366">
        <v>417.17</v>
      </c>
      <c r="N228" s="366">
        <v>514.07000000000005</v>
      </c>
      <c r="O228" s="366">
        <v>267.18</v>
      </c>
      <c r="P228" s="366">
        <v>267.18</v>
      </c>
      <c r="Q228" s="366">
        <v>267.18</v>
      </c>
      <c r="R228" s="366">
        <v>267.18</v>
      </c>
      <c r="S228" s="366">
        <v>267.18</v>
      </c>
      <c r="T228" s="366">
        <v>90.03</v>
      </c>
      <c r="U228" s="366">
        <v>486.49</v>
      </c>
      <c r="V228" s="366">
        <v>356.57</v>
      </c>
      <c r="W228" s="366">
        <v>207.52</v>
      </c>
      <c r="X228" s="366">
        <v>207.52</v>
      </c>
      <c r="Y228" s="366">
        <v>207.52</v>
      </c>
      <c r="Z228" s="366">
        <v>394.31</v>
      </c>
      <c r="AA228" s="366">
        <v>372.62</v>
      </c>
      <c r="AB228" s="366">
        <v>142.07</v>
      </c>
      <c r="AC228" s="366">
        <v>134.19999999999999</v>
      </c>
      <c r="AD228" s="366">
        <v>134.19999999999999</v>
      </c>
      <c r="AE228" s="366">
        <v>241.62</v>
      </c>
      <c r="AF228" s="366">
        <v>392.19</v>
      </c>
      <c r="AG228" s="366">
        <v>209.04</v>
      </c>
      <c r="AH228" s="366">
        <v>61.58</v>
      </c>
      <c r="AI228" s="366">
        <v>61.58</v>
      </c>
      <c r="AJ228" s="366">
        <v>61.58</v>
      </c>
      <c r="AK228" s="366">
        <v>416.51</v>
      </c>
      <c r="AL228" s="366">
        <v>416.51</v>
      </c>
      <c r="AM228" s="366">
        <v>144.79</v>
      </c>
      <c r="AN228" s="366">
        <v>226.35</v>
      </c>
      <c r="AO228" s="366">
        <v>385.57</v>
      </c>
      <c r="AP228" s="366">
        <v>52.88</v>
      </c>
      <c r="AQ228" s="366">
        <v>527.41999999999996</v>
      </c>
      <c r="AR228" s="366">
        <v>328.55</v>
      </c>
      <c r="AS228" s="366">
        <v>207.68</v>
      </c>
      <c r="AT228" s="366">
        <v>207.68</v>
      </c>
      <c r="AU228" s="366">
        <v>271.43</v>
      </c>
      <c r="AV228" s="366">
        <v>517.54</v>
      </c>
      <c r="AW228" s="366">
        <v>251.35</v>
      </c>
      <c r="AX228" s="366">
        <v>96.71</v>
      </c>
      <c r="AY228" s="366">
        <v>549.78</v>
      </c>
      <c r="AZ228" s="366">
        <v>360.37</v>
      </c>
      <c r="BA228" s="366">
        <v>347.8</v>
      </c>
      <c r="BB228" s="366">
        <v>552.66999999999996</v>
      </c>
      <c r="BC228" s="366">
        <v>289.86</v>
      </c>
      <c r="BD228" s="366">
        <v>199.63</v>
      </c>
      <c r="BE228" s="366">
        <v>360.63</v>
      </c>
      <c r="BF228" s="366">
        <v>139.04</v>
      </c>
      <c r="BG228" s="366">
        <v>401.86</v>
      </c>
      <c r="BH228" s="366">
        <v>267.18</v>
      </c>
      <c r="BI228" s="366">
        <v>328.58</v>
      </c>
      <c r="BJ228" s="366">
        <v>339.98</v>
      </c>
      <c r="BK228" s="366">
        <v>428.15</v>
      </c>
      <c r="BL228" s="366">
        <v>285.52</v>
      </c>
      <c r="BM228" s="366">
        <v>308.73</v>
      </c>
      <c r="BN228" s="366">
        <v>412.81</v>
      </c>
      <c r="BO228" s="366">
        <v>470.35</v>
      </c>
      <c r="BP228" s="366">
        <v>436.21</v>
      </c>
      <c r="BQ228" s="366">
        <v>36.229999999999997</v>
      </c>
      <c r="BR228" s="366">
        <v>36.229999999999997</v>
      </c>
      <c r="BS228" s="366">
        <v>367.94</v>
      </c>
      <c r="BT228" s="366">
        <v>320.5</v>
      </c>
      <c r="BU228" s="366">
        <v>122.57</v>
      </c>
      <c r="BV228" s="366">
        <v>142.19</v>
      </c>
      <c r="BW228" s="366">
        <v>330.72</v>
      </c>
      <c r="BX228" s="366">
        <v>309.02999999999997</v>
      </c>
      <c r="BY228" s="366">
        <v>384.05</v>
      </c>
      <c r="BZ228" s="366">
        <v>384.05</v>
      </c>
      <c r="CA228" s="366">
        <v>212.55</v>
      </c>
      <c r="CB228" s="366">
        <v>327.45999999999998</v>
      </c>
      <c r="CC228" s="366">
        <v>67.88</v>
      </c>
      <c r="CD228" s="366">
        <v>81.36</v>
      </c>
      <c r="CE228" s="366">
        <v>411.38</v>
      </c>
      <c r="CF228" s="366">
        <v>390.92</v>
      </c>
      <c r="CG228" s="366">
        <v>390.92</v>
      </c>
      <c r="CH228" s="366">
        <v>21.23</v>
      </c>
      <c r="CI228" s="366">
        <v>140.38</v>
      </c>
      <c r="CJ228" s="366">
        <v>401.87</v>
      </c>
      <c r="CK228" s="366">
        <v>389.14</v>
      </c>
      <c r="CL228" s="366">
        <v>285.22000000000003</v>
      </c>
      <c r="CM228" s="366">
        <v>236.14</v>
      </c>
      <c r="CN228" s="366">
        <v>289.35000000000002</v>
      </c>
      <c r="CO228" s="366">
        <v>327.16000000000003</v>
      </c>
      <c r="CP228" s="366">
        <v>42.92</v>
      </c>
      <c r="CQ228" s="366">
        <v>42.92</v>
      </c>
      <c r="CR228" s="366">
        <v>278.48</v>
      </c>
      <c r="CS228" s="366">
        <v>278.48</v>
      </c>
      <c r="CT228" s="366">
        <v>269.04000000000002</v>
      </c>
      <c r="CU228" s="366">
        <v>276.91000000000003</v>
      </c>
      <c r="CV228" s="366">
        <v>270.86</v>
      </c>
      <c r="CW228" s="366">
        <v>356.57</v>
      </c>
      <c r="CX228" s="366">
        <v>86.95</v>
      </c>
      <c r="CY228" s="366">
        <v>282.56</v>
      </c>
      <c r="CZ228" s="366">
        <v>303.8</v>
      </c>
      <c r="DA228" s="366">
        <v>452.12</v>
      </c>
      <c r="DB228" s="366">
        <v>335.96</v>
      </c>
      <c r="DC228" s="366">
        <v>335.96</v>
      </c>
      <c r="DD228" s="366">
        <v>194.68</v>
      </c>
      <c r="DE228" s="366">
        <v>529.75</v>
      </c>
      <c r="DF228" s="366">
        <v>555.34</v>
      </c>
      <c r="DG228" s="366">
        <v>110.73</v>
      </c>
      <c r="DH228" s="366">
        <v>592.30999999999995</v>
      </c>
      <c r="DI228" s="366">
        <v>256.74</v>
      </c>
      <c r="DJ228" s="366">
        <v>320</v>
      </c>
      <c r="DK228" s="366">
        <v>271.45</v>
      </c>
      <c r="DL228" s="366">
        <v>116.57</v>
      </c>
      <c r="DM228" s="366">
        <v>379.33</v>
      </c>
      <c r="DN228" s="366">
        <v>271.5</v>
      </c>
      <c r="DO228" s="366">
        <v>298.02</v>
      </c>
      <c r="DP228" s="366">
        <v>156.37</v>
      </c>
      <c r="DQ228" s="366">
        <v>342.06</v>
      </c>
      <c r="DR228" s="366">
        <v>592.30999999999995</v>
      </c>
      <c r="DS228" s="366">
        <v>328.06</v>
      </c>
      <c r="DT228" s="366">
        <v>316.35000000000002</v>
      </c>
      <c r="DU228" s="366">
        <v>482.46</v>
      </c>
      <c r="DV228" s="366">
        <v>420.15</v>
      </c>
      <c r="DW228" s="366">
        <v>224.1</v>
      </c>
      <c r="DX228" s="366">
        <v>317.04000000000002</v>
      </c>
      <c r="DY228" s="366">
        <v>390.43</v>
      </c>
      <c r="DZ228" s="366">
        <v>204.35</v>
      </c>
      <c r="EA228" s="366">
        <v>310.83</v>
      </c>
      <c r="EB228" s="366">
        <v>384.43</v>
      </c>
      <c r="EC228" s="366">
        <v>317.95999999999998</v>
      </c>
      <c r="ED228" s="366">
        <v>286.51</v>
      </c>
      <c r="EE228" s="366">
        <v>297.3</v>
      </c>
      <c r="EF228" s="366">
        <v>46.6</v>
      </c>
      <c r="EG228" s="366">
        <v>251.35</v>
      </c>
      <c r="EH228" s="366">
        <v>251.35</v>
      </c>
      <c r="EI228" s="366">
        <v>81.83</v>
      </c>
      <c r="EJ228" s="366">
        <v>580.37</v>
      </c>
      <c r="EK228" s="366">
        <v>193.06</v>
      </c>
      <c r="EL228" s="366">
        <v>193.06</v>
      </c>
      <c r="EM228" s="366">
        <v>287.17</v>
      </c>
      <c r="EN228" s="366">
        <v>287.17</v>
      </c>
      <c r="EO228" s="366">
        <v>144.79</v>
      </c>
      <c r="EP228" s="366">
        <v>135.93</v>
      </c>
      <c r="EQ228" s="366">
        <v>259.55</v>
      </c>
      <c r="ER228" s="366">
        <v>456.53</v>
      </c>
      <c r="ES228" s="366">
        <v>391.65</v>
      </c>
      <c r="ET228" s="366">
        <v>18.260000000000002</v>
      </c>
      <c r="EU228" s="366">
        <v>506.98</v>
      </c>
      <c r="EV228" s="366">
        <v>207.52</v>
      </c>
      <c r="EW228" s="366">
        <v>81.209999999999994</v>
      </c>
      <c r="EX228" s="366">
        <v>368.39</v>
      </c>
      <c r="EY228" s="366">
        <v>368.39</v>
      </c>
      <c r="EZ228" s="366">
        <v>331.71</v>
      </c>
      <c r="FA228" s="366">
        <v>284.33999999999997</v>
      </c>
      <c r="FB228" s="366">
        <v>255.75</v>
      </c>
      <c r="FC228" s="366">
        <v>337.18</v>
      </c>
      <c r="FD228" s="366">
        <v>192.37</v>
      </c>
      <c r="FE228" s="366">
        <v>85.66</v>
      </c>
      <c r="FF228" s="366">
        <v>127.92</v>
      </c>
      <c r="FG228" s="366">
        <v>338.84</v>
      </c>
      <c r="FH228" s="366">
        <v>338.84</v>
      </c>
      <c r="FI228" s="366">
        <v>188.39</v>
      </c>
      <c r="FJ228" s="366">
        <v>194.18</v>
      </c>
      <c r="FK228" s="366">
        <v>419.39</v>
      </c>
      <c r="FL228" s="366">
        <v>417.58</v>
      </c>
      <c r="FM228" s="366">
        <v>144.79</v>
      </c>
      <c r="FN228" s="366">
        <v>238.27</v>
      </c>
      <c r="FO228" s="366">
        <v>319.2</v>
      </c>
      <c r="FP228" s="366">
        <v>369.53</v>
      </c>
      <c r="FQ228" s="366">
        <v>323.07</v>
      </c>
      <c r="FR228" s="366">
        <v>300.47000000000003</v>
      </c>
      <c r="FS228" s="366">
        <v>128.63</v>
      </c>
      <c r="FT228" s="366">
        <v>335.16</v>
      </c>
      <c r="FU228" s="366">
        <v>152.77000000000001</v>
      </c>
      <c r="FV228" s="366">
        <v>570.88</v>
      </c>
      <c r="FW228" s="366">
        <v>570.88</v>
      </c>
      <c r="FX228" s="366">
        <v>570.88</v>
      </c>
      <c r="FY228" s="366">
        <v>233.48</v>
      </c>
      <c r="FZ228" s="366">
        <v>108.53</v>
      </c>
      <c r="GA228" s="366">
        <v>360.63</v>
      </c>
      <c r="GB228" s="366">
        <v>167.1</v>
      </c>
      <c r="GC228" s="366">
        <v>286.51</v>
      </c>
      <c r="GD228" s="366">
        <v>291.13</v>
      </c>
      <c r="GE228" s="366">
        <v>268.94</v>
      </c>
      <c r="GF228" s="366">
        <v>166.3</v>
      </c>
      <c r="GG228" s="366">
        <v>166.3</v>
      </c>
      <c r="GH228" s="366">
        <v>409.08</v>
      </c>
      <c r="GI228" s="366">
        <v>144.94999999999999</v>
      </c>
      <c r="GJ228" s="366">
        <v>144.79</v>
      </c>
      <c r="GK228" s="366">
        <v>415.94</v>
      </c>
      <c r="GL228" s="366">
        <v>95.5</v>
      </c>
      <c r="GM228" s="366">
        <v>95.5</v>
      </c>
      <c r="GN228" s="366">
        <v>95.5</v>
      </c>
      <c r="GO228" s="366">
        <v>92.06</v>
      </c>
      <c r="GP228" s="366">
        <v>366.04</v>
      </c>
      <c r="GQ228" s="366">
        <v>461.65</v>
      </c>
      <c r="GR228" s="366">
        <v>162.69</v>
      </c>
      <c r="GS228" s="366">
        <v>47.26</v>
      </c>
      <c r="GT228" s="366">
        <v>251.35</v>
      </c>
      <c r="GU228" s="366">
        <v>226.33</v>
      </c>
      <c r="GV228" s="366">
        <v>587.55999999999995</v>
      </c>
      <c r="GW228" s="366">
        <v>111.22</v>
      </c>
      <c r="GX228" s="366">
        <v>247.92</v>
      </c>
      <c r="GY228" s="366">
        <v>60.61</v>
      </c>
      <c r="GZ228" s="366">
        <v>192.09</v>
      </c>
      <c r="HA228" s="366">
        <v>324.61</v>
      </c>
      <c r="HB228" s="366">
        <v>324.61</v>
      </c>
      <c r="HC228" s="366">
        <v>324.61</v>
      </c>
      <c r="HD228" s="366">
        <v>240.64</v>
      </c>
      <c r="HE228" s="366">
        <v>281.02</v>
      </c>
      <c r="HF228" s="366">
        <v>237.31</v>
      </c>
      <c r="HG228" s="366">
        <v>364.96</v>
      </c>
      <c r="HH228" s="366">
        <v>364.96</v>
      </c>
      <c r="HI228" s="366">
        <v>364.96</v>
      </c>
      <c r="HJ228" s="366">
        <v>145.43</v>
      </c>
      <c r="HK228" s="366">
        <v>177.97</v>
      </c>
      <c r="HL228" s="366">
        <v>300.56</v>
      </c>
      <c r="HM228" s="366">
        <v>142.07</v>
      </c>
      <c r="HN228" s="366">
        <v>144.79</v>
      </c>
      <c r="HO228" s="366">
        <v>540.17999999999995</v>
      </c>
      <c r="HP228" s="366">
        <v>192.81</v>
      </c>
      <c r="HQ228" s="366">
        <v>570.88</v>
      </c>
      <c r="HR228" s="366">
        <v>392.19</v>
      </c>
      <c r="HS228" s="366">
        <v>141.04</v>
      </c>
      <c r="HT228" s="366">
        <v>0</v>
      </c>
      <c r="HU228" s="366">
        <v>39.71</v>
      </c>
      <c r="HV228" s="366">
        <v>100.04</v>
      </c>
    </row>
    <row r="229" spans="1:230">
      <c r="A229" s="366" t="s">
        <v>540</v>
      </c>
      <c r="B229" s="366">
        <v>533.66</v>
      </c>
      <c r="C229" s="366">
        <v>359</v>
      </c>
      <c r="D229" s="366">
        <v>259.77</v>
      </c>
      <c r="E229" s="366">
        <v>259.77</v>
      </c>
      <c r="F229" s="366">
        <v>597.55999999999995</v>
      </c>
      <c r="G229" s="366">
        <v>405.13</v>
      </c>
      <c r="H229" s="366">
        <v>303.39</v>
      </c>
      <c r="I229" s="366">
        <v>24.18</v>
      </c>
      <c r="J229" s="366">
        <v>323.33</v>
      </c>
      <c r="K229" s="366">
        <v>323.33</v>
      </c>
      <c r="L229" s="366">
        <v>250.38</v>
      </c>
      <c r="M229" s="366">
        <v>384.42</v>
      </c>
      <c r="N229" s="366">
        <v>481.32</v>
      </c>
      <c r="O229" s="366">
        <v>234.43</v>
      </c>
      <c r="P229" s="366">
        <v>234.43</v>
      </c>
      <c r="Q229" s="366">
        <v>234.43</v>
      </c>
      <c r="R229" s="366">
        <v>234.43</v>
      </c>
      <c r="S229" s="366">
        <v>234.43</v>
      </c>
      <c r="T229" s="366">
        <v>98.68</v>
      </c>
      <c r="U229" s="366">
        <v>513.16999999999996</v>
      </c>
      <c r="V229" s="366">
        <v>323.82</v>
      </c>
      <c r="W229" s="366">
        <v>242.04</v>
      </c>
      <c r="X229" s="366">
        <v>242.04</v>
      </c>
      <c r="Y229" s="366">
        <v>242.04</v>
      </c>
      <c r="Z229" s="366">
        <v>361.56</v>
      </c>
      <c r="AA229" s="366">
        <v>399.3</v>
      </c>
      <c r="AB229" s="366">
        <v>158.41999999999999</v>
      </c>
      <c r="AC229" s="366">
        <v>160.88</v>
      </c>
      <c r="AD229" s="366">
        <v>160.88</v>
      </c>
      <c r="AE229" s="366">
        <v>208.87</v>
      </c>
      <c r="AF229" s="366">
        <v>418.87</v>
      </c>
      <c r="AG229" s="366">
        <v>243.56</v>
      </c>
      <c r="AH229" s="366">
        <v>28.83</v>
      </c>
      <c r="AI229" s="366">
        <v>28.83</v>
      </c>
      <c r="AJ229" s="366">
        <v>28.83</v>
      </c>
      <c r="AK229" s="366">
        <v>383.76</v>
      </c>
      <c r="AL229" s="366">
        <v>383.76</v>
      </c>
      <c r="AM229" s="366">
        <v>161.13999999999999</v>
      </c>
      <c r="AN229" s="366">
        <v>193.6</v>
      </c>
      <c r="AO229" s="366">
        <v>412.25</v>
      </c>
      <c r="AP229" s="366">
        <v>87.4</v>
      </c>
      <c r="AQ229" s="366">
        <v>554.1</v>
      </c>
      <c r="AR229" s="366">
        <v>363.07</v>
      </c>
      <c r="AS229" s="366">
        <v>174.93</v>
      </c>
      <c r="AT229" s="366">
        <v>174.93</v>
      </c>
      <c r="AU229" s="366">
        <v>238.68</v>
      </c>
      <c r="AV229" s="366">
        <v>544.22</v>
      </c>
      <c r="AW229" s="366">
        <v>285.87</v>
      </c>
      <c r="AX229" s="366">
        <v>105.36</v>
      </c>
      <c r="AY229" s="366">
        <v>517.03</v>
      </c>
      <c r="AZ229" s="366">
        <v>327.62</v>
      </c>
      <c r="BA229" s="366">
        <v>374.48</v>
      </c>
      <c r="BB229" s="366">
        <v>519.91999999999996</v>
      </c>
      <c r="BC229" s="366">
        <v>316.54000000000002</v>
      </c>
      <c r="BD229" s="366">
        <v>226.31</v>
      </c>
      <c r="BE229" s="366">
        <v>327.88</v>
      </c>
      <c r="BF229" s="366">
        <v>155.38999999999999</v>
      </c>
      <c r="BG229" s="366">
        <v>369.11</v>
      </c>
      <c r="BH229" s="366">
        <v>234.43</v>
      </c>
      <c r="BI229" s="366">
        <v>363.1</v>
      </c>
      <c r="BJ229" s="366">
        <v>307.23</v>
      </c>
      <c r="BK229" s="366">
        <v>395.4</v>
      </c>
      <c r="BL229" s="366">
        <v>252.77</v>
      </c>
      <c r="BM229" s="366">
        <v>275.98</v>
      </c>
      <c r="BN229" s="366">
        <v>439.49</v>
      </c>
      <c r="BO229" s="366">
        <v>437.6</v>
      </c>
      <c r="BP229" s="366">
        <v>403.46</v>
      </c>
      <c r="BQ229" s="366">
        <v>3.48</v>
      </c>
      <c r="BR229" s="366">
        <v>3.48</v>
      </c>
      <c r="BS229" s="366">
        <v>335.19</v>
      </c>
      <c r="BT229" s="366">
        <v>355.02</v>
      </c>
      <c r="BU229" s="366">
        <v>138.91999999999999</v>
      </c>
      <c r="BV229" s="366">
        <v>158.54</v>
      </c>
      <c r="BW229" s="366">
        <v>297.97000000000003</v>
      </c>
      <c r="BX229" s="366">
        <v>276.27999999999997</v>
      </c>
      <c r="BY229" s="366">
        <v>351.3</v>
      </c>
      <c r="BZ229" s="366">
        <v>351.3</v>
      </c>
      <c r="CA229" s="366">
        <v>247.07</v>
      </c>
      <c r="CB229" s="366">
        <v>294.70999999999998</v>
      </c>
      <c r="CC229" s="366">
        <v>76.53</v>
      </c>
      <c r="CD229" s="366">
        <v>90.01</v>
      </c>
      <c r="CE229" s="366">
        <v>378.63</v>
      </c>
      <c r="CF229" s="366">
        <v>417.6</v>
      </c>
      <c r="CG229" s="366">
        <v>417.6</v>
      </c>
      <c r="CH229" s="366">
        <v>18.48</v>
      </c>
      <c r="CI229" s="366">
        <v>107.63</v>
      </c>
      <c r="CJ229" s="366">
        <v>428.55</v>
      </c>
      <c r="CK229" s="366">
        <v>356.39</v>
      </c>
      <c r="CL229" s="366">
        <v>252.47</v>
      </c>
      <c r="CM229" s="366">
        <v>262.82</v>
      </c>
      <c r="CN229" s="366">
        <v>256.60000000000002</v>
      </c>
      <c r="CO229" s="366">
        <v>361.68</v>
      </c>
      <c r="CP229" s="366">
        <v>10.17</v>
      </c>
      <c r="CQ229" s="366">
        <v>10.17</v>
      </c>
      <c r="CR229" s="366">
        <v>313</v>
      </c>
      <c r="CS229" s="366">
        <v>313</v>
      </c>
      <c r="CT229" s="366">
        <v>303.56</v>
      </c>
      <c r="CU229" s="366">
        <v>311.43</v>
      </c>
      <c r="CV229" s="366">
        <v>305.38</v>
      </c>
      <c r="CW229" s="366">
        <v>323.82</v>
      </c>
      <c r="CX229" s="366">
        <v>95.6</v>
      </c>
      <c r="CY229" s="366">
        <v>309.24</v>
      </c>
      <c r="CZ229" s="366">
        <v>330.48</v>
      </c>
      <c r="DA229" s="366">
        <v>419.37</v>
      </c>
      <c r="DB229" s="366">
        <v>303.20999999999998</v>
      </c>
      <c r="DC229" s="366">
        <v>303.20999999999998</v>
      </c>
      <c r="DD229" s="366">
        <v>229.2</v>
      </c>
      <c r="DE229" s="366">
        <v>497</v>
      </c>
      <c r="DF229" s="366">
        <v>582.02</v>
      </c>
      <c r="DG229" s="366">
        <v>77.98</v>
      </c>
      <c r="DH229" s="366">
        <v>559.55999999999995</v>
      </c>
      <c r="DI229" s="366">
        <v>283.42</v>
      </c>
      <c r="DJ229" s="366">
        <v>346.68</v>
      </c>
      <c r="DK229" s="366">
        <v>238.7</v>
      </c>
      <c r="DL229" s="366">
        <v>144.91999999999999</v>
      </c>
      <c r="DM229" s="366">
        <v>346.58</v>
      </c>
      <c r="DN229" s="366">
        <v>298.18</v>
      </c>
      <c r="DO229" s="366">
        <v>265.27</v>
      </c>
      <c r="DP229" s="366">
        <v>190.89</v>
      </c>
      <c r="DQ229" s="366">
        <v>309.31</v>
      </c>
      <c r="DR229" s="366">
        <v>559.55999999999995</v>
      </c>
      <c r="DS229" s="366">
        <v>362.58</v>
      </c>
      <c r="DT229" s="366">
        <v>350.87</v>
      </c>
      <c r="DU229" s="366">
        <v>449.71</v>
      </c>
      <c r="DV229" s="366">
        <v>387.4</v>
      </c>
      <c r="DW229" s="366">
        <v>191.35</v>
      </c>
      <c r="DX229" s="366">
        <v>284.29000000000002</v>
      </c>
      <c r="DY229" s="366">
        <v>357.68</v>
      </c>
      <c r="DZ229" s="366">
        <v>238.87</v>
      </c>
      <c r="EA229" s="366">
        <v>345.35</v>
      </c>
      <c r="EB229" s="366">
        <v>351.68</v>
      </c>
      <c r="EC229" s="366">
        <v>285.20999999999998</v>
      </c>
      <c r="ED229" s="366">
        <v>313.19</v>
      </c>
      <c r="EE229" s="366">
        <v>323.98</v>
      </c>
      <c r="EF229" s="366">
        <v>81.12</v>
      </c>
      <c r="EG229" s="366">
        <v>285.87</v>
      </c>
      <c r="EH229" s="366">
        <v>285.87</v>
      </c>
      <c r="EI229" s="366">
        <v>90.48</v>
      </c>
      <c r="EJ229" s="366">
        <v>547.62</v>
      </c>
      <c r="EK229" s="366">
        <v>160.31</v>
      </c>
      <c r="EL229" s="366">
        <v>160.31</v>
      </c>
      <c r="EM229" s="366">
        <v>254.42</v>
      </c>
      <c r="EN229" s="366">
        <v>254.42</v>
      </c>
      <c r="EO229" s="366">
        <v>161.13999999999999</v>
      </c>
      <c r="EP229" s="366">
        <v>144.58000000000001</v>
      </c>
      <c r="EQ229" s="366">
        <v>294.07</v>
      </c>
      <c r="ER229" s="366">
        <v>483.21</v>
      </c>
      <c r="ES229" s="366">
        <v>358.9</v>
      </c>
      <c r="ET229" s="366">
        <v>21.45</v>
      </c>
      <c r="EU229" s="366">
        <v>533.66</v>
      </c>
      <c r="EV229" s="366">
        <v>242.04</v>
      </c>
      <c r="EW229" s="366">
        <v>89.86</v>
      </c>
      <c r="EX229" s="366">
        <v>335.64</v>
      </c>
      <c r="EY229" s="366">
        <v>335.64</v>
      </c>
      <c r="EZ229" s="366">
        <v>298.95999999999998</v>
      </c>
      <c r="FA229" s="366">
        <v>251.59</v>
      </c>
      <c r="FB229" s="366">
        <v>223</v>
      </c>
      <c r="FC229" s="366">
        <v>304.43</v>
      </c>
      <c r="FD229" s="366">
        <v>159.62</v>
      </c>
      <c r="FE229" s="366">
        <v>94.31</v>
      </c>
      <c r="FF229" s="366">
        <v>95.17</v>
      </c>
      <c r="FG229" s="366">
        <v>365.52</v>
      </c>
      <c r="FH229" s="366">
        <v>365.52</v>
      </c>
      <c r="FI229" s="366">
        <v>222.91</v>
      </c>
      <c r="FJ229" s="366">
        <v>228.7</v>
      </c>
      <c r="FK229" s="366">
        <v>386.64</v>
      </c>
      <c r="FL229" s="366">
        <v>384.83</v>
      </c>
      <c r="FM229" s="366">
        <v>161.13999999999999</v>
      </c>
      <c r="FN229" s="366">
        <v>272.79000000000002</v>
      </c>
      <c r="FO229" s="366">
        <v>353.72</v>
      </c>
      <c r="FP229" s="366">
        <v>336.78</v>
      </c>
      <c r="FQ229" s="366">
        <v>357.59</v>
      </c>
      <c r="FR229" s="366">
        <v>267.72000000000003</v>
      </c>
      <c r="FS229" s="366">
        <v>95.88</v>
      </c>
      <c r="FT229" s="366">
        <v>361.84</v>
      </c>
      <c r="FU229" s="366">
        <v>120.02</v>
      </c>
      <c r="FV229" s="366">
        <v>597.55999999999995</v>
      </c>
      <c r="FW229" s="366">
        <v>597.55999999999995</v>
      </c>
      <c r="FX229" s="366">
        <v>597.55999999999995</v>
      </c>
      <c r="FY229" s="366">
        <v>200.73</v>
      </c>
      <c r="FZ229" s="366">
        <v>109.9</v>
      </c>
      <c r="GA229" s="366">
        <v>327.88</v>
      </c>
      <c r="GB229" s="366">
        <v>134.35</v>
      </c>
      <c r="GC229" s="366">
        <v>313.19</v>
      </c>
      <c r="GD229" s="366">
        <v>258.38</v>
      </c>
      <c r="GE229" s="366">
        <v>303.45999999999998</v>
      </c>
      <c r="GF229" s="366">
        <v>133.55000000000001</v>
      </c>
      <c r="GG229" s="366">
        <v>133.55000000000001</v>
      </c>
      <c r="GH229" s="366">
        <v>376.33</v>
      </c>
      <c r="GI229" s="366">
        <v>161.30000000000001</v>
      </c>
      <c r="GJ229" s="366">
        <v>161.13999999999999</v>
      </c>
      <c r="GK229" s="366">
        <v>383.19</v>
      </c>
      <c r="GL229" s="366">
        <v>102.49</v>
      </c>
      <c r="GM229" s="366">
        <v>102.49</v>
      </c>
      <c r="GN229" s="366">
        <v>102.49</v>
      </c>
      <c r="GO229" s="366">
        <v>126.58</v>
      </c>
      <c r="GP229" s="366">
        <v>333.29</v>
      </c>
      <c r="GQ229" s="366">
        <v>428.9</v>
      </c>
      <c r="GR229" s="366">
        <v>189.37</v>
      </c>
      <c r="GS229" s="366">
        <v>55.91</v>
      </c>
      <c r="GT229" s="366">
        <v>285.87</v>
      </c>
      <c r="GU229" s="366">
        <v>193.58</v>
      </c>
      <c r="GV229" s="366">
        <v>554.80999999999995</v>
      </c>
      <c r="GW229" s="366">
        <v>78.47</v>
      </c>
      <c r="GX229" s="366">
        <v>282.44</v>
      </c>
      <c r="GY229" s="366">
        <v>27.86</v>
      </c>
      <c r="GZ229" s="366">
        <v>159.34</v>
      </c>
      <c r="HA229" s="366">
        <v>359.13</v>
      </c>
      <c r="HB229" s="366">
        <v>359.13</v>
      </c>
      <c r="HC229" s="366">
        <v>359.13</v>
      </c>
      <c r="HD229" s="366">
        <v>275.16000000000003</v>
      </c>
      <c r="HE229" s="366">
        <v>248.27</v>
      </c>
      <c r="HF229" s="366">
        <v>204.56</v>
      </c>
      <c r="HG229" s="366">
        <v>332.21</v>
      </c>
      <c r="HH229" s="366">
        <v>332.21</v>
      </c>
      <c r="HI229" s="366">
        <v>332.21</v>
      </c>
      <c r="HJ229" s="366">
        <v>112.68</v>
      </c>
      <c r="HK229" s="366">
        <v>212.49</v>
      </c>
      <c r="HL229" s="366">
        <v>267.81</v>
      </c>
      <c r="HM229" s="366">
        <v>158.41999999999999</v>
      </c>
      <c r="HN229" s="366">
        <v>161.13999999999999</v>
      </c>
      <c r="HO229" s="366">
        <v>566.86</v>
      </c>
      <c r="HP229" s="366">
        <v>160.06</v>
      </c>
      <c r="HQ229" s="366">
        <v>597.55999999999995</v>
      </c>
      <c r="HR229" s="366">
        <v>418.87</v>
      </c>
      <c r="HS229" s="366">
        <v>157.38999999999999</v>
      </c>
      <c r="HT229" s="366">
        <v>39.71</v>
      </c>
      <c r="HU229" s="366">
        <v>0</v>
      </c>
      <c r="HV229" s="366">
        <v>108.69</v>
      </c>
    </row>
    <row r="230" spans="1:230">
      <c r="A230" s="366" t="s">
        <v>176</v>
      </c>
      <c r="B230" s="366">
        <v>558.13</v>
      </c>
      <c r="C230" s="366">
        <v>377.32</v>
      </c>
      <c r="D230" s="366">
        <v>278.08999999999997</v>
      </c>
      <c r="E230" s="366">
        <v>278.08999999999997</v>
      </c>
      <c r="F230" s="366">
        <v>622.03</v>
      </c>
      <c r="G230" s="366">
        <v>429.6</v>
      </c>
      <c r="H230" s="366">
        <v>321.70999999999998</v>
      </c>
      <c r="I230" s="366">
        <v>84.51</v>
      </c>
      <c r="J230" s="366">
        <v>345.49</v>
      </c>
      <c r="K230" s="366">
        <v>345.49</v>
      </c>
      <c r="L230" s="366">
        <v>268.7</v>
      </c>
      <c r="M230" s="366">
        <v>402.74</v>
      </c>
      <c r="N230" s="366">
        <v>499.64</v>
      </c>
      <c r="O230" s="366">
        <v>252.75</v>
      </c>
      <c r="P230" s="366">
        <v>252.75</v>
      </c>
      <c r="Q230" s="366">
        <v>252.75</v>
      </c>
      <c r="R230" s="366">
        <v>252.75</v>
      </c>
      <c r="S230" s="366">
        <v>252.75</v>
      </c>
      <c r="T230" s="366">
        <v>159.01</v>
      </c>
      <c r="U230" s="366">
        <v>537.64</v>
      </c>
      <c r="V230" s="366">
        <v>342.14</v>
      </c>
      <c r="W230" s="366">
        <v>302.37</v>
      </c>
      <c r="X230" s="366">
        <v>302.37</v>
      </c>
      <c r="Y230" s="366">
        <v>302.37</v>
      </c>
      <c r="Z230" s="366">
        <v>379.88</v>
      </c>
      <c r="AA230" s="366">
        <v>423.77</v>
      </c>
      <c r="AB230" s="366">
        <v>182.89</v>
      </c>
      <c r="AC230" s="366">
        <v>185.35</v>
      </c>
      <c r="AD230" s="366">
        <v>185.35</v>
      </c>
      <c r="AE230" s="366">
        <v>227.19</v>
      </c>
      <c r="AF230" s="366">
        <v>443.34</v>
      </c>
      <c r="AG230" s="366">
        <v>303.89</v>
      </c>
      <c r="AH230" s="366">
        <v>110.61</v>
      </c>
      <c r="AI230" s="366">
        <v>110.61</v>
      </c>
      <c r="AJ230" s="366">
        <v>110.61</v>
      </c>
      <c r="AK230" s="366">
        <v>402.08</v>
      </c>
      <c r="AL230" s="366">
        <v>402.08</v>
      </c>
      <c r="AM230" s="366">
        <v>185.61</v>
      </c>
      <c r="AN230" s="366">
        <v>211.92</v>
      </c>
      <c r="AO230" s="366">
        <v>436.72</v>
      </c>
      <c r="AP230" s="366">
        <v>147.72999999999999</v>
      </c>
      <c r="AQ230" s="366">
        <v>578.57000000000005</v>
      </c>
      <c r="AR230" s="366">
        <v>408.26</v>
      </c>
      <c r="AS230" s="366">
        <v>193.25</v>
      </c>
      <c r="AT230" s="366">
        <v>193.25</v>
      </c>
      <c r="AU230" s="366">
        <v>257</v>
      </c>
      <c r="AV230" s="366">
        <v>568.69000000000005</v>
      </c>
      <c r="AW230" s="366">
        <v>346.2</v>
      </c>
      <c r="AX230" s="366">
        <v>60.99</v>
      </c>
      <c r="AY230" s="366">
        <v>535.35</v>
      </c>
      <c r="AZ230" s="366">
        <v>345.94</v>
      </c>
      <c r="BA230" s="366">
        <v>398.95</v>
      </c>
      <c r="BB230" s="366">
        <v>538.24</v>
      </c>
      <c r="BC230" s="366">
        <v>341.01</v>
      </c>
      <c r="BD230" s="366">
        <v>250.78</v>
      </c>
      <c r="BE230" s="366">
        <v>346.2</v>
      </c>
      <c r="BF230" s="366">
        <v>179.86</v>
      </c>
      <c r="BG230" s="366">
        <v>387.43</v>
      </c>
      <c r="BH230" s="366">
        <v>252.75</v>
      </c>
      <c r="BI230" s="366">
        <v>408.29</v>
      </c>
      <c r="BJ230" s="366">
        <v>325.55</v>
      </c>
      <c r="BK230" s="366">
        <v>413.72</v>
      </c>
      <c r="BL230" s="366">
        <v>271.08999999999997</v>
      </c>
      <c r="BM230" s="366">
        <v>294.3</v>
      </c>
      <c r="BN230" s="366">
        <v>463.96</v>
      </c>
      <c r="BO230" s="366">
        <v>455.92</v>
      </c>
      <c r="BP230" s="366">
        <v>421.78</v>
      </c>
      <c r="BQ230" s="366">
        <v>105.21</v>
      </c>
      <c r="BR230" s="366">
        <v>105.21</v>
      </c>
      <c r="BS230" s="366">
        <v>353.51</v>
      </c>
      <c r="BT230" s="366">
        <v>392.72</v>
      </c>
      <c r="BU230" s="366">
        <v>163.38999999999999</v>
      </c>
      <c r="BV230" s="366">
        <v>183.01</v>
      </c>
      <c r="BW230" s="366">
        <v>316.29000000000002</v>
      </c>
      <c r="BX230" s="366">
        <v>294.60000000000002</v>
      </c>
      <c r="BY230" s="366">
        <v>369.62</v>
      </c>
      <c r="BZ230" s="366">
        <v>369.62</v>
      </c>
      <c r="CA230" s="366">
        <v>307.39999999999998</v>
      </c>
      <c r="CB230" s="366">
        <v>313.02999999999997</v>
      </c>
      <c r="CC230" s="366">
        <v>32.159999999999997</v>
      </c>
      <c r="CD230" s="366">
        <v>39.630000000000003</v>
      </c>
      <c r="CE230" s="366">
        <v>396.95</v>
      </c>
      <c r="CF230" s="366">
        <v>442.07</v>
      </c>
      <c r="CG230" s="366">
        <v>442.07</v>
      </c>
      <c r="CH230" s="366">
        <v>90.21</v>
      </c>
      <c r="CI230" s="366">
        <v>125.95</v>
      </c>
      <c r="CJ230" s="366">
        <v>453.02</v>
      </c>
      <c r="CK230" s="366">
        <v>374.71</v>
      </c>
      <c r="CL230" s="366">
        <v>270.79000000000002</v>
      </c>
      <c r="CM230" s="366">
        <v>287.29000000000002</v>
      </c>
      <c r="CN230" s="366">
        <v>274.92</v>
      </c>
      <c r="CO230" s="366">
        <v>406.87</v>
      </c>
      <c r="CP230" s="366">
        <v>111.9</v>
      </c>
      <c r="CQ230" s="366">
        <v>111.9</v>
      </c>
      <c r="CR230" s="366">
        <v>359.27</v>
      </c>
      <c r="CS230" s="366">
        <v>359.27</v>
      </c>
      <c r="CT230" s="366">
        <v>363.89</v>
      </c>
      <c r="CU230" s="366">
        <v>360.84</v>
      </c>
      <c r="CV230" s="366">
        <v>363.44</v>
      </c>
      <c r="CW230" s="366">
        <v>342.14</v>
      </c>
      <c r="CX230" s="366">
        <v>51.23</v>
      </c>
      <c r="CY230" s="366">
        <v>333.71</v>
      </c>
      <c r="CZ230" s="366">
        <v>354.95</v>
      </c>
      <c r="DA230" s="366">
        <v>437.69</v>
      </c>
      <c r="DB230" s="366">
        <v>321.52999999999997</v>
      </c>
      <c r="DC230" s="366">
        <v>321.52999999999997</v>
      </c>
      <c r="DD230" s="366">
        <v>289.52999999999997</v>
      </c>
      <c r="DE230" s="366">
        <v>515.32000000000005</v>
      </c>
      <c r="DF230" s="366">
        <v>606.49</v>
      </c>
      <c r="DG230" s="366">
        <v>96.3</v>
      </c>
      <c r="DH230" s="366">
        <v>577.88</v>
      </c>
      <c r="DI230" s="366">
        <v>307.89</v>
      </c>
      <c r="DJ230" s="366">
        <v>371.15</v>
      </c>
      <c r="DK230" s="366">
        <v>257.02</v>
      </c>
      <c r="DL230" s="366">
        <v>169.39</v>
      </c>
      <c r="DM230" s="366">
        <v>364.9</v>
      </c>
      <c r="DN230" s="366">
        <v>322.64999999999998</v>
      </c>
      <c r="DO230" s="366">
        <v>283.58999999999997</v>
      </c>
      <c r="DP230" s="366">
        <v>251.22</v>
      </c>
      <c r="DQ230" s="366">
        <v>327.63</v>
      </c>
      <c r="DR230" s="366">
        <v>577.88</v>
      </c>
      <c r="DS230" s="366">
        <v>384.74</v>
      </c>
      <c r="DT230" s="366">
        <v>373.03</v>
      </c>
      <c r="DU230" s="366">
        <v>468.03</v>
      </c>
      <c r="DV230" s="366">
        <v>405.72</v>
      </c>
      <c r="DW230" s="366">
        <v>209.67</v>
      </c>
      <c r="DX230" s="366">
        <v>302.61</v>
      </c>
      <c r="DY230" s="366">
        <v>376</v>
      </c>
      <c r="DZ230" s="366">
        <v>299.2</v>
      </c>
      <c r="EA230" s="366">
        <v>390.54</v>
      </c>
      <c r="EB230" s="366">
        <v>370</v>
      </c>
      <c r="EC230" s="366">
        <v>303.52999999999997</v>
      </c>
      <c r="ED230" s="366">
        <v>337.66</v>
      </c>
      <c r="EE230" s="366">
        <v>348.45</v>
      </c>
      <c r="EF230" s="366">
        <v>141.44999999999999</v>
      </c>
      <c r="EG230" s="366">
        <v>346.2</v>
      </c>
      <c r="EH230" s="366">
        <v>346.2</v>
      </c>
      <c r="EI230" s="366">
        <v>23.28</v>
      </c>
      <c r="EJ230" s="366">
        <v>565.94000000000005</v>
      </c>
      <c r="EK230" s="366">
        <v>178.63</v>
      </c>
      <c r="EL230" s="366">
        <v>178.63</v>
      </c>
      <c r="EM230" s="366">
        <v>272.74</v>
      </c>
      <c r="EN230" s="366">
        <v>272.74</v>
      </c>
      <c r="EO230" s="366">
        <v>185.61</v>
      </c>
      <c r="EP230" s="366">
        <v>100.21</v>
      </c>
      <c r="EQ230" s="366">
        <v>354.4</v>
      </c>
      <c r="ER230" s="366">
        <v>507.68</v>
      </c>
      <c r="ES230" s="366">
        <v>377.22</v>
      </c>
      <c r="ET230" s="366">
        <v>87.24</v>
      </c>
      <c r="EU230" s="366">
        <v>558.13</v>
      </c>
      <c r="EV230" s="366">
        <v>302.37</v>
      </c>
      <c r="EW230" s="366">
        <v>24.2</v>
      </c>
      <c r="EX230" s="366">
        <v>353.96</v>
      </c>
      <c r="EY230" s="366">
        <v>353.96</v>
      </c>
      <c r="EZ230" s="366">
        <v>317.27999999999997</v>
      </c>
      <c r="FA230" s="366">
        <v>269.91000000000003</v>
      </c>
      <c r="FB230" s="366">
        <v>241.32</v>
      </c>
      <c r="FC230" s="366">
        <v>322.75</v>
      </c>
      <c r="FD230" s="366">
        <v>177.94</v>
      </c>
      <c r="FE230" s="366">
        <v>27.11</v>
      </c>
      <c r="FF230" s="366">
        <v>113.49</v>
      </c>
      <c r="FG230" s="366">
        <v>389.99</v>
      </c>
      <c r="FH230" s="366">
        <v>389.99</v>
      </c>
      <c r="FI230" s="366">
        <v>283.24</v>
      </c>
      <c r="FJ230" s="366">
        <v>289.02999999999997</v>
      </c>
      <c r="FK230" s="366">
        <v>404.96</v>
      </c>
      <c r="FL230" s="366">
        <v>403.15</v>
      </c>
      <c r="FM230" s="366">
        <v>185.61</v>
      </c>
      <c r="FN230" s="366">
        <v>333.12</v>
      </c>
      <c r="FO230" s="366">
        <v>398.91</v>
      </c>
      <c r="FP230" s="366">
        <v>355.1</v>
      </c>
      <c r="FQ230" s="366">
        <v>402.78</v>
      </c>
      <c r="FR230" s="366">
        <v>286.04000000000002</v>
      </c>
      <c r="FS230" s="366">
        <v>114.2</v>
      </c>
      <c r="FT230" s="366">
        <v>386.31</v>
      </c>
      <c r="FU230" s="366">
        <v>138.34</v>
      </c>
      <c r="FV230" s="366">
        <v>622.03</v>
      </c>
      <c r="FW230" s="366">
        <v>622.03</v>
      </c>
      <c r="FX230" s="366">
        <v>622.03</v>
      </c>
      <c r="FY230" s="366">
        <v>219.05</v>
      </c>
      <c r="FZ230" s="366">
        <v>49.98</v>
      </c>
      <c r="GA230" s="366">
        <v>346.2</v>
      </c>
      <c r="GB230" s="366">
        <v>152.66999999999999</v>
      </c>
      <c r="GC230" s="366">
        <v>337.66</v>
      </c>
      <c r="GD230" s="366">
        <v>276.7</v>
      </c>
      <c r="GE230" s="366">
        <v>363.79</v>
      </c>
      <c r="GF230" s="366">
        <v>151.87</v>
      </c>
      <c r="GG230" s="366">
        <v>151.87</v>
      </c>
      <c r="GH230" s="366">
        <v>394.65</v>
      </c>
      <c r="GI230" s="366">
        <v>185.77</v>
      </c>
      <c r="GJ230" s="366">
        <v>185.61</v>
      </c>
      <c r="GK230" s="366">
        <v>401.51</v>
      </c>
      <c r="GL230" s="366">
        <v>36.950000000000003</v>
      </c>
      <c r="GM230" s="366">
        <v>36.950000000000003</v>
      </c>
      <c r="GN230" s="366">
        <v>36.950000000000003</v>
      </c>
      <c r="GO230" s="366">
        <v>186.91</v>
      </c>
      <c r="GP230" s="366">
        <v>351.61</v>
      </c>
      <c r="GQ230" s="366">
        <v>447.22</v>
      </c>
      <c r="GR230" s="366">
        <v>213.84</v>
      </c>
      <c r="GS230" s="366">
        <v>116.24</v>
      </c>
      <c r="GT230" s="366">
        <v>346.2</v>
      </c>
      <c r="GU230" s="366">
        <v>211.9</v>
      </c>
      <c r="GV230" s="366">
        <v>573.13</v>
      </c>
      <c r="GW230" s="366">
        <v>61.41</v>
      </c>
      <c r="GX230" s="366">
        <v>342.77</v>
      </c>
      <c r="GY230" s="366">
        <v>111.58</v>
      </c>
      <c r="GZ230" s="366">
        <v>177.66</v>
      </c>
      <c r="HA230" s="366">
        <v>404.32</v>
      </c>
      <c r="HB230" s="366">
        <v>404.32</v>
      </c>
      <c r="HC230" s="366">
        <v>404.32</v>
      </c>
      <c r="HD230" s="366">
        <v>309.94</v>
      </c>
      <c r="HE230" s="366">
        <v>266.58999999999997</v>
      </c>
      <c r="HF230" s="366">
        <v>222.88</v>
      </c>
      <c r="HG230" s="366">
        <v>350.53</v>
      </c>
      <c r="HH230" s="366">
        <v>350.53</v>
      </c>
      <c r="HI230" s="366">
        <v>350.53</v>
      </c>
      <c r="HJ230" s="366">
        <v>131</v>
      </c>
      <c r="HK230" s="366">
        <v>272.82</v>
      </c>
      <c r="HL230" s="366">
        <v>286.13</v>
      </c>
      <c r="HM230" s="366">
        <v>182.89</v>
      </c>
      <c r="HN230" s="366">
        <v>185.61</v>
      </c>
      <c r="HO230" s="366">
        <v>591.33000000000004</v>
      </c>
      <c r="HP230" s="366">
        <v>178.38</v>
      </c>
      <c r="HQ230" s="366">
        <v>622.03</v>
      </c>
      <c r="HR230" s="366">
        <v>443.34</v>
      </c>
      <c r="HS230" s="366">
        <v>181.86</v>
      </c>
      <c r="HT230" s="366">
        <v>100.04</v>
      </c>
      <c r="HU230" s="366">
        <v>108.69</v>
      </c>
      <c r="HV230" s="366">
        <v>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59999389629810485"/>
  </sheetPr>
  <dimension ref="A1:O230"/>
  <sheetViews>
    <sheetView topLeftCell="A209" workbookViewId="0">
      <selection activeCell="M228" sqref="M228"/>
    </sheetView>
  </sheetViews>
  <sheetFormatPr defaultColWidth="8.85546875" defaultRowHeight="15"/>
  <cols>
    <col min="1" max="1" width="25.85546875" bestFit="1" customWidth="1"/>
    <col min="3" max="3" width="17.85546875" bestFit="1" customWidth="1"/>
    <col min="5" max="5" width="25.85546875" bestFit="1" customWidth="1"/>
    <col min="6" max="6" width="25.85546875" customWidth="1"/>
    <col min="7" max="7" width="23.42578125" customWidth="1"/>
    <col min="9" max="9" width="15.7109375" bestFit="1" customWidth="1"/>
    <col min="10" max="10" width="12" bestFit="1" customWidth="1"/>
    <col min="11" max="11" width="15.7109375" bestFit="1" customWidth="1"/>
    <col min="13" max="13" width="43.42578125" customWidth="1"/>
    <col min="14" max="14" width="21.42578125" customWidth="1"/>
    <col min="15" max="15" width="19.28515625" bestFit="1" customWidth="1"/>
  </cols>
  <sheetData>
    <row r="1" spans="1:15" ht="39" thickBot="1">
      <c r="A1" s="8" t="s">
        <v>0</v>
      </c>
      <c r="B1" s="76" t="s">
        <v>24</v>
      </c>
      <c r="C1" s="83" t="s">
        <v>387</v>
      </c>
      <c r="E1" s="77" t="s">
        <v>25</v>
      </c>
      <c r="F1" s="77" t="s">
        <v>385</v>
      </c>
      <c r="G1" s="35" t="s">
        <v>386</v>
      </c>
      <c r="I1" s="8" t="s">
        <v>0</v>
      </c>
      <c r="J1" s="336" t="s">
        <v>539</v>
      </c>
      <c r="K1" s="85" t="s">
        <v>387</v>
      </c>
      <c r="M1" s="78" t="s">
        <v>244</v>
      </c>
      <c r="N1" s="78" t="s">
        <v>385</v>
      </c>
      <c r="O1" s="36" t="s">
        <v>386</v>
      </c>
    </row>
    <row r="2" spans="1:15">
      <c r="A2" s="343" t="s">
        <v>24</v>
      </c>
      <c r="B2" s="75">
        <v>0</v>
      </c>
      <c r="C2" s="255">
        <f ca="1">VLOOKUP($A$2,'Entry Prices'!$A$3:$E$29,5,FALSE)/VLOOKUP(A2,'Entry Prices'!$A$3:$E$29,5,FALSE)*VLOOKUP(A2,'Entry Prices'!$A$3:$H$29,8,FALSE)</f>
        <v>26.185696365442677</v>
      </c>
      <c r="E2" s="79" t="s">
        <v>1</v>
      </c>
      <c r="F2" s="79"/>
      <c r="G2" s="80"/>
      <c r="I2" s="340" t="s">
        <v>539</v>
      </c>
      <c r="J2" s="337">
        <v>0</v>
      </c>
      <c r="K2" s="63">
        <f ca="1">(VLOOKUP($I$2,'Exit Prices'!$A$3:$H$231,4,FALSE)/VLOOKUP($I2,'Exit Prices'!$A$3:$H$231,4,FALSE))*VLOOKUP($I2,'Exit Prices'!$A$3:$H$231,7,FALSE)</f>
        <v>7.2344179438402385</v>
      </c>
      <c r="M2" s="84" t="s">
        <v>26</v>
      </c>
      <c r="N2" s="84"/>
      <c r="O2" s="84"/>
    </row>
    <row r="3" spans="1:15">
      <c r="A3" s="341" t="s">
        <v>533</v>
      </c>
      <c r="B3" s="344">
        <v>0.1</v>
      </c>
      <c r="C3" s="255">
        <f ca="1">VLOOKUP($A$2,'Entry Prices'!$A$3:$E$29,5,FALSE)/VLOOKUP(A3,'Entry Prices'!$A$3:$E$29,5,FALSE)*VLOOKUP(A3,'Entry Prices'!$A$3:$H$29,8,FALSE)</f>
        <v>42.129760209331351</v>
      </c>
      <c r="E3" s="81" t="s">
        <v>2</v>
      </c>
      <c r="F3" s="81"/>
      <c r="G3" s="80"/>
      <c r="I3" s="71" t="s">
        <v>39</v>
      </c>
      <c r="J3" s="337">
        <v>0.1</v>
      </c>
      <c r="K3" s="63">
        <f ca="1">(VLOOKUP($I$2,'Exit Prices'!$A$3:$H$231,4,FALSE)/VLOOKUP($I3,'Exit Prices'!$A$3:$H$231,4,FALSE))*VLOOKUP($I3,'Exit Prices'!$A$3:$H$231,7,FALSE)</f>
        <v>6.5063399514017659</v>
      </c>
      <c r="M3" s="84" t="s">
        <v>27</v>
      </c>
      <c r="N3" s="84"/>
      <c r="O3" s="84"/>
    </row>
    <row r="4" spans="1:15">
      <c r="A4" s="88" t="s">
        <v>155</v>
      </c>
      <c r="B4" s="2">
        <v>0.1</v>
      </c>
      <c r="C4" s="255">
        <f ca="1">VLOOKUP($A$2,'Entry Prices'!$A$3:$E$29,5,FALSE)/VLOOKUP(A4,'Entry Prices'!$A$3:$E$29,5,FALSE)*VLOOKUP(A4,'Entry Prices'!$A$3:$H$29,8,FALSE)</f>
        <v>25.562538836559266</v>
      </c>
      <c r="E4" s="79" t="s">
        <v>3</v>
      </c>
      <c r="F4" s="79"/>
      <c r="G4" s="80"/>
      <c r="I4" s="71" t="s">
        <v>40</v>
      </c>
      <c r="J4" s="337">
        <v>0.1</v>
      </c>
      <c r="K4" s="63">
        <f ca="1">(VLOOKUP($I$2,'Exit Prices'!$A$3:$H$231,4,FALSE)/VLOOKUP($I4,'Exit Prices'!$A$3:$H$231,4,FALSE))*VLOOKUP($I4,'Exit Prices'!$A$3:$H$231,7,FALSE)</f>
        <v>6.5063399514017659</v>
      </c>
      <c r="M4" s="84" t="s">
        <v>28</v>
      </c>
      <c r="N4" s="84"/>
      <c r="O4" s="84"/>
    </row>
    <row r="5" spans="1:15">
      <c r="A5" s="74" t="s">
        <v>6</v>
      </c>
      <c r="B5" s="2">
        <v>92.55</v>
      </c>
      <c r="C5" s="255">
        <f ca="1">VLOOKUP($A$2,'Entry Prices'!$A$3:$E$29,5,FALSE)/VLOOKUP(A5,'Entry Prices'!$A$3:$E$29,5,FALSE)*VLOOKUP(A5,'Entry Prices'!$A$3:$H$29,8,FALSE)</f>
        <v>28.589122240445636</v>
      </c>
      <c r="E5" s="81" t="s">
        <v>4</v>
      </c>
      <c r="F5" s="81"/>
      <c r="G5" s="80"/>
      <c r="I5" s="71" t="s">
        <v>45</v>
      </c>
      <c r="J5" s="337">
        <v>0.1</v>
      </c>
      <c r="K5" s="63">
        <f ca="1">(VLOOKUP($I$2,'Exit Prices'!$A$3:$H$231,4,FALSE)/VLOOKUP($I5,'Exit Prices'!$A$3:$H$231,4,FALSE))*VLOOKUP($I5,'Exit Prices'!$A$3:$H$231,7,FALSE)</f>
        <v>5.5327135996654642</v>
      </c>
      <c r="M5" s="84" t="s">
        <v>29</v>
      </c>
      <c r="N5" s="84"/>
      <c r="O5" s="84"/>
    </row>
    <row r="6" spans="1:15">
      <c r="A6" s="72" t="s">
        <v>1</v>
      </c>
      <c r="B6" s="2">
        <v>116.33</v>
      </c>
      <c r="C6" s="255">
        <f ca="1">VLOOKUP($A$2,'Entry Prices'!$A$3:$E$29,5,FALSE)/VLOOKUP(A6,'Entry Prices'!$A$3:$E$29,5,FALSE)*VLOOKUP(A6,'Entry Prices'!$A$3:$H$29,8,FALSE)</f>
        <v>27.759294536882891</v>
      </c>
      <c r="E6" s="81" t="s">
        <v>5</v>
      </c>
      <c r="F6" s="81"/>
      <c r="G6" s="80"/>
      <c r="I6" s="71" t="s">
        <v>46</v>
      </c>
      <c r="J6" s="337">
        <v>0.1</v>
      </c>
      <c r="K6" s="63">
        <f ca="1">(VLOOKUP($I$2,'Exit Prices'!$A$3:$H$231,4,FALSE)/VLOOKUP($I6,'Exit Prices'!$A$3:$H$231,4,FALSE))*VLOOKUP($I6,'Exit Prices'!$A$3:$H$231,7,FALSE)</f>
        <v>5.3852232588067341</v>
      </c>
      <c r="M6" s="84" t="s">
        <v>240</v>
      </c>
      <c r="N6" s="84"/>
      <c r="O6" s="84"/>
    </row>
    <row r="7" spans="1:15">
      <c r="A7" s="74" t="s">
        <v>10</v>
      </c>
      <c r="B7" s="2">
        <v>292.41000000000003</v>
      </c>
      <c r="C7" s="255">
        <f ca="1">VLOOKUP($A$2,'Entry Prices'!$A$3:$E$29,5,FALSE)/VLOOKUP(A7,'Entry Prices'!$A$3:$E$29,5,FALSE)*VLOOKUP(A7,'Entry Prices'!$A$3:$H$29,8,FALSE)</f>
        <v>26.162335699566487</v>
      </c>
      <c r="E7" s="81" t="s">
        <v>6</v>
      </c>
      <c r="F7" s="81"/>
      <c r="G7" s="80"/>
      <c r="I7" s="71" t="s">
        <v>48</v>
      </c>
      <c r="J7" s="337">
        <v>0.1</v>
      </c>
      <c r="K7" s="63">
        <f ca="1">(VLOOKUP($I$2,'Exit Prices'!$A$3:$H$231,4,FALSE)/VLOOKUP($I7,'Exit Prices'!$A$3:$H$231,4,FALSE))*VLOOKUP($I7,'Exit Prices'!$A$3:$H$231,7,FALSE)</f>
        <v>5.3852232588067341</v>
      </c>
      <c r="M7" s="84" t="s">
        <v>30</v>
      </c>
      <c r="N7" s="84"/>
      <c r="O7" s="84"/>
    </row>
    <row r="8" spans="1:15">
      <c r="A8" s="74" t="s">
        <v>14</v>
      </c>
      <c r="B8" s="2">
        <v>367.98</v>
      </c>
      <c r="C8" s="255">
        <f ca="1">VLOOKUP($A$2,'Entry Prices'!$A$3:$E$29,5,FALSE)/VLOOKUP(A8,'Entry Prices'!$A$3:$E$29,5,FALSE)*VLOOKUP(A8,'Entry Prices'!$A$3:$H$29,8,FALSE)</f>
        <v>35.135057670105724</v>
      </c>
      <c r="E8" s="81" t="s">
        <v>7</v>
      </c>
      <c r="F8" s="81"/>
      <c r="G8" s="80"/>
      <c r="I8" s="71" t="s">
        <v>70</v>
      </c>
      <c r="J8" s="337">
        <v>0.1</v>
      </c>
      <c r="K8" s="63">
        <f ca="1">(VLOOKUP($I$2,'Exit Prices'!$A$3:$H$231,4,FALSE)/VLOOKUP($I8,'Exit Prices'!$A$3:$H$231,4,FALSE))*VLOOKUP($I8,'Exit Prices'!$A$3:$H$231,7,FALSE)</f>
        <v>6.5038052825041994</v>
      </c>
      <c r="M8" s="84" t="s">
        <v>31</v>
      </c>
      <c r="N8" s="84"/>
      <c r="O8" s="84"/>
    </row>
    <row r="9" spans="1:15">
      <c r="A9" s="74" t="s">
        <v>8</v>
      </c>
      <c r="B9" s="2">
        <v>377.42</v>
      </c>
      <c r="C9" s="255">
        <f ca="1">VLOOKUP($A$2,'Entry Prices'!$A$3:$E$29,5,FALSE)/VLOOKUP(A9,'Entry Prices'!$A$3:$E$29,5,FALSE)*VLOOKUP(A9,'Entry Prices'!$A$3:$H$29,8,FALSE)</f>
        <v>34.805924733627222</v>
      </c>
      <c r="E9" s="81" t="s">
        <v>8</v>
      </c>
      <c r="F9" s="81"/>
      <c r="G9" s="80"/>
      <c r="I9" s="71" t="s">
        <v>9</v>
      </c>
      <c r="J9" s="337">
        <v>0.1</v>
      </c>
      <c r="K9" s="63">
        <f ca="1">(VLOOKUP($I$2,'Exit Prices'!$A$3:$H$231,4,FALSE)/VLOOKUP($I9,'Exit Prices'!$A$3:$H$231,4,FALSE))*VLOOKUP($I9,'Exit Prices'!$A$3:$H$231,7,FALSE)</f>
        <v>7.1586642952171893</v>
      </c>
      <c r="M9" s="84" t="s">
        <v>32</v>
      </c>
      <c r="N9" s="84"/>
      <c r="O9" s="84"/>
    </row>
    <row r="10" spans="1:15">
      <c r="A10" s="74" t="s">
        <v>20</v>
      </c>
      <c r="B10" s="2">
        <v>398.52</v>
      </c>
      <c r="C10" s="255">
        <f ca="1">VLOOKUP($A$2,'Entry Prices'!$A$3:$E$29,5,FALSE)/VLOOKUP(A10,'Entry Prices'!$A$3:$E$29,5,FALSE)*VLOOKUP(A10,'Entry Prices'!$A$3:$H$29,8,FALSE)</f>
        <v>34.141124495518589</v>
      </c>
      <c r="E10" s="81" t="s">
        <v>9</v>
      </c>
      <c r="F10" s="81"/>
      <c r="G10" s="80"/>
      <c r="I10" s="71" t="s">
        <v>75</v>
      </c>
      <c r="J10" s="337">
        <v>0.1</v>
      </c>
      <c r="K10" s="63">
        <f ca="1">(VLOOKUP($I$2,'Exit Prices'!$A$3:$H$231,4,FALSE)/VLOOKUP($I10,'Exit Prices'!$A$3:$H$231,4,FALSE))*VLOOKUP($I10,'Exit Prices'!$A$3:$H$231,7,FALSE)</f>
        <v>4.3722700325434163</v>
      </c>
      <c r="M10" s="84" t="s">
        <v>33</v>
      </c>
      <c r="N10" s="84"/>
      <c r="O10" s="84"/>
    </row>
    <row r="11" spans="1:15">
      <c r="A11" s="74" t="s">
        <v>18</v>
      </c>
      <c r="B11" s="2">
        <v>411.92</v>
      </c>
      <c r="C11" s="255">
        <f ca="1">VLOOKUP($A$2,'Entry Prices'!$A$3:$E$29,5,FALSE)/VLOOKUP(A11,'Entry Prices'!$A$3:$E$29,5,FALSE)*VLOOKUP(A11,'Entry Prices'!$A$3:$H$29,8,FALSE)</f>
        <v>28.920931288052145</v>
      </c>
      <c r="E11" s="81" t="s">
        <v>10</v>
      </c>
      <c r="F11" s="81"/>
      <c r="G11" s="80"/>
      <c r="I11" s="71" t="s">
        <v>79</v>
      </c>
      <c r="J11" s="337">
        <v>0.1</v>
      </c>
      <c r="K11" s="63">
        <f ca="1">(VLOOKUP($I$2,'Exit Prices'!$A$3:$H$231,4,FALSE)/VLOOKUP($I11,'Exit Prices'!$A$3:$H$231,4,FALSE))*VLOOKUP($I11,'Exit Prices'!$A$3:$H$231,7,FALSE)</f>
        <v>5.4905177000210825</v>
      </c>
      <c r="M11" s="84" t="s">
        <v>34</v>
      </c>
      <c r="N11" s="84"/>
      <c r="O11" s="84"/>
    </row>
    <row r="12" spans="1:15">
      <c r="A12" s="74" t="s">
        <v>4</v>
      </c>
      <c r="B12" s="2">
        <v>416.97</v>
      </c>
      <c r="C12" s="255">
        <f ca="1">VLOOKUP($A$2,'Entry Prices'!$A$3:$E$29,5,FALSE)/VLOOKUP(A12,'Entry Prices'!$A$3:$E$29,5,FALSE)*VLOOKUP(A12,'Entry Prices'!$A$3:$H$29,8,FALSE)</f>
        <v>30.416850229925743</v>
      </c>
      <c r="E12" s="82" t="s">
        <v>477</v>
      </c>
      <c r="F12" s="82"/>
      <c r="G12" s="80"/>
      <c r="I12" s="71" t="s">
        <v>81</v>
      </c>
      <c r="J12" s="337">
        <v>0.1</v>
      </c>
      <c r="K12" s="63">
        <f ca="1">(VLOOKUP($I$2,'Exit Prices'!$A$3:$H$231,4,FALSE)/VLOOKUP($I12,'Exit Prices'!$A$3:$H$231,4,FALSE))*VLOOKUP($I12,'Exit Prices'!$A$3:$H$231,7,FALSE)</f>
        <v>4.6875492575586719</v>
      </c>
      <c r="M12" s="84" t="s">
        <v>35</v>
      </c>
      <c r="N12" s="84"/>
      <c r="O12" s="84"/>
    </row>
    <row r="13" spans="1:15">
      <c r="A13" s="74" t="s">
        <v>23</v>
      </c>
      <c r="B13" s="2">
        <v>423.76</v>
      </c>
      <c r="C13" s="255">
        <f ca="1">VLOOKUP($A$2,'Entry Prices'!$A$3:$E$29,5,FALSE)/VLOOKUP(A13,'Entry Prices'!$A$3:$E$29,5,FALSE)*VLOOKUP(A13,'Entry Prices'!$A$3:$H$29,8,FALSE)</f>
        <v>38.005020388521189</v>
      </c>
      <c r="E13" s="81" t="s">
        <v>11</v>
      </c>
      <c r="F13" s="81"/>
      <c r="G13" s="80"/>
      <c r="I13" s="71" t="s">
        <v>82</v>
      </c>
      <c r="J13" s="337">
        <v>0.1</v>
      </c>
      <c r="K13" s="63">
        <f ca="1">(VLOOKUP($I$2,'Exit Prices'!$A$3:$H$231,4,FALSE)/VLOOKUP($I13,'Exit Prices'!$A$3:$H$231,4,FALSE))*VLOOKUP($I13,'Exit Prices'!$A$3:$H$231,7,FALSE)</f>
        <v>6.5063399514017659</v>
      </c>
      <c r="M13" s="84" t="s">
        <v>36</v>
      </c>
      <c r="N13" s="84"/>
      <c r="O13" s="84"/>
    </row>
    <row r="14" spans="1:15">
      <c r="A14" s="367" t="s">
        <v>3</v>
      </c>
      <c r="B14" s="342">
        <v>426.36</v>
      </c>
      <c r="C14" s="255">
        <f ca="1">VLOOKUP($A$2,'Entry Prices'!$A$3:$E$29,5,FALSE)/VLOOKUP(A14,'Entry Prices'!$A$3:$E$29,5,FALSE)*VLOOKUP(A14,'Entry Prices'!$A$3:$H$29,8,FALSE)</f>
        <v>34.248364085230911</v>
      </c>
      <c r="E14" s="81" t="s">
        <v>12</v>
      </c>
      <c r="F14" s="81"/>
      <c r="G14" s="80"/>
      <c r="I14" s="71" t="s">
        <v>86</v>
      </c>
      <c r="J14" s="337">
        <v>0.1</v>
      </c>
      <c r="K14" s="63">
        <f ca="1">(VLOOKUP($I$2,'Exit Prices'!$A$3:$H$231,4,FALSE)/VLOOKUP($I14,'Exit Prices'!$A$3:$H$231,4,FALSE))*VLOOKUP($I14,'Exit Prices'!$A$3:$H$231,7,FALSE)</f>
        <v>6.758795379735397</v>
      </c>
      <c r="M14" s="84" t="s">
        <v>37</v>
      </c>
      <c r="N14" s="84"/>
      <c r="O14" s="84"/>
    </row>
    <row r="15" spans="1:15">
      <c r="A15" s="74" t="s">
        <v>2</v>
      </c>
      <c r="B15" s="2">
        <v>426.36</v>
      </c>
      <c r="C15" s="255">
        <f ca="1">VLOOKUP($A$2,'Entry Prices'!$A$3:$E$29,5,FALSE)/VLOOKUP(A15,'Entry Prices'!$A$3:$E$29,5,FALSE)*VLOOKUP(A15,'Entry Prices'!$A$3:$H$29,8,FALSE)</f>
        <v>34.248364085230911</v>
      </c>
      <c r="E15" s="81" t="s">
        <v>13</v>
      </c>
      <c r="F15" s="81"/>
      <c r="G15" s="80"/>
      <c r="I15" s="71" t="s">
        <v>96</v>
      </c>
      <c r="J15" s="337">
        <v>0.1</v>
      </c>
      <c r="K15" s="63">
        <f ca="1">(VLOOKUP($I$2,'Exit Prices'!$A$3:$H$231,4,FALSE)/VLOOKUP($I15,'Exit Prices'!$A$3:$H$231,4,FALSE))*VLOOKUP($I15,'Exit Prices'!$A$3:$H$231,7,FALSE)</f>
        <v>6.1840981737215328</v>
      </c>
      <c r="M15" s="84" t="s">
        <v>38</v>
      </c>
      <c r="N15" s="84"/>
      <c r="O15" s="84"/>
    </row>
    <row r="16" spans="1:15">
      <c r="A16" s="74" t="s">
        <v>15</v>
      </c>
      <c r="B16" s="2">
        <v>439.54</v>
      </c>
      <c r="C16" s="255">
        <f ca="1">VLOOKUP($A$2,'Entry Prices'!$A$3:$E$29,5,FALSE)/VLOOKUP(A16,'Entry Prices'!$A$3:$E$29,5,FALSE)*VLOOKUP(A16,'Entry Prices'!$A$3:$H$29,8,FALSE)</f>
        <v>40.189323231171329</v>
      </c>
      <c r="E16" s="81" t="s">
        <v>14</v>
      </c>
      <c r="F16" s="81"/>
      <c r="G16" s="80"/>
      <c r="I16" s="71" t="s">
        <v>101</v>
      </c>
      <c r="J16" s="337">
        <v>0.1</v>
      </c>
      <c r="K16" s="63">
        <f ca="1">(VLOOKUP($I$2,'Exit Prices'!$A$3:$H$231,4,FALSE)/VLOOKUP($I16,'Exit Prices'!$A$3:$H$231,4,FALSE))*VLOOKUP($I16,'Exit Prices'!$A$3:$H$231,7,FALSE)</f>
        <v>6.2099961982111145</v>
      </c>
      <c r="M16" s="84" t="s">
        <v>39</v>
      </c>
      <c r="N16" s="84"/>
      <c r="O16" s="84"/>
    </row>
    <row r="17" spans="1:15">
      <c r="A17" s="74" t="s">
        <v>17</v>
      </c>
      <c r="B17" s="2">
        <v>439.54</v>
      </c>
      <c r="C17" s="255">
        <f ca="1">VLOOKUP($A$2,'Entry Prices'!$A$3:$E$29,5,FALSE)/VLOOKUP(A17,'Entry Prices'!$A$3:$E$29,5,FALSE)*VLOOKUP(A17,'Entry Prices'!$A$3:$H$29,8,FALSE)</f>
        <v>40.189323231171329</v>
      </c>
      <c r="E17" s="81" t="s">
        <v>15</v>
      </c>
      <c r="F17" s="81"/>
      <c r="G17" s="80"/>
      <c r="I17" s="71" t="s">
        <v>114</v>
      </c>
      <c r="J17" s="337">
        <v>0.1</v>
      </c>
      <c r="K17" s="63">
        <f ca="1">(VLOOKUP($I$2,'Exit Prices'!$A$3:$H$231,4,FALSE)/VLOOKUP($I17,'Exit Prices'!$A$3:$H$231,4,FALSE))*VLOOKUP($I17,'Exit Prices'!$A$3:$H$231,7,FALSE)</f>
        <v>5.5477844810945651</v>
      </c>
      <c r="M17" s="84" t="s">
        <v>40</v>
      </c>
      <c r="N17" s="84"/>
      <c r="O17" s="84"/>
    </row>
    <row r="18" spans="1:15">
      <c r="A18" s="74" t="s">
        <v>19</v>
      </c>
      <c r="B18" s="2">
        <v>443.62</v>
      </c>
      <c r="C18" s="255">
        <f ca="1">VLOOKUP($A$2,'Entry Prices'!$A$3:$E$29,5,FALSE)/VLOOKUP(A18,'Entry Prices'!$A$3:$E$29,5,FALSE)*VLOOKUP(A18,'Entry Prices'!$A$3:$H$29,8,FALSE)</f>
        <v>19.384653453052781</v>
      </c>
      <c r="E18" s="81" t="s">
        <v>16</v>
      </c>
      <c r="F18" s="81"/>
      <c r="G18" s="80"/>
      <c r="I18" s="71" t="s">
        <v>116</v>
      </c>
      <c r="J18" s="337">
        <v>0.1</v>
      </c>
      <c r="K18" s="63">
        <f ca="1">(VLOOKUP($I$2,'Exit Prices'!$A$3:$H$231,4,FALSE)/VLOOKUP($I18,'Exit Prices'!$A$3:$H$231,4,FALSE))*VLOOKUP($I18,'Exit Prices'!$A$3:$H$231,7,FALSE)</f>
        <v>7.2949604219252118</v>
      </c>
      <c r="M18" s="84" t="s">
        <v>41</v>
      </c>
      <c r="N18" s="84"/>
      <c r="O18" s="84"/>
    </row>
    <row r="19" spans="1:15">
      <c r="A19" s="74" t="s">
        <v>13</v>
      </c>
      <c r="B19" s="2">
        <v>460.25</v>
      </c>
      <c r="C19" s="255">
        <f ca="1">VLOOKUP($A$2,'Entry Prices'!$A$3:$E$29,5,FALSE)/VLOOKUP(A19,'Entry Prices'!$A$3:$E$29,5,FALSE)*VLOOKUP(A19,'Entry Prices'!$A$3:$H$29,8,FALSE)</f>
        <v>38.668245719323437</v>
      </c>
      <c r="E19" s="81" t="s">
        <v>17</v>
      </c>
      <c r="F19" s="81"/>
      <c r="G19" s="80"/>
      <c r="I19" s="71" t="s">
        <v>135</v>
      </c>
      <c r="J19" s="337">
        <v>0.1</v>
      </c>
      <c r="K19" s="63">
        <f ca="1">(VLOOKUP($I$2,'Exit Prices'!$A$3:$H$231,4,FALSE)/VLOOKUP($I19,'Exit Prices'!$A$3:$H$231,4,FALSE))*VLOOKUP($I19,'Exit Prices'!$A$3:$H$231,7,FALSE)</f>
        <v>4.491632887532897</v>
      </c>
      <c r="M19" s="84" t="s">
        <v>42</v>
      </c>
      <c r="N19" s="84"/>
      <c r="O19" s="84"/>
    </row>
    <row r="20" spans="1:15">
      <c r="A20" s="88" t="s">
        <v>477</v>
      </c>
      <c r="B20" s="2">
        <v>468.03</v>
      </c>
      <c r="C20" s="255">
        <f ca="1">VLOOKUP($A$2,'Entry Prices'!$A$3:$E$29,5,FALSE)/VLOOKUP(A20,'Entry Prices'!$A$3:$E$29,5,FALSE)*VLOOKUP(A20,'Entry Prices'!$A$3:$H$29,8,FALSE)</f>
        <v>37.070230212658345</v>
      </c>
      <c r="E20" s="81" t="s">
        <v>18</v>
      </c>
      <c r="F20" s="81"/>
      <c r="G20" s="80"/>
      <c r="I20" s="71" t="s">
        <v>158</v>
      </c>
      <c r="J20" s="337">
        <v>0.1</v>
      </c>
      <c r="K20" s="63">
        <f ca="1">(VLOOKUP($I$2,'Exit Prices'!$A$3:$H$231,4,FALSE)/VLOOKUP($I20,'Exit Prices'!$A$3:$H$231,4,FALSE))*VLOOKUP($I20,'Exit Prices'!$A$3:$H$231,7,FALSE)</f>
        <v>6.2005491259571457</v>
      </c>
      <c r="M20" s="84" t="s">
        <v>43</v>
      </c>
      <c r="N20" s="84"/>
      <c r="O20" s="84"/>
    </row>
    <row r="21" spans="1:15">
      <c r="A21" s="74" t="s">
        <v>16</v>
      </c>
      <c r="B21" s="2">
        <v>477.61</v>
      </c>
      <c r="C21" s="255">
        <f ca="1">VLOOKUP($A$2,'Entry Prices'!$A$3:$E$29,5,FALSE)/VLOOKUP(A21,'Entry Prices'!$A$3:$E$29,5,FALSE)*VLOOKUP(A21,'Entry Prices'!$A$3:$H$29,8,FALSE)</f>
        <v>37.536962519519207</v>
      </c>
      <c r="E21" s="81" t="s">
        <v>19</v>
      </c>
      <c r="F21" s="81"/>
      <c r="G21" s="80"/>
      <c r="I21" s="71" t="s">
        <v>546</v>
      </c>
      <c r="J21" s="337">
        <v>0.1</v>
      </c>
      <c r="K21" s="63">
        <f ca="1">(VLOOKUP($I$2,'Exit Prices'!$A$3:$H$231,4,FALSE)/VLOOKUP($I21,'Exit Prices'!$A$3:$H$231,4,FALSE))*VLOOKUP($I21,'Exit Prices'!$A$3:$H$231,7,FALSE)</f>
        <v>3.6863909788560156</v>
      </c>
      <c r="M21" s="84" t="s">
        <v>44</v>
      </c>
      <c r="N21" s="84"/>
      <c r="O21" s="84"/>
    </row>
    <row r="22" spans="1:15">
      <c r="A22" s="74" t="s">
        <v>11</v>
      </c>
      <c r="B22" s="2">
        <v>478.47</v>
      </c>
      <c r="C22" s="255">
        <f ca="1">VLOOKUP($A$2,'Entry Prices'!$A$3:$E$29,5,FALSE)/VLOOKUP(A22,'Entry Prices'!$A$3:$E$29,5,FALSE)*VLOOKUP(A22,'Entry Prices'!$A$3:$H$29,8,FALSE)</f>
        <v>32.546237849850201</v>
      </c>
      <c r="E22" s="81" t="s">
        <v>20</v>
      </c>
      <c r="F22" s="81"/>
      <c r="G22" s="80"/>
      <c r="I22" s="71" t="s">
        <v>171</v>
      </c>
      <c r="J22" s="337">
        <v>0.1</v>
      </c>
      <c r="K22" s="63">
        <f ca="1">(VLOOKUP($I$2,'Exit Prices'!$A$3:$H$231,4,FALSE)/VLOOKUP($I22,'Exit Prices'!$A$3:$H$231,4,FALSE))*VLOOKUP($I22,'Exit Prices'!$A$3:$H$231,7,FALSE)</f>
        <v>5.3852232588067341</v>
      </c>
      <c r="M22" s="84" t="s">
        <v>45</v>
      </c>
      <c r="N22" s="84"/>
      <c r="O22" s="84"/>
    </row>
    <row r="23" spans="1:15">
      <c r="A23" s="74" t="s">
        <v>9</v>
      </c>
      <c r="B23" s="2">
        <v>488.03</v>
      </c>
      <c r="C23" s="255">
        <f ca="1">VLOOKUP($A$2,'Entry Prices'!$A$3:$E$29,5,FALSE)/VLOOKUP(A23,'Entry Prices'!$A$3:$E$29,5,FALSE)*VLOOKUP(A23,'Entry Prices'!$A$3:$H$29,8,FALSE)</f>
        <v>36.849073868261485</v>
      </c>
      <c r="E23" s="82" t="s">
        <v>155</v>
      </c>
      <c r="F23" s="82"/>
      <c r="G23" s="80"/>
      <c r="I23" s="71" t="s">
        <v>182</v>
      </c>
      <c r="J23" s="337">
        <v>0.1</v>
      </c>
      <c r="K23" s="63">
        <f ca="1">(VLOOKUP($I$2,'Exit Prices'!$A$3:$H$231,4,FALSE)/VLOOKUP($I23,'Exit Prices'!$A$3:$H$231,4,FALSE))*VLOOKUP($I23,'Exit Prices'!$A$3:$H$231,7,FALSE)</f>
        <v>6.9624122621487823</v>
      </c>
      <c r="M23" s="84" t="s">
        <v>46</v>
      </c>
      <c r="N23" s="84"/>
      <c r="O23" s="84"/>
    </row>
    <row r="24" spans="1:15">
      <c r="A24" s="74" t="s">
        <v>5</v>
      </c>
      <c r="B24" s="2">
        <v>567.79</v>
      </c>
      <c r="C24" s="255">
        <f ca="1">VLOOKUP($A$2,'Entry Prices'!$A$3:$E$29,5,FALSE)/VLOOKUP(A24,'Entry Prices'!$A$3:$E$29,5,FALSE)*VLOOKUP(A24,'Entry Prices'!$A$3:$H$29,8,FALSE)</f>
        <v>27.865015829663882</v>
      </c>
      <c r="E24" s="335" t="s">
        <v>533</v>
      </c>
      <c r="F24" s="82"/>
      <c r="G24" s="80"/>
      <c r="I24" s="71" t="s">
        <v>183</v>
      </c>
      <c r="J24" s="337">
        <v>0.1</v>
      </c>
      <c r="K24" s="63">
        <f ca="1">(VLOOKUP($I$2,'Exit Prices'!$A$3:$H$231,4,FALSE)/VLOOKUP($I24,'Exit Prices'!$A$3:$H$231,4,FALSE))*VLOOKUP($I24,'Exit Prices'!$A$3:$H$231,7,FALSE)</f>
        <v>4.2857255350546897</v>
      </c>
      <c r="M24" s="84" t="s">
        <v>47</v>
      </c>
      <c r="N24" s="84"/>
      <c r="O24" s="84"/>
    </row>
    <row r="25" spans="1:15">
      <c r="A25" s="74" t="s">
        <v>22</v>
      </c>
      <c r="B25" s="2">
        <v>603.80999999999995</v>
      </c>
      <c r="C25" s="255">
        <f ca="1">VLOOKUP($A$2,'Entry Prices'!$A$3:$E$29,5,FALSE)/VLOOKUP(A25,'Entry Prices'!$A$3:$E$29,5,FALSE)*VLOOKUP(A25,'Entry Prices'!$A$3:$H$29,8,FALSE)</f>
        <v>30.751858690591352</v>
      </c>
      <c r="E25" s="81" t="s">
        <v>21</v>
      </c>
      <c r="F25" s="81"/>
      <c r="G25" s="80"/>
      <c r="I25" s="71" t="s">
        <v>196</v>
      </c>
      <c r="J25" s="337">
        <v>0.1</v>
      </c>
      <c r="K25" s="63">
        <f ca="1">(VLOOKUP($I$2,'Exit Prices'!$A$3:$H$231,4,FALSE)/VLOOKUP($I25,'Exit Prices'!$A$3:$H$231,4,FALSE))*VLOOKUP($I25,'Exit Prices'!$A$3:$H$231,7,FALSE)</f>
        <v>7.6150714183784984</v>
      </c>
      <c r="M25" s="84" t="s">
        <v>48</v>
      </c>
      <c r="N25" s="84"/>
      <c r="O25" s="84"/>
    </row>
    <row r="26" spans="1:15">
      <c r="A26" s="74" t="s">
        <v>7</v>
      </c>
      <c r="B26" s="2">
        <v>619.53</v>
      </c>
      <c r="C26" s="255">
        <f ca="1">VLOOKUP($A$2,'Entry Prices'!$A$3:$E$29,5,FALSE)/VLOOKUP(A26,'Entry Prices'!$A$3:$E$29,5,FALSE)*VLOOKUP(A26,'Entry Prices'!$A$3:$H$29,8,FALSE)</f>
        <v>27.849681880972007</v>
      </c>
      <c r="E26" s="81" t="s">
        <v>22</v>
      </c>
      <c r="F26" s="81"/>
      <c r="G26" s="80"/>
      <c r="I26" s="71" t="s">
        <v>211</v>
      </c>
      <c r="J26" s="337">
        <v>0.1</v>
      </c>
      <c r="K26" s="63">
        <f ca="1">(VLOOKUP($I$2,'Exit Prices'!$A$3:$H$231,4,FALSE)/VLOOKUP($I26,'Exit Prices'!$A$3:$H$231,4,FALSE))*VLOOKUP($I26,'Exit Prices'!$A$3:$H$231,7,FALSE)</f>
        <v>4.8187460573031675</v>
      </c>
      <c r="M26" s="84" t="s">
        <v>49</v>
      </c>
      <c r="N26" s="84"/>
      <c r="O26" s="84"/>
    </row>
    <row r="27" spans="1:15">
      <c r="A27" s="74" t="s">
        <v>12</v>
      </c>
      <c r="B27" s="2">
        <v>771.11</v>
      </c>
      <c r="C27" s="255">
        <f ca="1">VLOOKUP($A$2,'Entry Prices'!$A$3:$E$29,5,FALSE)/VLOOKUP(A27,'Entry Prices'!$A$3:$E$29,5,FALSE)*VLOOKUP(A27,'Entry Prices'!$A$3:$H$29,8,FALSE)</f>
        <v>21.133841401616067</v>
      </c>
      <c r="E27" s="81" t="s">
        <v>23</v>
      </c>
      <c r="F27" s="81"/>
      <c r="G27" s="80"/>
      <c r="I27" s="71" t="s">
        <v>216</v>
      </c>
      <c r="J27" s="337">
        <v>0.1</v>
      </c>
      <c r="K27" s="63">
        <f ca="1">(VLOOKUP($I$2,'Exit Prices'!$A$3:$H$231,4,FALSE)/VLOOKUP($I27,'Exit Prices'!$A$3:$H$231,4,FALSE))*VLOOKUP($I27,'Exit Prices'!$A$3:$H$231,7,FALSE)</f>
        <v>5.4352813060088421</v>
      </c>
      <c r="M27" s="84" t="s">
        <v>50</v>
      </c>
      <c r="N27" s="84"/>
      <c r="O27" s="84"/>
    </row>
    <row r="28" spans="1:15" ht="15.75" thickBot="1">
      <c r="A28" s="73" t="s">
        <v>21</v>
      </c>
      <c r="B28" s="2">
        <v>1022.11</v>
      </c>
      <c r="C28" s="255">
        <f ca="1">VLOOKUP($A$2,'Entry Prices'!$A$3:$E$29,5,FALSE)/VLOOKUP(A28,'Entry Prices'!$A$3:$E$29,5,FALSE)*VLOOKUP(A28,'Entry Prices'!$A$3:$H$29,8,FALSE)</f>
        <v>15.243575382480344</v>
      </c>
      <c r="E28" s="81" t="s">
        <v>24</v>
      </c>
      <c r="F28" s="81" t="s">
        <v>155</v>
      </c>
      <c r="G28" s="80">
        <v>12.919783481554388</v>
      </c>
      <c r="I28" s="71" t="s">
        <v>239</v>
      </c>
      <c r="J28" s="337">
        <v>0.1</v>
      </c>
      <c r="K28" s="63">
        <f ca="1">(VLOOKUP($I$2,'Exit Prices'!$A$3:$H$231,4,FALSE)/VLOOKUP($I28,'Exit Prices'!$A$3:$H$231,4,FALSE))*VLOOKUP($I28,'Exit Prices'!$A$3:$H$231,7,FALSE)</f>
        <v>6.2005491259571457</v>
      </c>
      <c r="M28" s="84" t="s">
        <v>51</v>
      </c>
      <c r="N28" s="84"/>
      <c r="O28" s="84"/>
    </row>
    <row r="29" spans="1:15">
      <c r="I29" s="71" t="s">
        <v>231</v>
      </c>
      <c r="J29" s="337">
        <v>0.1</v>
      </c>
      <c r="K29" s="63">
        <f ca="1">(VLOOKUP($I$2,'Exit Prices'!$A$3:$H$231,4,FALSE)/VLOOKUP($I29,'Exit Prices'!$A$3:$H$231,4,FALSE))*VLOOKUP($I29,'Exit Prices'!$A$3:$H$231,7,FALSE)</f>
        <v>6.6822470831262395</v>
      </c>
      <c r="M29" s="84" t="s">
        <v>52</v>
      </c>
      <c r="N29" s="84"/>
      <c r="O29" s="84"/>
    </row>
    <row r="30" spans="1:15">
      <c r="I30" s="71" t="s">
        <v>236</v>
      </c>
      <c r="J30" s="337">
        <v>0.1</v>
      </c>
      <c r="K30" s="63">
        <f ca="1">(VLOOKUP($I$2,'Exit Prices'!$A$3:$H$231,4,FALSE)/VLOOKUP($I30,'Exit Prices'!$A$3:$H$231,4,FALSE))*VLOOKUP($I30,'Exit Prices'!$A$3:$H$231,7,FALSE)</f>
        <v>6.1093410188449226</v>
      </c>
      <c r="M30" s="84" t="s">
        <v>53</v>
      </c>
      <c r="N30" s="84"/>
      <c r="O30" s="84"/>
    </row>
    <row r="31" spans="1:15">
      <c r="I31" s="338" t="s">
        <v>534</v>
      </c>
      <c r="J31" s="337">
        <v>0.1</v>
      </c>
      <c r="K31" s="63">
        <f ca="1">(VLOOKUP($I$2,'Exit Prices'!$A$3:$H$231,4,FALSE)/VLOOKUP($I31,'Exit Prices'!$A$3:$H$231,4,FALSE))*VLOOKUP($I31,'Exit Prices'!$A$3:$H$231,7,FALSE)</f>
        <v>6.1503349412440471</v>
      </c>
      <c r="M31" s="84" t="s">
        <v>54</v>
      </c>
      <c r="N31" s="84"/>
      <c r="O31" s="84"/>
    </row>
    <row r="32" spans="1:15">
      <c r="I32" s="338" t="s">
        <v>537</v>
      </c>
      <c r="J32" s="337">
        <v>0.1</v>
      </c>
      <c r="K32" s="63">
        <f ca="1">(VLOOKUP($I$2,'Exit Prices'!$A$3:$H$231,4,FALSE)/VLOOKUP($I32,'Exit Prices'!$A$3:$H$231,4,FALSE))*VLOOKUP($I32,'Exit Prices'!$A$3:$H$231,7,FALSE)</f>
        <v>3.4282153414288437</v>
      </c>
      <c r="M32" s="84" t="s">
        <v>55</v>
      </c>
      <c r="N32" s="84"/>
      <c r="O32" s="84"/>
    </row>
    <row r="33" spans="9:15">
      <c r="I33" s="338" t="s">
        <v>538</v>
      </c>
      <c r="J33" s="337">
        <v>0.1</v>
      </c>
      <c r="K33" s="63">
        <f ca="1">(VLOOKUP($I$2,'Exit Prices'!$A$3:$H$231,4,FALSE)/VLOOKUP($I33,'Exit Prices'!$A$3:$H$231,4,FALSE))*VLOOKUP($I33,'Exit Prices'!$A$3:$H$231,7,FALSE)</f>
        <v>4.3437675234867248</v>
      </c>
      <c r="M33" s="84" t="s">
        <v>56</v>
      </c>
      <c r="N33" s="84"/>
      <c r="O33" s="84"/>
    </row>
    <row r="34" spans="9:15">
      <c r="I34" s="338" t="s">
        <v>545</v>
      </c>
      <c r="J34" s="337">
        <v>0.1</v>
      </c>
      <c r="K34" s="63">
        <f ca="1">(VLOOKUP($I$2,'Exit Prices'!$A$3:$H$231,4,FALSE)/VLOOKUP($I34,'Exit Prices'!$A$3:$H$231,4,FALSE))*VLOOKUP($I34,'Exit Prices'!$A$3:$H$231,7,FALSE)</f>
        <v>6.2072171999024013</v>
      </c>
      <c r="M34" s="84" t="s">
        <v>57</v>
      </c>
      <c r="N34" s="84"/>
      <c r="O34" s="84"/>
    </row>
    <row r="35" spans="9:15">
      <c r="I35" s="71" t="s">
        <v>41</v>
      </c>
      <c r="J35" s="337">
        <v>0.1</v>
      </c>
      <c r="K35" s="63">
        <f ca="1">(VLOOKUP($I$2,'Exit Prices'!$A$3:$H$231,4,FALSE)/VLOOKUP($I35,'Exit Prices'!$A$3:$H$231,4,FALSE))*VLOOKUP($I35,'Exit Prices'!$A$3:$H$231,7,FALSE)</f>
        <v>6.5063399514017659</v>
      </c>
      <c r="M35" s="84" t="s">
        <v>58</v>
      </c>
      <c r="N35" s="84"/>
      <c r="O35" s="84"/>
    </row>
    <row r="36" spans="9:15">
      <c r="I36" s="71" t="s">
        <v>52</v>
      </c>
      <c r="J36" s="337">
        <v>0.1</v>
      </c>
      <c r="K36" s="63">
        <f ca="1">(VLOOKUP($I$2,'Exit Prices'!$A$3:$H$231,4,FALSE)/VLOOKUP($I36,'Exit Prices'!$A$3:$H$231,4,FALSE))*VLOOKUP($I36,'Exit Prices'!$A$3:$H$231,7,FALSE)</f>
        <v>6.2334087383594881</v>
      </c>
      <c r="M36" s="84" t="s">
        <v>59</v>
      </c>
      <c r="N36" s="84"/>
      <c r="O36" s="84"/>
    </row>
    <row r="37" spans="9:15">
      <c r="I37" s="71" t="s">
        <v>55</v>
      </c>
      <c r="J37" s="337">
        <v>0.1</v>
      </c>
      <c r="K37" s="63">
        <f ca="1">(VLOOKUP($I$2,'Exit Prices'!$A$3:$H$231,4,FALSE)/VLOOKUP($I37,'Exit Prices'!$A$3:$H$231,4,FALSE))*VLOOKUP($I37,'Exit Prices'!$A$3:$H$231,7,FALSE)</f>
        <v>4.3437675234867248</v>
      </c>
      <c r="M37" s="84" t="s">
        <v>60</v>
      </c>
      <c r="N37" s="84"/>
      <c r="O37" s="84"/>
    </row>
    <row r="38" spans="9:15">
      <c r="I38" s="71" t="s">
        <v>129</v>
      </c>
      <c r="J38" s="337">
        <v>0.1</v>
      </c>
      <c r="K38" s="63">
        <f ca="1">(VLOOKUP($I$2,'Exit Prices'!$A$3:$H$231,4,FALSE)/VLOOKUP($I38,'Exit Prices'!$A$3:$H$231,4,FALSE))*VLOOKUP($I38,'Exit Prices'!$A$3:$H$231,7,FALSE)</f>
        <v>5.7136137365337136</v>
      </c>
      <c r="M38" s="84" t="s">
        <v>61</v>
      </c>
      <c r="N38" s="84"/>
      <c r="O38" s="84"/>
    </row>
    <row r="39" spans="9:15">
      <c r="I39" s="71" t="s">
        <v>149</v>
      </c>
      <c r="J39" s="337">
        <v>0.1</v>
      </c>
      <c r="K39" s="63">
        <f ca="1">(VLOOKUP($I$2,'Exit Prices'!$A$3:$H$231,4,FALSE)/VLOOKUP($I39,'Exit Prices'!$A$3:$H$231,4,FALSE))*VLOOKUP($I39,'Exit Prices'!$A$3:$H$231,7,FALSE)</f>
        <v>5.9045559279488629</v>
      </c>
      <c r="M39" s="84" t="s">
        <v>62</v>
      </c>
      <c r="N39" s="84"/>
      <c r="O39" s="84"/>
    </row>
    <row r="40" spans="9:15">
      <c r="I40" s="71" t="s">
        <v>157</v>
      </c>
      <c r="J40" s="337">
        <v>0.1</v>
      </c>
      <c r="K40" s="63">
        <f ca="1">(VLOOKUP($I$2,'Exit Prices'!$A$3:$H$231,4,FALSE)/VLOOKUP($I40,'Exit Prices'!$A$3:$H$231,4,FALSE))*VLOOKUP($I40,'Exit Prices'!$A$3:$H$231,7,FALSE)</f>
        <v>7.0040901676716469</v>
      </c>
      <c r="M40" s="84" t="s">
        <v>63</v>
      </c>
      <c r="N40" s="84"/>
      <c r="O40" s="84"/>
    </row>
    <row r="41" spans="9:15">
      <c r="I41" s="71" t="s">
        <v>198</v>
      </c>
      <c r="J41" s="337">
        <v>0.1</v>
      </c>
      <c r="K41" s="63">
        <f ca="1">(VLOOKUP($I$2,'Exit Prices'!$A$3:$H$231,4,FALSE)/VLOOKUP($I41,'Exit Prices'!$A$3:$H$231,4,FALSE))*VLOOKUP($I41,'Exit Prices'!$A$3:$H$231,7,FALSE)</f>
        <v>3.4282153414288437</v>
      </c>
      <c r="M41" s="84" t="s">
        <v>64</v>
      </c>
      <c r="N41" s="84"/>
      <c r="O41" s="84"/>
    </row>
    <row r="42" spans="9:15">
      <c r="I42" s="71" t="s">
        <v>204</v>
      </c>
      <c r="J42" s="337">
        <v>0.1</v>
      </c>
      <c r="K42" s="63">
        <f ca="1">(VLOOKUP($I$2,'Exit Prices'!$A$3:$H$231,4,FALSE)/VLOOKUP($I42,'Exit Prices'!$A$3:$H$231,4,FALSE))*VLOOKUP($I42,'Exit Prices'!$A$3:$H$231,7,FALSE)</f>
        <v>6.4224533923985589</v>
      </c>
      <c r="M42" s="84" t="s">
        <v>65</v>
      </c>
      <c r="N42" s="84"/>
      <c r="O42" s="84"/>
    </row>
    <row r="43" spans="9:15">
      <c r="I43" s="71" t="s">
        <v>209</v>
      </c>
      <c r="J43" s="337">
        <v>0.1</v>
      </c>
      <c r="K43" s="63">
        <f ca="1">(VLOOKUP($I$2,'Exit Prices'!$A$3:$H$231,4,FALSE)/VLOOKUP($I43,'Exit Prices'!$A$3:$H$231,4,FALSE))*VLOOKUP($I43,'Exit Prices'!$A$3:$H$231,7,FALSE)</f>
        <v>6.1476521096008456</v>
      </c>
      <c r="M43" s="84" t="s">
        <v>66</v>
      </c>
      <c r="N43" s="84"/>
      <c r="O43" s="84"/>
    </row>
    <row r="44" spans="9:15">
      <c r="I44" s="71" t="s">
        <v>224</v>
      </c>
      <c r="J44" s="337">
        <v>0.1</v>
      </c>
      <c r="K44" s="63">
        <f ca="1">(VLOOKUP($I$2,'Exit Prices'!$A$3:$H$231,4,FALSE)/VLOOKUP($I44,'Exit Prices'!$A$3:$H$231,4,FALSE))*VLOOKUP($I44,'Exit Prices'!$A$3:$H$231,7,FALSE)</f>
        <v>7.3097808781389721</v>
      </c>
      <c r="M44" s="84" t="s">
        <v>67</v>
      </c>
      <c r="N44" s="84"/>
      <c r="O44" s="84"/>
    </row>
    <row r="45" spans="9:15">
      <c r="I45" s="71" t="s">
        <v>235</v>
      </c>
      <c r="J45" s="337">
        <v>0.1</v>
      </c>
      <c r="K45" s="63">
        <f ca="1">(VLOOKUP($I$2,'Exit Prices'!$A$3:$H$231,4,FALSE)/VLOOKUP($I45,'Exit Prices'!$A$3:$H$231,4,FALSE))*VLOOKUP($I45,'Exit Prices'!$A$3:$H$231,7,FALSE)</f>
        <v>7.6000389017256778</v>
      </c>
      <c r="M45" s="84" t="s">
        <v>68</v>
      </c>
      <c r="N45" s="84"/>
      <c r="O45" s="84"/>
    </row>
    <row r="46" spans="9:15">
      <c r="I46" s="338" t="s">
        <v>540</v>
      </c>
      <c r="J46" s="337">
        <v>0.1</v>
      </c>
      <c r="K46" s="63">
        <f ca="1">(VLOOKUP($I$2,'Exit Prices'!$A$3:$H$231,4,FALSE)/VLOOKUP($I46,'Exit Prices'!$A$3:$H$231,4,FALSE))*VLOOKUP($I46,'Exit Prices'!$A$3:$H$231,7,FALSE)</f>
        <v>7.2467203372516078</v>
      </c>
      <c r="M46" s="84" t="s">
        <v>69</v>
      </c>
      <c r="N46" s="84"/>
      <c r="O46" s="84"/>
    </row>
    <row r="47" spans="9:15">
      <c r="I47" s="71" t="s">
        <v>29</v>
      </c>
      <c r="J47" s="337">
        <v>0.1</v>
      </c>
      <c r="K47" s="63">
        <f ca="1">(VLOOKUP($I$2,'Exit Prices'!$A$3:$H$231,4,FALSE)/VLOOKUP($I47,'Exit Prices'!$A$3:$H$231,4,FALSE))*VLOOKUP($I47,'Exit Prices'!$A$3:$H$231,7,FALSE)</f>
        <v>6.7418575415274642</v>
      </c>
      <c r="M47" s="84" t="s">
        <v>70</v>
      </c>
      <c r="N47" s="84"/>
      <c r="O47" s="84"/>
    </row>
    <row r="48" spans="9:15">
      <c r="I48" s="71" t="s">
        <v>240</v>
      </c>
      <c r="J48" s="337">
        <v>0.1</v>
      </c>
      <c r="K48" s="63">
        <f ca="1">(VLOOKUP($I$2,'Exit Prices'!$A$3:$H$231,4,FALSE)/VLOOKUP($I48,'Exit Prices'!$A$3:$H$231,4,FALSE))*VLOOKUP($I48,'Exit Prices'!$A$3:$H$231,7,FALSE)</f>
        <v>3.4282153414288437</v>
      </c>
      <c r="M48" s="84" t="s">
        <v>71</v>
      </c>
      <c r="N48" s="84"/>
      <c r="O48" s="84"/>
    </row>
    <row r="49" spans="9:15">
      <c r="I49" s="71" t="s">
        <v>34</v>
      </c>
      <c r="J49" s="337">
        <v>0.1</v>
      </c>
      <c r="K49" s="63">
        <f ca="1">(VLOOKUP($I$2,'Exit Prices'!$A$3:$H$231,4,FALSE)/VLOOKUP($I49,'Exit Prices'!$A$3:$H$231,4,FALSE))*VLOOKUP($I49,'Exit Prices'!$A$3:$H$231,7,FALSE)</f>
        <v>6.367320287733409</v>
      </c>
      <c r="M49" s="84" t="s">
        <v>72</v>
      </c>
      <c r="N49" s="84"/>
      <c r="O49" s="84"/>
    </row>
    <row r="50" spans="9:15">
      <c r="I50" s="71" t="s">
        <v>38</v>
      </c>
      <c r="J50" s="337">
        <v>0.1</v>
      </c>
      <c r="K50" s="63">
        <f ca="1">(VLOOKUP($I$2,'Exit Prices'!$A$3:$H$231,4,FALSE)/VLOOKUP($I50,'Exit Prices'!$A$3:$H$231,4,FALSE))*VLOOKUP($I50,'Exit Prices'!$A$3:$H$231,7,FALSE)</f>
        <v>6.5063399514017659</v>
      </c>
      <c r="M50" s="84" t="s">
        <v>9</v>
      </c>
      <c r="N50" s="84"/>
      <c r="O50" s="84"/>
    </row>
    <row r="51" spans="9:15">
      <c r="I51" s="71" t="s">
        <v>42</v>
      </c>
      <c r="J51" s="337">
        <v>0.1</v>
      </c>
      <c r="K51" s="63">
        <f ca="1">(VLOOKUP($I$2,'Exit Prices'!$A$3:$H$231,4,FALSE)/VLOOKUP($I51,'Exit Prices'!$A$3:$H$231,4,FALSE))*VLOOKUP($I51,'Exit Prices'!$A$3:$H$231,7,FALSE)</f>
        <v>6.5063399514017659</v>
      </c>
      <c r="M51" s="84" t="s">
        <v>73</v>
      </c>
      <c r="N51" s="84"/>
      <c r="O51" s="84"/>
    </row>
    <row r="52" spans="9:15">
      <c r="I52" s="71" t="s">
        <v>43</v>
      </c>
      <c r="J52" s="337">
        <v>0.1</v>
      </c>
      <c r="K52" s="63">
        <f ca="1">(VLOOKUP($I$2,'Exit Prices'!$A$3:$H$231,4,FALSE)/VLOOKUP($I52,'Exit Prices'!$A$3:$H$231,4,FALSE))*VLOOKUP($I52,'Exit Prices'!$A$3:$H$231,7,FALSE)</f>
        <v>6.6571844639788749</v>
      </c>
      <c r="M52" s="84" t="s">
        <v>74</v>
      </c>
      <c r="N52" s="84"/>
      <c r="O52" s="84"/>
    </row>
    <row r="53" spans="9:15">
      <c r="I53" s="71" t="s">
        <v>47</v>
      </c>
      <c r="J53" s="337">
        <v>0.1</v>
      </c>
      <c r="K53" s="63">
        <f ca="1">(VLOOKUP($I$2,'Exit Prices'!$A$3:$H$231,4,FALSE)/VLOOKUP($I53,'Exit Prices'!$A$3:$H$231,4,FALSE))*VLOOKUP($I53,'Exit Prices'!$A$3:$H$231,7,FALSE)</f>
        <v>5.3852232588067341</v>
      </c>
      <c r="M53" s="84" t="s">
        <v>75</v>
      </c>
      <c r="N53" s="84"/>
      <c r="O53" s="84"/>
    </row>
    <row r="54" spans="9:15">
      <c r="I54" s="71" t="s">
        <v>50</v>
      </c>
      <c r="J54" s="337">
        <v>0.1</v>
      </c>
      <c r="K54" s="63">
        <f ca="1">(VLOOKUP($I$2,'Exit Prices'!$A$3:$H$231,4,FALSE)/VLOOKUP($I54,'Exit Prices'!$A$3:$H$231,4,FALSE))*VLOOKUP($I54,'Exit Prices'!$A$3:$H$231,7,FALSE)</f>
        <v>4.4651162092116747</v>
      </c>
      <c r="M54" s="84" t="s">
        <v>76</v>
      </c>
      <c r="N54" s="84"/>
      <c r="O54" s="84"/>
    </row>
    <row r="55" spans="9:15">
      <c r="I55" s="71" t="s">
        <v>53</v>
      </c>
      <c r="J55" s="337">
        <v>0.1</v>
      </c>
      <c r="K55" s="63">
        <f ca="1">(VLOOKUP($I$2,'Exit Prices'!$A$3:$H$231,4,FALSE)/VLOOKUP($I55,'Exit Prices'!$A$3:$H$231,4,FALSE))*VLOOKUP($I55,'Exit Prices'!$A$3:$H$231,7,FALSE)</f>
        <v>6.2334087383594881</v>
      </c>
      <c r="M55" s="84" t="s">
        <v>77</v>
      </c>
      <c r="N55" s="84"/>
      <c r="O55" s="84"/>
    </row>
    <row r="56" spans="9:15">
      <c r="I56" s="71" t="s">
        <v>54</v>
      </c>
      <c r="J56" s="337">
        <v>0.1</v>
      </c>
      <c r="K56" s="63">
        <f ca="1">(VLOOKUP($I$2,'Exit Prices'!$A$3:$H$231,4,FALSE)/VLOOKUP($I56,'Exit Prices'!$A$3:$H$231,4,FALSE))*VLOOKUP($I56,'Exit Prices'!$A$3:$H$231,7,FALSE)</f>
        <v>6.9092104337484299</v>
      </c>
      <c r="M56" s="84" t="s">
        <v>78</v>
      </c>
      <c r="N56" s="84"/>
      <c r="O56" s="84"/>
    </row>
    <row r="57" spans="9:15">
      <c r="I57" s="71" t="s">
        <v>57</v>
      </c>
      <c r="J57" s="337">
        <v>0.1</v>
      </c>
      <c r="K57" s="63">
        <f ca="1">(VLOOKUP($I$2,'Exit Prices'!$A$3:$H$231,4,FALSE)/VLOOKUP($I57,'Exit Prices'!$A$3:$H$231,4,FALSE))*VLOOKUP($I57,'Exit Prices'!$A$3:$H$231,7,FALSE)</f>
        <v>7.3219507402342492</v>
      </c>
      <c r="M57" s="84" t="s">
        <v>79</v>
      </c>
      <c r="N57" s="84"/>
      <c r="O57" s="84"/>
    </row>
    <row r="58" spans="9:15">
      <c r="I58" s="71" t="s">
        <v>58</v>
      </c>
      <c r="J58" s="337">
        <v>0.1</v>
      </c>
      <c r="K58" s="63">
        <f ca="1">(VLOOKUP($I$2,'Exit Prices'!$A$3:$H$231,4,FALSE)/VLOOKUP($I58,'Exit Prices'!$A$3:$H$231,4,FALSE))*VLOOKUP($I58,'Exit Prices'!$A$3:$H$231,7,FALSE)</f>
        <v>7.3219507402342492</v>
      </c>
      <c r="M58" s="84" t="s">
        <v>80</v>
      </c>
      <c r="N58" s="84"/>
      <c r="O58" s="84"/>
    </row>
    <row r="59" spans="9:15">
      <c r="I59" s="71" t="s">
        <v>59</v>
      </c>
      <c r="J59" s="337">
        <v>0.1</v>
      </c>
      <c r="K59" s="63">
        <f ca="1">(VLOOKUP($I$2,'Exit Prices'!$A$3:$H$231,4,FALSE)/VLOOKUP($I59,'Exit Prices'!$A$3:$H$231,4,FALSE))*VLOOKUP($I59,'Exit Prices'!$A$3:$H$231,7,FALSE)</f>
        <v>7.3219507402342492</v>
      </c>
      <c r="M59" s="84" t="s">
        <v>81</v>
      </c>
      <c r="N59" s="84"/>
      <c r="O59" s="84"/>
    </row>
    <row r="60" spans="9:15">
      <c r="I60" s="71" t="s">
        <v>61</v>
      </c>
      <c r="J60" s="337">
        <v>0.1</v>
      </c>
      <c r="K60" s="63">
        <f ca="1">(VLOOKUP($I$2,'Exit Prices'!$A$3:$H$231,4,FALSE)/VLOOKUP($I60,'Exit Prices'!$A$3:$H$231,4,FALSE))*VLOOKUP($I60,'Exit Prices'!$A$3:$H$231,7,FALSE)</f>
        <v>4.5792596427100802</v>
      </c>
      <c r="M60" s="84" t="s">
        <v>82</v>
      </c>
      <c r="N60" s="84"/>
      <c r="O60" s="84"/>
    </row>
    <row r="61" spans="9:15">
      <c r="I61" s="71" t="s">
        <v>62</v>
      </c>
      <c r="J61" s="337">
        <v>0.1</v>
      </c>
      <c r="K61" s="63">
        <f ca="1">(VLOOKUP($I$2,'Exit Prices'!$A$3:$H$231,4,FALSE)/VLOOKUP($I61,'Exit Prices'!$A$3:$H$231,4,FALSE))*VLOOKUP($I61,'Exit Prices'!$A$3:$H$231,7,FALSE)</f>
        <v>6.1503349412440471</v>
      </c>
      <c r="M61" s="84" t="s">
        <v>83</v>
      </c>
      <c r="N61" s="84"/>
      <c r="O61" s="84"/>
    </row>
    <row r="62" spans="9:15">
      <c r="I62" s="71" t="s">
        <v>64</v>
      </c>
      <c r="J62" s="337">
        <v>0.1</v>
      </c>
      <c r="K62" s="63">
        <f ca="1">(VLOOKUP($I$2,'Exit Prices'!$A$3:$H$231,4,FALSE)/VLOOKUP($I62,'Exit Prices'!$A$3:$H$231,4,FALSE))*VLOOKUP($I62,'Exit Prices'!$A$3:$H$231,7,FALSE)</f>
        <v>4.3204492784384234</v>
      </c>
      <c r="M62" s="84" t="s">
        <v>84</v>
      </c>
      <c r="N62" s="84"/>
      <c r="O62" s="84"/>
    </row>
    <row r="63" spans="9:15">
      <c r="I63" s="71" t="s">
        <v>65</v>
      </c>
      <c r="J63" s="337">
        <v>0.1</v>
      </c>
      <c r="K63" s="63">
        <f ca="1">(VLOOKUP($I$2,'Exit Prices'!$A$3:$H$231,4,FALSE)/VLOOKUP($I63,'Exit Prices'!$A$3:$H$231,4,FALSE))*VLOOKUP($I63,'Exit Prices'!$A$3:$H$231,7,FALSE)</f>
        <v>6.9208141816271986</v>
      </c>
      <c r="M63" s="84" t="s">
        <v>85</v>
      </c>
      <c r="N63" s="84"/>
      <c r="O63" s="84"/>
    </row>
    <row r="64" spans="9:15">
      <c r="I64" s="71" t="s">
        <v>67</v>
      </c>
      <c r="J64" s="337">
        <v>0.1</v>
      </c>
      <c r="K64" s="63">
        <f ca="1">(VLOOKUP($I$2,'Exit Prices'!$A$3:$H$231,4,FALSE)/VLOOKUP($I64,'Exit Prices'!$A$3:$H$231,4,FALSE))*VLOOKUP($I64,'Exit Prices'!$A$3:$H$231,7,FALSE)</f>
        <v>5.5289768067920138</v>
      </c>
      <c r="M64" s="84" t="s">
        <v>86</v>
      </c>
      <c r="N64" s="84"/>
      <c r="O64" s="84"/>
    </row>
    <row r="65" spans="9:15">
      <c r="I65" s="71" t="s">
        <v>71</v>
      </c>
      <c r="J65" s="337">
        <v>0.1</v>
      </c>
      <c r="K65" s="63">
        <f ca="1">(VLOOKUP($I$2,'Exit Prices'!$A$3:$H$231,4,FALSE)/VLOOKUP($I65,'Exit Prices'!$A$3:$H$231,4,FALSE))*VLOOKUP($I65,'Exit Prices'!$A$3:$H$231,7,FALSE)</f>
        <v>3.6985850432135678</v>
      </c>
      <c r="M65" s="84" t="s">
        <v>87</v>
      </c>
      <c r="N65" s="84"/>
      <c r="O65" s="84"/>
    </row>
    <row r="66" spans="9:15">
      <c r="I66" s="71" t="s">
        <v>74</v>
      </c>
      <c r="J66" s="337">
        <v>0.1</v>
      </c>
      <c r="K66" s="63">
        <f ca="1">(VLOOKUP($I$2,'Exit Prices'!$A$3:$H$231,4,FALSE)/VLOOKUP($I66,'Exit Prices'!$A$3:$H$231,4,FALSE))*VLOOKUP($I66,'Exit Prices'!$A$3:$H$231,7,FALSE)</f>
        <v>5.4528158338403916</v>
      </c>
      <c r="M66" s="84" t="s">
        <v>88</v>
      </c>
      <c r="N66" s="84"/>
      <c r="O66" s="84"/>
    </row>
    <row r="67" spans="9:15">
      <c r="I67" s="71" t="s">
        <v>76</v>
      </c>
      <c r="J67" s="337">
        <v>0.1</v>
      </c>
      <c r="K67" s="63">
        <f ca="1">(VLOOKUP($I$2,'Exit Prices'!$A$3:$H$231,4,FALSE)/VLOOKUP($I67,'Exit Prices'!$A$3:$H$231,4,FALSE))*VLOOKUP($I67,'Exit Prices'!$A$3:$H$231,7,FALSE)</f>
        <v>3.7732011867464874</v>
      </c>
      <c r="M67" s="84" t="s">
        <v>89</v>
      </c>
      <c r="N67" s="84"/>
      <c r="O67" s="84"/>
    </row>
    <row r="68" spans="9:15">
      <c r="I68" s="71" t="s">
        <v>77</v>
      </c>
      <c r="J68" s="337">
        <v>0.1</v>
      </c>
      <c r="K68" s="63">
        <f ca="1">(VLOOKUP($I$2,'Exit Prices'!$A$3:$H$231,4,FALSE)/VLOOKUP($I68,'Exit Prices'!$A$3:$H$231,4,FALSE))*VLOOKUP($I68,'Exit Prices'!$A$3:$H$231,7,FALSE)</f>
        <v>4.72564102040874</v>
      </c>
      <c r="M68" s="84" t="s">
        <v>90</v>
      </c>
      <c r="N68" s="84"/>
      <c r="O68" s="84"/>
    </row>
    <row r="69" spans="9:15">
      <c r="I69" s="71" t="s">
        <v>80</v>
      </c>
      <c r="J69" s="337">
        <v>0.1</v>
      </c>
      <c r="K69" s="63">
        <f ca="1">(VLOOKUP($I$2,'Exit Prices'!$A$3:$H$231,4,FALSE)/VLOOKUP($I69,'Exit Prices'!$A$3:$H$231,4,FALSE))*VLOOKUP($I69,'Exit Prices'!$A$3:$H$231,7,FALSE)</f>
        <v>6.2379867567559133</v>
      </c>
      <c r="M69" s="84" t="s">
        <v>91</v>
      </c>
      <c r="N69" s="84"/>
      <c r="O69" s="84"/>
    </row>
    <row r="70" spans="9:15">
      <c r="I70" s="71" t="s">
        <v>83</v>
      </c>
      <c r="J70" s="337">
        <v>0.1</v>
      </c>
      <c r="K70" s="63">
        <f ca="1">(VLOOKUP($I$2,'Exit Prices'!$A$3:$H$231,4,FALSE)/VLOOKUP($I70,'Exit Prices'!$A$3:$H$231,4,FALSE))*VLOOKUP($I70,'Exit Prices'!$A$3:$H$231,7,FALSE)</f>
        <v>5.5285507250035115</v>
      </c>
      <c r="M70" s="84" t="s">
        <v>92</v>
      </c>
      <c r="N70" s="84"/>
      <c r="O70" s="84"/>
    </row>
    <row r="71" spans="9:15">
      <c r="I71" s="71" t="s">
        <v>87</v>
      </c>
      <c r="J71" s="337">
        <v>0.1</v>
      </c>
      <c r="K71" s="63">
        <f ca="1">(VLOOKUP($I$2,'Exit Prices'!$A$3:$H$231,4,FALSE)/VLOOKUP($I71,'Exit Prices'!$A$3:$H$231,4,FALSE))*VLOOKUP($I71,'Exit Prices'!$A$3:$H$231,7,FALSE)</f>
        <v>6.6478115811669323</v>
      </c>
      <c r="M71" s="84" t="s">
        <v>93</v>
      </c>
      <c r="N71" s="84"/>
      <c r="O71" s="84"/>
    </row>
    <row r="72" spans="9:15">
      <c r="I72" s="71" t="s">
        <v>88</v>
      </c>
      <c r="J72" s="337">
        <v>0.1</v>
      </c>
      <c r="K72" s="63">
        <f ca="1">(VLOOKUP($I$2,'Exit Prices'!$A$3:$H$231,4,FALSE)/VLOOKUP($I72,'Exit Prices'!$A$3:$H$231,4,FALSE))*VLOOKUP($I72,'Exit Prices'!$A$3:$H$231,7,FALSE)</f>
        <v>4.222845518314351</v>
      </c>
      <c r="M72" s="84" t="s">
        <v>94</v>
      </c>
      <c r="N72" s="84"/>
      <c r="O72" s="84"/>
    </row>
    <row r="73" spans="9:15">
      <c r="I73" s="71" t="s">
        <v>89</v>
      </c>
      <c r="J73" s="337">
        <v>0.1</v>
      </c>
      <c r="K73" s="63">
        <f ca="1">(VLOOKUP($I$2,'Exit Prices'!$A$3:$H$231,4,FALSE)/VLOOKUP($I73,'Exit Prices'!$A$3:$H$231,4,FALSE))*VLOOKUP($I73,'Exit Prices'!$A$3:$H$231,7,FALSE)</f>
        <v>4.6083303438885714</v>
      </c>
      <c r="M73" s="84" t="s">
        <v>95</v>
      </c>
      <c r="N73" s="84"/>
      <c r="O73" s="84"/>
    </row>
    <row r="74" spans="9:15">
      <c r="I74" s="71" t="s">
        <v>90</v>
      </c>
      <c r="J74" s="337">
        <v>0.1</v>
      </c>
      <c r="K74" s="63">
        <f ca="1">(VLOOKUP($I$2,'Exit Prices'!$A$3:$H$231,4,FALSE)/VLOOKUP($I74,'Exit Prices'!$A$3:$H$231,4,FALSE))*VLOOKUP($I74,'Exit Prices'!$A$3:$H$231,7,FALSE)</f>
        <v>4.8796679637886138</v>
      </c>
      <c r="M74" s="84" t="s">
        <v>96</v>
      </c>
      <c r="N74" s="84"/>
      <c r="O74" s="84"/>
    </row>
    <row r="75" spans="9:15">
      <c r="I75" s="71" t="s">
        <v>92</v>
      </c>
      <c r="J75" s="337">
        <v>0.1</v>
      </c>
      <c r="K75" s="63">
        <f ca="1">(VLOOKUP($I$2,'Exit Prices'!$A$3:$H$231,4,FALSE)/VLOOKUP($I75,'Exit Prices'!$A$3:$H$231,4,FALSE))*VLOOKUP($I75,'Exit Prices'!$A$3:$H$231,7,FALSE)</f>
        <v>7.3286822384365768</v>
      </c>
      <c r="M75" s="84" t="s">
        <v>97</v>
      </c>
      <c r="N75" s="84"/>
      <c r="O75" s="84"/>
    </row>
    <row r="76" spans="9:15">
      <c r="I76" s="71" t="s">
        <v>94</v>
      </c>
      <c r="J76" s="337">
        <v>0.1</v>
      </c>
      <c r="K76" s="63">
        <f ca="1">(VLOOKUP($I$2,'Exit Prices'!$A$3:$H$231,4,FALSE)/VLOOKUP($I76,'Exit Prices'!$A$3:$H$231,4,FALSE))*VLOOKUP($I76,'Exit Prices'!$A$3:$H$231,7,FALSE)</f>
        <v>5.7047192958427839</v>
      </c>
      <c r="M76" s="84" t="s">
        <v>98</v>
      </c>
      <c r="N76" s="84"/>
      <c r="O76" s="84"/>
    </row>
    <row r="77" spans="9:15">
      <c r="I77" s="71" t="s">
        <v>95</v>
      </c>
      <c r="J77" s="337">
        <v>0.1</v>
      </c>
      <c r="K77" s="63">
        <f ca="1">(VLOOKUP($I$2,'Exit Prices'!$A$3:$H$231,4,FALSE)/VLOOKUP($I77,'Exit Prices'!$A$3:$H$231,4,FALSE))*VLOOKUP($I77,'Exit Prices'!$A$3:$H$231,7,FALSE)</f>
        <v>6.4775798767142749</v>
      </c>
      <c r="M77" s="84" t="s">
        <v>99</v>
      </c>
      <c r="N77" s="84"/>
      <c r="O77" s="84"/>
    </row>
    <row r="78" spans="9:15">
      <c r="I78" s="71" t="s">
        <v>97</v>
      </c>
      <c r="J78" s="337">
        <v>0.1</v>
      </c>
      <c r="K78" s="63">
        <f ca="1">(VLOOKUP($I$2,'Exit Prices'!$A$3:$H$231,4,FALSE)/VLOOKUP($I78,'Exit Prices'!$A$3:$H$231,4,FALSE))*VLOOKUP($I78,'Exit Prices'!$A$3:$H$231,7,FALSE)</f>
        <v>5.7003627546770073</v>
      </c>
      <c r="M78" s="84" t="s">
        <v>100</v>
      </c>
      <c r="N78" s="84"/>
      <c r="O78" s="84"/>
    </row>
    <row r="79" spans="9:15">
      <c r="I79" s="71" t="s">
        <v>100</v>
      </c>
      <c r="J79" s="337">
        <v>0.1</v>
      </c>
      <c r="K79" s="63">
        <f ca="1">(VLOOKUP($I$2,'Exit Prices'!$A$3:$H$231,4,FALSE)/VLOOKUP($I79,'Exit Prices'!$A$3:$H$231,4,FALSE))*VLOOKUP($I79,'Exit Prices'!$A$3:$H$231,7,FALSE)</f>
        <v>5.2187611521621475</v>
      </c>
      <c r="M79" s="84" t="s">
        <v>101</v>
      </c>
      <c r="N79" s="84"/>
      <c r="O79" s="84"/>
    </row>
    <row r="80" spans="9:15">
      <c r="I80" s="71" t="s">
        <v>102</v>
      </c>
      <c r="J80" s="337">
        <v>0.1</v>
      </c>
      <c r="K80" s="63">
        <f ca="1">(VLOOKUP($I$2,'Exit Prices'!$A$3:$H$231,4,FALSE)/VLOOKUP($I80,'Exit Prices'!$A$3:$H$231,4,FALSE))*VLOOKUP($I80,'Exit Prices'!$A$3:$H$231,7,FALSE)</f>
        <v>5.9581530505861107</v>
      </c>
      <c r="M80" s="84" t="s">
        <v>102</v>
      </c>
      <c r="N80" s="84"/>
      <c r="O80" s="84"/>
    </row>
    <row r="81" spans="9:15">
      <c r="I81" s="71" t="s">
        <v>103</v>
      </c>
      <c r="J81" s="337">
        <v>0.1</v>
      </c>
      <c r="K81" s="63">
        <f ca="1">(VLOOKUP($I$2,'Exit Prices'!$A$3:$H$231,4,FALSE)/VLOOKUP($I81,'Exit Prices'!$A$3:$H$231,4,FALSE))*VLOOKUP($I81,'Exit Prices'!$A$3:$H$231,7,FALSE)</f>
        <v>7.5526259692620972</v>
      </c>
      <c r="M81" s="84" t="s">
        <v>103</v>
      </c>
      <c r="N81" s="84"/>
      <c r="O81" s="84"/>
    </row>
    <row r="82" spans="9:15">
      <c r="I82" s="71" t="s">
        <v>104</v>
      </c>
      <c r="J82" s="337">
        <v>0.1</v>
      </c>
      <c r="K82" s="63">
        <f ca="1">(VLOOKUP($I$2,'Exit Prices'!$A$3:$H$231,4,FALSE)/VLOOKUP($I82,'Exit Prices'!$A$3:$H$231,4,FALSE))*VLOOKUP($I82,'Exit Prices'!$A$3:$H$231,7,FALSE)</f>
        <v>7.4013107678008545</v>
      </c>
      <c r="M82" s="84" t="s">
        <v>104</v>
      </c>
      <c r="N82" s="84"/>
      <c r="O82" s="84"/>
    </row>
    <row r="83" spans="9:15">
      <c r="I83" s="71" t="s">
        <v>106</v>
      </c>
      <c r="J83" s="337">
        <v>0.1</v>
      </c>
      <c r="K83" s="63">
        <f ca="1">(VLOOKUP($I$2,'Exit Prices'!$A$3:$H$231,4,FALSE)/VLOOKUP($I83,'Exit Prices'!$A$3:$H$231,4,FALSE))*VLOOKUP($I83,'Exit Prices'!$A$3:$H$231,7,FALSE)</f>
        <v>4.3089730297448536</v>
      </c>
      <c r="M83" s="84" t="s">
        <v>105</v>
      </c>
      <c r="N83" s="84"/>
      <c r="O83" s="84"/>
    </row>
    <row r="84" spans="9:15">
      <c r="I84" s="71" t="s">
        <v>109</v>
      </c>
      <c r="J84" s="337">
        <v>0.1</v>
      </c>
      <c r="K84" s="63">
        <f ca="1">(VLOOKUP($I$2,'Exit Prices'!$A$3:$H$231,4,FALSE)/VLOOKUP($I84,'Exit Prices'!$A$3:$H$231,4,FALSE))*VLOOKUP($I84,'Exit Prices'!$A$3:$H$231,7,FALSE)</f>
        <v>4.2859908910174713</v>
      </c>
      <c r="M84" s="84" t="s">
        <v>12</v>
      </c>
      <c r="N84" s="84"/>
      <c r="O84" s="84"/>
    </row>
    <row r="85" spans="9:15">
      <c r="I85" s="71" t="s">
        <v>115</v>
      </c>
      <c r="J85" s="337">
        <v>0.1</v>
      </c>
      <c r="K85" s="63">
        <f ca="1">(VLOOKUP($I$2,'Exit Prices'!$A$3:$H$231,4,FALSE)/VLOOKUP($I85,'Exit Prices'!$A$3:$H$231,4,FALSE))*VLOOKUP($I85,'Exit Prices'!$A$3:$H$231,7,FALSE)</f>
        <v>7.2949604219252118</v>
      </c>
      <c r="M85" s="84" t="s">
        <v>106</v>
      </c>
      <c r="N85" s="84"/>
      <c r="O85" s="84"/>
    </row>
    <row r="86" spans="9:15">
      <c r="I86" s="71" t="s">
        <v>118</v>
      </c>
      <c r="J86" s="337">
        <v>0.1</v>
      </c>
      <c r="K86" s="63">
        <f ca="1">(VLOOKUP($I$2,'Exit Prices'!$A$3:$H$231,4,FALSE)/VLOOKUP($I86,'Exit Prices'!$A$3:$H$231,4,FALSE))*VLOOKUP($I86,'Exit Prices'!$A$3:$H$231,7,FALSE)</f>
        <v>6.2880801293113944</v>
      </c>
      <c r="M86" s="84" t="s">
        <v>107</v>
      </c>
      <c r="N86" s="84"/>
      <c r="O86" s="84"/>
    </row>
    <row r="87" spans="9:15">
      <c r="I87" s="71" t="s">
        <v>119</v>
      </c>
      <c r="J87" s="337">
        <v>0.1</v>
      </c>
      <c r="K87" s="63">
        <f ca="1">(VLOOKUP($I$2,'Exit Prices'!$A$3:$H$231,4,FALSE)/VLOOKUP($I87,'Exit Prices'!$A$3:$H$231,4,FALSE))*VLOOKUP($I87,'Exit Prices'!$A$3:$H$231,7,FALSE)</f>
        <v>6.2667273441736517</v>
      </c>
      <c r="M87" s="84" t="s">
        <v>108</v>
      </c>
      <c r="N87" s="84"/>
      <c r="O87" s="84"/>
    </row>
    <row r="88" spans="9:15">
      <c r="I88" s="71" t="s">
        <v>120</v>
      </c>
      <c r="J88" s="337">
        <v>0.1</v>
      </c>
      <c r="K88" s="63">
        <f ca="1">(VLOOKUP($I$2,'Exit Prices'!$A$3:$H$231,4,FALSE)/VLOOKUP($I88,'Exit Prices'!$A$3:$H$231,4,FALSE))*VLOOKUP($I88,'Exit Prices'!$A$3:$H$231,7,FALSE)</f>
        <v>6.2800069166655055</v>
      </c>
      <c r="M88" s="84" t="s">
        <v>109</v>
      </c>
      <c r="N88" s="84"/>
      <c r="O88" s="84"/>
    </row>
    <row r="89" spans="9:15">
      <c r="I89" s="71" t="s">
        <v>122</v>
      </c>
      <c r="J89" s="337">
        <v>0.1</v>
      </c>
      <c r="K89" s="63">
        <f ca="1">(VLOOKUP($I$2,'Exit Prices'!$A$3:$H$231,4,FALSE)/VLOOKUP($I89,'Exit Prices'!$A$3:$H$231,4,FALSE))*VLOOKUP($I89,'Exit Prices'!$A$3:$H$231,7,FALSE)</f>
        <v>5.5327135996654642</v>
      </c>
      <c r="M89" s="84" t="s">
        <v>110</v>
      </c>
      <c r="N89" s="84"/>
      <c r="O89" s="84"/>
    </row>
    <row r="90" spans="9:15">
      <c r="I90" s="71" t="s">
        <v>125</v>
      </c>
      <c r="J90" s="337">
        <v>0.1</v>
      </c>
      <c r="K90" s="63">
        <f ca="1">(VLOOKUP($I$2,'Exit Prices'!$A$3:$H$231,4,FALSE)/VLOOKUP($I90,'Exit Prices'!$A$3:$H$231,4,FALSE))*VLOOKUP($I90,'Exit Prices'!$A$3:$H$231,7,FALSE)</f>
        <v>4.5949716480045959</v>
      </c>
      <c r="M90" s="84" t="s">
        <v>111</v>
      </c>
      <c r="N90" s="84"/>
      <c r="O90" s="84"/>
    </row>
    <row r="91" spans="9:15">
      <c r="I91" s="71" t="s">
        <v>126</v>
      </c>
      <c r="J91" s="337">
        <v>0.1</v>
      </c>
      <c r="K91" s="63">
        <f ca="1">(VLOOKUP($I$2,'Exit Prices'!$A$3:$H$231,4,FALSE)/VLOOKUP($I91,'Exit Prices'!$A$3:$H$231,4,FALSE))*VLOOKUP($I91,'Exit Prices'!$A$3:$H$231,7,FALSE)</f>
        <v>4.5364656670006154</v>
      </c>
      <c r="M91" s="84" t="s">
        <v>112</v>
      </c>
      <c r="N91" s="84"/>
      <c r="O91" s="84"/>
    </row>
    <row r="92" spans="9:15">
      <c r="I92" s="71" t="s">
        <v>131</v>
      </c>
      <c r="J92" s="337">
        <v>0.1</v>
      </c>
      <c r="K92" s="63">
        <f ca="1">(VLOOKUP($I$2,'Exit Prices'!$A$3:$H$231,4,FALSE)/VLOOKUP($I92,'Exit Prices'!$A$3:$H$231,4,FALSE))*VLOOKUP($I92,'Exit Prices'!$A$3:$H$231,7,FALSE)</f>
        <v>3.4876161977286775</v>
      </c>
      <c r="M92" s="84" t="s">
        <v>113</v>
      </c>
      <c r="N92" s="84"/>
      <c r="O92" s="84"/>
    </row>
    <row r="93" spans="9:15">
      <c r="I93" s="71" t="s">
        <v>134</v>
      </c>
      <c r="J93" s="337">
        <v>0.1</v>
      </c>
      <c r="K93" s="63">
        <f ca="1">(VLOOKUP($I$2,'Exit Prices'!$A$3:$H$231,4,FALSE)/VLOOKUP($I93,'Exit Prices'!$A$3:$H$231,4,FALSE))*VLOOKUP($I93,'Exit Prices'!$A$3:$H$231,7,FALSE)</f>
        <v>5.3501311247244265</v>
      </c>
      <c r="M93" s="84" t="s">
        <v>114</v>
      </c>
      <c r="N93" s="84"/>
      <c r="O93" s="84"/>
    </row>
    <row r="94" spans="9:15">
      <c r="I94" s="71" t="s">
        <v>136</v>
      </c>
      <c r="J94" s="337">
        <v>0.1</v>
      </c>
      <c r="K94" s="63">
        <f ca="1">(VLOOKUP($I$2,'Exit Prices'!$A$3:$H$231,4,FALSE)/VLOOKUP($I94,'Exit Prices'!$A$3:$H$231,4,FALSE))*VLOOKUP($I94,'Exit Prices'!$A$3:$H$231,7,FALSE)</f>
        <v>6.7006685771469714</v>
      </c>
      <c r="M94" s="84" t="s">
        <v>115</v>
      </c>
      <c r="N94" s="84"/>
      <c r="O94" s="84"/>
    </row>
    <row r="95" spans="9:15">
      <c r="I95" s="71" t="s">
        <v>138</v>
      </c>
      <c r="J95" s="337">
        <v>0.1</v>
      </c>
      <c r="K95" s="63">
        <f ca="1">(VLOOKUP($I$2,'Exit Prices'!$A$3:$H$231,4,FALSE)/VLOOKUP($I95,'Exit Prices'!$A$3:$H$231,4,FALSE))*VLOOKUP($I95,'Exit Prices'!$A$3:$H$231,7,FALSE)</f>
        <v>5.2234466896664884</v>
      </c>
      <c r="M95" s="84" t="s">
        <v>116</v>
      </c>
      <c r="N95" s="84"/>
      <c r="O95" s="84"/>
    </row>
    <row r="96" spans="9:15">
      <c r="I96" s="71" t="s">
        <v>139</v>
      </c>
      <c r="J96" s="337">
        <v>0.1</v>
      </c>
      <c r="K96" s="63">
        <f ca="1">(VLOOKUP($I$2,'Exit Prices'!$A$3:$H$231,4,FALSE)/VLOOKUP($I96,'Exit Prices'!$A$3:$H$231,4,FALSE))*VLOOKUP($I96,'Exit Prices'!$A$3:$H$231,7,FALSE)</f>
        <v>5.2153719885886041</v>
      </c>
      <c r="M96" s="84" t="s">
        <v>117</v>
      </c>
      <c r="N96" s="84"/>
      <c r="O96" s="84"/>
    </row>
    <row r="97" spans="9:15">
      <c r="I97" s="71" t="s">
        <v>142</v>
      </c>
      <c r="J97" s="337">
        <v>0.1</v>
      </c>
      <c r="K97" s="63">
        <f ca="1">(VLOOKUP($I$2,'Exit Prices'!$A$3:$H$231,4,FALSE)/VLOOKUP($I97,'Exit Prices'!$A$3:$H$231,4,FALSE))*VLOOKUP($I97,'Exit Prices'!$A$3:$H$231,7,FALSE)</f>
        <v>5.6185101834088735</v>
      </c>
      <c r="M97" s="84" t="s">
        <v>118</v>
      </c>
      <c r="N97" s="84"/>
      <c r="O97" s="84"/>
    </row>
    <row r="98" spans="9:15">
      <c r="I98" s="71" t="s">
        <v>144</v>
      </c>
      <c r="J98" s="337">
        <v>0.1</v>
      </c>
      <c r="K98" s="63">
        <f ca="1">(VLOOKUP($I$2,'Exit Prices'!$A$3:$H$231,4,FALSE)/VLOOKUP($I98,'Exit Prices'!$A$3:$H$231,4,FALSE))*VLOOKUP($I98,'Exit Prices'!$A$3:$H$231,7,FALSE)</f>
        <v>5.734113325762066</v>
      </c>
      <c r="M98" s="84" t="s">
        <v>119</v>
      </c>
      <c r="N98" s="84"/>
      <c r="O98" s="84"/>
    </row>
    <row r="99" spans="9:15">
      <c r="I99" s="71" t="s">
        <v>148</v>
      </c>
      <c r="J99" s="337">
        <v>0.1</v>
      </c>
      <c r="K99" s="63">
        <f ca="1">(VLOOKUP($I$2,'Exit Prices'!$A$3:$H$231,4,FALSE)/VLOOKUP($I99,'Exit Prices'!$A$3:$H$231,4,FALSE))*VLOOKUP($I99,'Exit Prices'!$A$3:$H$231,7,FALSE)</f>
        <v>7.2554765284896456</v>
      </c>
      <c r="M99" s="84" t="s">
        <v>120</v>
      </c>
      <c r="N99" s="84"/>
      <c r="O99" s="84"/>
    </row>
    <row r="100" spans="9:15">
      <c r="I100" s="71" t="s">
        <v>150</v>
      </c>
      <c r="J100" s="337">
        <v>0.1</v>
      </c>
      <c r="K100" s="63">
        <f ca="1">(VLOOKUP($I$2,'Exit Prices'!$A$3:$H$231,4,FALSE)/VLOOKUP($I100,'Exit Prices'!$A$3:$H$231,4,FALSE))*VLOOKUP($I100,'Exit Prices'!$A$3:$H$231,7,FALSE)</f>
        <v>5.1959273233599372</v>
      </c>
      <c r="M100" s="84" t="s">
        <v>121</v>
      </c>
      <c r="N100" s="84"/>
      <c r="O100" s="84"/>
    </row>
    <row r="101" spans="9:15">
      <c r="I101" s="71" t="s">
        <v>151</v>
      </c>
      <c r="J101" s="337">
        <v>0.1</v>
      </c>
      <c r="K101" s="63">
        <f ca="1">(VLOOKUP($I$2,'Exit Prices'!$A$3:$H$231,4,FALSE)/VLOOKUP($I101,'Exit Prices'!$A$3:$H$231,4,FALSE))*VLOOKUP($I101,'Exit Prices'!$A$3:$H$231,7,FALSE)</f>
        <v>5.6344603808101681</v>
      </c>
      <c r="M101" s="84" t="s">
        <v>122</v>
      </c>
      <c r="N101" s="84"/>
      <c r="O101" s="84"/>
    </row>
    <row r="102" spans="9:15">
      <c r="I102" s="71" t="s">
        <v>155</v>
      </c>
      <c r="J102" s="337">
        <v>0.1</v>
      </c>
      <c r="K102" s="63">
        <f ca="1">(VLOOKUP($I$2,'Exit Prices'!$A$3:$H$231,4,FALSE)/VLOOKUP($I102,'Exit Prices'!$A$3:$H$231,4,FALSE))*VLOOKUP($I102,'Exit Prices'!$A$3:$H$231,7,FALSE)</f>
        <v>5.0909025024644441</v>
      </c>
      <c r="M102" s="84" t="s">
        <v>123</v>
      </c>
      <c r="N102" s="84"/>
      <c r="O102" s="84"/>
    </row>
    <row r="103" spans="9:15">
      <c r="I103" s="71" t="s">
        <v>156</v>
      </c>
      <c r="J103" s="337">
        <v>0.1</v>
      </c>
      <c r="K103" s="63">
        <f ca="1">(VLOOKUP($I$2,'Exit Prices'!$A$3:$H$231,4,FALSE)/VLOOKUP($I103,'Exit Prices'!$A$3:$H$231,4,FALSE))*VLOOKUP($I103,'Exit Prices'!$A$3:$H$231,7,FALSE)</f>
        <v>5.0016324871916922</v>
      </c>
      <c r="M103" s="84" t="s">
        <v>124</v>
      </c>
      <c r="N103" s="84"/>
      <c r="O103" s="84"/>
    </row>
    <row r="104" spans="9:15">
      <c r="I104" s="71" t="s">
        <v>159</v>
      </c>
      <c r="J104" s="337">
        <v>0.1</v>
      </c>
      <c r="K104" s="63">
        <f ca="1">(VLOOKUP($I$2,'Exit Prices'!$A$3:$H$231,4,FALSE)/VLOOKUP($I104,'Exit Prices'!$A$3:$H$231,4,FALSE))*VLOOKUP($I104,'Exit Prices'!$A$3:$H$231,7,FALSE)</f>
        <v>7.610003181071832</v>
      </c>
      <c r="M104" s="84" t="s">
        <v>125</v>
      </c>
      <c r="N104" s="84"/>
      <c r="O104" s="84"/>
    </row>
    <row r="105" spans="9:15">
      <c r="I105" s="71" t="s">
        <v>160</v>
      </c>
      <c r="J105" s="337">
        <v>0.1</v>
      </c>
      <c r="K105" s="63">
        <f ca="1">(VLOOKUP($I$2,'Exit Prices'!$A$3:$H$231,4,FALSE)/VLOOKUP($I105,'Exit Prices'!$A$3:$H$231,4,FALSE))*VLOOKUP($I105,'Exit Prices'!$A$3:$H$231,7,FALSE)</f>
        <v>3.9350438762920819</v>
      </c>
      <c r="M105" s="84" t="s">
        <v>126</v>
      </c>
      <c r="N105" s="84"/>
      <c r="O105" s="84"/>
    </row>
    <row r="106" spans="9:15">
      <c r="I106" s="71" t="s">
        <v>161</v>
      </c>
      <c r="J106" s="337">
        <v>0.1</v>
      </c>
      <c r="K106" s="63">
        <f ca="1">(VLOOKUP($I$2,'Exit Prices'!$A$3:$H$231,4,FALSE)/VLOOKUP($I106,'Exit Prices'!$A$3:$H$231,4,FALSE))*VLOOKUP($I106,'Exit Prices'!$A$3:$H$231,7,FALSE)</f>
        <v>7.4683994663268711</v>
      </c>
      <c r="M106" s="84" t="s">
        <v>127</v>
      </c>
      <c r="N106" s="84"/>
      <c r="O106" s="84"/>
    </row>
    <row r="107" spans="9:15">
      <c r="I107" s="71" t="s">
        <v>165</v>
      </c>
      <c r="J107" s="337">
        <v>0.1</v>
      </c>
      <c r="K107" s="63">
        <f ca="1">(VLOOKUP($I$2,'Exit Prices'!$A$3:$H$231,4,FALSE)/VLOOKUP($I107,'Exit Prices'!$A$3:$H$231,4,FALSE))*VLOOKUP($I107,'Exit Prices'!$A$3:$H$231,7,FALSE)</f>
        <v>6.1503349412440471</v>
      </c>
      <c r="M107" s="84" t="s">
        <v>128</v>
      </c>
      <c r="N107" s="84"/>
      <c r="O107" s="84"/>
    </row>
    <row r="108" spans="9:15">
      <c r="I108" s="71" t="s">
        <v>166</v>
      </c>
      <c r="J108" s="337">
        <v>0.1</v>
      </c>
      <c r="K108" s="63">
        <f ca="1">(VLOOKUP($I$2,'Exit Prices'!$A$3:$H$231,4,FALSE)/VLOOKUP($I108,'Exit Prices'!$A$3:$H$231,4,FALSE))*VLOOKUP($I108,'Exit Prices'!$A$3:$H$231,7,FALSE)</f>
        <v>6.771944623033094</v>
      </c>
      <c r="M108" s="84" t="s">
        <v>129</v>
      </c>
      <c r="N108" s="84"/>
      <c r="O108" s="84"/>
    </row>
    <row r="109" spans="9:15">
      <c r="I109" s="71" t="s">
        <v>167</v>
      </c>
      <c r="J109" s="337">
        <v>0.1</v>
      </c>
      <c r="K109" s="63">
        <f ca="1">(VLOOKUP($I$2,'Exit Prices'!$A$3:$H$231,4,FALSE)/VLOOKUP($I109,'Exit Prices'!$A$3:$H$231,4,FALSE))*VLOOKUP($I109,'Exit Prices'!$A$3:$H$231,7,FALSE)</f>
        <v>6.2529423268248765</v>
      </c>
      <c r="M109" s="84" t="s">
        <v>130</v>
      </c>
      <c r="N109" s="84"/>
      <c r="O109" s="84"/>
    </row>
    <row r="110" spans="9:15">
      <c r="I110" s="71" t="s">
        <v>168</v>
      </c>
      <c r="J110" s="337">
        <v>0.1</v>
      </c>
      <c r="K110" s="63">
        <f ca="1">(VLOOKUP($I$2,'Exit Prices'!$A$3:$H$231,4,FALSE)/VLOOKUP($I110,'Exit Prices'!$A$3:$H$231,4,FALSE))*VLOOKUP($I110,'Exit Prices'!$A$3:$H$231,7,FALSE)</f>
        <v>3.983987334296637</v>
      </c>
      <c r="M110" s="84" t="s">
        <v>131</v>
      </c>
      <c r="N110" s="84"/>
      <c r="O110" s="84"/>
    </row>
    <row r="111" spans="9:15">
      <c r="I111" s="71" t="s">
        <v>170</v>
      </c>
      <c r="J111" s="337">
        <v>0.1</v>
      </c>
      <c r="K111" s="63">
        <f ca="1">(VLOOKUP($I$2,'Exit Prices'!$A$3:$H$231,4,FALSE)/VLOOKUP($I111,'Exit Prices'!$A$3:$H$231,4,FALSE))*VLOOKUP($I111,'Exit Prices'!$A$3:$H$231,7,FALSE)</f>
        <v>7.4208252032785404</v>
      </c>
      <c r="M111" s="84" t="s">
        <v>132</v>
      </c>
      <c r="N111" s="84"/>
      <c r="O111" s="84"/>
    </row>
    <row r="112" spans="9:15">
      <c r="I112" s="71" t="s">
        <v>172</v>
      </c>
      <c r="J112" s="337">
        <v>0.1</v>
      </c>
      <c r="K112" s="63">
        <f ca="1">(VLOOKUP($I$2,'Exit Prices'!$A$3:$H$231,4,FALSE)/VLOOKUP($I112,'Exit Prices'!$A$3:$H$231,4,FALSE))*VLOOKUP($I112,'Exit Prices'!$A$3:$H$231,7,FALSE)</f>
        <v>7.6018390062629315</v>
      </c>
      <c r="M112" s="84" t="s">
        <v>133</v>
      </c>
      <c r="N112" s="84"/>
      <c r="O112" s="84"/>
    </row>
    <row r="113" spans="9:15">
      <c r="I113" s="71" t="s">
        <v>173</v>
      </c>
      <c r="J113" s="337">
        <v>0.1</v>
      </c>
      <c r="K113" s="63">
        <f ca="1">(VLOOKUP($I$2,'Exit Prices'!$A$3:$H$231,4,FALSE)/VLOOKUP($I113,'Exit Prices'!$A$3:$H$231,4,FALSE))*VLOOKUP($I113,'Exit Prices'!$A$3:$H$231,7,FALSE)</f>
        <v>5.5008728655961328</v>
      </c>
      <c r="M113" s="84" t="s">
        <v>134</v>
      </c>
      <c r="N113" s="84"/>
      <c r="O113" s="84"/>
    </row>
    <row r="114" spans="9:15">
      <c r="I114" s="71" t="s">
        <v>174</v>
      </c>
      <c r="J114" s="337">
        <v>0.1</v>
      </c>
      <c r="K114" s="63">
        <f ca="1">(VLOOKUP($I$2,'Exit Prices'!$A$3:$H$231,4,FALSE)/VLOOKUP($I114,'Exit Prices'!$A$3:$H$231,4,FALSE))*VLOOKUP($I114,'Exit Prices'!$A$3:$H$231,7,FALSE)</f>
        <v>5.5008728655961328</v>
      </c>
      <c r="M114" s="84" t="s">
        <v>135</v>
      </c>
      <c r="N114" s="84"/>
      <c r="O114" s="84"/>
    </row>
    <row r="115" spans="9:15">
      <c r="I115" s="71" t="s">
        <v>177</v>
      </c>
      <c r="J115" s="337">
        <v>0.1</v>
      </c>
      <c r="K115" s="63">
        <f ca="1">(VLOOKUP($I$2,'Exit Prices'!$A$3:$H$231,4,FALSE)/VLOOKUP($I115,'Exit Prices'!$A$3:$H$231,4,FALSE))*VLOOKUP($I115,'Exit Prices'!$A$3:$H$231,7,FALSE)</f>
        <v>6.2768040840454642</v>
      </c>
      <c r="M115" s="84" t="s">
        <v>136</v>
      </c>
      <c r="N115" s="84"/>
      <c r="O115" s="84"/>
    </row>
    <row r="116" spans="9:15">
      <c r="I116" s="71" t="s">
        <v>181</v>
      </c>
      <c r="J116" s="337">
        <v>0.1</v>
      </c>
      <c r="K116" s="63">
        <f ca="1">(VLOOKUP($I$2,'Exit Prices'!$A$3:$H$231,4,FALSE)/VLOOKUP($I116,'Exit Prices'!$A$3:$H$231,4,FALSE))*VLOOKUP($I116,'Exit Prices'!$A$3:$H$231,7,FALSE)</f>
        <v>7.5128948899358967</v>
      </c>
      <c r="M116" s="84" t="s">
        <v>137</v>
      </c>
      <c r="N116" s="84"/>
      <c r="O116" s="84"/>
    </row>
    <row r="117" spans="9:15">
      <c r="I117" s="71" t="s">
        <v>185</v>
      </c>
      <c r="J117" s="337">
        <v>0.1</v>
      </c>
      <c r="K117" s="63">
        <f ca="1">(VLOOKUP($I$2,'Exit Prices'!$A$3:$H$231,4,FALSE)/VLOOKUP($I117,'Exit Prices'!$A$3:$H$231,4,FALSE))*VLOOKUP($I117,'Exit Prices'!$A$3:$H$231,7,FALSE)</f>
        <v>5.5600894428065182</v>
      </c>
      <c r="M117" s="84" t="s">
        <v>138</v>
      </c>
      <c r="N117" s="84"/>
      <c r="O117" s="84"/>
    </row>
    <row r="118" spans="9:15">
      <c r="I118" s="71" t="s">
        <v>187</v>
      </c>
      <c r="J118" s="337">
        <v>0.1</v>
      </c>
      <c r="K118" s="63">
        <f ca="1">(VLOOKUP($I$2,'Exit Prices'!$A$3:$H$231,4,FALSE)/VLOOKUP($I118,'Exit Prices'!$A$3:$H$231,4,FALSE))*VLOOKUP($I118,'Exit Prices'!$A$3:$H$231,7,FALSE)</f>
        <v>4.7834795505753487</v>
      </c>
      <c r="M118" s="84" t="s">
        <v>139</v>
      </c>
      <c r="N118" s="84"/>
      <c r="O118" s="84"/>
    </row>
    <row r="119" spans="9:15">
      <c r="I119" s="71" t="s">
        <v>188</v>
      </c>
      <c r="J119" s="337">
        <v>0.1</v>
      </c>
      <c r="K119" s="63">
        <f ca="1">(VLOOKUP($I$2,'Exit Prices'!$A$3:$H$231,4,FALSE)/VLOOKUP($I119,'Exit Prices'!$A$3:$H$231,4,FALSE))*VLOOKUP($I119,'Exit Prices'!$A$3:$H$231,7,FALSE)</f>
        <v>4.8019170720330697</v>
      </c>
      <c r="M119" s="84" t="s">
        <v>140</v>
      </c>
      <c r="N119" s="84"/>
      <c r="O119" s="84"/>
    </row>
    <row r="120" spans="9:15">
      <c r="I120" s="71" t="s">
        <v>241</v>
      </c>
      <c r="J120" s="337">
        <v>0.1</v>
      </c>
      <c r="K120" s="63">
        <f ca="1">(VLOOKUP($I$2,'Exit Prices'!$A$3:$H$231,4,FALSE)/VLOOKUP($I120,'Exit Prices'!$A$3:$H$231,4,FALSE))*VLOOKUP($I120,'Exit Prices'!$A$3:$H$231,7,FALSE)</f>
        <v>6.1503349412440471</v>
      </c>
      <c r="M120" s="84" t="s">
        <v>141</v>
      </c>
      <c r="N120" s="84"/>
      <c r="O120" s="84"/>
    </row>
    <row r="121" spans="9:15">
      <c r="I121" s="71" t="s">
        <v>190</v>
      </c>
      <c r="J121" s="337">
        <v>0.1</v>
      </c>
      <c r="K121" s="63">
        <f ca="1">(VLOOKUP($I$2,'Exit Prices'!$A$3:$H$231,4,FALSE)/VLOOKUP($I121,'Exit Prices'!$A$3:$H$231,4,FALSE))*VLOOKUP($I121,'Exit Prices'!$A$3:$H$231,7,FALSE)</f>
        <v>5.6573721345910055</v>
      </c>
      <c r="M121" s="84" t="s">
        <v>142</v>
      </c>
      <c r="N121" s="84"/>
      <c r="O121" s="84"/>
    </row>
    <row r="122" spans="9:15">
      <c r="I122" s="71" t="s">
        <v>191</v>
      </c>
      <c r="J122" s="337">
        <v>0.1</v>
      </c>
      <c r="K122" s="63">
        <f ca="1">(VLOOKUP($I$2,'Exit Prices'!$A$3:$H$231,4,FALSE)/VLOOKUP($I122,'Exit Prices'!$A$3:$H$231,4,FALSE))*VLOOKUP($I122,'Exit Prices'!$A$3:$H$231,7,FALSE)</f>
        <v>5.4002341504900278</v>
      </c>
      <c r="M122" s="84" t="s">
        <v>143</v>
      </c>
      <c r="N122" s="84"/>
      <c r="O122" s="84"/>
    </row>
    <row r="123" spans="9:15">
      <c r="I123" s="71" t="s">
        <v>193</v>
      </c>
      <c r="J123" s="337">
        <v>0.1</v>
      </c>
      <c r="K123" s="63">
        <f ca="1">(VLOOKUP($I$2,'Exit Prices'!$A$3:$H$231,4,FALSE)/VLOOKUP($I123,'Exit Prices'!$A$3:$H$231,4,FALSE))*VLOOKUP($I123,'Exit Prices'!$A$3:$H$231,7,FALSE)</f>
        <v>6.4426489927091604</v>
      </c>
      <c r="M123" s="84" t="s">
        <v>144</v>
      </c>
      <c r="N123" s="84"/>
      <c r="O123" s="84"/>
    </row>
    <row r="124" spans="9:15">
      <c r="I124" s="71" t="s">
        <v>195</v>
      </c>
      <c r="J124" s="337">
        <v>0.1</v>
      </c>
      <c r="K124" s="63">
        <f ca="1">(VLOOKUP($I$2,'Exit Prices'!$A$3:$H$231,4,FALSE)/VLOOKUP($I124,'Exit Prices'!$A$3:$H$231,4,FALSE))*VLOOKUP($I124,'Exit Prices'!$A$3:$H$231,7,FALSE)</f>
        <v>4.4104448924263702</v>
      </c>
      <c r="M124" s="84" t="s">
        <v>145</v>
      </c>
      <c r="N124" s="84"/>
      <c r="O124" s="84"/>
    </row>
    <row r="125" spans="9:15">
      <c r="I125" s="71" t="s">
        <v>197</v>
      </c>
      <c r="J125" s="337">
        <v>0.1</v>
      </c>
      <c r="K125" s="63">
        <f ca="1">(VLOOKUP($I$2,'Exit Prices'!$A$3:$H$231,4,FALSE)/VLOOKUP($I125,'Exit Prices'!$A$3:$H$231,4,FALSE))*VLOOKUP($I125,'Exit Prices'!$A$3:$H$231,7,FALSE)</f>
        <v>3.4282153414288437</v>
      </c>
      <c r="M125" s="84" t="s">
        <v>146</v>
      </c>
      <c r="N125" s="84"/>
      <c r="O125" s="84"/>
    </row>
    <row r="126" spans="9:15">
      <c r="I126" s="71" t="s">
        <v>199</v>
      </c>
      <c r="J126" s="337">
        <v>0.1</v>
      </c>
      <c r="K126" s="63">
        <f ca="1">(VLOOKUP($I$2,'Exit Prices'!$A$3:$H$231,4,FALSE)/VLOOKUP($I126,'Exit Prices'!$A$3:$H$231,4,FALSE))*VLOOKUP($I126,'Exit Prices'!$A$3:$H$231,7,FALSE)</f>
        <v>6.8527083217769302</v>
      </c>
      <c r="M126" s="84" t="s">
        <v>147</v>
      </c>
      <c r="N126" s="84"/>
      <c r="O126" s="84"/>
    </row>
    <row r="127" spans="9:15">
      <c r="I127" s="71" t="s">
        <v>203</v>
      </c>
      <c r="J127" s="337">
        <v>0.1</v>
      </c>
      <c r="K127" s="63">
        <f ca="1">(VLOOKUP($I$2,'Exit Prices'!$A$3:$H$231,4,FALSE)/VLOOKUP($I127,'Exit Prices'!$A$3:$H$231,4,FALSE))*VLOOKUP($I127,'Exit Prices'!$A$3:$H$231,7,FALSE)</f>
        <v>5.0909025024644441</v>
      </c>
      <c r="M127" s="84" t="s">
        <v>148</v>
      </c>
      <c r="N127" s="84"/>
      <c r="O127" s="84"/>
    </row>
    <row r="128" spans="9:15">
      <c r="I128" s="71" t="s">
        <v>207</v>
      </c>
      <c r="J128" s="337">
        <v>0.1</v>
      </c>
      <c r="K128" s="63">
        <f ca="1">(VLOOKUP($I$2,'Exit Prices'!$A$3:$H$231,4,FALSE)/VLOOKUP($I128,'Exit Prices'!$A$3:$H$231,4,FALSE))*VLOOKUP($I128,'Exit Prices'!$A$3:$H$231,7,FALSE)</f>
        <v>7.6429376299790155</v>
      </c>
      <c r="M128" s="84" t="s">
        <v>149</v>
      </c>
      <c r="N128" s="84"/>
      <c r="O128" s="84"/>
    </row>
    <row r="129" spans="9:15">
      <c r="I129" s="71" t="s">
        <v>212</v>
      </c>
      <c r="J129" s="337">
        <v>0.1</v>
      </c>
      <c r="K129" s="63">
        <f ca="1">(VLOOKUP($I$2,'Exit Prices'!$A$3:$H$231,4,FALSE)/VLOOKUP($I129,'Exit Prices'!$A$3:$H$231,4,FALSE))*VLOOKUP($I129,'Exit Prices'!$A$3:$H$231,7,FALSE)</f>
        <v>7.6398380296312629</v>
      </c>
      <c r="M129" s="84" t="s">
        <v>150</v>
      </c>
      <c r="N129" s="84"/>
      <c r="O129" s="84"/>
    </row>
    <row r="130" spans="9:15">
      <c r="I130" s="71" t="s">
        <v>213</v>
      </c>
      <c r="J130" s="337">
        <v>0.1</v>
      </c>
      <c r="K130" s="63">
        <f ca="1">(VLOOKUP($I$2,'Exit Prices'!$A$3:$H$231,4,FALSE)/VLOOKUP($I130,'Exit Prices'!$A$3:$H$231,4,FALSE))*VLOOKUP($I130,'Exit Prices'!$A$3:$H$231,7,FALSE)</f>
        <v>7.6398380296312629</v>
      </c>
      <c r="M130" s="84" t="s">
        <v>151</v>
      </c>
      <c r="N130" s="84"/>
      <c r="O130" s="84"/>
    </row>
    <row r="131" spans="9:15">
      <c r="I131" s="71" t="s">
        <v>214</v>
      </c>
      <c r="J131" s="337">
        <v>0.1</v>
      </c>
      <c r="K131" s="63">
        <f ca="1">(VLOOKUP($I$2,'Exit Prices'!$A$3:$H$231,4,FALSE)/VLOOKUP($I131,'Exit Prices'!$A$3:$H$231,4,FALSE))*VLOOKUP($I131,'Exit Prices'!$A$3:$H$231,7,FALSE)</f>
        <v>7.6398380296312629</v>
      </c>
      <c r="M131" s="84" t="s">
        <v>152</v>
      </c>
      <c r="N131" s="84"/>
      <c r="O131" s="84"/>
    </row>
    <row r="132" spans="9:15">
      <c r="I132" s="71" t="s">
        <v>221</v>
      </c>
      <c r="J132" s="337">
        <v>0.1</v>
      </c>
      <c r="K132" s="63">
        <f ca="1">(VLOOKUP($I$2,'Exit Prices'!$A$3:$H$231,4,FALSE)/VLOOKUP($I132,'Exit Prices'!$A$3:$H$231,4,FALSE))*VLOOKUP($I132,'Exit Prices'!$A$3:$H$231,7,FALSE)</f>
        <v>3.897181399390206</v>
      </c>
      <c r="M132" s="84" t="s">
        <v>153</v>
      </c>
      <c r="N132" s="84"/>
      <c r="O132" s="84"/>
    </row>
    <row r="133" spans="9:15">
      <c r="I133" s="71" t="s">
        <v>223</v>
      </c>
      <c r="J133" s="337">
        <v>0.1</v>
      </c>
      <c r="K133" s="63">
        <f ca="1">(VLOOKUP($I$2,'Exit Prices'!$A$3:$H$231,4,FALSE)/VLOOKUP($I133,'Exit Prices'!$A$3:$H$231,4,FALSE))*VLOOKUP($I133,'Exit Prices'!$A$3:$H$231,7,FALSE)</f>
        <v>6.259586785690888</v>
      </c>
      <c r="M133" s="84" t="s">
        <v>154</v>
      </c>
      <c r="N133" s="84"/>
      <c r="O133" s="84"/>
    </row>
    <row r="134" spans="9:15">
      <c r="I134" s="71" t="s">
        <v>233</v>
      </c>
      <c r="J134" s="337">
        <v>0.1</v>
      </c>
      <c r="K134" s="63">
        <f ca="1">(VLOOKUP($I$2,'Exit Prices'!$A$3:$H$231,4,FALSE)/VLOOKUP($I134,'Exit Prices'!$A$3:$H$231,4,FALSE))*VLOOKUP($I134,'Exit Prices'!$A$3:$H$231,7,FALSE)</f>
        <v>4.9235325557321081</v>
      </c>
      <c r="M134" s="84" t="s">
        <v>155</v>
      </c>
      <c r="N134" s="84"/>
      <c r="O134" s="84"/>
    </row>
    <row r="135" spans="9:15">
      <c r="I135" s="71" t="s">
        <v>237</v>
      </c>
      <c r="J135" s="337">
        <v>0.1</v>
      </c>
      <c r="K135" s="63">
        <f ca="1">(VLOOKUP($I$2,'Exit Prices'!$A$3:$H$231,4,FALSE)/VLOOKUP($I135,'Exit Prices'!$A$3:$H$231,4,FALSE))*VLOOKUP($I135,'Exit Prices'!$A$3:$H$231,7,FALSE)</f>
        <v>6.0563268860244976</v>
      </c>
      <c r="M135" s="84" t="s">
        <v>156</v>
      </c>
      <c r="N135" s="84"/>
      <c r="O135" s="84"/>
    </row>
    <row r="136" spans="9:15">
      <c r="I136" s="338" t="s">
        <v>535</v>
      </c>
      <c r="J136" s="337">
        <v>0.1</v>
      </c>
      <c r="K136" s="63">
        <f ca="1">(VLOOKUP($I$2,'Exit Prices'!$A$3:$H$231,4,FALSE)/VLOOKUP($I136,'Exit Prices'!$A$3:$H$231,4,FALSE))*VLOOKUP($I136,'Exit Prices'!$A$3:$H$231,7,FALSE)</f>
        <v>3.5973730895775375</v>
      </c>
      <c r="M136" s="84" t="s">
        <v>157</v>
      </c>
      <c r="N136" s="84"/>
      <c r="O136" s="84"/>
    </row>
    <row r="137" spans="9:15">
      <c r="I137" s="338" t="s">
        <v>536</v>
      </c>
      <c r="J137" s="337">
        <v>0.1</v>
      </c>
      <c r="K137" s="63">
        <f ca="1">(VLOOKUP($I$2,'Exit Prices'!$A$3:$H$231,4,FALSE)/VLOOKUP($I137,'Exit Prices'!$A$3:$H$231,4,FALSE))*VLOOKUP($I137,'Exit Prices'!$A$3:$H$231,7,FALSE)</f>
        <v>7.3151746661522115</v>
      </c>
      <c r="M137" s="84" t="s">
        <v>20</v>
      </c>
      <c r="N137" s="84"/>
      <c r="O137" s="84"/>
    </row>
    <row r="138" spans="9:15">
      <c r="I138" s="338" t="s">
        <v>176</v>
      </c>
      <c r="J138" s="337">
        <v>0.1</v>
      </c>
      <c r="K138" s="63">
        <f ca="1">(VLOOKUP($I$2,'Exit Prices'!$A$3:$H$231,4,FALSE)/VLOOKUP($I138,'Exit Prices'!$A$3:$H$231,4,FALSE))*VLOOKUP($I138,'Exit Prices'!$A$3:$H$231,7,FALSE)</f>
        <v>7.2495257002697029</v>
      </c>
      <c r="M138" s="84" t="s">
        <v>158</v>
      </c>
      <c r="N138" s="84"/>
      <c r="O138" s="84"/>
    </row>
    <row r="139" spans="9:15">
      <c r="I139" s="71" t="s">
        <v>26</v>
      </c>
      <c r="J139" s="337">
        <v>0.1</v>
      </c>
      <c r="K139" s="63">
        <f ca="1">(VLOOKUP($I$2,'Exit Prices'!$A$3:$H$231,4,FALSE)/VLOOKUP($I139,'Exit Prices'!$A$3:$H$231,4,FALSE))*VLOOKUP($I139,'Exit Prices'!$A$3:$H$231,7,FALSE)</f>
        <v>3.6863909788560156</v>
      </c>
      <c r="M139" s="84" t="s">
        <v>159</v>
      </c>
      <c r="N139" s="84"/>
      <c r="O139" s="84"/>
    </row>
    <row r="140" spans="9:15">
      <c r="I140" s="71" t="s">
        <v>27</v>
      </c>
      <c r="J140" s="337">
        <v>0.1</v>
      </c>
      <c r="K140" s="63">
        <f ca="1">(VLOOKUP($I$2,'Exit Prices'!$A$3:$H$231,4,FALSE)/VLOOKUP($I140,'Exit Prices'!$A$3:$H$231,4,FALSE))*VLOOKUP($I140,'Exit Prices'!$A$3:$H$231,7,FALSE)</f>
        <v>5.0814550880280764</v>
      </c>
      <c r="M140" s="84" t="s">
        <v>160</v>
      </c>
      <c r="N140" s="84"/>
      <c r="O140" s="84"/>
    </row>
    <row r="141" spans="9:15">
      <c r="I141" s="71" t="s">
        <v>28</v>
      </c>
      <c r="J141" s="337">
        <v>0.1</v>
      </c>
      <c r="K141" s="63">
        <f ca="1">(VLOOKUP($I$2,'Exit Prices'!$A$3:$H$231,4,FALSE)/VLOOKUP($I141,'Exit Prices'!$A$3:$H$231,4,FALSE))*VLOOKUP($I141,'Exit Prices'!$A$3:$H$231,7,FALSE)</f>
        <v>6.7418575415274642</v>
      </c>
      <c r="M141" s="84" t="s">
        <v>161</v>
      </c>
      <c r="N141" s="84"/>
      <c r="O141" s="84"/>
    </row>
    <row r="142" spans="9:15">
      <c r="I142" s="71" t="s">
        <v>30</v>
      </c>
      <c r="J142" s="337">
        <v>0.1</v>
      </c>
      <c r="K142" s="63">
        <f ca="1">(VLOOKUP($I$2,'Exit Prices'!$A$3:$H$231,4,FALSE)/VLOOKUP($I142,'Exit Prices'!$A$3:$H$231,4,FALSE))*VLOOKUP($I142,'Exit Prices'!$A$3:$H$231,7,FALSE)</f>
        <v>4.4141579507737472</v>
      </c>
      <c r="M142" s="84" t="s">
        <v>162</v>
      </c>
      <c r="N142" s="84"/>
      <c r="O142" s="84"/>
    </row>
    <row r="143" spans="9:15">
      <c r="I143" s="71" t="s">
        <v>31</v>
      </c>
      <c r="J143" s="337">
        <v>0.1</v>
      </c>
      <c r="K143" s="63">
        <f ca="1">(VLOOKUP($I$2,'Exit Prices'!$A$3:$H$231,4,FALSE)/VLOOKUP($I143,'Exit Prices'!$A$3:$H$231,4,FALSE))*VLOOKUP($I143,'Exit Prices'!$A$3:$H$231,7,FALSE)</f>
        <v>6.4946181247228862</v>
      </c>
      <c r="M143" s="84" t="s">
        <v>163</v>
      </c>
      <c r="N143" s="84"/>
      <c r="O143" s="84"/>
    </row>
    <row r="144" spans="9:15">
      <c r="I144" s="71" t="s">
        <v>32</v>
      </c>
      <c r="J144" s="337">
        <v>0.1</v>
      </c>
      <c r="K144" s="63">
        <f ca="1">(VLOOKUP($I$2,'Exit Prices'!$A$3:$H$231,4,FALSE)/VLOOKUP($I144,'Exit Prices'!$A$3:$H$231,4,FALSE))*VLOOKUP($I144,'Exit Prices'!$A$3:$H$231,7,FALSE)</f>
        <v>7.435026676248996</v>
      </c>
      <c r="M144" s="84" t="s">
        <v>164</v>
      </c>
      <c r="N144" s="84"/>
      <c r="O144" s="84"/>
    </row>
    <row r="145" spans="9:15">
      <c r="I145" s="71" t="s">
        <v>33</v>
      </c>
      <c r="J145" s="337">
        <v>0.1</v>
      </c>
      <c r="K145" s="63">
        <f ca="1">(VLOOKUP($I$2,'Exit Prices'!$A$3:$H$231,4,FALSE)/VLOOKUP($I145,'Exit Prices'!$A$3:$H$231,4,FALSE))*VLOOKUP($I145,'Exit Prices'!$A$3:$H$231,7,FALSE)</f>
        <v>6.367320287733409</v>
      </c>
      <c r="M145" s="84" t="s">
        <v>165</v>
      </c>
      <c r="N145" s="84"/>
      <c r="O145" s="84"/>
    </row>
    <row r="146" spans="9:15">
      <c r="I146" s="71" t="s">
        <v>35</v>
      </c>
      <c r="J146" s="337">
        <v>0.1</v>
      </c>
      <c r="K146" s="63">
        <f ca="1">(VLOOKUP($I$2,'Exit Prices'!$A$3:$H$231,4,FALSE)/VLOOKUP($I146,'Exit Prices'!$A$3:$H$231,4,FALSE))*VLOOKUP($I146,'Exit Prices'!$A$3:$H$231,7,FALSE)</f>
        <v>6.7784722526780667</v>
      </c>
      <c r="M146" s="84" t="s">
        <v>166</v>
      </c>
      <c r="N146" s="84"/>
      <c r="O146" s="84"/>
    </row>
    <row r="147" spans="9:15">
      <c r="I147" s="71" t="s">
        <v>36</v>
      </c>
      <c r="J147" s="337">
        <v>0.1</v>
      </c>
      <c r="K147" s="63">
        <f ca="1">(VLOOKUP($I$2,'Exit Prices'!$A$3:$H$231,4,FALSE)/VLOOKUP($I147,'Exit Prices'!$A$3:$H$231,4,FALSE))*VLOOKUP($I147,'Exit Prices'!$A$3:$H$231,7,FALSE)</f>
        <v>4.8061132886825781</v>
      </c>
      <c r="M147" s="84" t="s">
        <v>167</v>
      </c>
      <c r="N147" s="84"/>
      <c r="O147" s="84"/>
    </row>
    <row r="148" spans="9:15">
      <c r="I148" s="71" t="s">
        <v>37</v>
      </c>
      <c r="J148" s="337">
        <v>0.1</v>
      </c>
      <c r="K148" s="63">
        <f ca="1">(VLOOKUP($I$2,'Exit Prices'!$A$3:$H$231,4,FALSE)/VLOOKUP($I148,'Exit Prices'!$A$3:$H$231,4,FALSE))*VLOOKUP($I148,'Exit Prices'!$A$3:$H$231,7,FALSE)</f>
        <v>4.033738797337783</v>
      </c>
      <c r="M148" s="84" t="s">
        <v>168</v>
      </c>
      <c r="N148" s="84"/>
      <c r="O148" s="84"/>
    </row>
    <row r="149" spans="9:15">
      <c r="I149" s="71" t="s">
        <v>44</v>
      </c>
      <c r="J149" s="337">
        <v>0.1</v>
      </c>
      <c r="K149" s="63">
        <f ca="1">(VLOOKUP($I$2,'Exit Prices'!$A$3:$H$231,4,FALSE)/VLOOKUP($I149,'Exit Prices'!$A$3:$H$231,4,FALSE))*VLOOKUP($I149,'Exit Prices'!$A$3:$H$231,7,FALSE)</f>
        <v>3.8407949545057591</v>
      </c>
      <c r="M149" s="84" t="s">
        <v>169</v>
      </c>
      <c r="N149" s="84"/>
      <c r="O149" s="84"/>
    </row>
    <row r="150" spans="9:15">
      <c r="I150" s="71" t="s">
        <v>49</v>
      </c>
      <c r="J150" s="337">
        <v>0.1</v>
      </c>
      <c r="K150" s="63">
        <f ca="1">(VLOOKUP($I$2,'Exit Prices'!$A$3:$H$231,4,FALSE)/VLOOKUP($I150,'Exit Prices'!$A$3:$H$231,4,FALSE))*VLOOKUP($I150,'Exit Prices'!$A$3:$H$231,7,FALSE)</f>
        <v>4.7495417834035845</v>
      </c>
      <c r="M150" s="84" t="s">
        <v>170</v>
      </c>
      <c r="N150" s="84"/>
      <c r="O150" s="84"/>
    </row>
    <row r="151" spans="9:15">
      <c r="I151" s="71" t="s">
        <v>51</v>
      </c>
      <c r="J151" s="337">
        <v>0.1</v>
      </c>
      <c r="K151" s="63">
        <f ca="1">(VLOOKUP($I$2,'Exit Prices'!$A$3:$H$231,4,FALSE)/VLOOKUP($I151,'Exit Prices'!$A$3:$H$231,4,FALSE))*VLOOKUP($I151,'Exit Prices'!$A$3:$H$231,7,FALSE)</f>
        <v>6.1861340075746085</v>
      </c>
      <c r="M151" s="84" t="s">
        <v>546</v>
      </c>
      <c r="N151" s="84"/>
      <c r="O151" s="84"/>
    </row>
    <row r="152" spans="9:15">
      <c r="I152" s="71" t="s">
        <v>56</v>
      </c>
      <c r="J152" s="337">
        <v>0.1</v>
      </c>
      <c r="K152" s="63">
        <f ca="1">(VLOOKUP($I$2,'Exit Prices'!$A$3:$H$231,4,FALSE)/VLOOKUP($I152,'Exit Prices'!$A$3:$H$231,4,FALSE))*VLOOKUP($I152,'Exit Prices'!$A$3:$H$231,7,FALSE)</f>
        <v>5.2907001270060574</v>
      </c>
      <c r="M152" s="84" t="s">
        <v>171</v>
      </c>
      <c r="N152" s="84"/>
      <c r="O152" s="84"/>
    </row>
    <row r="153" spans="9:15">
      <c r="I153" s="71" t="s">
        <v>60</v>
      </c>
      <c r="J153" s="337">
        <v>0.1</v>
      </c>
      <c r="K153" s="63">
        <f ca="1">(VLOOKUP($I$2,'Exit Prices'!$A$3:$H$231,4,FALSE)/VLOOKUP($I153,'Exit Prices'!$A$3:$H$231,4,FALSE))*VLOOKUP($I153,'Exit Prices'!$A$3:$H$231,7,FALSE)</f>
        <v>4.5792596427100802</v>
      </c>
      <c r="M153" s="84" t="s">
        <v>172</v>
      </c>
      <c r="N153" s="84"/>
      <c r="O153" s="84"/>
    </row>
    <row r="154" spans="9:15">
      <c r="I154" s="71" t="s">
        <v>63</v>
      </c>
      <c r="J154" s="337">
        <v>0.1</v>
      </c>
      <c r="K154" s="63">
        <f ca="1">(VLOOKUP($I$2,'Exit Prices'!$A$3:$H$231,4,FALSE)/VLOOKUP($I154,'Exit Prices'!$A$3:$H$231,4,FALSE))*VLOOKUP($I154,'Exit Prices'!$A$3:$H$231,7,FALSE)</f>
        <v>6.8931338611514263</v>
      </c>
      <c r="M154" s="84" t="s">
        <v>173</v>
      </c>
      <c r="N154" s="84"/>
      <c r="O154" s="84"/>
    </row>
    <row r="155" spans="9:15">
      <c r="I155" s="71" t="s">
        <v>66</v>
      </c>
      <c r="J155" s="337">
        <v>0.1</v>
      </c>
      <c r="K155" s="63">
        <f ca="1">(VLOOKUP($I$2,'Exit Prices'!$A$3:$H$231,4,FALSE)/VLOOKUP($I155,'Exit Prices'!$A$3:$H$231,4,FALSE))*VLOOKUP($I155,'Exit Prices'!$A$3:$H$231,7,FALSE)</f>
        <v>3.5881107306589555</v>
      </c>
      <c r="M155" s="84" t="s">
        <v>174</v>
      </c>
      <c r="N155" s="84"/>
      <c r="O155" s="84"/>
    </row>
    <row r="156" spans="9:15">
      <c r="I156" s="71" t="s">
        <v>68</v>
      </c>
      <c r="J156" s="337">
        <v>0.1</v>
      </c>
      <c r="K156" s="63">
        <f ca="1">(VLOOKUP($I$2,'Exit Prices'!$A$3:$H$231,4,FALSE)/VLOOKUP($I156,'Exit Prices'!$A$3:$H$231,4,FALSE))*VLOOKUP($I156,'Exit Prices'!$A$3:$H$231,7,FALSE)</f>
        <v>7.4299800913778933</v>
      </c>
      <c r="M156" s="84" t="s">
        <v>175</v>
      </c>
      <c r="N156" s="84"/>
      <c r="O156" s="84"/>
    </row>
    <row r="157" spans="9:15">
      <c r="I157" s="71" t="s">
        <v>69</v>
      </c>
      <c r="J157" s="337">
        <v>0.1</v>
      </c>
      <c r="K157" s="63">
        <f ca="1">(VLOOKUP($I$2,'Exit Prices'!$A$3:$H$231,4,FALSE)/VLOOKUP($I157,'Exit Prices'!$A$3:$H$231,4,FALSE))*VLOOKUP($I157,'Exit Prices'!$A$3:$H$231,7,FALSE)</f>
        <v>7.4299800913778933</v>
      </c>
      <c r="M157" s="84" t="s">
        <v>177</v>
      </c>
      <c r="N157" s="84"/>
      <c r="O157" s="84"/>
    </row>
    <row r="158" spans="9:15">
      <c r="I158" s="71" t="s">
        <v>72</v>
      </c>
      <c r="J158" s="337">
        <v>0.1</v>
      </c>
      <c r="K158" s="63">
        <f ca="1">(VLOOKUP($I$2,'Exit Prices'!$A$3:$H$231,4,FALSE)/VLOOKUP($I158,'Exit Prices'!$A$3:$H$231,4,FALSE))*VLOOKUP($I158,'Exit Prices'!$A$3:$H$231,7,FALSE)</f>
        <v>6.2005491259571457</v>
      </c>
      <c r="M158" s="84" t="s">
        <v>178</v>
      </c>
      <c r="N158" s="84"/>
      <c r="O158" s="84"/>
    </row>
    <row r="159" spans="9:15">
      <c r="I159" s="71" t="s">
        <v>73</v>
      </c>
      <c r="J159" s="337">
        <v>0.1</v>
      </c>
      <c r="K159" s="63">
        <f ca="1">(VLOOKUP($I$2,'Exit Prices'!$A$3:$H$231,4,FALSE)/VLOOKUP($I159,'Exit Prices'!$A$3:$H$231,4,FALSE))*VLOOKUP($I159,'Exit Prices'!$A$3:$H$231,7,FALSE)</f>
        <v>3.7915365041874489</v>
      </c>
      <c r="M159" s="84" t="s">
        <v>179</v>
      </c>
      <c r="N159" s="84"/>
      <c r="O159" s="84"/>
    </row>
    <row r="160" spans="9:15">
      <c r="I160" s="71" t="s">
        <v>78</v>
      </c>
      <c r="J160" s="337">
        <v>0.1</v>
      </c>
      <c r="K160" s="63">
        <f ca="1">(VLOOKUP($I$2,'Exit Prices'!$A$3:$H$231,4,FALSE)/VLOOKUP($I160,'Exit Prices'!$A$3:$H$231,4,FALSE))*VLOOKUP($I160,'Exit Prices'!$A$3:$H$231,7,FALSE)</f>
        <v>5.5143831072752283</v>
      </c>
      <c r="M160" s="84" t="s">
        <v>180</v>
      </c>
      <c r="N160" s="84"/>
      <c r="O160" s="84"/>
    </row>
    <row r="161" spans="9:15">
      <c r="I161" s="71" t="s">
        <v>84</v>
      </c>
      <c r="J161" s="337">
        <v>0.1</v>
      </c>
      <c r="K161" s="63">
        <f ca="1">(VLOOKUP($I$2,'Exit Prices'!$A$3:$H$231,4,FALSE)/VLOOKUP($I161,'Exit Prices'!$A$3:$H$231,4,FALSE))*VLOOKUP($I161,'Exit Prices'!$A$3:$H$231,7,FALSE)</f>
        <v>5.2047304177471059</v>
      </c>
      <c r="M161" s="84" t="s">
        <v>181</v>
      </c>
      <c r="N161" s="84"/>
      <c r="O161" s="84"/>
    </row>
    <row r="162" spans="9:15">
      <c r="I162" s="71" t="s">
        <v>85</v>
      </c>
      <c r="J162" s="337">
        <v>0.1</v>
      </c>
      <c r="K162" s="63">
        <f ca="1">(VLOOKUP($I$2,'Exit Prices'!$A$3:$H$231,4,FALSE)/VLOOKUP($I162,'Exit Prices'!$A$3:$H$231,4,FALSE))*VLOOKUP($I162,'Exit Prices'!$A$3:$H$231,7,FALSE)</f>
        <v>4.9460511832366398</v>
      </c>
      <c r="M162" s="84" t="s">
        <v>182</v>
      </c>
      <c r="N162" s="84"/>
      <c r="O162" s="84"/>
    </row>
    <row r="163" spans="9:15">
      <c r="I163" s="71" t="s">
        <v>91</v>
      </c>
      <c r="J163" s="337">
        <v>0.1</v>
      </c>
      <c r="K163" s="63">
        <f ca="1">(VLOOKUP($I$2,'Exit Prices'!$A$3:$H$231,4,FALSE)/VLOOKUP($I163,'Exit Prices'!$A$3:$H$231,4,FALSE))*VLOOKUP($I163,'Exit Prices'!$A$3:$H$231,7,FALSE)</f>
        <v>7.3286822384365768</v>
      </c>
      <c r="M163" s="84" t="s">
        <v>183</v>
      </c>
      <c r="N163" s="84"/>
      <c r="O163" s="84"/>
    </row>
    <row r="164" spans="9:15">
      <c r="I164" s="71" t="s">
        <v>93</v>
      </c>
      <c r="J164" s="337">
        <v>0.1</v>
      </c>
      <c r="K164" s="63">
        <f ca="1">(VLOOKUP($I$2,'Exit Prices'!$A$3:$H$231,4,FALSE)/VLOOKUP($I164,'Exit Prices'!$A$3:$H$231,4,FALSE))*VLOOKUP($I164,'Exit Prices'!$A$3:$H$231,7,FALSE)</f>
        <v>5.3608218037409969</v>
      </c>
      <c r="M164" s="84" t="s">
        <v>184</v>
      </c>
      <c r="N164" s="84"/>
      <c r="O164" s="84"/>
    </row>
    <row r="165" spans="9:15">
      <c r="I165" s="71" t="s">
        <v>98</v>
      </c>
      <c r="J165" s="337">
        <v>0.1</v>
      </c>
      <c r="K165" s="63">
        <f ca="1">(VLOOKUP($I$2,'Exit Prices'!$A$3:$H$231,4,FALSE)/VLOOKUP($I165,'Exit Prices'!$A$3:$H$231,4,FALSE))*VLOOKUP($I165,'Exit Prices'!$A$3:$H$231,7,FALSE)</f>
        <v>6.18873519438214</v>
      </c>
      <c r="M165" s="84" t="s">
        <v>185</v>
      </c>
      <c r="N165" s="84"/>
      <c r="O165" s="84"/>
    </row>
    <row r="166" spans="9:15">
      <c r="I166" s="71" t="s">
        <v>99</v>
      </c>
      <c r="J166" s="337">
        <v>0.1</v>
      </c>
      <c r="K166" s="63">
        <f ca="1">(VLOOKUP($I$2,'Exit Prices'!$A$3:$H$231,4,FALSE)/VLOOKUP($I166,'Exit Prices'!$A$3:$H$231,4,FALSE))*VLOOKUP($I166,'Exit Prices'!$A$3:$H$231,7,FALSE)</f>
        <v>5.2187611521621475</v>
      </c>
      <c r="M166" s="84" t="s">
        <v>186</v>
      </c>
      <c r="N166" s="84"/>
      <c r="O166" s="84"/>
    </row>
    <row r="167" spans="9:15">
      <c r="I167" s="71" t="s">
        <v>105</v>
      </c>
      <c r="J167" s="337">
        <v>0.1</v>
      </c>
      <c r="K167" s="63">
        <f ca="1">(VLOOKUP($I$2,'Exit Prices'!$A$3:$H$231,4,FALSE)/VLOOKUP($I167,'Exit Prices'!$A$3:$H$231,4,FALSE))*VLOOKUP($I167,'Exit Prices'!$A$3:$H$231,7,FALSE)</f>
        <v>5.0901282250599831</v>
      </c>
      <c r="M167" s="84" t="s">
        <v>187</v>
      </c>
      <c r="N167" s="84"/>
      <c r="O167" s="84"/>
    </row>
    <row r="168" spans="9:15">
      <c r="I168" s="71" t="s">
        <v>12</v>
      </c>
      <c r="J168" s="337">
        <v>0.1</v>
      </c>
      <c r="K168" s="63">
        <f ca="1">(VLOOKUP($I$2,'Exit Prices'!$A$3:$H$231,4,FALSE)/VLOOKUP($I168,'Exit Prices'!$A$3:$H$231,4,FALSE))*VLOOKUP($I168,'Exit Prices'!$A$3:$H$231,7,FALSE)</f>
        <v>4.3089730297448536</v>
      </c>
      <c r="M168" s="84" t="s">
        <v>188</v>
      </c>
      <c r="N168" s="84"/>
      <c r="O168" s="84"/>
    </row>
    <row r="169" spans="9:15">
      <c r="I169" s="71" t="s">
        <v>107</v>
      </c>
      <c r="J169" s="337">
        <v>0.1</v>
      </c>
      <c r="K169" s="63">
        <f ca="1">(VLOOKUP($I$2,'Exit Prices'!$A$3:$H$231,4,FALSE)/VLOOKUP($I169,'Exit Prices'!$A$3:$H$231,4,FALSE))*VLOOKUP($I169,'Exit Prices'!$A$3:$H$231,7,FALSE)</f>
        <v>7.4054367369370588</v>
      </c>
      <c r="M169" s="84" t="s">
        <v>241</v>
      </c>
      <c r="N169" s="84"/>
      <c r="O169" s="84"/>
    </row>
    <row r="170" spans="9:15">
      <c r="I170" s="71" t="s">
        <v>108</v>
      </c>
      <c r="J170" s="337">
        <v>0.1</v>
      </c>
      <c r="K170" s="63">
        <f ca="1">(VLOOKUP($I$2,'Exit Prices'!$A$3:$H$231,4,FALSE)/VLOOKUP($I170,'Exit Prices'!$A$3:$H$231,4,FALSE))*VLOOKUP($I170,'Exit Prices'!$A$3:$H$231,7,FALSE)</f>
        <v>7.5897307832294869</v>
      </c>
      <c r="M170" s="84" t="s">
        <v>189</v>
      </c>
      <c r="N170" s="84"/>
      <c r="O170" s="84"/>
    </row>
    <row r="171" spans="9:15">
      <c r="I171" s="71" t="s">
        <v>110</v>
      </c>
      <c r="J171" s="337">
        <v>0.1</v>
      </c>
      <c r="K171" s="63">
        <f ca="1">(VLOOKUP($I$2,'Exit Prices'!$A$3:$H$231,4,FALSE)/VLOOKUP($I171,'Exit Prices'!$A$3:$H$231,4,FALSE))*VLOOKUP($I171,'Exit Prices'!$A$3:$H$231,7,FALSE)</f>
        <v>5.2114181318330335</v>
      </c>
      <c r="M171" s="84" t="s">
        <v>190</v>
      </c>
      <c r="N171" s="84"/>
      <c r="O171" s="84"/>
    </row>
    <row r="172" spans="9:15">
      <c r="I172" s="71" t="s">
        <v>111</v>
      </c>
      <c r="J172" s="337">
        <v>0.1</v>
      </c>
      <c r="K172" s="63">
        <f ca="1">(VLOOKUP($I$2,'Exit Prices'!$A$3:$H$231,4,FALSE)/VLOOKUP($I172,'Exit Prices'!$A$3:$H$231,4,FALSE))*VLOOKUP($I172,'Exit Prices'!$A$3:$H$231,7,FALSE)</f>
        <v>6.3260958950391641</v>
      </c>
      <c r="M172" s="84" t="s">
        <v>191</v>
      </c>
      <c r="N172" s="84"/>
      <c r="O172" s="84"/>
    </row>
    <row r="173" spans="9:15">
      <c r="I173" s="71" t="s">
        <v>113</v>
      </c>
      <c r="J173" s="337">
        <v>0.1</v>
      </c>
      <c r="K173" s="63">
        <f ca="1">(VLOOKUP($I$2,'Exit Prices'!$A$3:$H$231,4,FALSE)/VLOOKUP($I173,'Exit Prices'!$A$3:$H$231,4,FALSE))*VLOOKUP($I173,'Exit Prices'!$A$3:$H$231,7,FALSE)</f>
        <v>5.878803503464713</v>
      </c>
      <c r="M173" s="84" t="s">
        <v>192</v>
      </c>
      <c r="N173" s="84"/>
      <c r="O173" s="84"/>
    </row>
    <row r="174" spans="9:15">
      <c r="I174" s="71" t="s">
        <v>117</v>
      </c>
      <c r="J174" s="337">
        <v>0.1</v>
      </c>
      <c r="K174" s="63">
        <f ca="1">(VLOOKUP($I$2,'Exit Prices'!$A$3:$H$231,4,FALSE)/VLOOKUP($I174,'Exit Prices'!$A$3:$H$231,4,FALSE))*VLOOKUP($I174,'Exit Prices'!$A$3:$H$231,7,FALSE)</f>
        <v>6.2880801293113944</v>
      </c>
      <c r="M174" s="84" t="s">
        <v>193</v>
      </c>
      <c r="N174" s="84"/>
      <c r="O174" s="84"/>
    </row>
    <row r="175" spans="9:15">
      <c r="I175" s="71" t="s">
        <v>121</v>
      </c>
      <c r="J175" s="337">
        <v>0.1</v>
      </c>
      <c r="K175" s="63">
        <f ca="1">(VLOOKUP($I$2,'Exit Prices'!$A$3:$H$231,4,FALSE)/VLOOKUP($I175,'Exit Prices'!$A$3:$H$231,4,FALSE))*VLOOKUP($I175,'Exit Prices'!$A$3:$H$231,7,FALSE)</f>
        <v>6.2052960784389324</v>
      </c>
      <c r="M175" s="84" t="s">
        <v>194</v>
      </c>
      <c r="N175" s="84"/>
      <c r="O175" s="84"/>
    </row>
    <row r="176" spans="9:15">
      <c r="I176" s="71" t="s">
        <v>124</v>
      </c>
      <c r="J176" s="337">
        <v>0.1</v>
      </c>
      <c r="K176" s="63">
        <f ca="1">(VLOOKUP($I$2,'Exit Prices'!$A$3:$H$231,4,FALSE)/VLOOKUP($I176,'Exit Prices'!$A$3:$H$231,4,FALSE))*VLOOKUP($I176,'Exit Prices'!$A$3:$H$231,7,FALSE)</f>
        <v>4.7990594523296801</v>
      </c>
      <c r="M176" s="84" t="s">
        <v>195</v>
      </c>
      <c r="N176" s="84"/>
      <c r="O176" s="84"/>
    </row>
    <row r="177" spans="9:15">
      <c r="I177" s="71" t="s">
        <v>127</v>
      </c>
      <c r="J177" s="337">
        <v>0.1</v>
      </c>
      <c r="K177" s="63">
        <f ca="1">(VLOOKUP($I$2,'Exit Prices'!$A$3:$H$231,4,FALSE)/VLOOKUP($I177,'Exit Prices'!$A$3:$H$231,4,FALSE))*VLOOKUP($I177,'Exit Prices'!$A$3:$H$231,7,FALSE)</f>
        <v>5.2577710441258558</v>
      </c>
      <c r="M177" s="84" t="s">
        <v>196</v>
      </c>
      <c r="N177" s="84"/>
      <c r="O177" s="84"/>
    </row>
    <row r="178" spans="9:15">
      <c r="I178" s="71" t="s">
        <v>128</v>
      </c>
      <c r="J178" s="337">
        <v>0.1</v>
      </c>
      <c r="K178" s="63">
        <f ca="1">(VLOOKUP($I$2,'Exit Prices'!$A$3:$H$231,4,FALSE)/VLOOKUP($I178,'Exit Prices'!$A$3:$H$231,4,FALSE))*VLOOKUP($I178,'Exit Prices'!$A$3:$H$231,7,FALSE)</f>
        <v>5.2577710441258558</v>
      </c>
      <c r="M178" s="84" t="s">
        <v>21</v>
      </c>
      <c r="N178" s="84"/>
      <c r="O178" s="84"/>
    </row>
    <row r="179" spans="9:15">
      <c r="I179" s="71" t="s">
        <v>130</v>
      </c>
      <c r="J179" s="337">
        <v>0.1</v>
      </c>
      <c r="K179" s="63">
        <f ca="1">(VLOOKUP($I$2,'Exit Prices'!$A$3:$H$231,4,FALSE)/VLOOKUP($I179,'Exit Prices'!$A$3:$H$231,4,FALSE))*VLOOKUP($I179,'Exit Prices'!$A$3:$H$231,7,FALSE)</f>
        <v>3.9236829493429974</v>
      </c>
      <c r="M179" s="84" t="s">
        <v>197</v>
      </c>
      <c r="N179" s="84"/>
      <c r="O179" s="84"/>
    </row>
    <row r="180" spans="9:15">
      <c r="I180" s="71" t="s">
        <v>132</v>
      </c>
      <c r="J180" s="337">
        <v>0.1</v>
      </c>
      <c r="K180" s="63">
        <f ca="1">(VLOOKUP($I$2,'Exit Prices'!$A$3:$H$231,4,FALSE)/VLOOKUP($I180,'Exit Prices'!$A$3:$H$231,4,FALSE))*VLOOKUP($I180,'Exit Prices'!$A$3:$H$231,7,FALSE)</f>
        <v>7.5297684494087553</v>
      </c>
      <c r="M180" s="84" t="s">
        <v>198</v>
      </c>
      <c r="N180" s="84"/>
      <c r="O180" s="84"/>
    </row>
    <row r="181" spans="9:15">
      <c r="I181" s="71" t="s">
        <v>133</v>
      </c>
      <c r="J181" s="337">
        <v>0.1</v>
      </c>
      <c r="K181" s="63">
        <f ca="1">(VLOOKUP($I$2,'Exit Prices'!$A$3:$H$231,4,FALSE)/VLOOKUP($I181,'Exit Prices'!$A$3:$H$231,4,FALSE))*VLOOKUP($I181,'Exit Prices'!$A$3:$H$231,7,FALSE)</f>
        <v>3.5384934575214024</v>
      </c>
      <c r="M181" s="84" t="s">
        <v>199</v>
      </c>
      <c r="N181" s="84"/>
      <c r="O181" s="84"/>
    </row>
    <row r="182" spans="9:15">
      <c r="I182" s="71" t="s">
        <v>137</v>
      </c>
      <c r="J182" s="337">
        <v>0.1</v>
      </c>
      <c r="K182" s="63">
        <f ca="1">(VLOOKUP($I$2,'Exit Prices'!$A$3:$H$231,4,FALSE)/VLOOKUP($I182,'Exit Prices'!$A$3:$H$231,4,FALSE))*VLOOKUP($I182,'Exit Prices'!$A$3:$H$231,7,FALSE)</f>
        <v>6.4293986512308612</v>
      </c>
      <c r="M182" s="84" t="s">
        <v>200</v>
      </c>
      <c r="N182" s="84"/>
      <c r="O182" s="84"/>
    </row>
    <row r="183" spans="9:15">
      <c r="I183" s="71" t="s">
        <v>140</v>
      </c>
      <c r="J183" s="337">
        <v>0.1</v>
      </c>
      <c r="K183" s="63">
        <f ca="1">(VLOOKUP($I$2,'Exit Prices'!$A$3:$H$231,4,FALSE)/VLOOKUP($I183,'Exit Prices'!$A$3:$H$231,4,FALSE))*VLOOKUP($I183,'Exit Prices'!$A$3:$H$231,7,FALSE)</f>
        <v>6.3199213800509275</v>
      </c>
      <c r="M183" s="84" t="s">
        <v>201</v>
      </c>
      <c r="N183" s="84"/>
      <c r="O183" s="84"/>
    </row>
    <row r="184" spans="9:15">
      <c r="I184" s="71" t="s">
        <v>141</v>
      </c>
      <c r="J184" s="337">
        <v>0.1</v>
      </c>
      <c r="K184" s="63">
        <f ca="1">(VLOOKUP($I$2,'Exit Prices'!$A$3:$H$231,4,FALSE)/VLOOKUP($I184,'Exit Prices'!$A$3:$H$231,4,FALSE))*VLOOKUP($I184,'Exit Prices'!$A$3:$H$231,7,FALSE)</f>
        <v>6.1117863912325783</v>
      </c>
      <c r="M184" s="84" t="s">
        <v>202</v>
      </c>
      <c r="N184" s="84"/>
      <c r="O184" s="84"/>
    </row>
    <row r="185" spans="9:15">
      <c r="I185" s="71" t="s">
        <v>143</v>
      </c>
      <c r="J185" s="337">
        <v>0.1</v>
      </c>
      <c r="K185" s="63">
        <f ca="1">(VLOOKUP($I$2,'Exit Prices'!$A$3:$H$231,4,FALSE)/VLOOKUP($I185,'Exit Prices'!$A$3:$H$231,4,FALSE))*VLOOKUP($I185,'Exit Prices'!$A$3:$H$231,7,FALSE)</f>
        <v>3.5384934575214024</v>
      </c>
      <c r="M185" s="84" t="s">
        <v>203</v>
      </c>
      <c r="N185" s="84"/>
      <c r="O185" s="84"/>
    </row>
    <row r="186" spans="9:15">
      <c r="I186" s="71" t="s">
        <v>145</v>
      </c>
      <c r="J186" s="337">
        <v>0.1</v>
      </c>
      <c r="K186" s="63">
        <f ca="1">(VLOOKUP($I$2,'Exit Prices'!$A$3:$H$231,4,FALSE)/VLOOKUP($I186,'Exit Prices'!$A$3:$H$231,4,FALSE))*VLOOKUP($I186,'Exit Prices'!$A$3:$H$231,7,FALSE)</f>
        <v>5.9096661240062156</v>
      </c>
      <c r="M186" s="84" t="s">
        <v>204</v>
      </c>
      <c r="N186" s="84"/>
      <c r="O186" s="84"/>
    </row>
    <row r="187" spans="9:15">
      <c r="I187" s="71" t="s">
        <v>146</v>
      </c>
      <c r="J187" s="337">
        <v>0.1</v>
      </c>
      <c r="K187" s="63">
        <f ca="1">(VLOOKUP($I$2,'Exit Prices'!$A$3:$H$231,4,FALSE)/VLOOKUP($I187,'Exit Prices'!$A$3:$H$231,4,FALSE))*VLOOKUP($I187,'Exit Prices'!$A$3:$H$231,7,FALSE)</f>
        <v>4.3463882205842603</v>
      </c>
      <c r="M187" s="84" t="s">
        <v>205</v>
      </c>
      <c r="N187" s="84"/>
      <c r="O187" s="84"/>
    </row>
    <row r="188" spans="9:15">
      <c r="I188" s="71" t="s">
        <v>147</v>
      </c>
      <c r="J188" s="337">
        <v>0.1</v>
      </c>
      <c r="K188" s="63">
        <f ca="1">(VLOOKUP($I$2,'Exit Prices'!$A$3:$H$231,4,FALSE)/VLOOKUP($I188,'Exit Prices'!$A$3:$H$231,4,FALSE))*VLOOKUP($I188,'Exit Prices'!$A$3:$H$231,7,FALSE)</f>
        <v>4.5680098481594813</v>
      </c>
      <c r="M188" s="84" t="s">
        <v>206</v>
      </c>
      <c r="N188" s="84"/>
      <c r="O188" s="84"/>
    </row>
    <row r="189" spans="9:15">
      <c r="I189" s="71" t="s">
        <v>152</v>
      </c>
      <c r="J189" s="337">
        <v>0.1</v>
      </c>
      <c r="K189" s="63">
        <f ca="1">(VLOOKUP($I$2,'Exit Prices'!$A$3:$H$231,4,FALSE)/VLOOKUP($I189,'Exit Prices'!$A$3:$H$231,4,FALSE))*VLOOKUP($I189,'Exit Prices'!$A$3:$H$231,7,FALSE)</f>
        <v>5.7787214562139582</v>
      </c>
      <c r="M189" s="84" t="s">
        <v>207</v>
      </c>
      <c r="N189" s="84"/>
      <c r="O189" s="84"/>
    </row>
    <row r="190" spans="9:15">
      <c r="I190" s="71" t="s">
        <v>153</v>
      </c>
      <c r="J190" s="337">
        <v>0.1</v>
      </c>
      <c r="K190" s="63">
        <f ca="1">(VLOOKUP($I$2,'Exit Prices'!$A$3:$H$231,4,FALSE)/VLOOKUP($I190,'Exit Prices'!$A$3:$H$231,4,FALSE))*VLOOKUP($I190,'Exit Prices'!$A$3:$H$231,7,FALSE)</f>
        <v>5.2555536297643393</v>
      </c>
      <c r="M190" s="84" t="s">
        <v>208</v>
      </c>
      <c r="N190" s="84"/>
      <c r="O190" s="84"/>
    </row>
    <row r="191" spans="9:15">
      <c r="I191" s="71" t="s">
        <v>154</v>
      </c>
      <c r="J191" s="337">
        <v>0.1</v>
      </c>
      <c r="K191" s="63">
        <f ca="1">(VLOOKUP($I$2,'Exit Prices'!$A$3:$H$231,4,FALSE)/VLOOKUP($I191,'Exit Prices'!$A$3:$H$231,4,FALSE))*VLOOKUP($I191,'Exit Prices'!$A$3:$H$231,7,FALSE)</f>
        <v>6.5954247618616586</v>
      </c>
      <c r="M191" s="84" t="s">
        <v>209</v>
      </c>
      <c r="N191" s="84"/>
      <c r="O191" s="84"/>
    </row>
    <row r="192" spans="9:15">
      <c r="I192" s="71" t="s">
        <v>20</v>
      </c>
      <c r="J192" s="337">
        <v>0.1</v>
      </c>
      <c r="K192" s="63">
        <f ca="1">(VLOOKUP($I$2,'Exit Prices'!$A$3:$H$231,4,FALSE)/VLOOKUP($I192,'Exit Prices'!$A$3:$H$231,4,FALSE))*VLOOKUP($I192,'Exit Prices'!$A$3:$H$231,7,FALSE)</f>
        <v>6.2005491259571457</v>
      </c>
      <c r="M192" s="84" t="s">
        <v>210</v>
      </c>
      <c r="N192" s="84"/>
      <c r="O192" s="84"/>
    </row>
    <row r="193" spans="9:15">
      <c r="I193" s="71" t="s">
        <v>162</v>
      </c>
      <c r="J193" s="337">
        <v>0.1</v>
      </c>
      <c r="K193" s="63">
        <f ca="1">(VLOOKUP($I$2,'Exit Prices'!$A$3:$H$231,4,FALSE)/VLOOKUP($I193,'Exit Prices'!$A$3:$H$231,4,FALSE))*VLOOKUP($I193,'Exit Prices'!$A$3:$H$231,7,FALSE)</f>
        <v>7.4683994663268711</v>
      </c>
      <c r="M193" s="84" t="s">
        <v>211</v>
      </c>
      <c r="N193" s="84"/>
      <c r="O193" s="84"/>
    </row>
    <row r="194" spans="9:15">
      <c r="I194" s="71" t="s">
        <v>163</v>
      </c>
      <c r="J194" s="337">
        <v>0.1</v>
      </c>
      <c r="K194" s="63">
        <f ca="1">(VLOOKUP($I$2,'Exit Prices'!$A$3:$H$231,4,FALSE)/VLOOKUP($I194,'Exit Prices'!$A$3:$H$231,4,FALSE))*VLOOKUP($I194,'Exit Prices'!$A$3:$H$231,7,FALSE)</f>
        <v>6.0961507449117738</v>
      </c>
      <c r="M194" s="84" t="s">
        <v>212</v>
      </c>
      <c r="N194" s="84"/>
      <c r="O194" s="84"/>
    </row>
    <row r="195" spans="9:15">
      <c r="I195" s="71" t="s">
        <v>164</v>
      </c>
      <c r="J195" s="337">
        <v>0.1</v>
      </c>
      <c r="K195" s="63">
        <f ca="1">(VLOOKUP($I$2,'Exit Prices'!$A$3:$H$231,4,FALSE)/VLOOKUP($I195,'Exit Prices'!$A$3:$H$231,4,FALSE))*VLOOKUP($I195,'Exit Prices'!$A$3:$H$231,7,FALSE)</f>
        <v>6.0961507449117738</v>
      </c>
      <c r="M195" s="84" t="s">
        <v>213</v>
      </c>
      <c r="N195" s="84"/>
      <c r="O195" s="84"/>
    </row>
    <row r="196" spans="9:15">
      <c r="I196" s="71" t="s">
        <v>169</v>
      </c>
      <c r="J196" s="337">
        <v>0.1</v>
      </c>
      <c r="K196" s="63">
        <f ca="1">(VLOOKUP($I$2,'Exit Prices'!$A$3:$H$231,4,FALSE)/VLOOKUP($I196,'Exit Prices'!$A$3:$H$231,4,FALSE))*VLOOKUP($I196,'Exit Prices'!$A$3:$H$231,7,FALSE)</f>
        <v>5.0825675035775415</v>
      </c>
      <c r="M196" s="84" t="s">
        <v>214</v>
      </c>
      <c r="N196" s="84"/>
      <c r="O196" s="84"/>
    </row>
    <row r="197" spans="9:15">
      <c r="I197" s="71" t="s">
        <v>175</v>
      </c>
      <c r="J197" s="337">
        <v>0.1</v>
      </c>
      <c r="K197" s="63">
        <f ca="1">(VLOOKUP($I$2,'Exit Prices'!$A$3:$H$231,4,FALSE)/VLOOKUP($I197,'Exit Prices'!$A$3:$H$231,4,FALSE))*VLOOKUP($I197,'Exit Prices'!$A$3:$H$231,7,FALSE)</f>
        <v>5.7660004520295365</v>
      </c>
      <c r="M197" s="84" t="s">
        <v>215</v>
      </c>
      <c r="N197" s="84"/>
      <c r="O197" s="84"/>
    </row>
    <row r="198" spans="9:15">
      <c r="I198" s="71" t="s">
        <v>178</v>
      </c>
      <c r="J198" s="337">
        <v>0.1</v>
      </c>
      <c r="K198" s="63">
        <f ca="1">(VLOOKUP($I$2,'Exit Prices'!$A$3:$H$231,4,FALSE)/VLOOKUP($I198,'Exit Prices'!$A$3:$H$231,4,FALSE))*VLOOKUP($I198,'Exit Prices'!$A$3:$H$231,7,FALSE)</f>
        <v>6.9471435886015467</v>
      </c>
      <c r="M198" s="84" t="s">
        <v>216</v>
      </c>
      <c r="N198" s="84"/>
      <c r="O198" s="84"/>
    </row>
    <row r="199" spans="9:15">
      <c r="I199" s="71" t="s">
        <v>179</v>
      </c>
      <c r="J199" s="337">
        <v>0.1</v>
      </c>
      <c r="K199" s="63">
        <f ca="1">(VLOOKUP($I$2,'Exit Prices'!$A$3:$H$231,4,FALSE)/VLOOKUP($I199,'Exit Prices'!$A$3:$H$231,4,FALSE))*VLOOKUP($I199,'Exit Prices'!$A$3:$H$231,7,FALSE)</f>
        <v>5.6087685663332936</v>
      </c>
      <c r="M199" s="84" t="s">
        <v>217</v>
      </c>
      <c r="N199" s="84"/>
      <c r="O199" s="84"/>
    </row>
    <row r="200" spans="9:15">
      <c r="I200" s="71" t="s">
        <v>180</v>
      </c>
      <c r="J200" s="337">
        <v>0.1</v>
      </c>
      <c r="K200" s="63">
        <f ca="1">(VLOOKUP($I$2,'Exit Prices'!$A$3:$H$231,4,FALSE)/VLOOKUP($I200,'Exit Prices'!$A$3:$H$231,4,FALSE))*VLOOKUP($I200,'Exit Prices'!$A$3:$H$231,7,FALSE)</f>
        <v>7.3256312016069085</v>
      </c>
      <c r="M200" s="84" t="s">
        <v>218</v>
      </c>
      <c r="N200" s="84"/>
      <c r="O200" s="84"/>
    </row>
    <row r="201" spans="9:15">
      <c r="I201" s="71" t="s">
        <v>184</v>
      </c>
      <c r="J201" s="337">
        <v>0.1</v>
      </c>
      <c r="K201" s="63">
        <f ca="1">(VLOOKUP($I$2,'Exit Prices'!$A$3:$H$231,4,FALSE)/VLOOKUP($I201,'Exit Prices'!$A$3:$H$231,4,FALSE))*VLOOKUP($I201,'Exit Prices'!$A$3:$H$231,7,FALSE)</f>
        <v>4.2857255350546897</v>
      </c>
      <c r="M201" s="84" t="s">
        <v>219</v>
      </c>
      <c r="N201" s="84"/>
      <c r="O201" s="84"/>
    </row>
    <row r="202" spans="9:15">
      <c r="I202" s="71" t="s">
        <v>186</v>
      </c>
      <c r="J202" s="337">
        <v>0.1</v>
      </c>
      <c r="K202" s="63">
        <f ca="1">(VLOOKUP($I$2,'Exit Prices'!$A$3:$H$231,4,FALSE)/VLOOKUP($I202,'Exit Prices'!$A$3:$H$231,4,FALSE))*VLOOKUP($I202,'Exit Prices'!$A$3:$H$231,7,FALSE)</f>
        <v>5.4818274167338341</v>
      </c>
      <c r="M202" s="84" t="s">
        <v>239</v>
      </c>
      <c r="N202" s="84"/>
      <c r="O202" s="84"/>
    </row>
    <row r="203" spans="9:15">
      <c r="I203" s="71" t="s">
        <v>189</v>
      </c>
      <c r="J203" s="337">
        <v>0.1</v>
      </c>
      <c r="K203" s="63">
        <f ca="1">(VLOOKUP($I$2,'Exit Prices'!$A$3:$H$231,4,FALSE)/VLOOKUP($I203,'Exit Prices'!$A$3:$H$231,4,FALSE))*VLOOKUP($I203,'Exit Prices'!$A$3:$H$231,7,FALSE)</f>
        <v>5.0126194095048238</v>
      </c>
      <c r="M203" s="84" t="s">
        <v>220</v>
      </c>
      <c r="N203" s="84"/>
      <c r="O203" s="84"/>
    </row>
    <row r="204" spans="9:15">
      <c r="I204" s="71" t="s">
        <v>192</v>
      </c>
      <c r="J204" s="337">
        <v>0.1</v>
      </c>
      <c r="K204" s="63">
        <f ca="1">(VLOOKUP($I$2,'Exit Prices'!$A$3:$H$231,4,FALSE)/VLOOKUP($I204,'Exit Prices'!$A$3:$H$231,4,FALSE))*VLOOKUP($I204,'Exit Prices'!$A$3:$H$231,7,FALSE)</f>
        <v>5.6038680677414741</v>
      </c>
      <c r="M204" s="84" t="s">
        <v>221</v>
      </c>
      <c r="N204" s="84"/>
      <c r="O204" s="84"/>
    </row>
    <row r="205" spans="9:15">
      <c r="I205" s="71" t="s">
        <v>194</v>
      </c>
      <c r="J205" s="337">
        <v>0.1</v>
      </c>
      <c r="K205" s="63">
        <f ca="1">(VLOOKUP($I$2,'Exit Prices'!$A$3:$H$231,4,FALSE)/VLOOKUP($I205,'Exit Prices'!$A$3:$H$231,4,FALSE))*VLOOKUP($I205,'Exit Prices'!$A$3:$H$231,7,FALSE)</f>
        <v>7.7319026297572346</v>
      </c>
      <c r="M205" s="84" t="s">
        <v>222</v>
      </c>
      <c r="N205" s="84"/>
      <c r="O205" s="84"/>
    </row>
    <row r="206" spans="9:15">
      <c r="I206" s="71" t="s">
        <v>21</v>
      </c>
      <c r="J206" s="337">
        <v>0.1</v>
      </c>
      <c r="K206" s="63">
        <f ca="1">(VLOOKUP($I$2,'Exit Prices'!$A$3:$H$231,4,FALSE)/VLOOKUP($I206,'Exit Prices'!$A$3:$H$231,4,FALSE))*VLOOKUP($I206,'Exit Prices'!$A$3:$H$231,7,FALSE)</f>
        <v>3.4282153414288437</v>
      </c>
      <c r="M206" s="84" t="s">
        <v>223</v>
      </c>
      <c r="N206" s="84"/>
      <c r="O206" s="84"/>
    </row>
    <row r="207" spans="9:15">
      <c r="I207" s="71" t="s">
        <v>200</v>
      </c>
      <c r="J207" s="337">
        <v>0.1</v>
      </c>
      <c r="K207" s="63">
        <f ca="1">(VLOOKUP($I$2,'Exit Prices'!$A$3:$H$231,4,FALSE)/VLOOKUP($I207,'Exit Prices'!$A$3:$H$231,4,FALSE))*VLOOKUP($I207,'Exit Prices'!$A$3:$H$231,7,FALSE)</f>
        <v>7.3899705079509532</v>
      </c>
      <c r="M207" s="84" t="s">
        <v>224</v>
      </c>
      <c r="N207" s="84"/>
      <c r="O207" s="84"/>
    </row>
    <row r="208" spans="9:15">
      <c r="I208" s="71" t="s">
        <v>201</v>
      </c>
      <c r="J208" s="337">
        <v>0.1</v>
      </c>
      <c r="K208" s="63">
        <f ca="1">(VLOOKUP($I$2,'Exit Prices'!$A$3:$H$231,4,FALSE)/VLOOKUP($I208,'Exit Prices'!$A$3:$H$231,4,FALSE))*VLOOKUP($I208,'Exit Prices'!$A$3:$H$231,7,FALSE)</f>
        <v>5.4905177000210825</v>
      </c>
      <c r="M208" s="84" t="s">
        <v>225</v>
      </c>
      <c r="N208" s="84"/>
      <c r="O208" s="84"/>
    </row>
    <row r="209" spans="9:15">
      <c r="I209" s="71" t="s">
        <v>202</v>
      </c>
      <c r="J209" s="337">
        <v>0.1</v>
      </c>
      <c r="K209" s="63">
        <f ca="1">(VLOOKUP($I$2,'Exit Prices'!$A$3:$H$231,4,FALSE)/VLOOKUP($I209,'Exit Prices'!$A$3:$H$231,4,FALSE))*VLOOKUP($I209,'Exit Prices'!$A$3:$H$231,7,FALSE)</f>
        <v>6.8308526775208902</v>
      </c>
      <c r="M209" s="84" t="s">
        <v>226</v>
      </c>
      <c r="N209" s="84"/>
      <c r="O209" s="84"/>
    </row>
    <row r="210" spans="9:15">
      <c r="I210" s="71" t="s">
        <v>205</v>
      </c>
      <c r="J210" s="337">
        <v>0.1</v>
      </c>
      <c r="K210" s="63">
        <f ca="1">(VLOOKUP($I$2,'Exit Prices'!$A$3:$H$231,4,FALSE)/VLOOKUP($I210,'Exit Prices'!$A$3:$H$231,4,FALSE))*VLOOKUP($I210,'Exit Prices'!$A$3:$H$231,7,FALSE)</f>
        <v>6.2665817689746586</v>
      </c>
      <c r="M210" s="84" t="s">
        <v>227</v>
      </c>
      <c r="N210" s="84"/>
      <c r="O210" s="84"/>
    </row>
    <row r="211" spans="9:15">
      <c r="I211" s="71" t="s">
        <v>206</v>
      </c>
      <c r="J211" s="337">
        <v>0.1</v>
      </c>
      <c r="K211" s="63">
        <f ca="1">(VLOOKUP($I$2,'Exit Prices'!$A$3:$H$231,4,FALSE)/VLOOKUP($I211,'Exit Prices'!$A$3:$H$231,4,FALSE))*VLOOKUP($I211,'Exit Prices'!$A$3:$H$231,7,FALSE)</f>
        <v>7.6429376299790155</v>
      </c>
      <c r="M211" s="84" t="s">
        <v>228</v>
      </c>
      <c r="N211" s="84"/>
      <c r="O211" s="84"/>
    </row>
    <row r="212" spans="9:15">
      <c r="I212" s="71" t="s">
        <v>208</v>
      </c>
      <c r="J212" s="337">
        <v>0.1</v>
      </c>
      <c r="K212" s="63">
        <f ca="1">(VLOOKUP($I$2,'Exit Prices'!$A$3:$H$231,4,FALSE)/VLOOKUP($I212,'Exit Prices'!$A$3:$H$231,4,FALSE))*VLOOKUP($I212,'Exit Prices'!$A$3:$H$231,7,FALSE)</f>
        <v>4.9329990146342277</v>
      </c>
      <c r="M212" s="84" t="s">
        <v>229</v>
      </c>
      <c r="N212" s="84"/>
      <c r="O212" s="84"/>
    </row>
    <row r="213" spans="9:15">
      <c r="I213" s="71" t="s">
        <v>210</v>
      </c>
      <c r="J213" s="337">
        <v>0.1</v>
      </c>
      <c r="K213" s="63">
        <f ca="1">(VLOOKUP($I$2,'Exit Prices'!$A$3:$H$231,4,FALSE)/VLOOKUP($I213,'Exit Prices'!$A$3:$H$231,4,FALSE))*VLOOKUP($I213,'Exit Prices'!$A$3:$H$231,7,FALSE)</f>
        <v>6.1503349412440471</v>
      </c>
      <c r="M213" s="84" t="s">
        <v>230</v>
      </c>
      <c r="N213" s="84"/>
      <c r="O213" s="84"/>
    </row>
    <row r="214" spans="9:15">
      <c r="I214" s="71" t="s">
        <v>215</v>
      </c>
      <c r="J214" s="337">
        <v>0.1</v>
      </c>
      <c r="K214" s="63">
        <f ca="1">(VLOOKUP($I$2,'Exit Prices'!$A$3:$H$231,4,FALSE)/VLOOKUP($I214,'Exit Prices'!$A$3:$H$231,4,FALSE))*VLOOKUP($I214,'Exit Prices'!$A$3:$H$231,7,FALSE)</f>
        <v>6.46404809227396</v>
      </c>
      <c r="M214" s="84" t="s">
        <v>231</v>
      </c>
      <c r="N214" s="84"/>
      <c r="O214" s="84"/>
    </row>
    <row r="215" spans="9:15">
      <c r="I215" s="71" t="s">
        <v>217</v>
      </c>
      <c r="J215" s="337">
        <v>0.1</v>
      </c>
      <c r="K215" s="63">
        <f ca="1">(VLOOKUP($I$2,'Exit Prices'!$A$3:$H$231,4,FALSE)/VLOOKUP($I215,'Exit Prices'!$A$3:$H$231,4,FALSE))*VLOOKUP($I215,'Exit Prices'!$A$3:$H$231,7,FALSE)</f>
        <v>4.6813540183269104</v>
      </c>
      <c r="M215" s="84" t="s">
        <v>232</v>
      </c>
      <c r="N215" s="84"/>
      <c r="O215" s="84"/>
    </row>
    <row r="216" spans="9:15">
      <c r="I216" s="71" t="s">
        <v>218</v>
      </c>
      <c r="J216" s="337">
        <v>0.1</v>
      </c>
      <c r="K216" s="63">
        <f ca="1">(VLOOKUP($I$2,'Exit Prices'!$A$3:$H$231,4,FALSE)/VLOOKUP($I216,'Exit Prices'!$A$3:$H$231,4,FALSE))*VLOOKUP($I216,'Exit Prices'!$A$3:$H$231,7,FALSE)</f>
        <v>5.8218814483102932</v>
      </c>
      <c r="M216" s="84" t="s">
        <v>233</v>
      </c>
      <c r="N216" s="84"/>
      <c r="O216" s="84"/>
    </row>
    <row r="217" spans="9:15">
      <c r="I217" s="71" t="s">
        <v>219</v>
      </c>
      <c r="J217" s="337">
        <v>0.1</v>
      </c>
      <c r="K217" s="63">
        <f ca="1">(VLOOKUP($I$2,'Exit Prices'!$A$3:$H$231,4,FALSE)/VLOOKUP($I217,'Exit Prices'!$A$3:$H$231,4,FALSE))*VLOOKUP($I217,'Exit Prices'!$A$3:$H$231,7,FALSE)</f>
        <v>7.2146986930090451</v>
      </c>
      <c r="M217" s="84" t="s">
        <v>234</v>
      </c>
      <c r="N217" s="84"/>
      <c r="O217" s="84"/>
    </row>
    <row r="218" spans="9:15">
      <c r="I218" s="71" t="s">
        <v>220</v>
      </c>
      <c r="J218" s="337">
        <v>0.1</v>
      </c>
      <c r="K218" s="63">
        <f ca="1">(VLOOKUP($I$2,'Exit Prices'!$A$3:$H$231,4,FALSE)/VLOOKUP($I218,'Exit Prices'!$A$3:$H$231,4,FALSE))*VLOOKUP($I218,'Exit Prices'!$A$3:$H$231,7,FALSE)</f>
        <v>6.9950684070197386</v>
      </c>
      <c r="M218" s="84" t="s">
        <v>235</v>
      </c>
      <c r="N218" s="84"/>
      <c r="O218" s="84"/>
    </row>
    <row r="219" spans="9:15">
      <c r="I219" s="71" t="s">
        <v>222</v>
      </c>
      <c r="J219" s="337">
        <v>0.1</v>
      </c>
      <c r="K219" s="63">
        <f ca="1">(VLOOKUP($I$2,'Exit Prices'!$A$3:$H$231,4,FALSE)/VLOOKUP($I219,'Exit Prices'!$A$3:$H$231,4,FALSE))*VLOOKUP($I219,'Exit Prices'!$A$3:$H$231,7,FALSE)</f>
        <v>7.6911825892293573</v>
      </c>
      <c r="M219" s="84" t="s">
        <v>236</v>
      </c>
      <c r="N219" s="84"/>
      <c r="O219" s="84"/>
    </row>
    <row r="220" spans="9:15">
      <c r="I220" s="71" t="s">
        <v>225</v>
      </c>
      <c r="J220" s="337">
        <v>0.1</v>
      </c>
      <c r="K220" s="63">
        <f ca="1">(VLOOKUP($I$2,'Exit Prices'!$A$3:$H$231,4,FALSE)/VLOOKUP($I220,'Exit Prices'!$A$3:$H$231,4,FALSE))*VLOOKUP($I220,'Exit Prices'!$A$3:$H$231,7,FALSE)</f>
        <v>7.3488299581737806</v>
      </c>
      <c r="M220" s="84" t="s">
        <v>237</v>
      </c>
      <c r="N220" s="84"/>
      <c r="O220" s="84"/>
    </row>
    <row r="221" spans="9:15">
      <c r="I221" s="71" t="s">
        <v>226</v>
      </c>
      <c r="J221" s="337">
        <v>0.1</v>
      </c>
      <c r="K221" s="63">
        <f ca="1">(VLOOKUP($I$2,'Exit Prices'!$A$3:$H$231,4,FALSE)/VLOOKUP($I221,'Exit Prices'!$A$3:$H$231,4,FALSE))*VLOOKUP($I221,'Exit Prices'!$A$3:$H$231,7,FALSE)</f>
        <v>5.5816126359677094</v>
      </c>
      <c r="M221" s="84" t="s">
        <v>238</v>
      </c>
      <c r="N221" s="84"/>
      <c r="O221" s="84"/>
    </row>
    <row r="222" spans="9:15">
      <c r="I222" s="2" t="s">
        <v>227</v>
      </c>
      <c r="J222" s="337">
        <v>0.1</v>
      </c>
      <c r="K222" s="63">
        <f ca="1">(VLOOKUP($I$2,'Exit Prices'!$A$3:$H$231,4,FALSE)/VLOOKUP($I222,'Exit Prices'!$A$3:$H$231,4,FALSE))*VLOOKUP($I222,'Exit Prices'!$A$3:$H$231,7,FALSE)</f>
        <v>5.5816126359677094</v>
      </c>
      <c r="M222" s="84" t="s">
        <v>534</v>
      </c>
      <c r="N222" s="84"/>
      <c r="O222" s="84"/>
    </row>
    <row r="223" spans="9:15">
      <c r="I223" s="2" t="s">
        <v>228</v>
      </c>
      <c r="J223" s="337">
        <v>0.1</v>
      </c>
      <c r="K223" s="63">
        <f ca="1">(VLOOKUP($I$2,'Exit Prices'!$A$3:$H$231,4,FALSE)/VLOOKUP($I223,'Exit Prices'!$A$3:$H$231,4,FALSE))*VLOOKUP($I223,'Exit Prices'!$A$3:$H$231,7,FALSE)</f>
        <v>5.5816126359677094</v>
      </c>
      <c r="M223" s="84" t="s">
        <v>535</v>
      </c>
      <c r="N223" s="84" t="s">
        <v>35</v>
      </c>
      <c r="O223" s="84">
        <v>8.7570035240032649</v>
      </c>
    </row>
    <row r="224" spans="9:15">
      <c r="I224" s="2" t="s">
        <v>229</v>
      </c>
      <c r="J224" s="337">
        <v>0.1</v>
      </c>
      <c r="K224" s="63">
        <f ca="1">(VLOOKUP($I$2,'Exit Prices'!$A$3:$H$231,4,FALSE)/VLOOKUP($I224,'Exit Prices'!$A$3:$H$231,4,FALSE))*VLOOKUP($I224,'Exit Prices'!$A$3:$H$231,7,FALSE)</f>
        <v>5.4340809745218195</v>
      </c>
      <c r="M224" s="84" t="s">
        <v>536</v>
      </c>
      <c r="N224" s="84"/>
      <c r="O224" s="84"/>
    </row>
    <row r="225" spans="9:15">
      <c r="I225" s="2" t="s">
        <v>230</v>
      </c>
      <c r="J225" s="337">
        <v>0.1</v>
      </c>
      <c r="K225" s="63">
        <f ca="1">(VLOOKUP($I$2,'Exit Prices'!$A$3:$H$231,4,FALSE)/VLOOKUP($I225,'Exit Prices'!$A$3:$H$231,4,FALSE))*VLOOKUP($I225,'Exit Prices'!$A$3:$H$231,7,FALSE)</f>
        <v>6.1992209923224557</v>
      </c>
      <c r="M225" s="84" t="s">
        <v>537</v>
      </c>
      <c r="N225" s="84" t="s">
        <v>41</v>
      </c>
      <c r="O225" s="84">
        <v>9.3043569816571665</v>
      </c>
    </row>
    <row r="226" spans="9:15">
      <c r="I226" s="2" t="s">
        <v>232</v>
      </c>
      <c r="J226" s="337">
        <v>0.1</v>
      </c>
      <c r="K226" s="63">
        <f ca="1">(VLOOKUP($I$2,'Exit Prices'!$A$3:$H$231,4,FALSE)/VLOOKUP($I226,'Exit Prices'!$A$3:$H$231,4,FALSE))*VLOOKUP($I226,'Exit Prices'!$A$3:$H$231,7,FALSE)</f>
        <v>4.9235325557321081</v>
      </c>
      <c r="M226" s="84" t="s">
        <v>538</v>
      </c>
      <c r="N226" s="84" t="s">
        <v>41</v>
      </c>
      <c r="O226" s="84">
        <v>7.3409929633297395</v>
      </c>
    </row>
    <row r="227" spans="9:15">
      <c r="I227" s="2" t="s">
        <v>234</v>
      </c>
      <c r="J227" s="337">
        <v>0.1</v>
      </c>
      <c r="K227" s="63">
        <f ca="1">(VLOOKUP($I$2,'Exit Prices'!$A$3:$H$231,4,FALSE)/VLOOKUP($I227,'Exit Prices'!$A$3:$H$231,4,FALSE))*VLOOKUP($I227,'Exit Prices'!$A$3:$H$231,7,FALSE)</f>
        <v>4.9235325557321081</v>
      </c>
      <c r="M227" s="84" t="s">
        <v>545</v>
      </c>
      <c r="N227" s="84" t="s">
        <v>41</v>
      </c>
      <c r="O227" s="84">
        <v>4.4740683785413102</v>
      </c>
    </row>
    <row r="228" spans="9:15">
      <c r="I228" s="2" t="s">
        <v>238</v>
      </c>
      <c r="J228" s="365">
        <v>0.1</v>
      </c>
      <c r="K228" s="63">
        <f ca="1">(VLOOKUP($I$2,'Exit Prices'!$A$3:$H$231,4,FALSE)/VLOOKUP($I228,'Exit Prices'!$A$3:$H$231,4,FALSE))*VLOOKUP($I228,'Exit Prices'!$A$3:$H$231,7,FALSE)</f>
        <v>6.1861340075746085</v>
      </c>
      <c r="M228" s="84" t="s">
        <v>539</v>
      </c>
      <c r="N228" s="84" t="s">
        <v>41</v>
      </c>
      <c r="O228" s="84">
        <v>4.4740683785413102</v>
      </c>
    </row>
    <row r="229" spans="9:15">
      <c r="I229" s="2" t="s">
        <v>112</v>
      </c>
      <c r="J229" s="337">
        <v>0.1</v>
      </c>
      <c r="K229" s="63">
        <f ca="1">(VLOOKUP($I$2,'Exit Prices'!$A$3:$H$231,4,FALSE)/VLOOKUP($I229,'Exit Prices'!$A$3:$H$231,4,FALSE))*VLOOKUP($I229,'Exit Prices'!$A$3:$H$231,7,FALSE)</f>
        <v>5.180910785710787</v>
      </c>
      <c r="M229" s="84" t="s">
        <v>540</v>
      </c>
      <c r="N229" s="84" t="s">
        <v>31</v>
      </c>
      <c r="O229" s="84">
        <v>4.3305986865968471</v>
      </c>
    </row>
    <row r="230" spans="9:15">
      <c r="I230" s="2" t="s">
        <v>123</v>
      </c>
      <c r="J230" s="337">
        <v>0.1</v>
      </c>
      <c r="K230" s="63">
        <f ca="1">(VLOOKUP($I$2,'Exit Prices'!$A$3:$H$231,4,FALSE)/VLOOKUP($I230,'Exit Prices'!$A$3:$H$231,4,FALSE))*VLOOKUP($I230,'Exit Prices'!$A$3:$H$231,7,FALSE)</f>
        <v>7.2599567650820092</v>
      </c>
      <c r="M230" s="84" t="s">
        <v>176</v>
      </c>
      <c r="N230" s="84"/>
      <c r="O230" s="84"/>
    </row>
  </sheetData>
  <sortState ref="I2:K230">
    <sortCondition ref="J2:J230"/>
    <sortCondition ref="K2:K230"/>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6" tint="0.79998168889431442"/>
  </sheetPr>
  <dimension ref="A1:I39"/>
  <sheetViews>
    <sheetView zoomScale="90" zoomScaleNormal="90" workbookViewId="0">
      <selection activeCell="I9" sqref="I9"/>
    </sheetView>
  </sheetViews>
  <sheetFormatPr defaultColWidth="9.140625" defaultRowHeight="15"/>
  <cols>
    <col min="1" max="1" width="57.7109375" style="186" customWidth="1"/>
    <col min="2" max="8" width="19.28515625" style="186" customWidth="1"/>
    <col min="9" max="9" width="12.7109375" bestFit="1" customWidth="1"/>
  </cols>
  <sheetData>
    <row r="1" spans="1:9" ht="15.75" thickBot="1"/>
    <row r="2" spans="1:9" ht="15.75" thickBot="1">
      <c r="B2" s="459" t="s">
        <v>460</v>
      </c>
      <c r="C2" s="460"/>
      <c r="D2" s="460"/>
      <c r="E2" s="460"/>
      <c r="F2" s="460"/>
      <c r="G2" s="460"/>
      <c r="H2" s="461"/>
    </row>
    <row r="3" spans="1:9" ht="39" thickBot="1">
      <c r="B3" s="236" t="s">
        <v>323</v>
      </c>
      <c r="C3" s="236" t="s">
        <v>440</v>
      </c>
      <c r="D3" s="236" t="s">
        <v>439</v>
      </c>
      <c r="E3" s="236" t="s">
        <v>441</v>
      </c>
      <c r="F3" s="236" t="s">
        <v>442</v>
      </c>
      <c r="G3" s="236" t="s">
        <v>443</v>
      </c>
      <c r="H3" s="236" t="s">
        <v>444</v>
      </c>
    </row>
    <row r="4" spans="1:9">
      <c r="B4" s="334" t="s">
        <v>267</v>
      </c>
      <c r="C4" s="271">
        <v>79.245144073688778</v>
      </c>
      <c r="D4" s="271">
        <v>0</v>
      </c>
      <c r="E4" s="271">
        <v>0</v>
      </c>
      <c r="F4" s="271">
        <v>1.9937607206653148E-4</v>
      </c>
      <c r="G4" s="271">
        <v>6.6026743887853119</v>
      </c>
      <c r="H4" s="272">
        <v>14.151982161453839</v>
      </c>
      <c r="I4" s="295"/>
    </row>
    <row r="5" spans="1:9" ht="26.25">
      <c r="B5" s="237" t="s">
        <v>268</v>
      </c>
      <c r="C5" s="273">
        <v>15.150558995779962</v>
      </c>
      <c r="D5" s="273">
        <v>12.125841190028671</v>
      </c>
      <c r="E5" s="273">
        <v>2.4488270492814652</v>
      </c>
      <c r="F5" s="273">
        <v>0.10568743588219245</v>
      </c>
      <c r="G5" s="273">
        <v>20.384761476933804</v>
      </c>
      <c r="H5" s="274">
        <v>49.784323852093905</v>
      </c>
      <c r="I5" s="295"/>
    </row>
    <row r="6" spans="1:9">
      <c r="B6" s="238" t="s">
        <v>269</v>
      </c>
      <c r="C6" s="273">
        <v>24.618885894415733</v>
      </c>
      <c r="D6" s="273">
        <v>0</v>
      </c>
      <c r="E6" s="273">
        <v>3.1350804087225308</v>
      </c>
      <c r="F6" s="273">
        <v>6.2732418704992499E-4</v>
      </c>
      <c r="G6" s="273">
        <v>42.534776258538677</v>
      </c>
      <c r="H6" s="274">
        <v>29.710630114136009</v>
      </c>
      <c r="I6" s="295"/>
    </row>
    <row r="7" spans="1:9">
      <c r="B7" s="238" t="s">
        <v>270</v>
      </c>
      <c r="C7" s="273">
        <v>89.918916377939397</v>
      </c>
      <c r="D7" s="273">
        <v>0</v>
      </c>
      <c r="E7" s="273">
        <v>0</v>
      </c>
      <c r="F7" s="273">
        <v>0</v>
      </c>
      <c r="G7" s="273">
        <v>7.2087295294368179</v>
      </c>
      <c r="H7" s="274">
        <v>2.8723540926237892</v>
      </c>
      <c r="I7" s="295"/>
    </row>
    <row r="8" spans="1:9" ht="26.25">
      <c r="B8" s="237" t="s">
        <v>271</v>
      </c>
      <c r="C8" s="273">
        <v>70.789141994730031</v>
      </c>
      <c r="D8" s="273">
        <v>0</v>
      </c>
      <c r="E8" s="273">
        <v>0</v>
      </c>
      <c r="F8" s="273">
        <v>0</v>
      </c>
      <c r="G8" s="273">
        <v>2.3208104334326589</v>
      </c>
      <c r="H8" s="274">
        <v>26.890047571837311</v>
      </c>
      <c r="I8" s="295"/>
    </row>
    <row r="9" spans="1:9" ht="27" thickBot="1">
      <c r="B9" s="239" t="s">
        <v>531</v>
      </c>
      <c r="C9" s="275">
        <v>57.998818460963875</v>
      </c>
      <c r="D9" s="275">
        <v>0</v>
      </c>
      <c r="E9" s="275">
        <v>0</v>
      </c>
      <c r="F9" s="275">
        <v>2.2085069279904786E-2</v>
      </c>
      <c r="G9" s="275">
        <v>16.390908144116025</v>
      </c>
      <c r="H9" s="275">
        <v>25.588188325640193</v>
      </c>
      <c r="I9" s="295"/>
    </row>
    <row r="10" spans="1:9" ht="15.75" thickBot="1"/>
    <row r="11" spans="1:9" ht="39" thickBot="1">
      <c r="A11" s="181" t="s">
        <v>25</v>
      </c>
      <c r="B11" s="181" t="s">
        <v>323</v>
      </c>
      <c r="C11" s="181" t="s">
        <v>440</v>
      </c>
      <c r="D11" s="181" t="s">
        <v>439</v>
      </c>
      <c r="E11" s="181" t="s">
        <v>441</v>
      </c>
      <c r="F11" s="181" t="s">
        <v>442</v>
      </c>
      <c r="G11" s="181" t="s">
        <v>443</v>
      </c>
      <c r="H11" s="181" t="s">
        <v>444</v>
      </c>
    </row>
    <row r="12" spans="1:9">
      <c r="A12" s="182" t="s">
        <v>1</v>
      </c>
      <c r="B12" s="183" t="s">
        <v>267</v>
      </c>
      <c r="C12" s="184">
        <f>VLOOKUP($B12, $B$4:$H$9, 2, 0)</f>
        <v>79.245144073688778</v>
      </c>
      <c r="D12" s="184">
        <f>VLOOKUP($B12, $B$4:$H$9, 3, 0)</f>
        <v>0</v>
      </c>
      <c r="E12" s="184">
        <f>VLOOKUP($B12, $B$4:$H$9, 4, 0)</f>
        <v>0</v>
      </c>
      <c r="F12" s="184">
        <f>VLOOKUP($B12, $B$4:$H$9, 5, 0)</f>
        <v>1.9937607206653148E-4</v>
      </c>
      <c r="G12" s="184">
        <f>VLOOKUP($B12, $B$4:$H$9, 6, 0)</f>
        <v>6.6026743887853119</v>
      </c>
      <c r="H12" s="184">
        <f>VLOOKUP($B12, $B$4:$H$9, 7, 0)</f>
        <v>14.151982161453839</v>
      </c>
      <c r="I12" s="164"/>
    </row>
    <row r="13" spans="1:9" ht="25.5">
      <c r="A13" s="182" t="s">
        <v>2</v>
      </c>
      <c r="B13" s="183" t="s">
        <v>268</v>
      </c>
      <c r="C13" s="184">
        <f t="shared" ref="C13:C38" si="0">VLOOKUP($B13, $B$4:$H$9, 2, 0)</f>
        <v>15.150558995779962</v>
      </c>
      <c r="D13" s="184">
        <f t="shared" ref="D13:D38" si="1">VLOOKUP($B13, $B$4:$H$9, 3, 0)</f>
        <v>12.125841190028671</v>
      </c>
      <c r="E13" s="184">
        <f t="shared" ref="E13:E38" si="2">VLOOKUP($B13, $B$4:$H$9, 4, 0)</f>
        <v>2.4488270492814652</v>
      </c>
      <c r="F13" s="184">
        <f t="shared" ref="F13:F38" si="3">VLOOKUP($B13, $B$4:$H$9, 5, 0)</f>
        <v>0.10568743588219245</v>
      </c>
      <c r="G13" s="184">
        <f t="shared" ref="G13:G38" si="4">VLOOKUP($B13, $B$4:$H$9, 6, 0)</f>
        <v>20.384761476933804</v>
      </c>
      <c r="H13" s="184">
        <f t="shared" ref="H13:H38" si="5">VLOOKUP($B13, $B$4:$H$9, 7, 0)</f>
        <v>49.784323852093905</v>
      </c>
      <c r="I13" s="164"/>
    </row>
    <row r="14" spans="1:9">
      <c r="A14" s="182" t="s">
        <v>3</v>
      </c>
      <c r="B14" s="183" t="s">
        <v>269</v>
      </c>
      <c r="C14" s="184">
        <f t="shared" si="0"/>
        <v>24.618885894415733</v>
      </c>
      <c r="D14" s="184">
        <f t="shared" si="1"/>
        <v>0</v>
      </c>
      <c r="E14" s="184">
        <f t="shared" si="2"/>
        <v>3.1350804087225308</v>
      </c>
      <c r="F14" s="184">
        <f t="shared" si="3"/>
        <v>6.2732418704992499E-4</v>
      </c>
      <c r="G14" s="184">
        <f t="shared" si="4"/>
        <v>42.534776258538677</v>
      </c>
      <c r="H14" s="184">
        <f t="shared" si="5"/>
        <v>29.710630114136009</v>
      </c>
      <c r="I14" s="164"/>
    </row>
    <row r="15" spans="1:9">
      <c r="A15" s="182" t="s">
        <v>4</v>
      </c>
      <c r="B15" s="183" t="s">
        <v>270</v>
      </c>
      <c r="C15" s="184">
        <f t="shared" si="0"/>
        <v>89.918916377939397</v>
      </c>
      <c r="D15" s="184">
        <f t="shared" si="1"/>
        <v>0</v>
      </c>
      <c r="E15" s="184">
        <f t="shared" si="2"/>
        <v>0</v>
      </c>
      <c r="F15" s="184">
        <f t="shared" si="3"/>
        <v>0</v>
      </c>
      <c r="G15" s="184">
        <f t="shared" si="4"/>
        <v>7.2087295294368179</v>
      </c>
      <c r="H15" s="184">
        <f t="shared" si="5"/>
        <v>2.8723540926237892</v>
      </c>
      <c r="I15" s="164"/>
    </row>
    <row r="16" spans="1:9">
      <c r="A16" s="182" t="s">
        <v>5</v>
      </c>
      <c r="B16" s="183" t="s">
        <v>269</v>
      </c>
      <c r="C16" s="184">
        <f t="shared" si="0"/>
        <v>24.618885894415733</v>
      </c>
      <c r="D16" s="184">
        <f t="shared" si="1"/>
        <v>0</v>
      </c>
      <c r="E16" s="184">
        <f t="shared" si="2"/>
        <v>3.1350804087225308</v>
      </c>
      <c r="F16" s="184">
        <f t="shared" si="3"/>
        <v>6.2732418704992499E-4</v>
      </c>
      <c r="G16" s="184">
        <f t="shared" si="4"/>
        <v>42.534776258538677</v>
      </c>
      <c r="H16" s="184">
        <f t="shared" si="5"/>
        <v>29.710630114136009</v>
      </c>
      <c r="I16" s="164"/>
    </row>
    <row r="17" spans="1:9">
      <c r="A17" s="182" t="s">
        <v>6</v>
      </c>
      <c r="B17" s="183" t="s">
        <v>267</v>
      </c>
      <c r="C17" s="184">
        <f t="shared" si="0"/>
        <v>79.245144073688778</v>
      </c>
      <c r="D17" s="184">
        <f t="shared" si="1"/>
        <v>0</v>
      </c>
      <c r="E17" s="184">
        <f t="shared" si="2"/>
        <v>0</v>
      </c>
      <c r="F17" s="184">
        <f t="shared" si="3"/>
        <v>1.9937607206653148E-4</v>
      </c>
      <c r="G17" s="184">
        <f t="shared" si="4"/>
        <v>6.6026743887853119</v>
      </c>
      <c r="H17" s="184">
        <f t="shared" si="5"/>
        <v>14.151982161453839</v>
      </c>
      <c r="I17" s="164"/>
    </row>
    <row r="18" spans="1:9">
      <c r="A18" s="182" t="s">
        <v>7</v>
      </c>
      <c r="B18" s="183" t="s">
        <v>270</v>
      </c>
      <c r="C18" s="184">
        <f t="shared" si="0"/>
        <v>89.918916377939397</v>
      </c>
      <c r="D18" s="184">
        <f t="shared" si="1"/>
        <v>0</v>
      </c>
      <c r="E18" s="184">
        <f t="shared" si="2"/>
        <v>0</v>
      </c>
      <c r="F18" s="184">
        <f t="shared" si="3"/>
        <v>0</v>
      </c>
      <c r="G18" s="184">
        <f t="shared" si="4"/>
        <v>7.2087295294368179</v>
      </c>
      <c r="H18" s="184">
        <f t="shared" si="5"/>
        <v>2.8723540926237892</v>
      </c>
      <c r="I18" s="164"/>
    </row>
    <row r="19" spans="1:9">
      <c r="A19" s="182" t="s">
        <v>8</v>
      </c>
      <c r="B19" s="183" t="s">
        <v>267</v>
      </c>
      <c r="C19" s="184">
        <f t="shared" si="0"/>
        <v>79.245144073688778</v>
      </c>
      <c r="D19" s="184">
        <f t="shared" si="1"/>
        <v>0</v>
      </c>
      <c r="E19" s="184">
        <f t="shared" si="2"/>
        <v>0</v>
      </c>
      <c r="F19" s="184">
        <f t="shared" si="3"/>
        <v>1.9937607206653148E-4</v>
      </c>
      <c r="G19" s="184">
        <f t="shared" si="4"/>
        <v>6.6026743887853119</v>
      </c>
      <c r="H19" s="184">
        <f t="shared" si="5"/>
        <v>14.151982161453839</v>
      </c>
      <c r="I19" s="164"/>
    </row>
    <row r="20" spans="1:9">
      <c r="A20" s="182" t="s">
        <v>9</v>
      </c>
      <c r="B20" s="183" t="s">
        <v>267</v>
      </c>
      <c r="C20" s="184">
        <f t="shared" si="0"/>
        <v>79.245144073688778</v>
      </c>
      <c r="D20" s="184">
        <f t="shared" si="1"/>
        <v>0</v>
      </c>
      <c r="E20" s="184">
        <f t="shared" si="2"/>
        <v>0</v>
      </c>
      <c r="F20" s="184">
        <f t="shared" si="3"/>
        <v>1.9937607206653148E-4</v>
      </c>
      <c r="G20" s="184">
        <f t="shared" si="4"/>
        <v>6.6026743887853119</v>
      </c>
      <c r="H20" s="184">
        <f t="shared" si="5"/>
        <v>14.151982161453839</v>
      </c>
      <c r="I20" s="164"/>
    </row>
    <row r="21" spans="1:9">
      <c r="A21" s="182" t="s">
        <v>10</v>
      </c>
      <c r="B21" s="183" t="s">
        <v>267</v>
      </c>
      <c r="C21" s="184">
        <f t="shared" si="0"/>
        <v>79.245144073688778</v>
      </c>
      <c r="D21" s="184">
        <f t="shared" si="1"/>
        <v>0</v>
      </c>
      <c r="E21" s="184">
        <f t="shared" si="2"/>
        <v>0</v>
      </c>
      <c r="F21" s="184">
        <f t="shared" si="3"/>
        <v>1.9937607206653148E-4</v>
      </c>
      <c r="G21" s="184">
        <f t="shared" si="4"/>
        <v>6.6026743887853119</v>
      </c>
      <c r="H21" s="184">
        <f t="shared" si="5"/>
        <v>14.151982161453839</v>
      </c>
      <c r="I21" s="164"/>
    </row>
    <row r="22" spans="1:9">
      <c r="A22" s="182" t="s">
        <v>477</v>
      </c>
      <c r="B22" s="183" t="s">
        <v>269</v>
      </c>
      <c r="C22" s="184">
        <f t="shared" si="0"/>
        <v>24.618885894415733</v>
      </c>
      <c r="D22" s="184">
        <f t="shared" si="1"/>
        <v>0</v>
      </c>
      <c r="E22" s="184">
        <f t="shared" si="2"/>
        <v>3.1350804087225308</v>
      </c>
      <c r="F22" s="184">
        <f t="shared" si="3"/>
        <v>6.2732418704992499E-4</v>
      </c>
      <c r="G22" s="184">
        <f t="shared" si="4"/>
        <v>42.534776258538677</v>
      </c>
      <c r="H22" s="184">
        <f t="shared" si="5"/>
        <v>29.710630114136009</v>
      </c>
      <c r="I22" s="164"/>
    </row>
    <row r="23" spans="1:9">
      <c r="A23" s="182" t="s">
        <v>11</v>
      </c>
      <c r="B23" s="183" t="s">
        <v>267</v>
      </c>
      <c r="C23" s="184">
        <f t="shared" si="0"/>
        <v>79.245144073688778</v>
      </c>
      <c r="D23" s="184">
        <f t="shared" si="1"/>
        <v>0</v>
      </c>
      <c r="E23" s="184">
        <f t="shared" si="2"/>
        <v>0</v>
      </c>
      <c r="F23" s="184">
        <f t="shared" si="3"/>
        <v>1.9937607206653148E-4</v>
      </c>
      <c r="G23" s="184">
        <f t="shared" si="4"/>
        <v>6.6026743887853119</v>
      </c>
      <c r="H23" s="184">
        <f t="shared" si="5"/>
        <v>14.151982161453839</v>
      </c>
      <c r="I23" s="164"/>
    </row>
    <row r="24" spans="1:9">
      <c r="A24" s="182" t="s">
        <v>12</v>
      </c>
      <c r="B24" s="183" t="s">
        <v>267</v>
      </c>
      <c r="C24" s="184">
        <f t="shared" si="0"/>
        <v>79.245144073688778</v>
      </c>
      <c r="D24" s="184">
        <f t="shared" si="1"/>
        <v>0</v>
      </c>
      <c r="E24" s="184">
        <f t="shared" si="2"/>
        <v>0</v>
      </c>
      <c r="F24" s="184">
        <f t="shared" si="3"/>
        <v>1.9937607206653148E-4</v>
      </c>
      <c r="G24" s="184">
        <f t="shared" si="4"/>
        <v>6.6026743887853119</v>
      </c>
      <c r="H24" s="184">
        <f t="shared" si="5"/>
        <v>14.151982161453839</v>
      </c>
      <c r="I24" s="164"/>
    </row>
    <row r="25" spans="1:9">
      <c r="A25" s="182" t="s">
        <v>13</v>
      </c>
      <c r="B25" s="183" t="s">
        <v>267</v>
      </c>
      <c r="C25" s="184">
        <f t="shared" si="0"/>
        <v>79.245144073688778</v>
      </c>
      <c r="D25" s="184">
        <f t="shared" si="1"/>
        <v>0</v>
      </c>
      <c r="E25" s="184">
        <f t="shared" si="2"/>
        <v>0</v>
      </c>
      <c r="F25" s="184">
        <f t="shared" si="3"/>
        <v>1.9937607206653148E-4</v>
      </c>
      <c r="G25" s="184">
        <f t="shared" si="4"/>
        <v>6.6026743887853119</v>
      </c>
      <c r="H25" s="184">
        <f t="shared" si="5"/>
        <v>14.151982161453839</v>
      </c>
      <c r="I25" s="164"/>
    </row>
    <row r="26" spans="1:9">
      <c r="A26" s="182" t="s">
        <v>14</v>
      </c>
      <c r="B26" s="183" t="s">
        <v>267</v>
      </c>
      <c r="C26" s="184">
        <f t="shared" si="0"/>
        <v>79.245144073688778</v>
      </c>
      <c r="D26" s="184">
        <f t="shared" si="1"/>
        <v>0</v>
      </c>
      <c r="E26" s="184">
        <f t="shared" si="2"/>
        <v>0</v>
      </c>
      <c r="F26" s="184">
        <f t="shared" si="3"/>
        <v>1.9937607206653148E-4</v>
      </c>
      <c r="G26" s="184">
        <f t="shared" si="4"/>
        <v>6.6026743887853119</v>
      </c>
      <c r="H26" s="184">
        <f t="shared" si="5"/>
        <v>14.151982161453839</v>
      </c>
      <c r="I26" s="164"/>
    </row>
    <row r="27" spans="1:9">
      <c r="A27" s="182" t="s">
        <v>15</v>
      </c>
      <c r="B27" s="183" t="s">
        <v>270</v>
      </c>
      <c r="C27" s="184">
        <f t="shared" si="0"/>
        <v>89.918916377939397</v>
      </c>
      <c r="D27" s="184">
        <f t="shared" si="1"/>
        <v>0</v>
      </c>
      <c r="E27" s="184">
        <f t="shared" si="2"/>
        <v>0</v>
      </c>
      <c r="F27" s="184">
        <f t="shared" si="3"/>
        <v>0</v>
      </c>
      <c r="G27" s="184">
        <f t="shared" si="4"/>
        <v>7.2087295294368179</v>
      </c>
      <c r="H27" s="184">
        <f t="shared" si="5"/>
        <v>2.8723540926237892</v>
      </c>
      <c r="I27" s="164"/>
    </row>
    <row r="28" spans="1:9">
      <c r="A28" s="182" t="s">
        <v>16</v>
      </c>
      <c r="B28" s="183" t="s">
        <v>267</v>
      </c>
      <c r="C28" s="184">
        <f t="shared" si="0"/>
        <v>79.245144073688778</v>
      </c>
      <c r="D28" s="184">
        <f t="shared" si="1"/>
        <v>0</v>
      </c>
      <c r="E28" s="184">
        <f t="shared" si="2"/>
        <v>0</v>
      </c>
      <c r="F28" s="184">
        <f t="shared" si="3"/>
        <v>1.9937607206653148E-4</v>
      </c>
      <c r="G28" s="184">
        <f t="shared" si="4"/>
        <v>6.6026743887853119</v>
      </c>
      <c r="H28" s="184">
        <f t="shared" si="5"/>
        <v>14.151982161453839</v>
      </c>
      <c r="I28" s="164"/>
    </row>
    <row r="29" spans="1:9">
      <c r="A29" s="182" t="s">
        <v>17</v>
      </c>
      <c r="B29" s="183" t="s">
        <v>267</v>
      </c>
      <c r="C29" s="184">
        <f t="shared" si="0"/>
        <v>79.245144073688778</v>
      </c>
      <c r="D29" s="184">
        <f t="shared" si="1"/>
        <v>0</v>
      </c>
      <c r="E29" s="184">
        <f t="shared" si="2"/>
        <v>0</v>
      </c>
      <c r="F29" s="184">
        <f t="shared" si="3"/>
        <v>1.9937607206653148E-4</v>
      </c>
      <c r="G29" s="184">
        <f t="shared" si="4"/>
        <v>6.6026743887853119</v>
      </c>
      <c r="H29" s="184">
        <f t="shared" si="5"/>
        <v>14.151982161453839</v>
      </c>
      <c r="I29" s="164"/>
    </row>
    <row r="30" spans="1:9" ht="25.5">
      <c r="A30" s="182" t="s">
        <v>18</v>
      </c>
      <c r="B30" s="183" t="s">
        <v>271</v>
      </c>
      <c r="C30" s="184">
        <f t="shared" si="0"/>
        <v>70.789141994730031</v>
      </c>
      <c r="D30" s="184">
        <f t="shared" si="1"/>
        <v>0</v>
      </c>
      <c r="E30" s="184">
        <f t="shared" si="2"/>
        <v>0</v>
      </c>
      <c r="F30" s="184">
        <f t="shared" si="3"/>
        <v>0</v>
      </c>
      <c r="G30" s="184">
        <f t="shared" si="4"/>
        <v>2.3208104334326589</v>
      </c>
      <c r="H30" s="184">
        <f t="shared" si="5"/>
        <v>26.890047571837311</v>
      </c>
      <c r="I30" s="164"/>
    </row>
    <row r="31" spans="1:9" ht="25.5">
      <c r="A31" s="182" t="s">
        <v>19</v>
      </c>
      <c r="B31" s="183" t="s">
        <v>271</v>
      </c>
      <c r="C31" s="184">
        <f t="shared" si="0"/>
        <v>70.789141994730031</v>
      </c>
      <c r="D31" s="184">
        <f t="shared" si="1"/>
        <v>0</v>
      </c>
      <c r="E31" s="184">
        <f t="shared" si="2"/>
        <v>0</v>
      </c>
      <c r="F31" s="184">
        <f t="shared" si="3"/>
        <v>0</v>
      </c>
      <c r="G31" s="184">
        <f t="shared" si="4"/>
        <v>2.3208104334326589</v>
      </c>
      <c r="H31" s="184">
        <f t="shared" si="5"/>
        <v>26.890047571837311</v>
      </c>
      <c r="I31" s="164"/>
    </row>
    <row r="32" spans="1:9">
      <c r="A32" s="182" t="s">
        <v>20</v>
      </c>
      <c r="B32" s="183" t="s">
        <v>267</v>
      </c>
      <c r="C32" s="184">
        <f t="shared" si="0"/>
        <v>79.245144073688778</v>
      </c>
      <c r="D32" s="184">
        <f t="shared" si="1"/>
        <v>0</v>
      </c>
      <c r="E32" s="184">
        <f t="shared" si="2"/>
        <v>0</v>
      </c>
      <c r="F32" s="184">
        <f t="shared" si="3"/>
        <v>1.9937607206653148E-4</v>
      </c>
      <c r="G32" s="184">
        <f t="shared" si="4"/>
        <v>6.6026743887853119</v>
      </c>
      <c r="H32" s="184">
        <f t="shared" si="5"/>
        <v>14.151982161453839</v>
      </c>
      <c r="I32" s="164"/>
    </row>
    <row r="33" spans="1:9" ht="25.5">
      <c r="A33" s="182" t="s">
        <v>155</v>
      </c>
      <c r="B33" s="183" t="s">
        <v>268</v>
      </c>
      <c r="C33" s="184">
        <f t="shared" si="0"/>
        <v>15.150558995779962</v>
      </c>
      <c r="D33" s="184">
        <f t="shared" si="1"/>
        <v>12.125841190028671</v>
      </c>
      <c r="E33" s="184">
        <f t="shared" si="2"/>
        <v>2.4488270492814652</v>
      </c>
      <c r="F33" s="184">
        <f t="shared" si="3"/>
        <v>0.10568743588219245</v>
      </c>
      <c r="G33" s="184">
        <f t="shared" si="4"/>
        <v>20.384761476933804</v>
      </c>
      <c r="H33" s="184">
        <f t="shared" si="5"/>
        <v>49.784323852093905</v>
      </c>
      <c r="I33" s="164"/>
    </row>
    <row r="34" spans="1:9" ht="25.5">
      <c r="A34" s="182" t="s">
        <v>533</v>
      </c>
      <c r="B34" s="183" t="s">
        <v>531</v>
      </c>
      <c r="C34" s="184">
        <f t="shared" si="0"/>
        <v>57.998818460963875</v>
      </c>
      <c r="D34" s="184">
        <f t="shared" si="1"/>
        <v>0</v>
      </c>
      <c r="E34" s="184">
        <f t="shared" si="2"/>
        <v>0</v>
      </c>
      <c r="F34" s="184">
        <f t="shared" si="3"/>
        <v>2.2085069279904786E-2</v>
      </c>
      <c r="G34" s="184">
        <f t="shared" si="4"/>
        <v>16.390908144116025</v>
      </c>
      <c r="H34" s="184">
        <f t="shared" si="5"/>
        <v>25.588188325640193</v>
      </c>
      <c r="I34" s="164"/>
    </row>
    <row r="35" spans="1:9">
      <c r="A35" s="182" t="s">
        <v>21</v>
      </c>
      <c r="B35" s="183" t="s">
        <v>269</v>
      </c>
      <c r="C35" s="184">
        <f t="shared" si="0"/>
        <v>24.618885894415733</v>
      </c>
      <c r="D35" s="184">
        <f t="shared" si="1"/>
        <v>0</v>
      </c>
      <c r="E35" s="184">
        <f t="shared" si="2"/>
        <v>3.1350804087225308</v>
      </c>
      <c r="F35" s="184">
        <f t="shared" si="3"/>
        <v>6.2732418704992499E-4</v>
      </c>
      <c r="G35" s="184">
        <f t="shared" si="4"/>
        <v>42.534776258538677</v>
      </c>
      <c r="H35" s="184">
        <f t="shared" si="5"/>
        <v>29.710630114136009</v>
      </c>
      <c r="I35" s="164"/>
    </row>
    <row r="36" spans="1:9">
      <c r="A36" s="182" t="s">
        <v>22</v>
      </c>
      <c r="B36" s="183" t="s">
        <v>269</v>
      </c>
      <c r="C36" s="184">
        <f t="shared" si="0"/>
        <v>24.618885894415733</v>
      </c>
      <c r="D36" s="184">
        <f t="shared" si="1"/>
        <v>0</v>
      </c>
      <c r="E36" s="184">
        <f t="shared" si="2"/>
        <v>3.1350804087225308</v>
      </c>
      <c r="F36" s="184">
        <f t="shared" si="3"/>
        <v>6.2732418704992499E-4</v>
      </c>
      <c r="G36" s="184">
        <f t="shared" si="4"/>
        <v>42.534776258538677</v>
      </c>
      <c r="H36" s="184">
        <f t="shared" si="5"/>
        <v>29.710630114136009</v>
      </c>
      <c r="I36" s="164"/>
    </row>
    <row r="37" spans="1:9">
      <c r="A37" s="182" t="s">
        <v>23</v>
      </c>
      <c r="B37" s="183" t="s">
        <v>269</v>
      </c>
      <c r="C37" s="184">
        <f t="shared" si="0"/>
        <v>24.618885894415733</v>
      </c>
      <c r="D37" s="184">
        <f t="shared" si="1"/>
        <v>0</v>
      </c>
      <c r="E37" s="184">
        <f t="shared" si="2"/>
        <v>3.1350804087225308</v>
      </c>
      <c r="F37" s="184">
        <f t="shared" si="3"/>
        <v>6.2732418704992499E-4</v>
      </c>
      <c r="G37" s="184">
        <f t="shared" si="4"/>
        <v>42.534776258538677</v>
      </c>
      <c r="H37" s="184">
        <f t="shared" si="5"/>
        <v>29.710630114136009</v>
      </c>
      <c r="I37" s="164"/>
    </row>
    <row r="38" spans="1:9" ht="15.75" thickBot="1">
      <c r="A38" s="182" t="s">
        <v>24</v>
      </c>
      <c r="B38" s="185" t="s">
        <v>270</v>
      </c>
      <c r="C38" s="184">
        <f t="shared" si="0"/>
        <v>89.918916377939397</v>
      </c>
      <c r="D38" s="184">
        <f t="shared" si="1"/>
        <v>0</v>
      </c>
      <c r="E38" s="184">
        <f t="shared" si="2"/>
        <v>0</v>
      </c>
      <c r="F38" s="184">
        <f t="shared" si="3"/>
        <v>0</v>
      </c>
      <c r="G38" s="184">
        <f t="shared" si="4"/>
        <v>7.2087295294368179</v>
      </c>
      <c r="H38" s="184">
        <f t="shared" si="5"/>
        <v>2.8723540926237892</v>
      </c>
      <c r="I38" s="164"/>
    </row>
    <row r="39" spans="1:9">
      <c r="C39" s="192"/>
      <c r="D39" s="192"/>
      <c r="E39" s="192"/>
      <c r="F39" s="192"/>
      <c r="G39" s="192"/>
      <c r="H39" s="192"/>
    </row>
  </sheetData>
  <mergeCells count="1">
    <mergeCell ref="B2:H2"/>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0]!UserInputSelect">
                <anchor moveWithCells="1" sizeWithCells="1">
                  <from>
                    <xdr:col>0</xdr:col>
                    <xdr:colOff>885825</xdr:colOff>
                    <xdr:row>2</xdr:row>
                    <xdr:rowOff>352425</xdr:rowOff>
                  </from>
                  <to>
                    <xdr:col>0</xdr:col>
                    <xdr:colOff>2867025</xdr:colOff>
                    <xdr:row>5</xdr:row>
                    <xdr:rowOff>104775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6" tint="0.79998168889431442"/>
  </sheetPr>
  <dimension ref="A1:I240"/>
  <sheetViews>
    <sheetView zoomScale="90" zoomScaleNormal="90" workbookViewId="0">
      <selection activeCell="I11" sqref="I11"/>
    </sheetView>
  </sheetViews>
  <sheetFormatPr defaultColWidth="9.140625" defaultRowHeight="15"/>
  <cols>
    <col min="1" max="1" width="41.28515625" style="186" customWidth="1"/>
    <col min="2" max="8" width="19.28515625" style="186" customWidth="1"/>
    <col min="9" max="9" width="18.5703125" customWidth="1"/>
  </cols>
  <sheetData>
    <row r="1" spans="1:9" ht="15.75" thickBot="1"/>
    <row r="2" spans="1:9" ht="15.75" thickBot="1">
      <c r="B2" s="462" t="s">
        <v>460</v>
      </c>
      <c r="C2" s="463"/>
      <c r="D2" s="463"/>
      <c r="E2" s="463"/>
      <c r="F2" s="463"/>
      <c r="G2" s="463"/>
      <c r="H2" s="464"/>
    </row>
    <row r="3" spans="1:9" ht="39" thickBot="1">
      <c r="B3" s="132" t="s">
        <v>329</v>
      </c>
      <c r="C3" s="132" t="s">
        <v>445</v>
      </c>
      <c r="D3" s="132" t="s">
        <v>439</v>
      </c>
      <c r="E3" s="132" t="s">
        <v>447</v>
      </c>
      <c r="F3" s="132" t="s">
        <v>446</v>
      </c>
      <c r="G3" s="132" t="s">
        <v>448</v>
      </c>
      <c r="H3" s="132" t="s">
        <v>449</v>
      </c>
    </row>
    <row r="4" spans="1:9">
      <c r="B4" s="233" t="s">
        <v>436</v>
      </c>
      <c r="C4" s="293">
        <v>97.404259388107505</v>
      </c>
      <c r="D4" s="293">
        <v>0</v>
      </c>
      <c r="E4" s="293">
        <v>0</v>
      </c>
      <c r="F4" s="293">
        <v>0</v>
      </c>
      <c r="G4" s="293">
        <v>9.2086920296010205E-2</v>
      </c>
      <c r="H4" s="293">
        <v>2.5036536915964902</v>
      </c>
      <c r="I4" s="6"/>
    </row>
    <row r="5" spans="1:9">
      <c r="B5" s="234" t="s">
        <v>461</v>
      </c>
      <c r="C5" s="293">
        <v>75.570686103107803</v>
      </c>
      <c r="D5" s="293">
        <v>0</v>
      </c>
      <c r="E5" s="293">
        <v>0</v>
      </c>
      <c r="F5" s="293">
        <v>2.6249619891495798E-3</v>
      </c>
      <c r="G5" s="293">
        <v>9.4296711456373195E-2</v>
      </c>
      <c r="H5" s="293">
        <v>24.3323922234467</v>
      </c>
      <c r="I5" s="6"/>
    </row>
    <row r="6" spans="1:9">
      <c r="B6" s="234" t="s">
        <v>462</v>
      </c>
      <c r="C6" s="293">
        <v>37.085908986040998</v>
      </c>
      <c r="D6" s="293">
        <v>6.7491198365580702</v>
      </c>
      <c r="E6" s="293">
        <v>2.0897597466715001</v>
      </c>
      <c r="F6" s="293">
        <v>0.99738892782938704</v>
      </c>
      <c r="G6" s="293">
        <v>2.0398135122935299</v>
      </c>
      <c r="H6" s="293">
        <v>51.0380089906065</v>
      </c>
      <c r="I6" s="6"/>
    </row>
    <row r="7" spans="1:9">
      <c r="B7" s="234" t="s">
        <v>463</v>
      </c>
      <c r="C7" s="293">
        <v>49.279810729716402</v>
      </c>
      <c r="D7" s="293">
        <v>0</v>
      </c>
      <c r="E7" s="293">
        <v>0</v>
      </c>
      <c r="F7" s="293">
        <v>0.26115429329200202</v>
      </c>
      <c r="G7" s="293">
        <v>6.64895970993859E-2</v>
      </c>
      <c r="H7" s="293">
        <v>50.392545379892198</v>
      </c>
      <c r="I7" s="6"/>
    </row>
    <row r="8" spans="1:9" ht="15.75" thickBot="1">
      <c r="B8" s="235" t="s">
        <v>464</v>
      </c>
      <c r="C8" s="293">
        <v>27.665395475068301</v>
      </c>
      <c r="D8" s="293">
        <v>0</v>
      </c>
      <c r="E8" s="293">
        <v>0</v>
      </c>
      <c r="F8" s="293">
        <v>0</v>
      </c>
      <c r="G8" s="293">
        <v>0.15481302448832299</v>
      </c>
      <c r="H8" s="293">
        <v>72.1797915004434</v>
      </c>
      <c r="I8" s="6"/>
    </row>
    <row r="10" spans="1:9" ht="15.75" thickBot="1"/>
    <row r="11" spans="1:9" ht="39" thickBot="1">
      <c r="A11" s="187" t="s">
        <v>242</v>
      </c>
      <c r="B11" s="188" t="s">
        <v>329</v>
      </c>
      <c r="C11" s="214" t="s">
        <v>445</v>
      </c>
      <c r="D11" s="132" t="s">
        <v>439</v>
      </c>
      <c r="E11" s="132" t="s">
        <v>447</v>
      </c>
      <c r="F11" s="132" t="s">
        <v>446</v>
      </c>
      <c r="G11" s="132" t="s">
        <v>448</v>
      </c>
      <c r="H11" s="132" t="s">
        <v>449</v>
      </c>
    </row>
    <row r="12" spans="1:9">
      <c r="A12" s="189" t="s">
        <v>26</v>
      </c>
      <c r="B12" s="190" t="str">
        <f>VLOOKUP(A12, 'Exit Prices'!$A$3:$B$231, 2,0)</f>
        <v>DNO</v>
      </c>
      <c r="C12" s="191">
        <f>VLOOKUP($B12, $B$4:$H$8, 2, 0)</f>
        <v>97.404259388107505</v>
      </c>
      <c r="D12" s="191">
        <f>VLOOKUP($B12, $B$4:$H$8, 3, 0)</f>
        <v>0</v>
      </c>
      <c r="E12" s="191">
        <f>VLOOKUP($B12, $B$4:$H$8, 4, 0)</f>
        <v>0</v>
      </c>
      <c r="F12" s="191">
        <f>VLOOKUP($B12, $B$4:$H$8, 5, 0)</f>
        <v>0</v>
      </c>
      <c r="G12" s="191">
        <f>VLOOKUP($B12, $B$4:$H$8, 6, 0)</f>
        <v>9.2086920296010205E-2</v>
      </c>
      <c r="H12" s="191">
        <f>VLOOKUP($B12, $B$4:$H$8, 7, 0)</f>
        <v>2.5036536915964902</v>
      </c>
    </row>
    <row r="13" spans="1:9">
      <c r="A13" s="189" t="s">
        <v>27</v>
      </c>
      <c r="B13" s="190" t="str">
        <f>VLOOKUP(A13, 'Exit Prices'!$A$3:$B$231, 2,0)</f>
        <v>POWER STATION</v>
      </c>
      <c r="C13" s="191">
        <f t="shared" ref="C13:C76" si="0">VLOOKUP($B13, $B$4:$H$8, 2, 0)</f>
        <v>49.279810729716402</v>
      </c>
      <c r="D13" s="191">
        <f t="shared" ref="D13:D76" si="1">VLOOKUP($B13, $B$4:$H$8, 3, 0)</f>
        <v>0</v>
      </c>
      <c r="E13" s="191">
        <f t="shared" ref="E13:E76" si="2">VLOOKUP($B13, $B$4:$H$8, 4, 0)</f>
        <v>0</v>
      </c>
      <c r="F13" s="191">
        <f t="shared" ref="F13:F76" si="3">VLOOKUP($B13, $B$4:$H$8, 5, 0)</f>
        <v>0.26115429329200202</v>
      </c>
      <c r="G13" s="191">
        <f t="shared" ref="G13:G76" si="4">VLOOKUP($B13, $B$4:$H$8, 6, 0)</f>
        <v>6.64895970993859E-2</v>
      </c>
      <c r="H13" s="191">
        <f t="shared" ref="H13:H76" si="5">VLOOKUP($B13, $B$4:$H$8, 7, 0)</f>
        <v>50.392545379892198</v>
      </c>
    </row>
    <row r="14" spans="1:9">
      <c r="A14" s="189" t="s">
        <v>28</v>
      </c>
      <c r="B14" s="190" t="str">
        <f>VLOOKUP(A14, 'Exit Prices'!$A$3:$B$231, 2,0)</f>
        <v>DNO</v>
      </c>
      <c r="C14" s="191">
        <f t="shared" si="0"/>
        <v>97.404259388107505</v>
      </c>
      <c r="D14" s="191">
        <f t="shared" si="1"/>
        <v>0</v>
      </c>
      <c r="E14" s="191">
        <f t="shared" si="2"/>
        <v>0</v>
      </c>
      <c r="F14" s="191">
        <f t="shared" si="3"/>
        <v>0</v>
      </c>
      <c r="G14" s="191">
        <f t="shared" si="4"/>
        <v>9.2086920296010205E-2</v>
      </c>
      <c r="H14" s="191">
        <f t="shared" si="5"/>
        <v>2.5036536915964902</v>
      </c>
    </row>
    <row r="15" spans="1:9">
      <c r="A15" s="189" t="s">
        <v>29</v>
      </c>
      <c r="B15" s="190" t="str">
        <f>VLOOKUP(A15, 'Exit Prices'!$A$3:$B$231, 2,0)</f>
        <v>DNO</v>
      </c>
      <c r="C15" s="191">
        <f t="shared" si="0"/>
        <v>97.404259388107505</v>
      </c>
      <c r="D15" s="191">
        <f t="shared" si="1"/>
        <v>0</v>
      </c>
      <c r="E15" s="191">
        <f t="shared" si="2"/>
        <v>0</v>
      </c>
      <c r="F15" s="191">
        <f t="shared" si="3"/>
        <v>0</v>
      </c>
      <c r="G15" s="191">
        <f t="shared" si="4"/>
        <v>9.2086920296010205E-2</v>
      </c>
      <c r="H15" s="191">
        <f t="shared" si="5"/>
        <v>2.5036536915964902</v>
      </c>
    </row>
    <row r="16" spans="1:9">
      <c r="A16" s="189" t="s">
        <v>240</v>
      </c>
      <c r="B16" s="190" t="str">
        <f>VLOOKUP(A16, 'Exit Prices'!$A$3:$B$231, 2,0)</f>
        <v>INDUSTRIAL</v>
      </c>
      <c r="C16" s="191">
        <f t="shared" si="0"/>
        <v>75.570686103107803</v>
      </c>
      <c r="D16" s="191">
        <f t="shared" si="1"/>
        <v>0</v>
      </c>
      <c r="E16" s="191">
        <f t="shared" si="2"/>
        <v>0</v>
      </c>
      <c r="F16" s="191">
        <f t="shared" si="3"/>
        <v>2.6249619891495798E-3</v>
      </c>
      <c r="G16" s="191">
        <f t="shared" si="4"/>
        <v>9.4296711456373195E-2</v>
      </c>
      <c r="H16" s="191">
        <f t="shared" si="5"/>
        <v>24.3323922234467</v>
      </c>
    </row>
    <row r="17" spans="1:8">
      <c r="A17" s="189" t="s">
        <v>30</v>
      </c>
      <c r="B17" s="190" t="str">
        <f>VLOOKUP(A17, 'Exit Prices'!$A$3:$B$231, 2,0)</f>
        <v>DNO</v>
      </c>
      <c r="C17" s="191">
        <f t="shared" si="0"/>
        <v>97.404259388107505</v>
      </c>
      <c r="D17" s="191">
        <f t="shared" si="1"/>
        <v>0</v>
      </c>
      <c r="E17" s="191">
        <f t="shared" si="2"/>
        <v>0</v>
      </c>
      <c r="F17" s="191">
        <f t="shared" si="3"/>
        <v>0</v>
      </c>
      <c r="G17" s="191">
        <f t="shared" si="4"/>
        <v>9.2086920296010205E-2</v>
      </c>
      <c r="H17" s="191">
        <f t="shared" si="5"/>
        <v>2.5036536915964902</v>
      </c>
    </row>
    <row r="18" spans="1:8">
      <c r="A18" s="189" t="s">
        <v>31</v>
      </c>
      <c r="B18" s="190" t="str">
        <f>VLOOKUP(A18, 'Exit Prices'!$A$3:$B$231, 2,0)</f>
        <v>DNO</v>
      </c>
      <c r="C18" s="191">
        <f t="shared" si="0"/>
        <v>97.404259388107505</v>
      </c>
      <c r="D18" s="191">
        <f t="shared" si="1"/>
        <v>0</v>
      </c>
      <c r="E18" s="191">
        <f t="shared" si="2"/>
        <v>0</v>
      </c>
      <c r="F18" s="191">
        <f t="shared" si="3"/>
        <v>0</v>
      </c>
      <c r="G18" s="191">
        <f t="shared" si="4"/>
        <v>9.2086920296010205E-2</v>
      </c>
      <c r="H18" s="191">
        <f t="shared" si="5"/>
        <v>2.5036536915964902</v>
      </c>
    </row>
    <row r="19" spans="1:8">
      <c r="A19" s="189" t="s">
        <v>32</v>
      </c>
      <c r="B19" s="190" t="str">
        <f>VLOOKUP(A19, 'Exit Prices'!$A$3:$B$231, 2,0)</f>
        <v>DNO</v>
      </c>
      <c r="C19" s="191">
        <f t="shared" si="0"/>
        <v>97.404259388107505</v>
      </c>
      <c r="D19" s="191">
        <f t="shared" si="1"/>
        <v>0</v>
      </c>
      <c r="E19" s="191">
        <f t="shared" si="2"/>
        <v>0</v>
      </c>
      <c r="F19" s="191">
        <f t="shared" si="3"/>
        <v>0</v>
      </c>
      <c r="G19" s="191">
        <f t="shared" si="4"/>
        <v>9.2086920296010205E-2</v>
      </c>
      <c r="H19" s="191">
        <f t="shared" si="5"/>
        <v>2.5036536915964902</v>
      </c>
    </row>
    <row r="20" spans="1:8">
      <c r="A20" s="189" t="s">
        <v>33</v>
      </c>
      <c r="B20" s="190" t="str">
        <f>VLOOKUP(A20, 'Exit Prices'!$A$3:$B$231, 2,0)</f>
        <v>DNO</v>
      </c>
      <c r="C20" s="191">
        <f t="shared" si="0"/>
        <v>97.404259388107505</v>
      </c>
      <c r="D20" s="191">
        <f t="shared" si="1"/>
        <v>0</v>
      </c>
      <c r="E20" s="191">
        <f t="shared" si="2"/>
        <v>0</v>
      </c>
      <c r="F20" s="191">
        <f t="shared" si="3"/>
        <v>0</v>
      </c>
      <c r="G20" s="191">
        <f t="shared" si="4"/>
        <v>9.2086920296010205E-2</v>
      </c>
      <c r="H20" s="191">
        <f t="shared" si="5"/>
        <v>2.5036536915964902</v>
      </c>
    </row>
    <row r="21" spans="1:8">
      <c r="A21" s="189" t="s">
        <v>34</v>
      </c>
      <c r="B21" s="190" t="str">
        <f>VLOOKUP(A21, 'Exit Prices'!$A$3:$B$231, 2,0)</f>
        <v>DNO</v>
      </c>
      <c r="C21" s="191">
        <f t="shared" si="0"/>
        <v>97.404259388107505</v>
      </c>
      <c r="D21" s="191">
        <f t="shared" si="1"/>
        <v>0</v>
      </c>
      <c r="E21" s="191">
        <f t="shared" si="2"/>
        <v>0</v>
      </c>
      <c r="F21" s="191">
        <f t="shared" si="3"/>
        <v>0</v>
      </c>
      <c r="G21" s="191">
        <f t="shared" si="4"/>
        <v>9.2086920296010205E-2</v>
      </c>
      <c r="H21" s="191">
        <f t="shared" si="5"/>
        <v>2.5036536915964902</v>
      </c>
    </row>
    <row r="22" spans="1:8">
      <c r="A22" s="189" t="s">
        <v>35</v>
      </c>
      <c r="B22" s="190" t="str">
        <f>VLOOKUP(A22, 'Exit Prices'!$A$3:$B$231, 2,0)</f>
        <v>DNO</v>
      </c>
      <c r="C22" s="191">
        <f t="shared" si="0"/>
        <v>97.404259388107505</v>
      </c>
      <c r="D22" s="191">
        <f t="shared" si="1"/>
        <v>0</v>
      </c>
      <c r="E22" s="191">
        <f t="shared" si="2"/>
        <v>0</v>
      </c>
      <c r="F22" s="191">
        <f t="shared" si="3"/>
        <v>0</v>
      </c>
      <c r="G22" s="191">
        <f t="shared" si="4"/>
        <v>9.2086920296010205E-2</v>
      </c>
      <c r="H22" s="191">
        <f t="shared" si="5"/>
        <v>2.5036536915964902</v>
      </c>
    </row>
    <row r="23" spans="1:8">
      <c r="A23" s="189" t="s">
        <v>36</v>
      </c>
      <c r="B23" s="190" t="str">
        <f>VLOOKUP(A23, 'Exit Prices'!$A$3:$B$231, 2,0)</f>
        <v>STORAGE SITE</v>
      </c>
      <c r="C23" s="191">
        <f t="shared" si="0"/>
        <v>27.665395475068301</v>
      </c>
      <c r="D23" s="191">
        <f t="shared" si="1"/>
        <v>0</v>
      </c>
      <c r="E23" s="191">
        <f t="shared" si="2"/>
        <v>0</v>
      </c>
      <c r="F23" s="191">
        <f t="shared" si="3"/>
        <v>0</v>
      </c>
      <c r="G23" s="191">
        <f t="shared" si="4"/>
        <v>0.15481302448832299</v>
      </c>
      <c r="H23" s="191">
        <f t="shared" si="5"/>
        <v>72.1797915004434</v>
      </c>
    </row>
    <row r="24" spans="1:8">
      <c r="A24" s="189" t="s">
        <v>37</v>
      </c>
      <c r="B24" s="190" t="str">
        <f>VLOOKUP(A24, 'Exit Prices'!$A$3:$B$231, 2,0)</f>
        <v>DNO</v>
      </c>
      <c r="C24" s="191">
        <f t="shared" si="0"/>
        <v>97.404259388107505</v>
      </c>
      <c r="D24" s="191">
        <f t="shared" si="1"/>
        <v>0</v>
      </c>
      <c r="E24" s="191">
        <f t="shared" si="2"/>
        <v>0</v>
      </c>
      <c r="F24" s="191">
        <f t="shared" si="3"/>
        <v>0</v>
      </c>
      <c r="G24" s="191">
        <f t="shared" si="4"/>
        <v>9.2086920296010205E-2</v>
      </c>
      <c r="H24" s="191">
        <f t="shared" si="5"/>
        <v>2.5036536915964902</v>
      </c>
    </row>
    <row r="25" spans="1:8">
      <c r="A25" s="189" t="s">
        <v>38</v>
      </c>
      <c r="B25" s="190" t="str">
        <f>VLOOKUP(A25, 'Exit Prices'!$A$3:$B$231, 2,0)</f>
        <v>DNO</v>
      </c>
      <c r="C25" s="191">
        <f t="shared" si="0"/>
        <v>97.404259388107505</v>
      </c>
      <c r="D25" s="191">
        <f t="shared" si="1"/>
        <v>0</v>
      </c>
      <c r="E25" s="191">
        <f t="shared" si="2"/>
        <v>0</v>
      </c>
      <c r="F25" s="191">
        <f t="shared" si="3"/>
        <v>0</v>
      </c>
      <c r="G25" s="191">
        <f t="shared" si="4"/>
        <v>9.2086920296010205E-2</v>
      </c>
      <c r="H25" s="191">
        <f t="shared" si="5"/>
        <v>2.5036536915964902</v>
      </c>
    </row>
    <row r="26" spans="1:8">
      <c r="A26" s="189" t="s">
        <v>39</v>
      </c>
      <c r="B26" s="190" t="str">
        <f>VLOOKUP(A26, 'Exit Prices'!$A$3:$B$231, 2,0)</f>
        <v>STORAGE SITE</v>
      </c>
      <c r="C26" s="191">
        <f t="shared" si="0"/>
        <v>27.665395475068301</v>
      </c>
      <c r="D26" s="191">
        <f t="shared" si="1"/>
        <v>0</v>
      </c>
      <c r="E26" s="191">
        <f t="shared" si="2"/>
        <v>0</v>
      </c>
      <c r="F26" s="191">
        <f t="shared" si="3"/>
        <v>0</v>
      </c>
      <c r="G26" s="191">
        <f t="shared" si="4"/>
        <v>0.15481302448832299</v>
      </c>
      <c r="H26" s="191">
        <f t="shared" si="5"/>
        <v>72.1797915004434</v>
      </c>
    </row>
    <row r="27" spans="1:8">
      <c r="A27" s="189" t="s">
        <v>40</v>
      </c>
      <c r="B27" s="190" t="str">
        <f>VLOOKUP(A27, 'Exit Prices'!$A$3:$B$231, 2,0)</f>
        <v>INTERCONNECTOR</v>
      </c>
      <c r="C27" s="191">
        <f t="shared" si="0"/>
        <v>37.085908986040998</v>
      </c>
      <c r="D27" s="191">
        <f t="shared" si="1"/>
        <v>6.7491198365580702</v>
      </c>
      <c r="E27" s="191">
        <f t="shared" si="2"/>
        <v>2.0897597466715001</v>
      </c>
      <c r="F27" s="191">
        <f t="shared" si="3"/>
        <v>0.99738892782938704</v>
      </c>
      <c r="G27" s="191">
        <f t="shared" si="4"/>
        <v>2.0398135122935299</v>
      </c>
      <c r="H27" s="191">
        <f t="shared" si="5"/>
        <v>51.0380089906065</v>
      </c>
    </row>
    <row r="28" spans="1:8">
      <c r="A28" s="189" t="s">
        <v>41</v>
      </c>
      <c r="B28" s="190" t="str">
        <f>VLOOKUP(A28, 'Exit Prices'!$A$3:$B$231, 2,0)</f>
        <v>POWER STATION</v>
      </c>
      <c r="C28" s="191">
        <f t="shared" si="0"/>
        <v>49.279810729716402</v>
      </c>
      <c r="D28" s="191">
        <f t="shared" si="1"/>
        <v>0</v>
      </c>
      <c r="E28" s="191">
        <f t="shared" si="2"/>
        <v>0</v>
      </c>
      <c r="F28" s="191">
        <f t="shared" si="3"/>
        <v>0.26115429329200202</v>
      </c>
      <c r="G28" s="191">
        <f t="shared" si="4"/>
        <v>6.64895970993859E-2</v>
      </c>
      <c r="H28" s="191">
        <f t="shared" si="5"/>
        <v>50.392545379892198</v>
      </c>
    </row>
    <row r="29" spans="1:8">
      <c r="A29" s="189" t="s">
        <v>42</v>
      </c>
      <c r="B29" s="190" t="str">
        <f>VLOOKUP(A29, 'Exit Prices'!$A$3:$B$231, 2,0)</f>
        <v>INTERCONNECTOR</v>
      </c>
      <c r="C29" s="191">
        <f t="shared" si="0"/>
        <v>37.085908986040998</v>
      </c>
      <c r="D29" s="191">
        <f t="shared" si="1"/>
        <v>6.7491198365580702</v>
      </c>
      <c r="E29" s="191">
        <f t="shared" si="2"/>
        <v>2.0897597466715001</v>
      </c>
      <c r="F29" s="191">
        <f t="shared" si="3"/>
        <v>0.99738892782938704</v>
      </c>
      <c r="G29" s="191">
        <f t="shared" si="4"/>
        <v>2.0398135122935299</v>
      </c>
      <c r="H29" s="191">
        <f t="shared" si="5"/>
        <v>51.0380089906065</v>
      </c>
    </row>
    <row r="30" spans="1:8">
      <c r="A30" s="189" t="s">
        <v>43</v>
      </c>
      <c r="B30" s="190" t="str">
        <f>VLOOKUP(A30, 'Exit Prices'!$A$3:$B$231, 2,0)</f>
        <v>DNO</v>
      </c>
      <c r="C30" s="191">
        <f t="shared" si="0"/>
        <v>97.404259388107505</v>
      </c>
      <c r="D30" s="191">
        <f t="shared" si="1"/>
        <v>0</v>
      </c>
      <c r="E30" s="191">
        <f t="shared" si="2"/>
        <v>0</v>
      </c>
      <c r="F30" s="191">
        <f t="shared" si="3"/>
        <v>0</v>
      </c>
      <c r="G30" s="191">
        <f t="shared" si="4"/>
        <v>9.2086920296010205E-2</v>
      </c>
      <c r="H30" s="191">
        <f t="shared" si="5"/>
        <v>2.5036536915964902</v>
      </c>
    </row>
    <row r="31" spans="1:8">
      <c r="A31" s="189" t="s">
        <v>44</v>
      </c>
      <c r="B31" s="190" t="str">
        <f>VLOOKUP(A31, 'Exit Prices'!$A$3:$B$231, 2,0)</f>
        <v>DNO</v>
      </c>
      <c r="C31" s="191">
        <f t="shared" si="0"/>
        <v>97.404259388107505</v>
      </c>
      <c r="D31" s="191">
        <f t="shared" si="1"/>
        <v>0</v>
      </c>
      <c r="E31" s="191">
        <f t="shared" si="2"/>
        <v>0</v>
      </c>
      <c r="F31" s="191">
        <f t="shared" si="3"/>
        <v>0</v>
      </c>
      <c r="G31" s="191">
        <f t="shared" si="4"/>
        <v>9.2086920296010205E-2</v>
      </c>
      <c r="H31" s="191">
        <f t="shared" si="5"/>
        <v>2.5036536915964902</v>
      </c>
    </row>
    <row r="32" spans="1:8">
      <c r="A32" s="189" t="s">
        <v>45</v>
      </c>
      <c r="B32" s="190" t="str">
        <f>VLOOKUP(A32, 'Exit Prices'!$A$3:$B$231, 2,0)</f>
        <v>POWER STATION</v>
      </c>
      <c r="C32" s="191">
        <f t="shared" si="0"/>
        <v>49.279810729716402</v>
      </c>
      <c r="D32" s="191">
        <f t="shared" si="1"/>
        <v>0</v>
      </c>
      <c r="E32" s="191">
        <f t="shared" si="2"/>
        <v>0</v>
      </c>
      <c r="F32" s="191">
        <f t="shared" si="3"/>
        <v>0.26115429329200202</v>
      </c>
      <c r="G32" s="191">
        <f t="shared" si="4"/>
        <v>6.64895970993859E-2</v>
      </c>
      <c r="H32" s="191">
        <f t="shared" si="5"/>
        <v>50.392545379892198</v>
      </c>
    </row>
    <row r="33" spans="1:8">
      <c r="A33" s="189" t="s">
        <v>46</v>
      </c>
      <c r="B33" s="190" t="str">
        <f>VLOOKUP(A33, 'Exit Prices'!$A$3:$B$231, 2,0)</f>
        <v>STORAGE SITE</v>
      </c>
      <c r="C33" s="191">
        <f t="shared" si="0"/>
        <v>27.665395475068301</v>
      </c>
      <c r="D33" s="191">
        <f t="shared" si="1"/>
        <v>0</v>
      </c>
      <c r="E33" s="191">
        <f t="shared" si="2"/>
        <v>0</v>
      </c>
      <c r="F33" s="191">
        <f t="shared" si="3"/>
        <v>0</v>
      </c>
      <c r="G33" s="191">
        <f t="shared" si="4"/>
        <v>0.15481302448832299</v>
      </c>
      <c r="H33" s="191">
        <f t="shared" si="5"/>
        <v>72.1797915004434</v>
      </c>
    </row>
    <row r="34" spans="1:8">
      <c r="A34" s="189" t="s">
        <v>47</v>
      </c>
      <c r="B34" s="190" t="str">
        <f>VLOOKUP(A34, 'Exit Prices'!$A$3:$B$231, 2,0)</f>
        <v>INDUSTRIAL</v>
      </c>
      <c r="C34" s="191">
        <f t="shared" si="0"/>
        <v>75.570686103107803</v>
      </c>
      <c r="D34" s="191">
        <f t="shared" si="1"/>
        <v>0</v>
      </c>
      <c r="E34" s="191">
        <f t="shared" si="2"/>
        <v>0</v>
      </c>
      <c r="F34" s="191">
        <f t="shared" si="3"/>
        <v>2.6249619891495798E-3</v>
      </c>
      <c r="G34" s="191">
        <f t="shared" si="4"/>
        <v>9.4296711456373195E-2</v>
      </c>
      <c r="H34" s="191">
        <f t="shared" si="5"/>
        <v>24.3323922234467</v>
      </c>
    </row>
    <row r="35" spans="1:8">
      <c r="A35" s="189" t="s">
        <v>48</v>
      </c>
      <c r="B35" s="190" t="str">
        <f>VLOOKUP(A35, 'Exit Prices'!$A$3:$B$231, 2,0)</f>
        <v>STORAGE SITE</v>
      </c>
      <c r="C35" s="191">
        <f t="shared" si="0"/>
        <v>27.665395475068301</v>
      </c>
      <c r="D35" s="191">
        <f t="shared" si="1"/>
        <v>0</v>
      </c>
      <c r="E35" s="191">
        <f t="shared" si="2"/>
        <v>0</v>
      </c>
      <c r="F35" s="191">
        <f t="shared" si="3"/>
        <v>0</v>
      </c>
      <c r="G35" s="191">
        <f t="shared" si="4"/>
        <v>0.15481302448832299</v>
      </c>
      <c r="H35" s="191">
        <f t="shared" si="5"/>
        <v>72.1797915004434</v>
      </c>
    </row>
    <row r="36" spans="1:8">
      <c r="A36" s="189" t="s">
        <v>49</v>
      </c>
      <c r="B36" s="190" t="str">
        <f>VLOOKUP(A36, 'Exit Prices'!$A$3:$B$231, 2,0)</f>
        <v>STORAGE SITE</v>
      </c>
      <c r="C36" s="191">
        <f t="shared" si="0"/>
        <v>27.665395475068301</v>
      </c>
      <c r="D36" s="191">
        <f t="shared" si="1"/>
        <v>0</v>
      </c>
      <c r="E36" s="191">
        <f t="shared" si="2"/>
        <v>0</v>
      </c>
      <c r="F36" s="191">
        <f t="shared" si="3"/>
        <v>0</v>
      </c>
      <c r="G36" s="191">
        <f t="shared" si="4"/>
        <v>0.15481302448832299</v>
      </c>
      <c r="H36" s="191">
        <f t="shared" si="5"/>
        <v>72.1797915004434</v>
      </c>
    </row>
    <row r="37" spans="1:8">
      <c r="A37" s="189" t="s">
        <v>50</v>
      </c>
      <c r="B37" s="190" t="str">
        <f>VLOOKUP(A37, 'Exit Prices'!$A$3:$B$231, 2,0)</f>
        <v>DNO</v>
      </c>
      <c r="C37" s="191">
        <f t="shared" si="0"/>
        <v>97.404259388107505</v>
      </c>
      <c r="D37" s="191">
        <f t="shared" si="1"/>
        <v>0</v>
      </c>
      <c r="E37" s="191">
        <f t="shared" si="2"/>
        <v>0</v>
      </c>
      <c r="F37" s="191">
        <f t="shared" si="3"/>
        <v>0</v>
      </c>
      <c r="G37" s="191">
        <f t="shared" si="4"/>
        <v>9.2086920296010205E-2</v>
      </c>
      <c r="H37" s="191">
        <f t="shared" si="5"/>
        <v>2.5036536915964902</v>
      </c>
    </row>
    <row r="38" spans="1:8">
      <c r="A38" s="189" t="s">
        <v>51</v>
      </c>
      <c r="B38" s="190" t="str">
        <f>VLOOKUP(A38, 'Exit Prices'!$A$3:$B$231, 2,0)</f>
        <v>INDUSTRIAL</v>
      </c>
      <c r="C38" s="191">
        <f t="shared" si="0"/>
        <v>75.570686103107803</v>
      </c>
      <c r="D38" s="191">
        <f t="shared" si="1"/>
        <v>0</v>
      </c>
      <c r="E38" s="191">
        <f t="shared" si="2"/>
        <v>0</v>
      </c>
      <c r="F38" s="191">
        <f t="shared" si="3"/>
        <v>2.6249619891495798E-3</v>
      </c>
      <c r="G38" s="191">
        <f t="shared" si="4"/>
        <v>9.4296711456373195E-2</v>
      </c>
      <c r="H38" s="191">
        <f t="shared" si="5"/>
        <v>24.3323922234467</v>
      </c>
    </row>
    <row r="39" spans="1:8">
      <c r="A39" s="189" t="s">
        <v>52</v>
      </c>
      <c r="B39" s="190" t="str">
        <f>VLOOKUP(A39, 'Exit Prices'!$A$3:$B$231, 2,0)</f>
        <v>DNO</v>
      </c>
      <c r="C39" s="191">
        <f t="shared" si="0"/>
        <v>97.404259388107505</v>
      </c>
      <c r="D39" s="191">
        <f t="shared" si="1"/>
        <v>0</v>
      </c>
      <c r="E39" s="191">
        <f t="shared" si="2"/>
        <v>0</v>
      </c>
      <c r="F39" s="191">
        <f t="shared" si="3"/>
        <v>0</v>
      </c>
      <c r="G39" s="191">
        <f t="shared" si="4"/>
        <v>9.2086920296010205E-2</v>
      </c>
      <c r="H39" s="191">
        <f t="shared" si="5"/>
        <v>2.5036536915964902</v>
      </c>
    </row>
    <row r="40" spans="1:8">
      <c r="A40" s="189" t="s">
        <v>53</v>
      </c>
      <c r="B40" s="190" t="str">
        <f>VLOOKUP(A40, 'Exit Prices'!$A$3:$B$231, 2,0)</f>
        <v>INDUSTRIAL</v>
      </c>
      <c r="C40" s="191">
        <f t="shared" si="0"/>
        <v>75.570686103107803</v>
      </c>
      <c r="D40" s="191">
        <f t="shared" si="1"/>
        <v>0</v>
      </c>
      <c r="E40" s="191">
        <f t="shared" si="2"/>
        <v>0</v>
      </c>
      <c r="F40" s="191">
        <f t="shared" si="3"/>
        <v>2.6249619891495798E-3</v>
      </c>
      <c r="G40" s="191">
        <f t="shared" si="4"/>
        <v>9.4296711456373195E-2</v>
      </c>
      <c r="H40" s="191">
        <f t="shared" si="5"/>
        <v>24.3323922234467</v>
      </c>
    </row>
    <row r="41" spans="1:8">
      <c r="A41" s="189" t="s">
        <v>54</v>
      </c>
      <c r="B41" s="190" t="str">
        <f>VLOOKUP(A41, 'Exit Prices'!$A$3:$B$231, 2,0)</f>
        <v>DNO</v>
      </c>
      <c r="C41" s="191">
        <f t="shared" si="0"/>
        <v>97.404259388107505</v>
      </c>
      <c r="D41" s="191">
        <f t="shared" si="1"/>
        <v>0</v>
      </c>
      <c r="E41" s="191">
        <f t="shared" si="2"/>
        <v>0</v>
      </c>
      <c r="F41" s="191">
        <f t="shared" si="3"/>
        <v>0</v>
      </c>
      <c r="G41" s="191">
        <f t="shared" si="4"/>
        <v>9.2086920296010205E-2</v>
      </c>
      <c r="H41" s="191">
        <f t="shared" si="5"/>
        <v>2.5036536915964902</v>
      </c>
    </row>
    <row r="42" spans="1:8">
      <c r="A42" s="189" t="s">
        <v>55</v>
      </c>
      <c r="B42" s="190" t="str">
        <f>VLOOKUP(A42, 'Exit Prices'!$A$3:$B$231, 2,0)</f>
        <v>INDUSTRIAL</v>
      </c>
      <c r="C42" s="191">
        <f t="shared" si="0"/>
        <v>75.570686103107803</v>
      </c>
      <c r="D42" s="191">
        <f t="shared" si="1"/>
        <v>0</v>
      </c>
      <c r="E42" s="191">
        <f t="shared" si="2"/>
        <v>0</v>
      </c>
      <c r="F42" s="191">
        <f t="shared" si="3"/>
        <v>2.6249619891495798E-3</v>
      </c>
      <c r="G42" s="191">
        <f t="shared" si="4"/>
        <v>9.4296711456373195E-2</v>
      </c>
      <c r="H42" s="191">
        <f t="shared" si="5"/>
        <v>24.3323922234467</v>
      </c>
    </row>
    <row r="43" spans="1:8">
      <c r="A43" s="189" t="s">
        <v>56</v>
      </c>
      <c r="B43" s="190" t="str">
        <f>VLOOKUP(A43, 'Exit Prices'!$A$3:$B$231, 2,0)</f>
        <v>DNO</v>
      </c>
      <c r="C43" s="191">
        <f t="shared" si="0"/>
        <v>97.404259388107505</v>
      </c>
      <c r="D43" s="191">
        <f t="shared" si="1"/>
        <v>0</v>
      </c>
      <c r="E43" s="191">
        <f t="shared" si="2"/>
        <v>0</v>
      </c>
      <c r="F43" s="191">
        <f t="shared" si="3"/>
        <v>0</v>
      </c>
      <c r="G43" s="191">
        <f t="shared" si="4"/>
        <v>9.2086920296010205E-2</v>
      </c>
      <c r="H43" s="191">
        <f t="shared" si="5"/>
        <v>2.5036536915964902</v>
      </c>
    </row>
    <row r="44" spans="1:8">
      <c r="A44" s="189" t="s">
        <v>57</v>
      </c>
      <c r="B44" s="190" t="str">
        <f>VLOOKUP(A44, 'Exit Prices'!$A$3:$B$231, 2,0)</f>
        <v>DNO</v>
      </c>
      <c r="C44" s="191">
        <f t="shared" si="0"/>
        <v>97.404259388107505</v>
      </c>
      <c r="D44" s="191">
        <f t="shared" si="1"/>
        <v>0</v>
      </c>
      <c r="E44" s="191">
        <f t="shared" si="2"/>
        <v>0</v>
      </c>
      <c r="F44" s="191">
        <f t="shared" si="3"/>
        <v>0</v>
      </c>
      <c r="G44" s="191">
        <f t="shared" si="4"/>
        <v>9.2086920296010205E-2</v>
      </c>
      <c r="H44" s="191">
        <f t="shared" si="5"/>
        <v>2.5036536915964902</v>
      </c>
    </row>
    <row r="45" spans="1:8">
      <c r="A45" s="189" t="s">
        <v>58</v>
      </c>
      <c r="B45" s="190" t="str">
        <f>VLOOKUP(A45, 'Exit Prices'!$A$3:$B$231, 2,0)</f>
        <v>POWER STATION</v>
      </c>
      <c r="C45" s="191">
        <f t="shared" si="0"/>
        <v>49.279810729716402</v>
      </c>
      <c r="D45" s="191">
        <f t="shared" si="1"/>
        <v>0</v>
      </c>
      <c r="E45" s="191">
        <f t="shared" si="2"/>
        <v>0</v>
      </c>
      <c r="F45" s="191">
        <f t="shared" si="3"/>
        <v>0.26115429329200202</v>
      </c>
      <c r="G45" s="191">
        <f t="shared" si="4"/>
        <v>6.64895970993859E-2</v>
      </c>
      <c r="H45" s="191">
        <f t="shared" si="5"/>
        <v>50.392545379892198</v>
      </c>
    </row>
    <row r="46" spans="1:8">
      <c r="A46" s="189" t="s">
        <v>59</v>
      </c>
      <c r="B46" s="190" t="str">
        <f>VLOOKUP(A46, 'Exit Prices'!$A$3:$B$231, 2,0)</f>
        <v>POWER STATION</v>
      </c>
      <c r="C46" s="191">
        <f t="shared" si="0"/>
        <v>49.279810729716402</v>
      </c>
      <c r="D46" s="191">
        <f t="shared" si="1"/>
        <v>0</v>
      </c>
      <c r="E46" s="191">
        <f t="shared" si="2"/>
        <v>0</v>
      </c>
      <c r="F46" s="191">
        <f t="shared" si="3"/>
        <v>0.26115429329200202</v>
      </c>
      <c r="G46" s="191">
        <f t="shared" si="4"/>
        <v>6.64895970993859E-2</v>
      </c>
      <c r="H46" s="191">
        <f t="shared" si="5"/>
        <v>50.392545379892198</v>
      </c>
    </row>
    <row r="47" spans="1:8">
      <c r="A47" s="189" t="s">
        <v>60</v>
      </c>
      <c r="B47" s="190" t="str">
        <f>VLOOKUP(A47, 'Exit Prices'!$A$3:$B$231, 2,0)</f>
        <v>DNO</v>
      </c>
      <c r="C47" s="191">
        <f t="shared" si="0"/>
        <v>97.404259388107505</v>
      </c>
      <c r="D47" s="191">
        <f t="shared" si="1"/>
        <v>0</v>
      </c>
      <c r="E47" s="191">
        <f t="shared" si="2"/>
        <v>0</v>
      </c>
      <c r="F47" s="191">
        <f t="shared" si="3"/>
        <v>0</v>
      </c>
      <c r="G47" s="191">
        <f t="shared" si="4"/>
        <v>9.2086920296010205E-2</v>
      </c>
      <c r="H47" s="191">
        <f t="shared" si="5"/>
        <v>2.5036536915964902</v>
      </c>
    </row>
    <row r="48" spans="1:8">
      <c r="A48" s="189" t="s">
        <v>61</v>
      </c>
      <c r="B48" s="190" t="str">
        <f>VLOOKUP(A48, 'Exit Prices'!$A$3:$B$231, 2,0)</f>
        <v>DNO</v>
      </c>
      <c r="C48" s="191">
        <f t="shared" si="0"/>
        <v>97.404259388107505</v>
      </c>
      <c r="D48" s="191">
        <f t="shared" si="1"/>
        <v>0</v>
      </c>
      <c r="E48" s="191">
        <f t="shared" si="2"/>
        <v>0</v>
      </c>
      <c r="F48" s="191">
        <f t="shared" si="3"/>
        <v>0</v>
      </c>
      <c r="G48" s="191">
        <f t="shared" si="4"/>
        <v>9.2086920296010205E-2</v>
      </c>
      <c r="H48" s="191">
        <f t="shared" si="5"/>
        <v>2.5036536915964902</v>
      </c>
    </row>
    <row r="49" spans="1:8">
      <c r="A49" s="189" t="s">
        <v>62</v>
      </c>
      <c r="B49" s="190" t="str">
        <f>VLOOKUP(A49, 'Exit Prices'!$A$3:$B$231, 2,0)</f>
        <v>POWER STATION</v>
      </c>
      <c r="C49" s="191">
        <f t="shared" si="0"/>
        <v>49.279810729716402</v>
      </c>
      <c r="D49" s="191">
        <f t="shared" si="1"/>
        <v>0</v>
      </c>
      <c r="E49" s="191">
        <f t="shared" si="2"/>
        <v>0</v>
      </c>
      <c r="F49" s="191">
        <f t="shared" si="3"/>
        <v>0.26115429329200202</v>
      </c>
      <c r="G49" s="191">
        <f t="shared" si="4"/>
        <v>6.64895970993859E-2</v>
      </c>
      <c r="H49" s="191">
        <f t="shared" si="5"/>
        <v>50.392545379892198</v>
      </c>
    </row>
    <row r="50" spans="1:8">
      <c r="A50" s="189" t="s">
        <v>63</v>
      </c>
      <c r="B50" s="190" t="str">
        <f>VLOOKUP(A50, 'Exit Prices'!$A$3:$B$231, 2,0)</f>
        <v>DNO</v>
      </c>
      <c r="C50" s="191">
        <f t="shared" si="0"/>
        <v>97.404259388107505</v>
      </c>
      <c r="D50" s="191">
        <f t="shared" si="1"/>
        <v>0</v>
      </c>
      <c r="E50" s="191">
        <f t="shared" si="2"/>
        <v>0</v>
      </c>
      <c r="F50" s="191">
        <f t="shared" si="3"/>
        <v>0</v>
      </c>
      <c r="G50" s="191">
        <f t="shared" si="4"/>
        <v>9.2086920296010205E-2</v>
      </c>
      <c r="H50" s="191">
        <f t="shared" si="5"/>
        <v>2.5036536915964902</v>
      </c>
    </row>
    <row r="51" spans="1:8">
      <c r="A51" s="189" t="s">
        <v>64</v>
      </c>
      <c r="B51" s="190" t="str">
        <f>VLOOKUP(A51, 'Exit Prices'!$A$3:$B$231, 2,0)</f>
        <v>DNO</v>
      </c>
      <c r="C51" s="191">
        <f t="shared" si="0"/>
        <v>97.404259388107505</v>
      </c>
      <c r="D51" s="191">
        <f t="shared" si="1"/>
        <v>0</v>
      </c>
      <c r="E51" s="191">
        <f t="shared" si="2"/>
        <v>0</v>
      </c>
      <c r="F51" s="191">
        <f t="shared" si="3"/>
        <v>0</v>
      </c>
      <c r="G51" s="191">
        <f t="shared" si="4"/>
        <v>9.2086920296010205E-2</v>
      </c>
      <c r="H51" s="191">
        <f t="shared" si="5"/>
        <v>2.5036536915964902</v>
      </c>
    </row>
    <row r="52" spans="1:8">
      <c r="A52" s="189" t="s">
        <v>65</v>
      </c>
      <c r="B52" s="190" t="str">
        <f>VLOOKUP(A52, 'Exit Prices'!$A$3:$B$231, 2,0)</f>
        <v>DNO</v>
      </c>
      <c r="C52" s="191">
        <f t="shared" si="0"/>
        <v>97.404259388107505</v>
      </c>
      <c r="D52" s="191">
        <f t="shared" si="1"/>
        <v>0</v>
      </c>
      <c r="E52" s="191">
        <f t="shared" si="2"/>
        <v>0</v>
      </c>
      <c r="F52" s="191">
        <f t="shared" si="3"/>
        <v>0</v>
      </c>
      <c r="G52" s="191">
        <f t="shared" si="4"/>
        <v>9.2086920296010205E-2</v>
      </c>
      <c r="H52" s="191">
        <f t="shared" si="5"/>
        <v>2.5036536915964902</v>
      </c>
    </row>
    <row r="53" spans="1:8">
      <c r="A53" s="189" t="s">
        <v>66</v>
      </c>
      <c r="B53" s="190" t="str">
        <f>VLOOKUP(A53, 'Exit Prices'!$A$3:$B$231, 2,0)</f>
        <v>DNO</v>
      </c>
      <c r="C53" s="191">
        <f t="shared" si="0"/>
        <v>97.404259388107505</v>
      </c>
      <c r="D53" s="191">
        <f t="shared" si="1"/>
        <v>0</v>
      </c>
      <c r="E53" s="191">
        <f t="shared" si="2"/>
        <v>0</v>
      </c>
      <c r="F53" s="191">
        <f t="shared" si="3"/>
        <v>0</v>
      </c>
      <c r="G53" s="191">
        <f t="shared" si="4"/>
        <v>9.2086920296010205E-2</v>
      </c>
      <c r="H53" s="191">
        <f t="shared" si="5"/>
        <v>2.5036536915964902</v>
      </c>
    </row>
    <row r="54" spans="1:8">
      <c r="A54" s="189" t="s">
        <v>67</v>
      </c>
      <c r="B54" s="190" t="str">
        <f>VLOOKUP(A54, 'Exit Prices'!$A$3:$B$231, 2,0)</f>
        <v>POWER STATION</v>
      </c>
      <c r="C54" s="191">
        <f t="shared" si="0"/>
        <v>49.279810729716402</v>
      </c>
      <c r="D54" s="191">
        <f t="shared" si="1"/>
        <v>0</v>
      </c>
      <c r="E54" s="191">
        <f t="shared" si="2"/>
        <v>0</v>
      </c>
      <c r="F54" s="191">
        <f t="shared" si="3"/>
        <v>0.26115429329200202</v>
      </c>
      <c r="G54" s="191">
        <f t="shared" si="4"/>
        <v>6.64895970993859E-2</v>
      </c>
      <c r="H54" s="191">
        <f t="shared" si="5"/>
        <v>50.392545379892198</v>
      </c>
    </row>
    <row r="55" spans="1:8">
      <c r="A55" s="189" t="s">
        <v>68</v>
      </c>
      <c r="B55" s="190" t="str">
        <f>VLOOKUP(A55, 'Exit Prices'!$A$3:$B$231, 2,0)</f>
        <v>DNO</v>
      </c>
      <c r="C55" s="191">
        <f t="shared" si="0"/>
        <v>97.404259388107505</v>
      </c>
      <c r="D55" s="191">
        <f t="shared" si="1"/>
        <v>0</v>
      </c>
      <c r="E55" s="191">
        <f t="shared" si="2"/>
        <v>0</v>
      </c>
      <c r="F55" s="191">
        <f t="shared" si="3"/>
        <v>0</v>
      </c>
      <c r="G55" s="191">
        <f t="shared" si="4"/>
        <v>9.2086920296010205E-2</v>
      </c>
      <c r="H55" s="191">
        <f t="shared" si="5"/>
        <v>2.5036536915964902</v>
      </c>
    </row>
    <row r="56" spans="1:8">
      <c r="A56" s="189" t="s">
        <v>69</v>
      </c>
      <c r="B56" s="190" t="str">
        <f>VLOOKUP(A56, 'Exit Prices'!$A$3:$B$231, 2,0)</f>
        <v>POWER STATION</v>
      </c>
      <c r="C56" s="191">
        <f t="shared" si="0"/>
        <v>49.279810729716402</v>
      </c>
      <c r="D56" s="191">
        <f t="shared" si="1"/>
        <v>0</v>
      </c>
      <c r="E56" s="191">
        <f t="shared" si="2"/>
        <v>0</v>
      </c>
      <c r="F56" s="191">
        <f t="shared" si="3"/>
        <v>0.26115429329200202</v>
      </c>
      <c r="G56" s="191">
        <f t="shared" si="4"/>
        <v>6.64895970993859E-2</v>
      </c>
      <c r="H56" s="191">
        <f t="shared" si="5"/>
        <v>50.392545379892198</v>
      </c>
    </row>
    <row r="57" spans="1:8">
      <c r="A57" s="189" t="s">
        <v>70</v>
      </c>
      <c r="B57" s="190" t="str">
        <f>VLOOKUP(A57, 'Exit Prices'!$A$3:$B$231, 2,0)</f>
        <v>DNO</v>
      </c>
      <c r="C57" s="191">
        <f t="shared" si="0"/>
        <v>97.404259388107505</v>
      </c>
      <c r="D57" s="191">
        <f t="shared" si="1"/>
        <v>0</v>
      </c>
      <c r="E57" s="191">
        <f t="shared" si="2"/>
        <v>0</v>
      </c>
      <c r="F57" s="191">
        <f t="shared" si="3"/>
        <v>0</v>
      </c>
      <c r="G57" s="191">
        <f t="shared" si="4"/>
        <v>9.2086920296010205E-2</v>
      </c>
      <c r="H57" s="191">
        <f t="shared" si="5"/>
        <v>2.5036536915964902</v>
      </c>
    </row>
    <row r="58" spans="1:8">
      <c r="A58" s="189" t="s">
        <v>71</v>
      </c>
      <c r="B58" s="190" t="str">
        <f>VLOOKUP(A58, 'Exit Prices'!$A$3:$B$231, 2,0)</f>
        <v>DNO</v>
      </c>
      <c r="C58" s="191">
        <f t="shared" si="0"/>
        <v>97.404259388107505</v>
      </c>
      <c r="D58" s="191">
        <f t="shared" si="1"/>
        <v>0</v>
      </c>
      <c r="E58" s="191">
        <f t="shared" si="2"/>
        <v>0</v>
      </c>
      <c r="F58" s="191">
        <f t="shared" si="3"/>
        <v>0</v>
      </c>
      <c r="G58" s="191">
        <f t="shared" si="4"/>
        <v>9.2086920296010205E-2</v>
      </c>
      <c r="H58" s="191">
        <f t="shared" si="5"/>
        <v>2.5036536915964902</v>
      </c>
    </row>
    <row r="59" spans="1:8">
      <c r="A59" s="189" t="s">
        <v>72</v>
      </c>
      <c r="B59" s="190" t="str">
        <f>VLOOKUP(A59, 'Exit Prices'!$A$3:$B$231, 2,0)</f>
        <v>POWER STATION</v>
      </c>
      <c r="C59" s="191">
        <f t="shared" si="0"/>
        <v>49.279810729716402</v>
      </c>
      <c r="D59" s="191">
        <f t="shared" si="1"/>
        <v>0</v>
      </c>
      <c r="E59" s="191">
        <f t="shared" si="2"/>
        <v>0</v>
      </c>
      <c r="F59" s="191">
        <f t="shared" si="3"/>
        <v>0.26115429329200202</v>
      </c>
      <c r="G59" s="191">
        <f t="shared" si="4"/>
        <v>6.64895970993859E-2</v>
      </c>
      <c r="H59" s="191">
        <f t="shared" si="5"/>
        <v>50.392545379892198</v>
      </c>
    </row>
    <row r="60" spans="1:8">
      <c r="A60" s="189" t="s">
        <v>9</v>
      </c>
      <c r="B60" s="190" t="str">
        <f>VLOOKUP(A60, 'Exit Prices'!$A$3:$B$231, 2,0)</f>
        <v>STORAGE SITE</v>
      </c>
      <c r="C60" s="191">
        <f t="shared" si="0"/>
        <v>27.665395475068301</v>
      </c>
      <c r="D60" s="191">
        <f t="shared" si="1"/>
        <v>0</v>
      </c>
      <c r="E60" s="191">
        <f t="shared" si="2"/>
        <v>0</v>
      </c>
      <c r="F60" s="191">
        <f t="shared" si="3"/>
        <v>0</v>
      </c>
      <c r="G60" s="191">
        <f t="shared" si="4"/>
        <v>0.15481302448832299</v>
      </c>
      <c r="H60" s="191">
        <f t="shared" si="5"/>
        <v>72.1797915004434</v>
      </c>
    </row>
    <row r="61" spans="1:8">
      <c r="A61" s="189" t="s">
        <v>73</v>
      </c>
      <c r="B61" s="190" t="str">
        <f>VLOOKUP(A61, 'Exit Prices'!$A$3:$B$231, 2,0)</f>
        <v>INDUSTRIAL</v>
      </c>
      <c r="C61" s="191">
        <f t="shared" si="0"/>
        <v>75.570686103107803</v>
      </c>
      <c r="D61" s="191">
        <f t="shared" si="1"/>
        <v>0</v>
      </c>
      <c r="E61" s="191">
        <f t="shared" si="2"/>
        <v>0</v>
      </c>
      <c r="F61" s="191">
        <f t="shared" si="3"/>
        <v>2.6249619891495798E-3</v>
      </c>
      <c r="G61" s="191">
        <f t="shared" si="4"/>
        <v>9.4296711456373195E-2</v>
      </c>
      <c r="H61" s="191">
        <f t="shared" si="5"/>
        <v>24.3323922234467</v>
      </c>
    </row>
    <row r="62" spans="1:8">
      <c r="A62" s="189" t="s">
        <v>74</v>
      </c>
      <c r="B62" s="190" t="str">
        <f>VLOOKUP(A62, 'Exit Prices'!$A$3:$B$231, 2,0)</f>
        <v>DNO</v>
      </c>
      <c r="C62" s="191">
        <f t="shared" si="0"/>
        <v>97.404259388107505</v>
      </c>
      <c r="D62" s="191">
        <f t="shared" si="1"/>
        <v>0</v>
      </c>
      <c r="E62" s="191">
        <f t="shared" si="2"/>
        <v>0</v>
      </c>
      <c r="F62" s="191">
        <f t="shared" si="3"/>
        <v>0</v>
      </c>
      <c r="G62" s="191">
        <f t="shared" si="4"/>
        <v>9.2086920296010205E-2</v>
      </c>
      <c r="H62" s="191">
        <f t="shared" si="5"/>
        <v>2.5036536915964902</v>
      </c>
    </row>
    <row r="63" spans="1:8">
      <c r="A63" s="189" t="s">
        <v>75</v>
      </c>
      <c r="B63" s="190" t="str">
        <f>VLOOKUP(A63, 'Exit Prices'!$A$3:$B$231, 2,0)</f>
        <v>POWER STATION</v>
      </c>
      <c r="C63" s="191">
        <f t="shared" si="0"/>
        <v>49.279810729716402</v>
      </c>
      <c r="D63" s="191">
        <f t="shared" si="1"/>
        <v>0</v>
      </c>
      <c r="E63" s="191">
        <f t="shared" si="2"/>
        <v>0</v>
      </c>
      <c r="F63" s="191">
        <f t="shared" si="3"/>
        <v>0.26115429329200202</v>
      </c>
      <c r="G63" s="191">
        <f t="shared" si="4"/>
        <v>6.64895970993859E-2</v>
      </c>
      <c r="H63" s="191">
        <f t="shared" si="5"/>
        <v>50.392545379892198</v>
      </c>
    </row>
    <row r="64" spans="1:8">
      <c r="A64" s="189" t="s">
        <v>76</v>
      </c>
      <c r="B64" s="190" t="str">
        <f>VLOOKUP(A64, 'Exit Prices'!$A$3:$B$231, 2,0)</f>
        <v>DNO</v>
      </c>
      <c r="C64" s="191">
        <f t="shared" si="0"/>
        <v>97.404259388107505</v>
      </c>
      <c r="D64" s="191">
        <f t="shared" si="1"/>
        <v>0</v>
      </c>
      <c r="E64" s="191">
        <f t="shared" si="2"/>
        <v>0</v>
      </c>
      <c r="F64" s="191">
        <f t="shared" si="3"/>
        <v>0</v>
      </c>
      <c r="G64" s="191">
        <f t="shared" si="4"/>
        <v>9.2086920296010205E-2</v>
      </c>
      <c r="H64" s="191">
        <f t="shared" si="5"/>
        <v>2.5036536915964902</v>
      </c>
    </row>
    <row r="65" spans="1:8">
      <c r="A65" s="189" t="s">
        <v>77</v>
      </c>
      <c r="B65" s="190" t="str">
        <f>VLOOKUP(A65, 'Exit Prices'!$A$3:$B$231, 2,0)</f>
        <v>DNO</v>
      </c>
      <c r="C65" s="191">
        <f t="shared" si="0"/>
        <v>97.404259388107505</v>
      </c>
      <c r="D65" s="191">
        <f t="shared" si="1"/>
        <v>0</v>
      </c>
      <c r="E65" s="191">
        <f t="shared" si="2"/>
        <v>0</v>
      </c>
      <c r="F65" s="191">
        <f t="shared" si="3"/>
        <v>0</v>
      </c>
      <c r="G65" s="191">
        <f t="shared" si="4"/>
        <v>9.2086920296010205E-2</v>
      </c>
      <c r="H65" s="191">
        <f t="shared" si="5"/>
        <v>2.5036536915964902</v>
      </c>
    </row>
    <row r="66" spans="1:8">
      <c r="A66" s="189" t="s">
        <v>78</v>
      </c>
      <c r="B66" s="190" t="str">
        <f>VLOOKUP(A66, 'Exit Prices'!$A$3:$B$231, 2,0)</f>
        <v>DNO</v>
      </c>
      <c r="C66" s="191">
        <f t="shared" si="0"/>
        <v>97.404259388107505</v>
      </c>
      <c r="D66" s="191">
        <f t="shared" si="1"/>
        <v>0</v>
      </c>
      <c r="E66" s="191">
        <f t="shared" si="2"/>
        <v>0</v>
      </c>
      <c r="F66" s="191">
        <f t="shared" si="3"/>
        <v>0</v>
      </c>
      <c r="G66" s="191">
        <f t="shared" si="4"/>
        <v>9.2086920296010205E-2</v>
      </c>
      <c r="H66" s="191">
        <f t="shared" si="5"/>
        <v>2.5036536915964902</v>
      </c>
    </row>
    <row r="67" spans="1:8">
      <c r="A67" s="189" t="s">
        <v>79</v>
      </c>
      <c r="B67" s="190" t="str">
        <f>VLOOKUP(A67, 'Exit Prices'!$A$3:$B$231, 2,0)</f>
        <v>POWER STATION</v>
      </c>
      <c r="C67" s="191">
        <f t="shared" si="0"/>
        <v>49.279810729716402</v>
      </c>
      <c r="D67" s="191">
        <f t="shared" si="1"/>
        <v>0</v>
      </c>
      <c r="E67" s="191">
        <f t="shared" si="2"/>
        <v>0</v>
      </c>
      <c r="F67" s="191">
        <f t="shared" si="3"/>
        <v>0.26115429329200202</v>
      </c>
      <c r="G67" s="191">
        <f t="shared" si="4"/>
        <v>6.64895970993859E-2</v>
      </c>
      <c r="H67" s="191">
        <f t="shared" si="5"/>
        <v>50.392545379892198</v>
      </c>
    </row>
    <row r="68" spans="1:8">
      <c r="A68" s="189" t="s">
        <v>80</v>
      </c>
      <c r="B68" s="190" t="str">
        <f>VLOOKUP(A68, 'Exit Prices'!$A$3:$B$231, 2,0)</f>
        <v>DNO</v>
      </c>
      <c r="C68" s="191">
        <f t="shared" si="0"/>
        <v>97.404259388107505</v>
      </c>
      <c r="D68" s="191">
        <f t="shared" si="1"/>
        <v>0</v>
      </c>
      <c r="E68" s="191">
        <f t="shared" si="2"/>
        <v>0</v>
      </c>
      <c r="F68" s="191">
        <f t="shared" si="3"/>
        <v>0</v>
      </c>
      <c r="G68" s="191">
        <f t="shared" si="4"/>
        <v>9.2086920296010205E-2</v>
      </c>
      <c r="H68" s="191">
        <f t="shared" si="5"/>
        <v>2.5036536915964902</v>
      </c>
    </row>
    <row r="69" spans="1:8">
      <c r="A69" s="189" t="s">
        <v>81</v>
      </c>
      <c r="B69" s="190" t="str">
        <f>VLOOKUP(A69, 'Exit Prices'!$A$3:$B$231, 2,0)</f>
        <v>DNO</v>
      </c>
      <c r="C69" s="191">
        <f t="shared" si="0"/>
        <v>97.404259388107505</v>
      </c>
      <c r="D69" s="191">
        <f t="shared" si="1"/>
        <v>0</v>
      </c>
      <c r="E69" s="191">
        <f t="shared" si="2"/>
        <v>0</v>
      </c>
      <c r="F69" s="191">
        <f t="shared" si="3"/>
        <v>0</v>
      </c>
      <c r="G69" s="191">
        <f t="shared" si="4"/>
        <v>9.2086920296010205E-2</v>
      </c>
      <c r="H69" s="191">
        <f t="shared" si="5"/>
        <v>2.5036536915964902</v>
      </c>
    </row>
    <row r="70" spans="1:8">
      <c r="A70" s="189" t="s">
        <v>82</v>
      </c>
      <c r="B70" s="190" t="str">
        <f>VLOOKUP(A70, 'Exit Prices'!$A$3:$B$231, 2,0)</f>
        <v>STORAGE SITE</v>
      </c>
      <c r="C70" s="191">
        <f t="shared" si="0"/>
        <v>27.665395475068301</v>
      </c>
      <c r="D70" s="191">
        <f t="shared" si="1"/>
        <v>0</v>
      </c>
      <c r="E70" s="191">
        <f t="shared" si="2"/>
        <v>0</v>
      </c>
      <c r="F70" s="191">
        <f t="shared" si="3"/>
        <v>0</v>
      </c>
      <c r="G70" s="191">
        <f t="shared" si="4"/>
        <v>0.15481302448832299</v>
      </c>
      <c r="H70" s="191">
        <f t="shared" si="5"/>
        <v>72.1797915004434</v>
      </c>
    </row>
    <row r="71" spans="1:8">
      <c r="A71" s="189" t="s">
        <v>83</v>
      </c>
      <c r="B71" s="190" t="str">
        <f>VLOOKUP(A71, 'Exit Prices'!$A$3:$B$231, 2,0)</f>
        <v>POWER STATION</v>
      </c>
      <c r="C71" s="191">
        <f t="shared" si="0"/>
        <v>49.279810729716402</v>
      </c>
      <c r="D71" s="191">
        <f t="shared" si="1"/>
        <v>0</v>
      </c>
      <c r="E71" s="191">
        <f t="shared" si="2"/>
        <v>0</v>
      </c>
      <c r="F71" s="191">
        <f t="shared" si="3"/>
        <v>0.26115429329200202</v>
      </c>
      <c r="G71" s="191">
        <f t="shared" si="4"/>
        <v>6.64895970993859E-2</v>
      </c>
      <c r="H71" s="191">
        <f t="shared" si="5"/>
        <v>50.392545379892198</v>
      </c>
    </row>
    <row r="72" spans="1:8">
      <c r="A72" s="189" t="s">
        <v>84</v>
      </c>
      <c r="B72" s="190" t="str">
        <f>VLOOKUP(A72, 'Exit Prices'!$A$3:$B$231, 2,0)</f>
        <v>POWER STATION</v>
      </c>
      <c r="C72" s="191">
        <f t="shared" si="0"/>
        <v>49.279810729716402</v>
      </c>
      <c r="D72" s="191">
        <f t="shared" si="1"/>
        <v>0</v>
      </c>
      <c r="E72" s="191">
        <f t="shared" si="2"/>
        <v>0</v>
      </c>
      <c r="F72" s="191">
        <f t="shared" si="3"/>
        <v>0.26115429329200202</v>
      </c>
      <c r="G72" s="191">
        <f t="shared" si="4"/>
        <v>6.64895970993859E-2</v>
      </c>
      <c r="H72" s="191">
        <f t="shared" si="5"/>
        <v>50.392545379892198</v>
      </c>
    </row>
    <row r="73" spans="1:8">
      <c r="A73" s="189" t="s">
        <v>85</v>
      </c>
      <c r="B73" s="190" t="str">
        <f>VLOOKUP(A73, 'Exit Prices'!$A$3:$B$231, 2,0)</f>
        <v>DNO</v>
      </c>
      <c r="C73" s="191">
        <f t="shared" si="0"/>
        <v>97.404259388107505</v>
      </c>
      <c r="D73" s="191">
        <f t="shared" si="1"/>
        <v>0</v>
      </c>
      <c r="E73" s="191">
        <f t="shared" si="2"/>
        <v>0</v>
      </c>
      <c r="F73" s="191">
        <f t="shared" si="3"/>
        <v>0</v>
      </c>
      <c r="G73" s="191">
        <f t="shared" si="4"/>
        <v>9.2086920296010205E-2</v>
      </c>
      <c r="H73" s="191">
        <f t="shared" si="5"/>
        <v>2.5036536915964902</v>
      </c>
    </row>
    <row r="74" spans="1:8">
      <c r="A74" s="189" t="s">
        <v>86</v>
      </c>
      <c r="B74" s="190" t="str">
        <f>VLOOKUP(A74, 'Exit Prices'!$A$3:$B$231, 2,0)</f>
        <v>POWER STATION</v>
      </c>
      <c r="C74" s="191">
        <f t="shared" si="0"/>
        <v>49.279810729716402</v>
      </c>
      <c r="D74" s="191">
        <f t="shared" si="1"/>
        <v>0</v>
      </c>
      <c r="E74" s="191">
        <f t="shared" si="2"/>
        <v>0</v>
      </c>
      <c r="F74" s="191">
        <f t="shared" si="3"/>
        <v>0.26115429329200202</v>
      </c>
      <c r="G74" s="191">
        <f t="shared" si="4"/>
        <v>6.64895970993859E-2</v>
      </c>
      <c r="H74" s="191">
        <f t="shared" si="5"/>
        <v>50.392545379892198</v>
      </c>
    </row>
    <row r="75" spans="1:8">
      <c r="A75" s="189" t="s">
        <v>87</v>
      </c>
      <c r="B75" s="190" t="str">
        <f>VLOOKUP(A75, 'Exit Prices'!$A$3:$B$231, 2,0)</f>
        <v>DNO</v>
      </c>
      <c r="C75" s="191">
        <f t="shared" si="0"/>
        <v>97.404259388107505</v>
      </c>
      <c r="D75" s="191">
        <f t="shared" si="1"/>
        <v>0</v>
      </c>
      <c r="E75" s="191">
        <f t="shared" si="2"/>
        <v>0</v>
      </c>
      <c r="F75" s="191">
        <f t="shared" si="3"/>
        <v>0</v>
      </c>
      <c r="G75" s="191">
        <f t="shared" si="4"/>
        <v>9.2086920296010205E-2</v>
      </c>
      <c r="H75" s="191">
        <f t="shared" si="5"/>
        <v>2.5036536915964902</v>
      </c>
    </row>
    <row r="76" spans="1:8">
      <c r="A76" s="189" t="s">
        <v>88</v>
      </c>
      <c r="B76" s="190" t="str">
        <f>VLOOKUP(A76, 'Exit Prices'!$A$3:$B$231, 2,0)</f>
        <v>DNO</v>
      </c>
      <c r="C76" s="191">
        <f t="shared" si="0"/>
        <v>97.404259388107505</v>
      </c>
      <c r="D76" s="191">
        <f t="shared" si="1"/>
        <v>0</v>
      </c>
      <c r="E76" s="191">
        <f t="shared" si="2"/>
        <v>0</v>
      </c>
      <c r="F76" s="191">
        <f t="shared" si="3"/>
        <v>0</v>
      </c>
      <c r="G76" s="191">
        <f t="shared" si="4"/>
        <v>9.2086920296010205E-2</v>
      </c>
      <c r="H76" s="191">
        <f t="shared" si="5"/>
        <v>2.5036536915964902</v>
      </c>
    </row>
    <row r="77" spans="1:8">
      <c r="A77" s="189" t="s">
        <v>89</v>
      </c>
      <c r="B77" s="190" t="str">
        <f>VLOOKUP(A77, 'Exit Prices'!$A$3:$B$231, 2,0)</f>
        <v>DNO</v>
      </c>
      <c r="C77" s="191">
        <f t="shared" ref="C77:C140" si="6">VLOOKUP($B77, $B$4:$H$8, 2, 0)</f>
        <v>97.404259388107505</v>
      </c>
      <c r="D77" s="191">
        <f t="shared" ref="D77:D140" si="7">VLOOKUP($B77, $B$4:$H$8, 3, 0)</f>
        <v>0</v>
      </c>
      <c r="E77" s="191">
        <f t="shared" ref="E77:E140" si="8">VLOOKUP($B77, $B$4:$H$8, 4, 0)</f>
        <v>0</v>
      </c>
      <c r="F77" s="191">
        <f t="shared" ref="F77:F140" si="9">VLOOKUP($B77, $B$4:$H$8, 5, 0)</f>
        <v>0</v>
      </c>
      <c r="G77" s="191">
        <f t="shared" ref="G77:G140" si="10">VLOOKUP($B77, $B$4:$H$8, 6, 0)</f>
        <v>9.2086920296010205E-2</v>
      </c>
      <c r="H77" s="191">
        <f t="shared" ref="H77:H140" si="11">VLOOKUP($B77, $B$4:$H$8, 7, 0)</f>
        <v>2.5036536915964902</v>
      </c>
    </row>
    <row r="78" spans="1:8">
      <c r="A78" s="189" t="s">
        <v>90</v>
      </c>
      <c r="B78" s="190" t="str">
        <f>VLOOKUP(A78, 'Exit Prices'!$A$3:$B$231, 2,0)</f>
        <v>STORAGE SITE</v>
      </c>
      <c r="C78" s="191">
        <f t="shared" si="6"/>
        <v>27.665395475068301</v>
      </c>
      <c r="D78" s="191">
        <f t="shared" si="7"/>
        <v>0</v>
      </c>
      <c r="E78" s="191">
        <f t="shared" si="8"/>
        <v>0</v>
      </c>
      <c r="F78" s="191">
        <f t="shared" si="9"/>
        <v>0</v>
      </c>
      <c r="G78" s="191">
        <f t="shared" si="10"/>
        <v>0.15481302448832299</v>
      </c>
      <c r="H78" s="191">
        <f t="shared" si="11"/>
        <v>72.1797915004434</v>
      </c>
    </row>
    <row r="79" spans="1:8">
      <c r="A79" s="189" t="s">
        <v>91</v>
      </c>
      <c r="B79" s="190" t="str">
        <f>VLOOKUP(A79, 'Exit Prices'!$A$3:$B$231, 2,0)</f>
        <v>POWER STATION</v>
      </c>
      <c r="C79" s="191">
        <f t="shared" si="6"/>
        <v>49.279810729716402</v>
      </c>
      <c r="D79" s="191">
        <f t="shared" si="7"/>
        <v>0</v>
      </c>
      <c r="E79" s="191">
        <f t="shared" si="8"/>
        <v>0</v>
      </c>
      <c r="F79" s="191">
        <f t="shared" si="9"/>
        <v>0.26115429329200202</v>
      </c>
      <c r="G79" s="191">
        <f t="shared" si="10"/>
        <v>6.64895970993859E-2</v>
      </c>
      <c r="H79" s="191">
        <f t="shared" si="11"/>
        <v>50.392545379892198</v>
      </c>
    </row>
    <row r="80" spans="1:8">
      <c r="A80" s="189" t="s">
        <v>92</v>
      </c>
      <c r="B80" s="190" t="str">
        <f>VLOOKUP(A80, 'Exit Prices'!$A$3:$B$231, 2,0)</f>
        <v>POWER STATION</v>
      </c>
      <c r="C80" s="191">
        <f t="shared" si="6"/>
        <v>49.279810729716402</v>
      </c>
      <c r="D80" s="191">
        <f t="shared" si="7"/>
        <v>0</v>
      </c>
      <c r="E80" s="191">
        <f t="shared" si="8"/>
        <v>0</v>
      </c>
      <c r="F80" s="191">
        <f t="shared" si="9"/>
        <v>0.26115429329200202</v>
      </c>
      <c r="G80" s="191">
        <f t="shared" si="10"/>
        <v>6.64895970993859E-2</v>
      </c>
      <c r="H80" s="191">
        <f t="shared" si="11"/>
        <v>50.392545379892198</v>
      </c>
    </row>
    <row r="81" spans="1:8">
      <c r="A81" s="189" t="s">
        <v>93</v>
      </c>
      <c r="B81" s="190" t="str">
        <f>VLOOKUP(A81, 'Exit Prices'!$A$3:$B$231, 2,0)</f>
        <v>DNO</v>
      </c>
      <c r="C81" s="191">
        <f t="shared" si="6"/>
        <v>97.404259388107505</v>
      </c>
      <c r="D81" s="191">
        <f t="shared" si="7"/>
        <v>0</v>
      </c>
      <c r="E81" s="191">
        <f t="shared" si="8"/>
        <v>0</v>
      </c>
      <c r="F81" s="191">
        <f t="shared" si="9"/>
        <v>0</v>
      </c>
      <c r="G81" s="191">
        <f t="shared" si="10"/>
        <v>9.2086920296010205E-2</v>
      </c>
      <c r="H81" s="191">
        <f t="shared" si="11"/>
        <v>2.5036536915964902</v>
      </c>
    </row>
    <row r="82" spans="1:8">
      <c r="A82" s="189" t="s">
        <v>94</v>
      </c>
      <c r="B82" s="190" t="str">
        <f>VLOOKUP(A82, 'Exit Prices'!$A$3:$B$231, 2,0)</f>
        <v>DNO</v>
      </c>
      <c r="C82" s="191">
        <f t="shared" si="6"/>
        <v>97.404259388107505</v>
      </c>
      <c r="D82" s="191">
        <f t="shared" si="7"/>
        <v>0</v>
      </c>
      <c r="E82" s="191">
        <f t="shared" si="8"/>
        <v>0</v>
      </c>
      <c r="F82" s="191">
        <f t="shared" si="9"/>
        <v>0</v>
      </c>
      <c r="G82" s="191">
        <f t="shared" si="10"/>
        <v>9.2086920296010205E-2</v>
      </c>
      <c r="H82" s="191">
        <f t="shared" si="11"/>
        <v>2.5036536915964902</v>
      </c>
    </row>
    <row r="83" spans="1:8">
      <c r="A83" s="189" t="s">
        <v>95</v>
      </c>
      <c r="B83" s="190" t="str">
        <f>VLOOKUP(A83, 'Exit Prices'!$A$3:$B$231, 2,0)</f>
        <v>DNO</v>
      </c>
      <c r="C83" s="191">
        <f t="shared" si="6"/>
        <v>97.404259388107505</v>
      </c>
      <c r="D83" s="191">
        <f t="shared" si="7"/>
        <v>0</v>
      </c>
      <c r="E83" s="191">
        <f t="shared" si="8"/>
        <v>0</v>
      </c>
      <c r="F83" s="191">
        <f t="shared" si="9"/>
        <v>0</v>
      </c>
      <c r="G83" s="191">
        <f t="shared" si="10"/>
        <v>9.2086920296010205E-2</v>
      </c>
      <c r="H83" s="191">
        <f t="shared" si="11"/>
        <v>2.5036536915964902</v>
      </c>
    </row>
    <row r="84" spans="1:8">
      <c r="A84" s="189" t="s">
        <v>96</v>
      </c>
      <c r="B84" s="190" t="str">
        <f>VLOOKUP(A84, 'Exit Prices'!$A$3:$B$231, 2,0)</f>
        <v>POWER STATION</v>
      </c>
      <c r="C84" s="191">
        <f t="shared" si="6"/>
        <v>49.279810729716402</v>
      </c>
      <c r="D84" s="191">
        <f t="shared" si="7"/>
        <v>0</v>
      </c>
      <c r="E84" s="191">
        <f t="shared" si="8"/>
        <v>0</v>
      </c>
      <c r="F84" s="191">
        <f t="shared" si="9"/>
        <v>0.26115429329200202</v>
      </c>
      <c r="G84" s="191">
        <f t="shared" si="10"/>
        <v>6.64895970993859E-2</v>
      </c>
      <c r="H84" s="191">
        <f t="shared" si="11"/>
        <v>50.392545379892198</v>
      </c>
    </row>
    <row r="85" spans="1:8">
      <c r="A85" s="189" t="s">
        <v>97</v>
      </c>
      <c r="B85" s="190" t="str">
        <f>VLOOKUP(A85, 'Exit Prices'!$A$3:$B$231, 2,0)</f>
        <v>POWER STATION</v>
      </c>
      <c r="C85" s="191">
        <f t="shared" si="6"/>
        <v>49.279810729716402</v>
      </c>
      <c r="D85" s="191">
        <f t="shared" si="7"/>
        <v>0</v>
      </c>
      <c r="E85" s="191">
        <f t="shared" si="8"/>
        <v>0</v>
      </c>
      <c r="F85" s="191">
        <f t="shared" si="9"/>
        <v>0.26115429329200202</v>
      </c>
      <c r="G85" s="191">
        <f t="shared" si="10"/>
        <v>6.64895970993859E-2</v>
      </c>
      <c r="H85" s="191">
        <f t="shared" si="11"/>
        <v>50.392545379892198</v>
      </c>
    </row>
    <row r="86" spans="1:8">
      <c r="A86" s="189" t="s">
        <v>98</v>
      </c>
      <c r="B86" s="190" t="str">
        <f>VLOOKUP(A86, 'Exit Prices'!$A$3:$B$231, 2,0)</f>
        <v>DNO</v>
      </c>
      <c r="C86" s="191">
        <f t="shared" si="6"/>
        <v>97.404259388107505</v>
      </c>
      <c r="D86" s="191">
        <f t="shared" si="7"/>
        <v>0</v>
      </c>
      <c r="E86" s="191">
        <f t="shared" si="8"/>
        <v>0</v>
      </c>
      <c r="F86" s="191">
        <f t="shared" si="9"/>
        <v>0</v>
      </c>
      <c r="G86" s="191">
        <f t="shared" si="10"/>
        <v>9.2086920296010205E-2</v>
      </c>
      <c r="H86" s="191">
        <f t="shared" si="11"/>
        <v>2.5036536915964902</v>
      </c>
    </row>
    <row r="87" spans="1:8">
      <c r="A87" s="189" t="s">
        <v>99</v>
      </c>
      <c r="B87" s="190" t="str">
        <f>VLOOKUP(A87, 'Exit Prices'!$A$3:$B$231, 2,0)</f>
        <v>DNO</v>
      </c>
      <c r="C87" s="191">
        <f t="shared" si="6"/>
        <v>97.404259388107505</v>
      </c>
      <c r="D87" s="191">
        <f t="shared" si="7"/>
        <v>0</v>
      </c>
      <c r="E87" s="191">
        <f t="shared" si="8"/>
        <v>0</v>
      </c>
      <c r="F87" s="191">
        <f t="shared" si="9"/>
        <v>0</v>
      </c>
      <c r="G87" s="191">
        <f t="shared" si="10"/>
        <v>9.2086920296010205E-2</v>
      </c>
      <c r="H87" s="191">
        <f t="shared" si="11"/>
        <v>2.5036536915964902</v>
      </c>
    </row>
    <row r="88" spans="1:8">
      <c r="A88" s="189" t="s">
        <v>100</v>
      </c>
      <c r="B88" s="190" t="str">
        <f>VLOOKUP(A88, 'Exit Prices'!$A$3:$B$231, 2,0)</f>
        <v>DNO</v>
      </c>
      <c r="C88" s="191">
        <f t="shared" si="6"/>
        <v>97.404259388107505</v>
      </c>
      <c r="D88" s="191">
        <f t="shared" si="7"/>
        <v>0</v>
      </c>
      <c r="E88" s="191">
        <f t="shared" si="8"/>
        <v>0</v>
      </c>
      <c r="F88" s="191">
        <f t="shared" si="9"/>
        <v>0</v>
      </c>
      <c r="G88" s="191">
        <f t="shared" si="10"/>
        <v>9.2086920296010205E-2</v>
      </c>
      <c r="H88" s="191">
        <f t="shared" si="11"/>
        <v>2.5036536915964902</v>
      </c>
    </row>
    <row r="89" spans="1:8">
      <c r="A89" s="189" t="s">
        <v>101</v>
      </c>
      <c r="B89" s="190" t="str">
        <f>VLOOKUP(A89, 'Exit Prices'!$A$3:$B$231, 2,0)</f>
        <v>INDUSTRIAL</v>
      </c>
      <c r="C89" s="191">
        <f t="shared" si="6"/>
        <v>75.570686103107803</v>
      </c>
      <c r="D89" s="191">
        <f t="shared" si="7"/>
        <v>0</v>
      </c>
      <c r="E89" s="191">
        <f t="shared" si="8"/>
        <v>0</v>
      </c>
      <c r="F89" s="191">
        <f t="shared" si="9"/>
        <v>2.6249619891495798E-3</v>
      </c>
      <c r="G89" s="191">
        <f t="shared" si="10"/>
        <v>9.4296711456373195E-2</v>
      </c>
      <c r="H89" s="191">
        <f t="shared" si="11"/>
        <v>24.3323922234467</v>
      </c>
    </row>
    <row r="90" spans="1:8">
      <c r="A90" s="189" t="s">
        <v>102</v>
      </c>
      <c r="B90" s="190" t="str">
        <f>VLOOKUP(A90, 'Exit Prices'!$A$3:$B$231, 2,0)</f>
        <v>DNO</v>
      </c>
      <c r="C90" s="191">
        <f t="shared" si="6"/>
        <v>97.404259388107505</v>
      </c>
      <c r="D90" s="191">
        <f t="shared" si="7"/>
        <v>0</v>
      </c>
      <c r="E90" s="191">
        <f t="shared" si="8"/>
        <v>0</v>
      </c>
      <c r="F90" s="191">
        <f t="shared" si="9"/>
        <v>0</v>
      </c>
      <c r="G90" s="191">
        <f t="shared" si="10"/>
        <v>9.2086920296010205E-2</v>
      </c>
      <c r="H90" s="191">
        <f t="shared" si="11"/>
        <v>2.5036536915964902</v>
      </c>
    </row>
    <row r="91" spans="1:8">
      <c r="A91" s="189" t="s">
        <v>103</v>
      </c>
      <c r="B91" s="190" t="str">
        <f>VLOOKUP(A91, 'Exit Prices'!$A$3:$B$231, 2,0)</f>
        <v>DNO</v>
      </c>
      <c r="C91" s="191">
        <f t="shared" si="6"/>
        <v>97.404259388107505</v>
      </c>
      <c r="D91" s="191">
        <f t="shared" si="7"/>
        <v>0</v>
      </c>
      <c r="E91" s="191">
        <f t="shared" si="8"/>
        <v>0</v>
      </c>
      <c r="F91" s="191">
        <f t="shared" si="9"/>
        <v>0</v>
      </c>
      <c r="G91" s="191">
        <f t="shared" si="10"/>
        <v>9.2086920296010205E-2</v>
      </c>
      <c r="H91" s="191">
        <f t="shared" si="11"/>
        <v>2.5036536915964902</v>
      </c>
    </row>
    <row r="92" spans="1:8">
      <c r="A92" s="189" t="s">
        <v>104</v>
      </c>
      <c r="B92" s="190" t="str">
        <f>VLOOKUP(A92, 'Exit Prices'!$A$3:$B$231, 2,0)</f>
        <v>STORAGE SITE</v>
      </c>
      <c r="C92" s="191">
        <f t="shared" si="6"/>
        <v>27.665395475068301</v>
      </c>
      <c r="D92" s="191">
        <f t="shared" si="7"/>
        <v>0</v>
      </c>
      <c r="E92" s="191">
        <f t="shared" si="8"/>
        <v>0</v>
      </c>
      <c r="F92" s="191">
        <f t="shared" si="9"/>
        <v>0</v>
      </c>
      <c r="G92" s="191">
        <f t="shared" si="10"/>
        <v>0.15481302448832299</v>
      </c>
      <c r="H92" s="191">
        <f t="shared" si="11"/>
        <v>72.1797915004434</v>
      </c>
    </row>
    <row r="93" spans="1:8">
      <c r="A93" s="189" t="s">
        <v>105</v>
      </c>
      <c r="B93" s="190" t="str">
        <f>VLOOKUP(A93, 'Exit Prices'!$A$3:$B$231, 2,0)</f>
        <v>DNO</v>
      </c>
      <c r="C93" s="191">
        <f t="shared" si="6"/>
        <v>97.404259388107505</v>
      </c>
      <c r="D93" s="191">
        <f t="shared" si="7"/>
        <v>0</v>
      </c>
      <c r="E93" s="191">
        <f t="shared" si="8"/>
        <v>0</v>
      </c>
      <c r="F93" s="191">
        <f t="shared" si="9"/>
        <v>0</v>
      </c>
      <c r="G93" s="191">
        <f t="shared" si="10"/>
        <v>9.2086920296010205E-2</v>
      </c>
      <c r="H93" s="191">
        <f t="shared" si="11"/>
        <v>2.5036536915964902</v>
      </c>
    </row>
    <row r="94" spans="1:8">
      <c r="A94" s="189" t="s">
        <v>12</v>
      </c>
      <c r="B94" s="190" t="str">
        <f>VLOOKUP(A94, 'Exit Prices'!$A$3:$B$231, 2,0)</f>
        <v>DNO</v>
      </c>
      <c r="C94" s="191">
        <f t="shared" si="6"/>
        <v>97.404259388107505</v>
      </c>
      <c r="D94" s="191">
        <f t="shared" si="7"/>
        <v>0</v>
      </c>
      <c r="E94" s="191">
        <f t="shared" si="8"/>
        <v>0</v>
      </c>
      <c r="F94" s="191">
        <f t="shared" si="9"/>
        <v>0</v>
      </c>
      <c r="G94" s="191">
        <f t="shared" si="10"/>
        <v>9.2086920296010205E-2</v>
      </c>
      <c r="H94" s="191">
        <f t="shared" si="11"/>
        <v>2.5036536915964902</v>
      </c>
    </row>
    <row r="95" spans="1:8">
      <c r="A95" s="189" t="s">
        <v>106</v>
      </c>
      <c r="B95" s="190" t="str">
        <f>VLOOKUP(A95, 'Exit Prices'!$A$3:$B$231, 2,0)</f>
        <v>STORAGE SITE</v>
      </c>
      <c r="C95" s="191">
        <f t="shared" si="6"/>
        <v>27.665395475068301</v>
      </c>
      <c r="D95" s="191">
        <f t="shared" si="7"/>
        <v>0</v>
      </c>
      <c r="E95" s="191">
        <f t="shared" si="8"/>
        <v>0</v>
      </c>
      <c r="F95" s="191">
        <f t="shared" si="9"/>
        <v>0</v>
      </c>
      <c r="G95" s="191">
        <f t="shared" si="10"/>
        <v>0.15481302448832299</v>
      </c>
      <c r="H95" s="191">
        <f t="shared" si="11"/>
        <v>72.1797915004434</v>
      </c>
    </row>
    <row r="96" spans="1:8">
      <c r="A96" s="189" t="s">
        <v>107</v>
      </c>
      <c r="B96" s="190" t="str">
        <f>VLOOKUP(A96, 'Exit Prices'!$A$3:$B$231, 2,0)</f>
        <v>INDUSTRIAL</v>
      </c>
      <c r="C96" s="191">
        <f t="shared" si="6"/>
        <v>75.570686103107803</v>
      </c>
      <c r="D96" s="191">
        <f t="shared" si="7"/>
        <v>0</v>
      </c>
      <c r="E96" s="191">
        <f t="shared" si="8"/>
        <v>0</v>
      </c>
      <c r="F96" s="191">
        <f t="shared" si="9"/>
        <v>2.6249619891495798E-3</v>
      </c>
      <c r="G96" s="191">
        <f t="shared" si="10"/>
        <v>9.4296711456373195E-2</v>
      </c>
      <c r="H96" s="191">
        <f t="shared" si="11"/>
        <v>24.3323922234467</v>
      </c>
    </row>
    <row r="97" spans="1:8">
      <c r="A97" s="189" t="s">
        <v>108</v>
      </c>
      <c r="B97" s="190" t="str">
        <f>VLOOKUP(A97, 'Exit Prices'!$A$3:$B$231, 2,0)</f>
        <v>DNO</v>
      </c>
      <c r="C97" s="191">
        <f t="shared" si="6"/>
        <v>97.404259388107505</v>
      </c>
      <c r="D97" s="191">
        <f t="shared" si="7"/>
        <v>0</v>
      </c>
      <c r="E97" s="191">
        <f t="shared" si="8"/>
        <v>0</v>
      </c>
      <c r="F97" s="191">
        <f t="shared" si="9"/>
        <v>0</v>
      </c>
      <c r="G97" s="191">
        <f t="shared" si="10"/>
        <v>9.2086920296010205E-2</v>
      </c>
      <c r="H97" s="191">
        <f t="shared" si="11"/>
        <v>2.5036536915964902</v>
      </c>
    </row>
    <row r="98" spans="1:8">
      <c r="A98" s="189" t="s">
        <v>109</v>
      </c>
      <c r="B98" s="190" t="str">
        <f>VLOOKUP(A98, 'Exit Prices'!$A$3:$B$231, 2,0)</f>
        <v>POWER STATION</v>
      </c>
      <c r="C98" s="191">
        <f t="shared" si="6"/>
        <v>49.279810729716402</v>
      </c>
      <c r="D98" s="191">
        <f t="shared" si="7"/>
        <v>0</v>
      </c>
      <c r="E98" s="191">
        <f t="shared" si="8"/>
        <v>0</v>
      </c>
      <c r="F98" s="191">
        <f t="shared" si="9"/>
        <v>0.26115429329200202</v>
      </c>
      <c r="G98" s="191">
        <f t="shared" si="10"/>
        <v>6.64895970993859E-2</v>
      </c>
      <c r="H98" s="191">
        <f t="shared" si="11"/>
        <v>50.392545379892198</v>
      </c>
    </row>
    <row r="99" spans="1:8">
      <c r="A99" s="189" t="s">
        <v>110</v>
      </c>
      <c r="B99" s="190" t="str">
        <f>VLOOKUP(A99, 'Exit Prices'!$A$3:$B$231, 2,0)</f>
        <v>POWER STATION</v>
      </c>
      <c r="C99" s="191">
        <f t="shared" si="6"/>
        <v>49.279810729716402</v>
      </c>
      <c r="D99" s="191">
        <f t="shared" si="7"/>
        <v>0</v>
      </c>
      <c r="E99" s="191">
        <f t="shared" si="8"/>
        <v>0</v>
      </c>
      <c r="F99" s="191">
        <f t="shared" si="9"/>
        <v>0.26115429329200202</v>
      </c>
      <c r="G99" s="191">
        <f t="shared" si="10"/>
        <v>6.64895970993859E-2</v>
      </c>
      <c r="H99" s="191">
        <f t="shared" si="11"/>
        <v>50.392545379892198</v>
      </c>
    </row>
    <row r="100" spans="1:8">
      <c r="A100" s="189" t="s">
        <v>111</v>
      </c>
      <c r="B100" s="190" t="str">
        <f>VLOOKUP(A100, 'Exit Prices'!$A$3:$B$231, 2,0)</f>
        <v>DNO</v>
      </c>
      <c r="C100" s="191">
        <f t="shared" si="6"/>
        <v>97.404259388107505</v>
      </c>
      <c r="D100" s="191">
        <f t="shared" si="7"/>
        <v>0</v>
      </c>
      <c r="E100" s="191">
        <f t="shared" si="8"/>
        <v>0</v>
      </c>
      <c r="F100" s="191">
        <f t="shared" si="9"/>
        <v>0</v>
      </c>
      <c r="G100" s="191">
        <f t="shared" si="10"/>
        <v>9.2086920296010205E-2</v>
      </c>
      <c r="H100" s="191">
        <f t="shared" si="11"/>
        <v>2.5036536915964902</v>
      </c>
    </row>
    <row r="101" spans="1:8">
      <c r="A101" s="189" t="s">
        <v>112</v>
      </c>
      <c r="B101" s="190" t="str">
        <f>VLOOKUP(A101, 'Exit Prices'!$A$3:$B$231, 2,0)</f>
        <v>DNO</v>
      </c>
      <c r="C101" s="191">
        <f t="shared" si="6"/>
        <v>97.404259388107505</v>
      </c>
      <c r="D101" s="191">
        <f t="shared" si="7"/>
        <v>0</v>
      </c>
      <c r="E101" s="191">
        <f t="shared" si="8"/>
        <v>0</v>
      </c>
      <c r="F101" s="191">
        <f t="shared" si="9"/>
        <v>0</v>
      </c>
      <c r="G101" s="191">
        <f t="shared" si="10"/>
        <v>9.2086920296010205E-2</v>
      </c>
      <c r="H101" s="191">
        <f t="shared" si="11"/>
        <v>2.5036536915964902</v>
      </c>
    </row>
    <row r="102" spans="1:8">
      <c r="A102" s="189" t="s">
        <v>113</v>
      </c>
      <c r="B102" s="190" t="str">
        <f>VLOOKUP(A102, 'Exit Prices'!$A$3:$B$231, 2,0)</f>
        <v>DNO</v>
      </c>
      <c r="C102" s="191">
        <f t="shared" si="6"/>
        <v>97.404259388107505</v>
      </c>
      <c r="D102" s="191">
        <f t="shared" si="7"/>
        <v>0</v>
      </c>
      <c r="E102" s="191">
        <f t="shared" si="8"/>
        <v>0</v>
      </c>
      <c r="F102" s="191">
        <f t="shared" si="9"/>
        <v>0</v>
      </c>
      <c r="G102" s="191">
        <f t="shared" si="10"/>
        <v>9.2086920296010205E-2</v>
      </c>
      <c r="H102" s="191">
        <f t="shared" si="11"/>
        <v>2.5036536915964902</v>
      </c>
    </row>
    <row r="103" spans="1:8">
      <c r="A103" s="189" t="s">
        <v>114</v>
      </c>
      <c r="B103" s="190" t="str">
        <f>VLOOKUP(A103, 'Exit Prices'!$A$3:$B$231, 2,0)</f>
        <v>INDUSTRIAL</v>
      </c>
      <c r="C103" s="191">
        <f t="shared" si="6"/>
        <v>75.570686103107803</v>
      </c>
      <c r="D103" s="191">
        <f t="shared" si="7"/>
        <v>0</v>
      </c>
      <c r="E103" s="191">
        <f t="shared" si="8"/>
        <v>0</v>
      </c>
      <c r="F103" s="191">
        <f t="shared" si="9"/>
        <v>2.6249619891495798E-3</v>
      </c>
      <c r="G103" s="191">
        <f t="shared" si="10"/>
        <v>9.4296711456373195E-2</v>
      </c>
      <c r="H103" s="191">
        <f t="shared" si="11"/>
        <v>24.3323922234467</v>
      </c>
    </row>
    <row r="104" spans="1:8">
      <c r="A104" s="189" t="s">
        <v>115</v>
      </c>
      <c r="B104" s="190" t="str">
        <f>VLOOKUP(A104, 'Exit Prices'!$A$3:$B$231, 2,0)</f>
        <v>STORAGE SITE</v>
      </c>
      <c r="C104" s="191">
        <f t="shared" si="6"/>
        <v>27.665395475068301</v>
      </c>
      <c r="D104" s="191">
        <f t="shared" si="7"/>
        <v>0</v>
      </c>
      <c r="E104" s="191">
        <f t="shared" si="8"/>
        <v>0</v>
      </c>
      <c r="F104" s="191">
        <f t="shared" si="9"/>
        <v>0</v>
      </c>
      <c r="G104" s="191">
        <f t="shared" si="10"/>
        <v>0.15481302448832299</v>
      </c>
      <c r="H104" s="191">
        <f t="shared" si="11"/>
        <v>72.1797915004434</v>
      </c>
    </row>
    <row r="105" spans="1:8">
      <c r="A105" s="189" t="s">
        <v>116</v>
      </c>
      <c r="B105" s="190" t="str">
        <f>VLOOKUP(A105, 'Exit Prices'!$A$3:$B$231, 2,0)</f>
        <v>POWER STATION</v>
      </c>
      <c r="C105" s="191">
        <f t="shared" si="6"/>
        <v>49.279810729716402</v>
      </c>
      <c r="D105" s="191">
        <f t="shared" si="7"/>
        <v>0</v>
      </c>
      <c r="E105" s="191">
        <f t="shared" si="8"/>
        <v>0</v>
      </c>
      <c r="F105" s="191">
        <f t="shared" si="9"/>
        <v>0.26115429329200202</v>
      </c>
      <c r="G105" s="191">
        <f t="shared" si="10"/>
        <v>6.64895970993859E-2</v>
      </c>
      <c r="H105" s="191">
        <f t="shared" si="11"/>
        <v>50.392545379892198</v>
      </c>
    </row>
    <row r="106" spans="1:8">
      <c r="A106" s="189" t="s">
        <v>117</v>
      </c>
      <c r="B106" s="190" t="str">
        <f>VLOOKUP(A106, 'Exit Prices'!$A$3:$B$231, 2,0)</f>
        <v>STORAGE SITE</v>
      </c>
      <c r="C106" s="191">
        <f t="shared" si="6"/>
        <v>27.665395475068301</v>
      </c>
      <c r="D106" s="191">
        <f t="shared" si="7"/>
        <v>0</v>
      </c>
      <c r="E106" s="191">
        <f t="shared" si="8"/>
        <v>0</v>
      </c>
      <c r="F106" s="191">
        <f t="shared" si="9"/>
        <v>0</v>
      </c>
      <c r="G106" s="191">
        <f t="shared" si="10"/>
        <v>0.15481302448832299</v>
      </c>
      <c r="H106" s="191">
        <f t="shared" si="11"/>
        <v>72.1797915004434</v>
      </c>
    </row>
    <row r="107" spans="1:8">
      <c r="A107" s="189" t="s">
        <v>118</v>
      </c>
      <c r="B107" s="190" t="str">
        <f>VLOOKUP(A107, 'Exit Prices'!$A$3:$B$231, 2,0)</f>
        <v>STORAGE SITE</v>
      </c>
      <c r="C107" s="191">
        <f t="shared" si="6"/>
        <v>27.665395475068301</v>
      </c>
      <c r="D107" s="191">
        <f t="shared" si="7"/>
        <v>0</v>
      </c>
      <c r="E107" s="191">
        <f t="shared" si="8"/>
        <v>0</v>
      </c>
      <c r="F107" s="191">
        <f t="shared" si="9"/>
        <v>0</v>
      </c>
      <c r="G107" s="191">
        <f t="shared" si="10"/>
        <v>0.15481302448832299</v>
      </c>
      <c r="H107" s="191">
        <f t="shared" si="11"/>
        <v>72.1797915004434</v>
      </c>
    </row>
    <row r="108" spans="1:8">
      <c r="A108" s="189" t="s">
        <v>119</v>
      </c>
      <c r="B108" s="190" t="str">
        <f>VLOOKUP(A108, 'Exit Prices'!$A$3:$B$231, 2,0)</f>
        <v>STORAGE SITE</v>
      </c>
      <c r="C108" s="191">
        <f t="shared" si="6"/>
        <v>27.665395475068301</v>
      </c>
      <c r="D108" s="191">
        <f t="shared" si="7"/>
        <v>0</v>
      </c>
      <c r="E108" s="191">
        <f t="shared" si="8"/>
        <v>0</v>
      </c>
      <c r="F108" s="191">
        <f t="shared" si="9"/>
        <v>0</v>
      </c>
      <c r="G108" s="191">
        <f t="shared" si="10"/>
        <v>0.15481302448832299</v>
      </c>
      <c r="H108" s="191">
        <f t="shared" si="11"/>
        <v>72.1797915004434</v>
      </c>
    </row>
    <row r="109" spans="1:8">
      <c r="A109" s="189" t="s">
        <v>120</v>
      </c>
      <c r="B109" s="190" t="str">
        <f>VLOOKUP(A109, 'Exit Prices'!$A$3:$B$231, 2,0)</f>
        <v>INDUSTRIAL</v>
      </c>
      <c r="C109" s="191">
        <f t="shared" si="6"/>
        <v>75.570686103107803</v>
      </c>
      <c r="D109" s="191">
        <f t="shared" si="7"/>
        <v>0</v>
      </c>
      <c r="E109" s="191">
        <f t="shared" si="8"/>
        <v>0</v>
      </c>
      <c r="F109" s="191">
        <f t="shared" si="9"/>
        <v>2.6249619891495798E-3</v>
      </c>
      <c r="G109" s="191">
        <f t="shared" si="10"/>
        <v>9.4296711456373195E-2</v>
      </c>
      <c r="H109" s="191">
        <f t="shared" si="11"/>
        <v>24.3323922234467</v>
      </c>
    </row>
    <row r="110" spans="1:8">
      <c r="A110" s="189" t="s">
        <v>121</v>
      </c>
      <c r="B110" s="190" t="str">
        <f>VLOOKUP(A110, 'Exit Prices'!$A$3:$B$231, 2,0)</f>
        <v>DNO</v>
      </c>
      <c r="C110" s="191">
        <f t="shared" si="6"/>
        <v>97.404259388107505</v>
      </c>
      <c r="D110" s="191">
        <f t="shared" si="7"/>
        <v>0</v>
      </c>
      <c r="E110" s="191">
        <f t="shared" si="8"/>
        <v>0</v>
      </c>
      <c r="F110" s="191">
        <f t="shared" si="9"/>
        <v>0</v>
      </c>
      <c r="G110" s="191">
        <f t="shared" si="10"/>
        <v>9.2086920296010205E-2</v>
      </c>
      <c r="H110" s="191">
        <f t="shared" si="11"/>
        <v>2.5036536915964902</v>
      </c>
    </row>
    <row r="111" spans="1:8">
      <c r="A111" s="189" t="s">
        <v>122</v>
      </c>
      <c r="B111" s="190" t="str">
        <f>VLOOKUP(A111, 'Exit Prices'!$A$3:$B$231, 2,0)</f>
        <v>DNO</v>
      </c>
      <c r="C111" s="191">
        <f t="shared" si="6"/>
        <v>97.404259388107505</v>
      </c>
      <c r="D111" s="191">
        <f t="shared" si="7"/>
        <v>0</v>
      </c>
      <c r="E111" s="191">
        <f t="shared" si="8"/>
        <v>0</v>
      </c>
      <c r="F111" s="191">
        <f t="shared" si="9"/>
        <v>0</v>
      </c>
      <c r="G111" s="191">
        <f t="shared" si="10"/>
        <v>9.2086920296010205E-2</v>
      </c>
      <c r="H111" s="191">
        <f t="shared" si="11"/>
        <v>2.5036536915964902</v>
      </c>
    </row>
    <row r="112" spans="1:8">
      <c r="A112" s="189" t="s">
        <v>123</v>
      </c>
      <c r="B112" s="190" t="str">
        <f>VLOOKUP(A112, 'Exit Prices'!$A$3:$B$231, 2,0)</f>
        <v>STORAGE SITE</v>
      </c>
      <c r="C112" s="191">
        <f t="shared" si="6"/>
        <v>27.665395475068301</v>
      </c>
      <c r="D112" s="191">
        <f t="shared" si="7"/>
        <v>0</v>
      </c>
      <c r="E112" s="191">
        <f t="shared" si="8"/>
        <v>0</v>
      </c>
      <c r="F112" s="191">
        <f t="shared" si="9"/>
        <v>0</v>
      </c>
      <c r="G112" s="191">
        <f t="shared" si="10"/>
        <v>0.15481302448832299</v>
      </c>
      <c r="H112" s="191">
        <f t="shared" si="11"/>
        <v>72.1797915004434</v>
      </c>
    </row>
    <row r="113" spans="1:8">
      <c r="A113" s="189" t="s">
        <v>124</v>
      </c>
      <c r="B113" s="190" t="str">
        <f>VLOOKUP(A113, 'Exit Prices'!$A$3:$B$231, 2,0)</f>
        <v>DNO</v>
      </c>
      <c r="C113" s="191">
        <f t="shared" si="6"/>
        <v>97.404259388107505</v>
      </c>
      <c r="D113" s="191">
        <f t="shared" si="7"/>
        <v>0</v>
      </c>
      <c r="E113" s="191">
        <f t="shared" si="8"/>
        <v>0</v>
      </c>
      <c r="F113" s="191">
        <f t="shared" si="9"/>
        <v>0</v>
      </c>
      <c r="G113" s="191">
        <f t="shared" si="10"/>
        <v>9.2086920296010205E-2</v>
      </c>
      <c r="H113" s="191">
        <f t="shared" si="11"/>
        <v>2.5036536915964902</v>
      </c>
    </row>
    <row r="114" spans="1:8">
      <c r="A114" s="189" t="s">
        <v>125</v>
      </c>
      <c r="B114" s="190" t="str">
        <f>VLOOKUP(A114, 'Exit Prices'!$A$3:$B$231, 2,0)</f>
        <v>DNO</v>
      </c>
      <c r="C114" s="191">
        <f t="shared" si="6"/>
        <v>97.404259388107505</v>
      </c>
      <c r="D114" s="191">
        <f t="shared" si="7"/>
        <v>0</v>
      </c>
      <c r="E114" s="191">
        <f t="shared" si="8"/>
        <v>0</v>
      </c>
      <c r="F114" s="191">
        <f t="shared" si="9"/>
        <v>0</v>
      </c>
      <c r="G114" s="191">
        <f t="shared" si="10"/>
        <v>9.2086920296010205E-2</v>
      </c>
      <c r="H114" s="191">
        <f t="shared" si="11"/>
        <v>2.5036536915964902</v>
      </c>
    </row>
    <row r="115" spans="1:8">
      <c r="A115" s="189" t="s">
        <v>126</v>
      </c>
      <c r="B115" s="190" t="str">
        <f>VLOOKUP(A115, 'Exit Prices'!$A$3:$B$231, 2,0)</f>
        <v>DNO</v>
      </c>
      <c r="C115" s="191">
        <f t="shared" si="6"/>
        <v>97.404259388107505</v>
      </c>
      <c r="D115" s="191">
        <f t="shared" si="7"/>
        <v>0</v>
      </c>
      <c r="E115" s="191">
        <f t="shared" si="8"/>
        <v>0</v>
      </c>
      <c r="F115" s="191">
        <f t="shared" si="9"/>
        <v>0</v>
      </c>
      <c r="G115" s="191">
        <f t="shared" si="10"/>
        <v>9.2086920296010205E-2</v>
      </c>
      <c r="H115" s="191">
        <f t="shared" si="11"/>
        <v>2.5036536915964902</v>
      </c>
    </row>
    <row r="116" spans="1:8">
      <c r="A116" s="189" t="s">
        <v>127</v>
      </c>
      <c r="B116" s="190" t="str">
        <f>VLOOKUP(A116, 'Exit Prices'!$A$3:$B$231, 2,0)</f>
        <v>DNO</v>
      </c>
      <c r="C116" s="191">
        <f t="shared" si="6"/>
        <v>97.404259388107505</v>
      </c>
      <c r="D116" s="191">
        <f t="shared" si="7"/>
        <v>0</v>
      </c>
      <c r="E116" s="191">
        <f t="shared" si="8"/>
        <v>0</v>
      </c>
      <c r="F116" s="191">
        <f t="shared" si="9"/>
        <v>0</v>
      </c>
      <c r="G116" s="191">
        <f t="shared" si="10"/>
        <v>9.2086920296010205E-2</v>
      </c>
      <c r="H116" s="191">
        <f t="shared" si="11"/>
        <v>2.5036536915964902</v>
      </c>
    </row>
    <row r="117" spans="1:8">
      <c r="A117" s="189" t="s">
        <v>128</v>
      </c>
      <c r="B117" s="190" t="str">
        <f>VLOOKUP(A117, 'Exit Prices'!$A$3:$B$231, 2,0)</f>
        <v>DNO</v>
      </c>
      <c r="C117" s="191">
        <f t="shared" si="6"/>
        <v>97.404259388107505</v>
      </c>
      <c r="D117" s="191">
        <f t="shared" si="7"/>
        <v>0</v>
      </c>
      <c r="E117" s="191">
        <f t="shared" si="8"/>
        <v>0</v>
      </c>
      <c r="F117" s="191">
        <f t="shared" si="9"/>
        <v>0</v>
      </c>
      <c r="G117" s="191">
        <f t="shared" si="10"/>
        <v>9.2086920296010205E-2</v>
      </c>
      <c r="H117" s="191">
        <f t="shared" si="11"/>
        <v>2.5036536915964902</v>
      </c>
    </row>
    <row r="118" spans="1:8">
      <c r="A118" s="189" t="s">
        <v>129</v>
      </c>
      <c r="B118" s="190" t="str">
        <f>VLOOKUP(A118, 'Exit Prices'!$A$3:$B$231, 2,0)</f>
        <v>DNO</v>
      </c>
      <c r="C118" s="191">
        <f t="shared" si="6"/>
        <v>97.404259388107505</v>
      </c>
      <c r="D118" s="191">
        <f t="shared" si="7"/>
        <v>0</v>
      </c>
      <c r="E118" s="191">
        <f t="shared" si="8"/>
        <v>0</v>
      </c>
      <c r="F118" s="191">
        <f t="shared" si="9"/>
        <v>0</v>
      </c>
      <c r="G118" s="191">
        <f t="shared" si="10"/>
        <v>9.2086920296010205E-2</v>
      </c>
      <c r="H118" s="191">
        <f t="shared" si="11"/>
        <v>2.5036536915964902</v>
      </c>
    </row>
    <row r="119" spans="1:8">
      <c r="A119" s="189" t="s">
        <v>130</v>
      </c>
      <c r="B119" s="190" t="str">
        <f>VLOOKUP(A119, 'Exit Prices'!$A$3:$B$231, 2,0)</f>
        <v>DNO</v>
      </c>
      <c r="C119" s="191">
        <f t="shared" si="6"/>
        <v>97.404259388107505</v>
      </c>
      <c r="D119" s="191">
        <f t="shared" si="7"/>
        <v>0</v>
      </c>
      <c r="E119" s="191">
        <f t="shared" si="8"/>
        <v>0</v>
      </c>
      <c r="F119" s="191">
        <f t="shared" si="9"/>
        <v>0</v>
      </c>
      <c r="G119" s="191">
        <f t="shared" si="10"/>
        <v>9.2086920296010205E-2</v>
      </c>
      <c r="H119" s="191">
        <f t="shared" si="11"/>
        <v>2.5036536915964902</v>
      </c>
    </row>
    <row r="120" spans="1:8">
      <c r="A120" s="189" t="s">
        <v>131</v>
      </c>
      <c r="B120" s="190" t="str">
        <f>VLOOKUP(A120, 'Exit Prices'!$A$3:$B$231, 2,0)</f>
        <v>DNO</v>
      </c>
      <c r="C120" s="191">
        <f t="shared" si="6"/>
        <v>97.404259388107505</v>
      </c>
      <c r="D120" s="191">
        <f t="shared" si="7"/>
        <v>0</v>
      </c>
      <c r="E120" s="191">
        <f t="shared" si="8"/>
        <v>0</v>
      </c>
      <c r="F120" s="191">
        <f t="shared" si="9"/>
        <v>0</v>
      </c>
      <c r="G120" s="191">
        <f t="shared" si="10"/>
        <v>9.2086920296010205E-2</v>
      </c>
      <c r="H120" s="191">
        <f t="shared" si="11"/>
        <v>2.5036536915964902</v>
      </c>
    </row>
    <row r="121" spans="1:8">
      <c r="A121" s="189" t="s">
        <v>132</v>
      </c>
      <c r="B121" s="190" t="str">
        <f>VLOOKUP(A121, 'Exit Prices'!$A$3:$B$231, 2,0)</f>
        <v>DNO</v>
      </c>
      <c r="C121" s="191">
        <f t="shared" si="6"/>
        <v>97.404259388107505</v>
      </c>
      <c r="D121" s="191">
        <f t="shared" si="7"/>
        <v>0</v>
      </c>
      <c r="E121" s="191">
        <f t="shared" si="8"/>
        <v>0</v>
      </c>
      <c r="F121" s="191">
        <f t="shared" si="9"/>
        <v>0</v>
      </c>
      <c r="G121" s="191">
        <f t="shared" si="10"/>
        <v>9.2086920296010205E-2</v>
      </c>
      <c r="H121" s="191">
        <f t="shared" si="11"/>
        <v>2.5036536915964902</v>
      </c>
    </row>
    <row r="122" spans="1:8">
      <c r="A122" s="189" t="s">
        <v>133</v>
      </c>
      <c r="B122" s="190" t="str">
        <f>VLOOKUP(A122, 'Exit Prices'!$A$3:$B$231, 2,0)</f>
        <v>POWER STATION</v>
      </c>
      <c r="C122" s="191">
        <f t="shared" si="6"/>
        <v>49.279810729716402</v>
      </c>
      <c r="D122" s="191">
        <f t="shared" si="7"/>
        <v>0</v>
      </c>
      <c r="E122" s="191">
        <f t="shared" si="8"/>
        <v>0</v>
      </c>
      <c r="F122" s="191">
        <f t="shared" si="9"/>
        <v>0.26115429329200202</v>
      </c>
      <c r="G122" s="191">
        <f t="shared" si="10"/>
        <v>6.64895970993859E-2</v>
      </c>
      <c r="H122" s="191">
        <f t="shared" si="11"/>
        <v>50.392545379892198</v>
      </c>
    </row>
    <row r="123" spans="1:8">
      <c r="A123" s="189" t="s">
        <v>134</v>
      </c>
      <c r="B123" s="190" t="str">
        <f>VLOOKUP(A123, 'Exit Prices'!$A$3:$B$231, 2,0)</f>
        <v>DNO</v>
      </c>
      <c r="C123" s="191">
        <f t="shared" si="6"/>
        <v>97.404259388107505</v>
      </c>
      <c r="D123" s="191">
        <f t="shared" si="7"/>
        <v>0</v>
      </c>
      <c r="E123" s="191">
        <f t="shared" si="8"/>
        <v>0</v>
      </c>
      <c r="F123" s="191">
        <f t="shared" si="9"/>
        <v>0</v>
      </c>
      <c r="G123" s="191">
        <f t="shared" si="10"/>
        <v>9.2086920296010205E-2</v>
      </c>
      <c r="H123" s="191">
        <f t="shared" si="11"/>
        <v>2.5036536915964902</v>
      </c>
    </row>
    <row r="124" spans="1:8">
      <c r="A124" s="189" t="s">
        <v>135</v>
      </c>
      <c r="B124" s="190" t="str">
        <f>VLOOKUP(A124, 'Exit Prices'!$A$3:$B$231, 2,0)</f>
        <v>DNO</v>
      </c>
      <c r="C124" s="191">
        <f t="shared" si="6"/>
        <v>97.404259388107505</v>
      </c>
      <c r="D124" s="191">
        <f t="shared" si="7"/>
        <v>0</v>
      </c>
      <c r="E124" s="191">
        <f t="shared" si="8"/>
        <v>0</v>
      </c>
      <c r="F124" s="191">
        <f t="shared" si="9"/>
        <v>0</v>
      </c>
      <c r="G124" s="191">
        <f t="shared" si="10"/>
        <v>9.2086920296010205E-2</v>
      </c>
      <c r="H124" s="191">
        <f t="shared" si="11"/>
        <v>2.5036536915964902</v>
      </c>
    </row>
    <row r="125" spans="1:8">
      <c r="A125" s="189" t="s">
        <v>136</v>
      </c>
      <c r="B125" s="190" t="str">
        <f>VLOOKUP(A125, 'Exit Prices'!$A$3:$B$231, 2,0)</f>
        <v>DNO</v>
      </c>
      <c r="C125" s="191">
        <f t="shared" si="6"/>
        <v>97.404259388107505</v>
      </c>
      <c r="D125" s="191">
        <f t="shared" si="7"/>
        <v>0</v>
      </c>
      <c r="E125" s="191">
        <f t="shared" si="8"/>
        <v>0</v>
      </c>
      <c r="F125" s="191">
        <f t="shared" si="9"/>
        <v>0</v>
      </c>
      <c r="G125" s="191">
        <f t="shared" si="10"/>
        <v>9.2086920296010205E-2</v>
      </c>
      <c r="H125" s="191">
        <f t="shared" si="11"/>
        <v>2.5036536915964902</v>
      </c>
    </row>
    <row r="126" spans="1:8">
      <c r="A126" s="189" t="s">
        <v>137</v>
      </c>
      <c r="B126" s="190" t="str">
        <f>VLOOKUP(A126, 'Exit Prices'!$A$3:$B$231, 2,0)</f>
        <v>DNO</v>
      </c>
      <c r="C126" s="191">
        <f t="shared" si="6"/>
        <v>97.404259388107505</v>
      </c>
      <c r="D126" s="191">
        <f t="shared" si="7"/>
        <v>0</v>
      </c>
      <c r="E126" s="191">
        <f t="shared" si="8"/>
        <v>0</v>
      </c>
      <c r="F126" s="191">
        <f t="shared" si="9"/>
        <v>0</v>
      </c>
      <c r="G126" s="191">
        <f t="shared" si="10"/>
        <v>9.2086920296010205E-2</v>
      </c>
      <c r="H126" s="191">
        <f t="shared" si="11"/>
        <v>2.5036536915964902</v>
      </c>
    </row>
    <row r="127" spans="1:8">
      <c r="A127" s="189" t="s">
        <v>138</v>
      </c>
      <c r="B127" s="190" t="str">
        <f>VLOOKUP(A127, 'Exit Prices'!$A$3:$B$231, 2,0)</f>
        <v>DNO</v>
      </c>
      <c r="C127" s="191">
        <f t="shared" si="6"/>
        <v>97.404259388107505</v>
      </c>
      <c r="D127" s="191">
        <f t="shared" si="7"/>
        <v>0</v>
      </c>
      <c r="E127" s="191">
        <f t="shared" si="8"/>
        <v>0</v>
      </c>
      <c r="F127" s="191">
        <f t="shared" si="9"/>
        <v>0</v>
      </c>
      <c r="G127" s="191">
        <f t="shared" si="10"/>
        <v>9.2086920296010205E-2</v>
      </c>
      <c r="H127" s="191">
        <f t="shared" si="11"/>
        <v>2.5036536915964902</v>
      </c>
    </row>
    <row r="128" spans="1:8">
      <c r="A128" s="189" t="s">
        <v>139</v>
      </c>
      <c r="B128" s="190" t="str">
        <f>VLOOKUP(A128, 'Exit Prices'!$A$3:$B$231, 2,0)</f>
        <v>DNO</v>
      </c>
      <c r="C128" s="191">
        <f t="shared" si="6"/>
        <v>97.404259388107505</v>
      </c>
      <c r="D128" s="191">
        <f t="shared" si="7"/>
        <v>0</v>
      </c>
      <c r="E128" s="191">
        <f t="shared" si="8"/>
        <v>0</v>
      </c>
      <c r="F128" s="191">
        <f t="shared" si="9"/>
        <v>0</v>
      </c>
      <c r="G128" s="191">
        <f t="shared" si="10"/>
        <v>9.2086920296010205E-2</v>
      </c>
      <c r="H128" s="191">
        <f t="shared" si="11"/>
        <v>2.5036536915964902</v>
      </c>
    </row>
    <row r="129" spans="1:8">
      <c r="A129" s="189" t="s">
        <v>140</v>
      </c>
      <c r="B129" s="190" t="str">
        <f>VLOOKUP(A129, 'Exit Prices'!$A$3:$B$231, 2,0)</f>
        <v>DNO</v>
      </c>
      <c r="C129" s="191">
        <f t="shared" si="6"/>
        <v>97.404259388107505</v>
      </c>
      <c r="D129" s="191">
        <f t="shared" si="7"/>
        <v>0</v>
      </c>
      <c r="E129" s="191">
        <f t="shared" si="8"/>
        <v>0</v>
      </c>
      <c r="F129" s="191">
        <f t="shared" si="9"/>
        <v>0</v>
      </c>
      <c r="G129" s="191">
        <f t="shared" si="10"/>
        <v>9.2086920296010205E-2</v>
      </c>
      <c r="H129" s="191">
        <f t="shared" si="11"/>
        <v>2.5036536915964902</v>
      </c>
    </row>
    <row r="130" spans="1:8">
      <c r="A130" s="189" t="s">
        <v>141</v>
      </c>
      <c r="B130" s="190" t="str">
        <f>VLOOKUP(A130, 'Exit Prices'!$A$3:$B$231, 2,0)</f>
        <v>DNO</v>
      </c>
      <c r="C130" s="191">
        <f t="shared" si="6"/>
        <v>97.404259388107505</v>
      </c>
      <c r="D130" s="191">
        <f t="shared" si="7"/>
        <v>0</v>
      </c>
      <c r="E130" s="191">
        <f t="shared" si="8"/>
        <v>0</v>
      </c>
      <c r="F130" s="191">
        <f t="shared" si="9"/>
        <v>0</v>
      </c>
      <c r="G130" s="191">
        <f t="shared" si="10"/>
        <v>9.2086920296010205E-2</v>
      </c>
      <c r="H130" s="191">
        <f t="shared" si="11"/>
        <v>2.5036536915964902</v>
      </c>
    </row>
    <row r="131" spans="1:8">
      <c r="A131" s="189" t="s">
        <v>142</v>
      </c>
      <c r="B131" s="190" t="str">
        <f>VLOOKUP(A131, 'Exit Prices'!$A$3:$B$231, 2,0)</f>
        <v>DNO</v>
      </c>
      <c r="C131" s="191">
        <f t="shared" si="6"/>
        <v>97.404259388107505</v>
      </c>
      <c r="D131" s="191">
        <f t="shared" si="7"/>
        <v>0</v>
      </c>
      <c r="E131" s="191">
        <f t="shared" si="8"/>
        <v>0</v>
      </c>
      <c r="F131" s="191">
        <f t="shared" si="9"/>
        <v>0</v>
      </c>
      <c r="G131" s="191">
        <f t="shared" si="10"/>
        <v>9.2086920296010205E-2</v>
      </c>
      <c r="H131" s="191">
        <f t="shared" si="11"/>
        <v>2.5036536915964902</v>
      </c>
    </row>
    <row r="132" spans="1:8">
      <c r="A132" s="189" t="s">
        <v>143</v>
      </c>
      <c r="B132" s="190" t="str">
        <f>VLOOKUP(A132, 'Exit Prices'!$A$3:$B$231, 2,0)</f>
        <v>DNO</v>
      </c>
      <c r="C132" s="191">
        <f t="shared" si="6"/>
        <v>97.404259388107505</v>
      </c>
      <c r="D132" s="191">
        <f t="shared" si="7"/>
        <v>0</v>
      </c>
      <c r="E132" s="191">
        <f t="shared" si="8"/>
        <v>0</v>
      </c>
      <c r="F132" s="191">
        <f t="shared" si="9"/>
        <v>0</v>
      </c>
      <c r="G132" s="191">
        <f t="shared" si="10"/>
        <v>9.2086920296010205E-2</v>
      </c>
      <c r="H132" s="191">
        <f t="shared" si="11"/>
        <v>2.5036536915964902</v>
      </c>
    </row>
    <row r="133" spans="1:8">
      <c r="A133" s="189" t="s">
        <v>144</v>
      </c>
      <c r="B133" s="190" t="str">
        <f>VLOOKUP(A133, 'Exit Prices'!$A$3:$B$231, 2,0)</f>
        <v>DNO</v>
      </c>
      <c r="C133" s="191">
        <f t="shared" si="6"/>
        <v>97.404259388107505</v>
      </c>
      <c r="D133" s="191">
        <f t="shared" si="7"/>
        <v>0</v>
      </c>
      <c r="E133" s="191">
        <f t="shared" si="8"/>
        <v>0</v>
      </c>
      <c r="F133" s="191">
        <f t="shared" si="9"/>
        <v>0</v>
      </c>
      <c r="G133" s="191">
        <f t="shared" si="10"/>
        <v>9.2086920296010205E-2</v>
      </c>
      <c r="H133" s="191">
        <f t="shared" si="11"/>
        <v>2.5036536915964902</v>
      </c>
    </row>
    <row r="134" spans="1:8">
      <c r="A134" s="189" t="s">
        <v>145</v>
      </c>
      <c r="B134" s="190" t="str">
        <f>VLOOKUP(A134, 'Exit Prices'!$A$3:$B$231, 2,0)</f>
        <v>DNO</v>
      </c>
      <c r="C134" s="191">
        <f t="shared" si="6"/>
        <v>97.404259388107505</v>
      </c>
      <c r="D134" s="191">
        <f t="shared" si="7"/>
        <v>0</v>
      </c>
      <c r="E134" s="191">
        <f t="shared" si="8"/>
        <v>0</v>
      </c>
      <c r="F134" s="191">
        <f t="shared" si="9"/>
        <v>0</v>
      </c>
      <c r="G134" s="191">
        <f t="shared" si="10"/>
        <v>9.2086920296010205E-2</v>
      </c>
      <c r="H134" s="191">
        <f t="shared" si="11"/>
        <v>2.5036536915964902</v>
      </c>
    </row>
    <row r="135" spans="1:8">
      <c r="A135" s="189" t="s">
        <v>146</v>
      </c>
      <c r="B135" s="190" t="str">
        <f>VLOOKUP(A135, 'Exit Prices'!$A$3:$B$231, 2,0)</f>
        <v>DNO</v>
      </c>
      <c r="C135" s="191">
        <f t="shared" si="6"/>
        <v>97.404259388107505</v>
      </c>
      <c r="D135" s="191">
        <f t="shared" si="7"/>
        <v>0</v>
      </c>
      <c r="E135" s="191">
        <f t="shared" si="8"/>
        <v>0</v>
      </c>
      <c r="F135" s="191">
        <f t="shared" si="9"/>
        <v>0</v>
      </c>
      <c r="G135" s="191">
        <f t="shared" si="10"/>
        <v>9.2086920296010205E-2</v>
      </c>
      <c r="H135" s="191">
        <f t="shared" si="11"/>
        <v>2.5036536915964902</v>
      </c>
    </row>
    <row r="136" spans="1:8">
      <c r="A136" s="189" t="s">
        <v>147</v>
      </c>
      <c r="B136" s="190" t="str">
        <f>VLOOKUP(A136, 'Exit Prices'!$A$3:$B$231, 2,0)</f>
        <v>POWER STATION</v>
      </c>
      <c r="C136" s="191">
        <f t="shared" si="6"/>
        <v>49.279810729716402</v>
      </c>
      <c r="D136" s="191">
        <f t="shared" si="7"/>
        <v>0</v>
      </c>
      <c r="E136" s="191">
        <f t="shared" si="8"/>
        <v>0</v>
      </c>
      <c r="F136" s="191">
        <f t="shared" si="9"/>
        <v>0.26115429329200202</v>
      </c>
      <c r="G136" s="191">
        <f t="shared" si="10"/>
        <v>6.64895970993859E-2</v>
      </c>
      <c r="H136" s="191">
        <f t="shared" si="11"/>
        <v>50.392545379892198</v>
      </c>
    </row>
    <row r="137" spans="1:8">
      <c r="A137" s="189" t="s">
        <v>148</v>
      </c>
      <c r="B137" s="190" t="str">
        <f>VLOOKUP(A137, 'Exit Prices'!$A$3:$B$231, 2,0)</f>
        <v>DNO</v>
      </c>
      <c r="C137" s="191">
        <f t="shared" si="6"/>
        <v>97.404259388107505</v>
      </c>
      <c r="D137" s="191">
        <f t="shared" si="7"/>
        <v>0</v>
      </c>
      <c r="E137" s="191">
        <f t="shared" si="8"/>
        <v>0</v>
      </c>
      <c r="F137" s="191">
        <f t="shared" si="9"/>
        <v>0</v>
      </c>
      <c r="G137" s="191">
        <f t="shared" si="10"/>
        <v>9.2086920296010205E-2</v>
      </c>
      <c r="H137" s="191">
        <f t="shared" si="11"/>
        <v>2.5036536915964902</v>
      </c>
    </row>
    <row r="138" spans="1:8">
      <c r="A138" s="189" t="s">
        <v>149</v>
      </c>
      <c r="B138" s="190" t="str">
        <f>VLOOKUP(A138, 'Exit Prices'!$A$3:$B$231, 2,0)</f>
        <v>DNO</v>
      </c>
      <c r="C138" s="191">
        <f t="shared" si="6"/>
        <v>97.404259388107505</v>
      </c>
      <c r="D138" s="191">
        <f t="shared" si="7"/>
        <v>0</v>
      </c>
      <c r="E138" s="191">
        <f t="shared" si="8"/>
        <v>0</v>
      </c>
      <c r="F138" s="191">
        <f t="shared" si="9"/>
        <v>0</v>
      </c>
      <c r="G138" s="191">
        <f t="shared" si="10"/>
        <v>9.2086920296010205E-2</v>
      </c>
      <c r="H138" s="191">
        <f t="shared" si="11"/>
        <v>2.5036536915964902</v>
      </c>
    </row>
    <row r="139" spans="1:8">
      <c r="A139" s="189" t="s">
        <v>150</v>
      </c>
      <c r="B139" s="190" t="str">
        <f>VLOOKUP(A139, 'Exit Prices'!$A$3:$B$231, 2,0)</f>
        <v>POWER STATION</v>
      </c>
      <c r="C139" s="191">
        <f t="shared" si="6"/>
        <v>49.279810729716402</v>
      </c>
      <c r="D139" s="191">
        <f t="shared" si="7"/>
        <v>0</v>
      </c>
      <c r="E139" s="191">
        <f t="shared" si="8"/>
        <v>0</v>
      </c>
      <c r="F139" s="191">
        <f t="shared" si="9"/>
        <v>0.26115429329200202</v>
      </c>
      <c r="G139" s="191">
        <f t="shared" si="10"/>
        <v>6.64895970993859E-2</v>
      </c>
      <c r="H139" s="191">
        <f t="shared" si="11"/>
        <v>50.392545379892198</v>
      </c>
    </row>
    <row r="140" spans="1:8">
      <c r="A140" s="189" t="s">
        <v>151</v>
      </c>
      <c r="B140" s="190" t="str">
        <f>VLOOKUP(A140, 'Exit Prices'!$A$3:$B$231, 2,0)</f>
        <v>DNO</v>
      </c>
      <c r="C140" s="191">
        <f t="shared" si="6"/>
        <v>97.404259388107505</v>
      </c>
      <c r="D140" s="191">
        <f t="shared" si="7"/>
        <v>0</v>
      </c>
      <c r="E140" s="191">
        <f t="shared" si="8"/>
        <v>0</v>
      </c>
      <c r="F140" s="191">
        <f t="shared" si="9"/>
        <v>0</v>
      </c>
      <c r="G140" s="191">
        <f t="shared" si="10"/>
        <v>9.2086920296010205E-2</v>
      </c>
      <c r="H140" s="191">
        <f t="shared" si="11"/>
        <v>2.5036536915964902</v>
      </c>
    </row>
    <row r="141" spans="1:8">
      <c r="A141" s="189" t="s">
        <v>152</v>
      </c>
      <c r="B141" s="190" t="str">
        <f>VLOOKUP(A141, 'Exit Prices'!$A$3:$B$231, 2,0)</f>
        <v>DNO</v>
      </c>
      <c r="C141" s="191">
        <f t="shared" ref="C141:C203" si="12">VLOOKUP($B141, $B$4:$H$8, 2, 0)</f>
        <v>97.404259388107505</v>
      </c>
      <c r="D141" s="191">
        <f t="shared" ref="D141:D203" si="13">VLOOKUP($B141, $B$4:$H$8, 3, 0)</f>
        <v>0</v>
      </c>
      <c r="E141" s="191">
        <f t="shared" ref="E141:E203" si="14">VLOOKUP($B141, $B$4:$H$8, 4, 0)</f>
        <v>0</v>
      </c>
      <c r="F141" s="191">
        <f t="shared" ref="F141:F203" si="15">VLOOKUP($B141, $B$4:$H$8, 5, 0)</f>
        <v>0</v>
      </c>
      <c r="G141" s="191">
        <f t="shared" ref="G141:G203" si="16">VLOOKUP($B141, $B$4:$H$8, 6, 0)</f>
        <v>9.2086920296010205E-2</v>
      </c>
      <c r="H141" s="191">
        <f t="shared" ref="H141:H203" si="17">VLOOKUP($B141, $B$4:$H$8, 7, 0)</f>
        <v>2.5036536915964902</v>
      </c>
    </row>
    <row r="142" spans="1:8">
      <c r="A142" s="189" t="s">
        <v>153</v>
      </c>
      <c r="B142" s="190" t="str">
        <f>VLOOKUP(A142, 'Exit Prices'!$A$3:$B$231, 2,0)</f>
        <v>POWER STATION</v>
      </c>
      <c r="C142" s="191">
        <f t="shared" si="12"/>
        <v>49.279810729716402</v>
      </c>
      <c r="D142" s="191">
        <f t="shared" si="13"/>
        <v>0</v>
      </c>
      <c r="E142" s="191">
        <f t="shared" si="14"/>
        <v>0</v>
      </c>
      <c r="F142" s="191">
        <f t="shared" si="15"/>
        <v>0.26115429329200202</v>
      </c>
      <c r="G142" s="191">
        <f t="shared" si="16"/>
        <v>6.64895970993859E-2</v>
      </c>
      <c r="H142" s="191">
        <f t="shared" si="17"/>
        <v>50.392545379892198</v>
      </c>
    </row>
    <row r="143" spans="1:8">
      <c r="A143" s="189" t="s">
        <v>154</v>
      </c>
      <c r="B143" s="190" t="str">
        <f>VLOOKUP(A143, 'Exit Prices'!$A$3:$B$231, 2,0)</f>
        <v>DNO</v>
      </c>
      <c r="C143" s="191">
        <f t="shared" si="12"/>
        <v>97.404259388107505</v>
      </c>
      <c r="D143" s="191">
        <f t="shared" si="13"/>
        <v>0</v>
      </c>
      <c r="E143" s="191">
        <f t="shared" si="14"/>
        <v>0</v>
      </c>
      <c r="F143" s="191">
        <f t="shared" si="15"/>
        <v>0</v>
      </c>
      <c r="G143" s="191">
        <f t="shared" si="16"/>
        <v>9.2086920296010205E-2</v>
      </c>
      <c r="H143" s="191">
        <f t="shared" si="17"/>
        <v>2.5036536915964902</v>
      </c>
    </row>
    <row r="144" spans="1:8">
      <c r="A144" s="189" t="s">
        <v>155</v>
      </c>
      <c r="B144" s="190" t="str">
        <f>VLOOKUP(A144, 'Exit Prices'!$A$3:$B$231, 2,0)</f>
        <v>INTERCONNECTOR</v>
      </c>
      <c r="C144" s="191">
        <f t="shared" si="12"/>
        <v>37.085908986040998</v>
      </c>
      <c r="D144" s="191">
        <f t="shared" si="13"/>
        <v>6.7491198365580702</v>
      </c>
      <c r="E144" s="191">
        <f t="shared" si="14"/>
        <v>2.0897597466715001</v>
      </c>
      <c r="F144" s="191">
        <f t="shared" si="15"/>
        <v>0.99738892782938704</v>
      </c>
      <c r="G144" s="191">
        <f t="shared" si="16"/>
        <v>2.0398135122935299</v>
      </c>
      <c r="H144" s="191">
        <f t="shared" si="17"/>
        <v>51.0380089906065</v>
      </c>
    </row>
    <row r="145" spans="1:8">
      <c r="A145" s="189" t="s">
        <v>156</v>
      </c>
      <c r="B145" s="190" t="str">
        <f>VLOOKUP(A145, 'Exit Prices'!$A$3:$B$231, 2,0)</f>
        <v>DNO</v>
      </c>
      <c r="C145" s="191">
        <f t="shared" si="12"/>
        <v>97.404259388107505</v>
      </c>
      <c r="D145" s="191">
        <f t="shared" si="13"/>
        <v>0</v>
      </c>
      <c r="E145" s="191">
        <f t="shared" si="14"/>
        <v>0</v>
      </c>
      <c r="F145" s="191">
        <f t="shared" si="15"/>
        <v>0</v>
      </c>
      <c r="G145" s="191">
        <f t="shared" si="16"/>
        <v>9.2086920296010205E-2</v>
      </c>
      <c r="H145" s="191">
        <f t="shared" si="17"/>
        <v>2.5036536915964902</v>
      </c>
    </row>
    <row r="146" spans="1:8">
      <c r="A146" s="189" t="s">
        <v>157</v>
      </c>
      <c r="B146" s="190" t="str">
        <f>VLOOKUP(A146, 'Exit Prices'!$A$3:$B$231, 2,0)</f>
        <v>DNO</v>
      </c>
      <c r="C146" s="191">
        <f t="shared" si="12"/>
        <v>97.404259388107505</v>
      </c>
      <c r="D146" s="191">
        <f t="shared" si="13"/>
        <v>0</v>
      </c>
      <c r="E146" s="191">
        <f t="shared" si="14"/>
        <v>0</v>
      </c>
      <c r="F146" s="191">
        <f t="shared" si="15"/>
        <v>0</v>
      </c>
      <c r="G146" s="191">
        <f t="shared" si="16"/>
        <v>9.2086920296010205E-2</v>
      </c>
      <c r="H146" s="191">
        <f t="shared" si="17"/>
        <v>2.5036536915964902</v>
      </c>
    </row>
    <row r="147" spans="1:8">
      <c r="A147" s="189" t="s">
        <v>20</v>
      </c>
      <c r="B147" s="190" t="str">
        <f>VLOOKUP(A147, 'Exit Prices'!$A$3:$B$231, 2,0)</f>
        <v>DNO</v>
      </c>
      <c r="C147" s="191">
        <f t="shared" si="12"/>
        <v>97.404259388107505</v>
      </c>
      <c r="D147" s="191">
        <f t="shared" si="13"/>
        <v>0</v>
      </c>
      <c r="E147" s="191">
        <f t="shared" si="14"/>
        <v>0</v>
      </c>
      <c r="F147" s="191">
        <f t="shared" si="15"/>
        <v>0</v>
      </c>
      <c r="G147" s="191">
        <f t="shared" si="16"/>
        <v>9.2086920296010205E-2</v>
      </c>
      <c r="H147" s="191">
        <f t="shared" si="17"/>
        <v>2.5036536915964902</v>
      </c>
    </row>
    <row r="148" spans="1:8">
      <c r="A148" s="189" t="s">
        <v>158</v>
      </c>
      <c r="B148" s="190" t="str">
        <f>VLOOKUP(A148, 'Exit Prices'!$A$3:$B$231, 2,0)</f>
        <v>STORAGE SITE</v>
      </c>
      <c r="C148" s="191">
        <f t="shared" si="12"/>
        <v>27.665395475068301</v>
      </c>
      <c r="D148" s="191">
        <f t="shared" si="13"/>
        <v>0</v>
      </c>
      <c r="E148" s="191">
        <f t="shared" si="14"/>
        <v>0</v>
      </c>
      <c r="F148" s="191">
        <f t="shared" si="15"/>
        <v>0</v>
      </c>
      <c r="G148" s="191">
        <f t="shared" si="16"/>
        <v>0.15481302448832299</v>
      </c>
      <c r="H148" s="191">
        <f t="shared" si="17"/>
        <v>72.1797915004434</v>
      </c>
    </row>
    <row r="149" spans="1:8">
      <c r="A149" s="189" t="s">
        <v>159</v>
      </c>
      <c r="B149" s="190" t="str">
        <f>VLOOKUP(A149, 'Exit Prices'!$A$3:$B$231, 2,0)</f>
        <v>DNO</v>
      </c>
      <c r="C149" s="191">
        <f t="shared" si="12"/>
        <v>97.404259388107505</v>
      </c>
      <c r="D149" s="191">
        <f t="shared" si="13"/>
        <v>0</v>
      </c>
      <c r="E149" s="191">
        <f t="shared" si="14"/>
        <v>0</v>
      </c>
      <c r="F149" s="191">
        <f t="shared" si="15"/>
        <v>0</v>
      </c>
      <c r="G149" s="191">
        <f t="shared" si="16"/>
        <v>9.2086920296010205E-2</v>
      </c>
      <c r="H149" s="191">
        <f t="shared" si="17"/>
        <v>2.5036536915964902</v>
      </c>
    </row>
    <row r="150" spans="1:8">
      <c r="A150" s="189" t="s">
        <v>160</v>
      </c>
      <c r="B150" s="190" t="str">
        <f>VLOOKUP(A150, 'Exit Prices'!$A$3:$B$231, 2,0)</f>
        <v>POWER STATION</v>
      </c>
      <c r="C150" s="191">
        <f t="shared" si="12"/>
        <v>49.279810729716402</v>
      </c>
      <c r="D150" s="191">
        <f t="shared" si="13"/>
        <v>0</v>
      </c>
      <c r="E150" s="191">
        <f t="shared" si="14"/>
        <v>0</v>
      </c>
      <c r="F150" s="191">
        <f t="shared" si="15"/>
        <v>0.26115429329200202</v>
      </c>
      <c r="G150" s="191">
        <f t="shared" si="16"/>
        <v>6.64895970993859E-2</v>
      </c>
      <c r="H150" s="191">
        <f t="shared" si="17"/>
        <v>50.392545379892198</v>
      </c>
    </row>
    <row r="151" spans="1:8">
      <c r="A151" s="189" t="s">
        <v>161</v>
      </c>
      <c r="B151" s="190" t="str">
        <f>VLOOKUP(A151, 'Exit Prices'!$A$3:$B$231, 2,0)</f>
        <v>POWER STATION</v>
      </c>
      <c r="C151" s="191">
        <f t="shared" si="12"/>
        <v>49.279810729716402</v>
      </c>
      <c r="D151" s="191">
        <f t="shared" si="13"/>
        <v>0</v>
      </c>
      <c r="E151" s="191">
        <f t="shared" si="14"/>
        <v>0</v>
      </c>
      <c r="F151" s="191">
        <f t="shared" si="15"/>
        <v>0.26115429329200202</v>
      </c>
      <c r="G151" s="191">
        <f t="shared" si="16"/>
        <v>6.64895970993859E-2</v>
      </c>
      <c r="H151" s="191">
        <f t="shared" si="17"/>
        <v>50.392545379892198</v>
      </c>
    </row>
    <row r="152" spans="1:8">
      <c r="A152" s="189" t="s">
        <v>162</v>
      </c>
      <c r="B152" s="190" t="str">
        <f>VLOOKUP(A152, 'Exit Prices'!$A$3:$B$231, 2,0)</f>
        <v>DNO</v>
      </c>
      <c r="C152" s="191">
        <f t="shared" si="12"/>
        <v>97.404259388107505</v>
      </c>
      <c r="D152" s="191">
        <f t="shared" si="13"/>
        <v>0</v>
      </c>
      <c r="E152" s="191">
        <f t="shared" si="14"/>
        <v>0</v>
      </c>
      <c r="F152" s="191">
        <f t="shared" si="15"/>
        <v>0</v>
      </c>
      <c r="G152" s="191">
        <f t="shared" si="16"/>
        <v>9.2086920296010205E-2</v>
      </c>
      <c r="H152" s="191">
        <f t="shared" si="17"/>
        <v>2.5036536915964902</v>
      </c>
    </row>
    <row r="153" spans="1:8">
      <c r="A153" s="189" t="s">
        <v>163</v>
      </c>
      <c r="B153" s="190" t="str">
        <f>VLOOKUP(A153, 'Exit Prices'!$A$3:$B$231, 2,0)</f>
        <v>DNO</v>
      </c>
      <c r="C153" s="191">
        <f t="shared" si="12"/>
        <v>97.404259388107505</v>
      </c>
      <c r="D153" s="191">
        <f t="shared" si="13"/>
        <v>0</v>
      </c>
      <c r="E153" s="191">
        <f t="shared" si="14"/>
        <v>0</v>
      </c>
      <c r="F153" s="191">
        <f t="shared" si="15"/>
        <v>0</v>
      </c>
      <c r="G153" s="191">
        <f t="shared" si="16"/>
        <v>9.2086920296010205E-2</v>
      </c>
      <c r="H153" s="191">
        <f t="shared" si="17"/>
        <v>2.5036536915964902</v>
      </c>
    </row>
    <row r="154" spans="1:8">
      <c r="A154" s="189" t="s">
        <v>164</v>
      </c>
      <c r="B154" s="190" t="str">
        <f>VLOOKUP(A154, 'Exit Prices'!$A$3:$B$231, 2,0)</f>
        <v>DNO</v>
      </c>
      <c r="C154" s="191">
        <f t="shared" si="12"/>
        <v>97.404259388107505</v>
      </c>
      <c r="D154" s="191">
        <f t="shared" si="13"/>
        <v>0</v>
      </c>
      <c r="E154" s="191">
        <f t="shared" si="14"/>
        <v>0</v>
      </c>
      <c r="F154" s="191">
        <f t="shared" si="15"/>
        <v>0</v>
      </c>
      <c r="G154" s="191">
        <f t="shared" si="16"/>
        <v>9.2086920296010205E-2</v>
      </c>
      <c r="H154" s="191">
        <f t="shared" si="17"/>
        <v>2.5036536915964902</v>
      </c>
    </row>
    <row r="155" spans="1:8">
      <c r="A155" s="189" t="s">
        <v>165</v>
      </c>
      <c r="B155" s="190" t="str">
        <f>VLOOKUP(A155, 'Exit Prices'!$A$3:$B$231, 2,0)</f>
        <v>INDUSTRIAL</v>
      </c>
      <c r="C155" s="191">
        <f t="shared" si="12"/>
        <v>75.570686103107803</v>
      </c>
      <c r="D155" s="191">
        <f t="shared" si="13"/>
        <v>0</v>
      </c>
      <c r="E155" s="191">
        <f t="shared" si="14"/>
        <v>0</v>
      </c>
      <c r="F155" s="191">
        <f t="shared" si="15"/>
        <v>2.6249619891495798E-3</v>
      </c>
      <c r="G155" s="191">
        <f t="shared" si="16"/>
        <v>9.4296711456373195E-2</v>
      </c>
      <c r="H155" s="191">
        <f t="shared" si="17"/>
        <v>24.3323922234467</v>
      </c>
    </row>
    <row r="156" spans="1:8">
      <c r="A156" s="189" t="s">
        <v>166</v>
      </c>
      <c r="B156" s="190" t="str">
        <f>VLOOKUP(A156, 'Exit Prices'!$A$3:$B$231, 2,0)</f>
        <v>DNO</v>
      </c>
      <c r="C156" s="191">
        <f t="shared" si="12"/>
        <v>97.404259388107505</v>
      </c>
      <c r="D156" s="191">
        <f t="shared" si="13"/>
        <v>0</v>
      </c>
      <c r="E156" s="191">
        <f t="shared" si="14"/>
        <v>0</v>
      </c>
      <c r="F156" s="191">
        <f t="shared" si="15"/>
        <v>0</v>
      </c>
      <c r="G156" s="191">
        <f t="shared" si="16"/>
        <v>9.2086920296010205E-2</v>
      </c>
      <c r="H156" s="191">
        <f t="shared" si="17"/>
        <v>2.5036536915964902</v>
      </c>
    </row>
    <row r="157" spans="1:8">
      <c r="A157" s="189" t="s">
        <v>167</v>
      </c>
      <c r="B157" s="190" t="str">
        <f>VLOOKUP(A157, 'Exit Prices'!$A$3:$B$231, 2,0)</f>
        <v>INDUSTRIAL</v>
      </c>
      <c r="C157" s="191">
        <f t="shared" si="12"/>
        <v>75.570686103107803</v>
      </c>
      <c r="D157" s="191">
        <f t="shared" si="13"/>
        <v>0</v>
      </c>
      <c r="E157" s="191">
        <f t="shared" si="14"/>
        <v>0</v>
      </c>
      <c r="F157" s="191">
        <f t="shared" si="15"/>
        <v>2.6249619891495798E-3</v>
      </c>
      <c r="G157" s="191">
        <f t="shared" si="16"/>
        <v>9.4296711456373195E-2</v>
      </c>
      <c r="H157" s="191">
        <f t="shared" si="17"/>
        <v>24.3323922234467</v>
      </c>
    </row>
    <row r="158" spans="1:8">
      <c r="A158" s="189" t="s">
        <v>168</v>
      </c>
      <c r="B158" s="190" t="str">
        <f>VLOOKUP(A158, 'Exit Prices'!$A$3:$B$231, 2,0)</f>
        <v>DNO</v>
      </c>
      <c r="C158" s="191">
        <f t="shared" si="12"/>
        <v>97.404259388107505</v>
      </c>
      <c r="D158" s="191">
        <f t="shared" si="13"/>
        <v>0</v>
      </c>
      <c r="E158" s="191">
        <f t="shared" si="14"/>
        <v>0</v>
      </c>
      <c r="F158" s="191">
        <f t="shared" si="15"/>
        <v>0</v>
      </c>
      <c r="G158" s="191">
        <f t="shared" si="16"/>
        <v>9.2086920296010205E-2</v>
      </c>
      <c r="H158" s="191">
        <f t="shared" si="17"/>
        <v>2.5036536915964902</v>
      </c>
    </row>
    <row r="159" spans="1:8">
      <c r="A159" s="189" t="s">
        <v>169</v>
      </c>
      <c r="B159" s="190" t="str">
        <f>VLOOKUP(A159, 'Exit Prices'!$A$3:$B$231, 2,0)</f>
        <v>DNO</v>
      </c>
      <c r="C159" s="191">
        <f t="shared" si="12"/>
        <v>97.404259388107505</v>
      </c>
      <c r="D159" s="191">
        <f t="shared" si="13"/>
        <v>0</v>
      </c>
      <c r="E159" s="191">
        <f t="shared" si="14"/>
        <v>0</v>
      </c>
      <c r="F159" s="191">
        <f t="shared" si="15"/>
        <v>0</v>
      </c>
      <c r="G159" s="191">
        <f t="shared" si="16"/>
        <v>9.2086920296010205E-2</v>
      </c>
      <c r="H159" s="191">
        <f t="shared" si="17"/>
        <v>2.5036536915964902</v>
      </c>
    </row>
    <row r="160" spans="1:8">
      <c r="A160" s="189" t="s">
        <v>170</v>
      </c>
      <c r="B160" s="190" t="str">
        <f>VLOOKUP(A160, 'Exit Prices'!$A$3:$B$231, 2,0)</f>
        <v>DNO</v>
      </c>
      <c r="C160" s="191">
        <f t="shared" si="12"/>
        <v>97.404259388107505</v>
      </c>
      <c r="D160" s="191">
        <f t="shared" si="13"/>
        <v>0</v>
      </c>
      <c r="E160" s="191">
        <f t="shared" si="14"/>
        <v>0</v>
      </c>
      <c r="F160" s="191">
        <f t="shared" si="15"/>
        <v>0</v>
      </c>
      <c r="G160" s="191">
        <f t="shared" si="16"/>
        <v>9.2086920296010205E-2</v>
      </c>
      <c r="H160" s="191">
        <f t="shared" si="17"/>
        <v>2.5036536915964902</v>
      </c>
    </row>
    <row r="161" spans="1:8">
      <c r="A161" s="189" t="s">
        <v>546</v>
      </c>
      <c r="B161" s="190" t="str">
        <f>VLOOKUP(A161, 'Exit Prices'!$A$3:$B$231, 2,0)</f>
        <v>INDUSTRIAL</v>
      </c>
      <c r="C161" s="191">
        <f t="shared" si="12"/>
        <v>75.570686103107803</v>
      </c>
      <c r="D161" s="191">
        <f t="shared" si="13"/>
        <v>0</v>
      </c>
      <c r="E161" s="191">
        <f t="shared" si="14"/>
        <v>0</v>
      </c>
      <c r="F161" s="191">
        <f t="shared" si="15"/>
        <v>2.6249619891495798E-3</v>
      </c>
      <c r="G161" s="191">
        <f t="shared" si="16"/>
        <v>9.4296711456373195E-2</v>
      </c>
      <c r="H161" s="191">
        <f t="shared" si="17"/>
        <v>24.3323922234467</v>
      </c>
    </row>
    <row r="162" spans="1:8">
      <c r="A162" s="189" t="s">
        <v>171</v>
      </c>
      <c r="B162" s="190" t="str">
        <f>VLOOKUP(A162, 'Exit Prices'!$A$3:$B$231, 2,0)</f>
        <v>POWER STATION</v>
      </c>
      <c r="C162" s="191">
        <f t="shared" si="12"/>
        <v>49.279810729716402</v>
      </c>
      <c r="D162" s="191">
        <f t="shared" si="13"/>
        <v>0</v>
      </c>
      <c r="E162" s="191">
        <f t="shared" si="14"/>
        <v>0</v>
      </c>
      <c r="F162" s="191">
        <f t="shared" si="15"/>
        <v>0.26115429329200202</v>
      </c>
      <c r="G162" s="191">
        <f t="shared" si="16"/>
        <v>6.64895970993859E-2</v>
      </c>
      <c r="H162" s="191">
        <f t="shared" si="17"/>
        <v>50.392545379892198</v>
      </c>
    </row>
    <row r="163" spans="1:8">
      <c r="A163" s="189" t="s">
        <v>172</v>
      </c>
      <c r="B163" s="190" t="str">
        <f>VLOOKUP(A163, 'Exit Prices'!$A$3:$B$231, 2,0)</f>
        <v>POWER STATION</v>
      </c>
      <c r="C163" s="191">
        <f t="shared" si="12"/>
        <v>49.279810729716402</v>
      </c>
      <c r="D163" s="191">
        <f t="shared" si="13"/>
        <v>0</v>
      </c>
      <c r="E163" s="191">
        <f t="shared" si="14"/>
        <v>0</v>
      </c>
      <c r="F163" s="191">
        <f t="shared" si="15"/>
        <v>0.26115429329200202</v>
      </c>
      <c r="G163" s="191">
        <f t="shared" si="16"/>
        <v>6.64895970993859E-2</v>
      </c>
      <c r="H163" s="191">
        <f t="shared" si="17"/>
        <v>50.392545379892198</v>
      </c>
    </row>
    <row r="164" spans="1:8">
      <c r="A164" s="189" t="s">
        <v>173</v>
      </c>
      <c r="B164" s="190" t="str">
        <f>VLOOKUP(A164, 'Exit Prices'!$A$3:$B$231, 2,0)</f>
        <v>DNO</v>
      </c>
      <c r="C164" s="191">
        <f t="shared" si="12"/>
        <v>97.404259388107505</v>
      </c>
      <c r="D164" s="191">
        <f t="shared" si="13"/>
        <v>0</v>
      </c>
      <c r="E164" s="191">
        <f t="shared" si="14"/>
        <v>0</v>
      </c>
      <c r="F164" s="191">
        <f t="shared" si="15"/>
        <v>0</v>
      </c>
      <c r="G164" s="191">
        <f t="shared" si="16"/>
        <v>9.2086920296010205E-2</v>
      </c>
      <c r="H164" s="191">
        <f t="shared" si="17"/>
        <v>2.5036536915964902</v>
      </c>
    </row>
    <row r="165" spans="1:8">
      <c r="A165" s="189" t="s">
        <v>174</v>
      </c>
      <c r="B165" s="190" t="str">
        <f>VLOOKUP(A165, 'Exit Prices'!$A$3:$B$231, 2,0)</f>
        <v>DNO</v>
      </c>
      <c r="C165" s="191">
        <f t="shared" si="12"/>
        <v>97.404259388107505</v>
      </c>
      <c r="D165" s="191">
        <f t="shared" si="13"/>
        <v>0</v>
      </c>
      <c r="E165" s="191">
        <f t="shared" si="14"/>
        <v>0</v>
      </c>
      <c r="F165" s="191">
        <f t="shared" si="15"/>
        <v>0</v>
      </c>
      <c r="G165" s="191">
        <f t="shared" si="16"/>
        <v>9.2086920296010205E-2</v>
      </c>
      <c r="H165" s="191">
        <f t="shared" si="17"/>
        <v>2.5036536915964902</v>
      </c>
    </row>
    <row r="166" spans="1:8">
      <c r="A166" s="189" t="s">
        <v>175</v>
      </c>
      <c r="B166" s="190" t="str">
        <f>VLOOKUP(A166, 'Exit Prices'!$A$3:$B$231, 2,0)</f>
        <v>DNO</v>
      </c>
      <c r="C166" s="191">
        <f t="shared" si="12"/>
        <v>97.404259388107505</v>
      </c>
      <c r="D166" s="191">
        <f t="shared" si="13"/>
        <v>0</v>
      </c>
      <c r="E166" s="191">
        <f t="shared" si="14"/>
        <v>0</v>
      </c>
      <c r="F166" s="191">
        <f t="shared" si="15"/>
        <v>0</v>
      </c>
      <c r="G166" s="191">
        <f t="shared" si="16"/>
        <v>9.2086920296010205E-2</v>
      </c>
      <c r="H166" s="191">
        <f t="shared" si="17"/>
        <v>2.5036536915964902</v>
      </c>
    </row>
    <row r="167" spans="1:8">
      <c r="A167" s="189" t="s">
        <v>177</v>
      </c>
      <c r="B167" s="190" t="str">
        <f>VLOOKUP(A167, 'Exit Prices'!$A$3:$B$231, 2,0)</f>
        <v>DNO</v>
      </c>
      <c r="C167" s="191">
        <f t="shared" si="12"/>
        <v>97.404259388107505</v>
      </c>
      <c r="D167" s="191">
        <f t="shared" si="13"/>
        <v>0</v>
      </c>
      <c r="E167" s="191">
        <f t="shared" si="14"/>
        <v>0</v>
      </c>
      <c r="F167" s="191">
        <f t="shared" si="15"/>
        <v>0</v>
      </c>
      <c r="G167" s="191">
        <f t="shared" si="16"/>
        <v>9.2086920296010205E-2</v>
      </c>
      <c r="H167" s="191">
        <f t="shared" si="17"/>
        <v>2.5036536915964902</v>
      </c>
    </row>
    <row r="168" spans="1:8">
      <c r="A168" s="189" t="s">
        <v>178</v>
      </c>
      <c r="B168" s="190" t="str">
        <f>VLOOKUP(A168, 'Exit Prices'!$A$3:$B$231, 2,0)</f>
        <v>DNO</v>
      </c>
      <c r="C168" s="191">
        <f t="shared" si="12"/>
        <v>97.404259388107505</v>
      </c>
      <c r="D168" s="191">
        <f t="shared" si="13"/>
        <v>0</v>
      </c>
      <c r="E168" s="191">
        <f t="shared" si="14"/>
        <v>0</v>
      </c>
      <c r="F168" s="191">
        <f t="shared" si="15"/>
        <v>0</v>
      </c>
      <c r="G168" s="191">
        <f t="shared" si="16"/>
        <v>9.2086920296010205E-2</v>
      </c>
      <c r="H168" s="191">
        <f t="shared" si="17"/>
        <v>2.5036536915964902</v>
      </c>
    </row>
    <row r="169" spans="1:8">
      <c r="A169" s="189" t="s">
        <v>179</v>
      </c>
      <c r="B169" s="190" t="str">
        <f>VLOOKUP(A169, 'Exit Prices'!$A$3:$B$231, 2,0)</f>
        <v>POWER STATION</v>
      </c>
      <c r="C169" s="191">
        <f t="shared" si="12"/>
        <v>49.279810729716402</v>
      </c>
      <c r="D169" s="191">
        <f t="shared" si="13"/>
        <v>0</v>
      </c>
      <c r="E169" s="191">
        <f t="shared" si="14"/>
        <v>0</v>
      </c>
      <c r="F169" s="191">
        <f t="shared" si="15"/>
        <v>0.26115429329200202</v>
      </c>
      <c r="G169" s="191">
        <f t="shared" si="16"/>
        <v>6.64895970993859E-2</v>
      </c>
      <c r="H169" s="191">
        <f t="shared" si="17"/>
        <v>50.392545379892198</v>
      </c>
    </row>
    <row r="170" spans="1:8">
      <c r="A170" s="189" t="s">
        <v>180</v>
      </c>
      <c r="B170" s="190" t="str">
        <f>VLOOKUP(A170, 'Exit Prices'!$A$3:$B$231, 2,0)</f>
        <v>POWER STATION</v>
      </c>
      <c r="C170" s="191">
        <f t="shared" si="12"/>
        <v>49.279810729716402</v>
      </c>
      <c r="D170" s="191">
        <f t="shared" si="13"/>
        <v>0</v>
      </c>
      <c r="E170" s="191">
        <f t="shared" si="14"/>
        <v>0</v>
      </c>
      <c r="F170" s="191">
        <f t="shared" si="15"/>
        <v>0.26115429329200202</v>
      </c>
      <c r="G170" s="191">
        <f t="shared" si="16"/>
        <v>6.64895970993859E-2</v>
      </c>
      <c r="H170" s="191">
        <f t="shared" si="17"/>
        <v>50.392545379892198</v>
      </c>
    </row>
    <row r="171" spans="1:8">
      <c r="A171" s="189" t="s">
        <v>181</v>
      </c>
      <c r="B171" s="190" t="str">
        <f>VLOOKUP(A171, 'Exit Prices'!$A$3:$B$231, 2,0)</f>
        <v>INDUSTRIAL</v>
      </c>
      <c r="C171" s="191">
        <f t="shared" si="12"/>
        <v>75.570686103107803</v>
      </c>
      <c r="D171" s="191">
        <f t="shared" si="13"/>
        <v>0</v>
      </c>
      <c r="E171" s="191">
        <f t="shared" si="14"/>
        <v>0</v>
      </c>
      <c r="F171" s="191">
        <f t="shared" si="15"/>
        <v>2.6249619891495798E-3</v>
      </c>
      <c r="G171" s="191">
        <f t="shared" si="16"/>
        <v>9.4296711456373195E-2</v>
      </c>
      <c r="H171" s="191">
        <f t="shared" si="17"/>
        <v>24.3323922234467</v>
      </c>
    </row>
    <row r="172" spans="1:8">
      <c r="A172" s="189" t="s">
        <v>182</v>
      </c>
      <c r="B172" s="190" t="str">
        <f>VLOOKUP(A172, 'Exit Prices'!$A$3:$B$231, 2,0)</f>
        <v>STORAGE SITE</v>
      </c>
      <c r="C172" s="191">
        <f t="shared" si="12"/>
        <v>27.665395475068301</v>
      </c>
      <c r="D172" s="191">
        <f t="shared" si="13"/>
        <v>0</v>
      </c>
      <c r="E172" s="191">
        <f t="shared" si="14"/>
        <v>0</v>
      </c>
      <c r="F172" s="191">
        <f t="shared" si="15"/>
        <v>0</v>
      </c>
      <c r="G172" s="191">
        <f t="shared" si="16"/>
        <v>0.15481302448832299</v>
      </c>
      <c r="H172" s="191">
        <f t="shared" si="17"/>
        <v>72.1797915004434</v>
      </c>
    </row>
    <row r="173" spans="1:8">
      <c r="A173" s="189" t="s">
        <v>183</v>
      </c>
      <c r="B173" s="190" t="str">
        <f>VLOOKUP(A173, 'Exit Prices'!$A$3:$B$231, 2,0)</f>
        <v>DNO</v>
      </c>
      <c r="C173" s="191">
        <f t="shared" si="12"/>
        <v>97.404259388107505</v>
      </c>
      <c r="D173" s="191">
        <f t="shared" si="13"/>
        <v>0</v>
      </c>
      <c r="E173" s="191">
        <f t="shared" si="14"/>
        <v>0</v>
      </c>
      <c r="F173" s="191">
        <f t="shared" si="15"/>
        <v>0</v>
      </c>
      <c r="G173" s="191">
        <f t="shared" si="16"/>
        <v>9.2086920296010205E-2</v>
      </c>
      <c r="H173" s="191">
        <f t="shared" si="17"/>
        <v>2.5036536915964902</v>
      </c>
    </row>
    <row r="174" spans="1:8">
      <c r="A174" s="189" t="s">
        <v>184</v>
      </c>
      <c r="B174" s="190" t="str">
        <f>VLOOKUP(A174, 'Exit Prices'!$A$3:$B$231, 2,0)</f>
        <v>DNO</v>
      </c>
      <c r="C174" s="191">
        <f t="shared" si="12"/>
        <v>97.404259388107505</v>
      </c>
      <c r="D174" s="191">
        <f t="shared" si="13"/>
        <v>0</v>
      </c>
      <c r="E174" s="191">
        <f t="shared" si="14"/>
        <v>0</v>
      </c>
      <c r="F174" s="191">
        <f t="shared" si="15"/>
        <v>0</v>
      </c>
      <c r="G174" s="191">
        <f t="shared" si="16"/>
        <v>9.2086920296010205E-2</v>
      </c>
      <c r="H174" s="191">
        <f t="shared" si="17"/>
        <v>2.5036536915964902</v>
      </c>
    </row>
    <row r="175" spans="1:8">
      <c r="A175" s="189" t="s">
        <v>185</v>
      </c>
      <c r="B175" s="190" t="str">
        <f>VLOOKUP(A175, 'Exit Prices'!$A$3:$B$231, 2,0)</f>
        <v>DNO</v>
      </c>
      <c r="C175" s="191">
        <f t="shared" si="12"/>
        <v>97.404259388107505</v>
      </c>
      <c r="D175" s="191">
        <f t="shared" si="13"/>
        <v>0</v>
      </c>
      <c r="E175" s="191">
        <f t="shared" si="14"/>
        <v>0</v>
      </c>
      <c r="F175" s="191">
        <f t="shared" si="15"/>
        <v>0</v>
      </c>
      <c r="G175" s="191">
        <f t="shared" si="16"/>
        <v>9.2086920296010205E-2</v>
      </c>
      <c r="H175" s="191">
        <f t="shared" si="17"/>
        <v>2.5036536915964902</v>
      </c>
    </row>
    <row r="176" spans="1:8">
      <c r="A176" s="189" t="s">
        <v>186</v>
      </c>
      <c r="B176" s="190" t="str">
        <f>VLOOKUP(A176, 'Exit Prices'!$A$3:$B$231, 2,0)</f>
        <v>INDUSTRIAL</v>
      </c>
      <c r="C176" s="191">
        <f t="shared" si="12"/>
        <v>75.570686103107803</v>
      </c>
      <c r="D176" s="191">
        <f t="shared" si="13"/>
        <v>0</v>
      </c>
      <c r="E176" s="191">
        <f t="shared" si="14"/>
        <v>0</v>
      </c>
      <c r="F176" s="191">
        <f t="shared" si="15"/>
        <v>2.6249619891495798E-3</v>
      </c>
      <c r="G176" s="191">
        <f t="shared" si="16"/>
        <v>9.4296711456373195E-2</v>
      </c>
      <c r="H176" s="191">
        <f t="shared" si="17"/>
        <v>24.3323922234467</v>
      </c>
    </row>
    <row r="177" spans="1:8">
      <c r="A177" s="189" t="s">
        <v>187</v>
      </c>
      <c r="B177" s="190" t="str">
        <f>VLOOKUP(A177, 'Exit Prices'!$A$3:$B$231, 2,0)</f>
        <v>DNO</v>
      </c>
      <c r="C177" s="191">
        <f t="shared" si="12"/>
        <v>97.404259388107505</v>
      </c>
      <c r="D177" s="191">
        <f t="shared" si="13"/>
        <v>0</v>
      </c>
      <c r="E177" s="191">
        <f t="shared" si="14"/>
        <v>0</v>
      </c>
      <c r="F177" s="191">
        <f t="shared" si="15"/>
        <v>0</v>
      </c>
      <c r="G177" s="191">
        <f t="shared" si="16"/>
        <v>9.2086920296010205E-2</v>
      </c>
      <c r="H177" s="191">
        <f t="shared" si="17"/>
        <v>2.5036536915964902</v>
      </c>
    </row>
    <row r="178" spans="1:8">
      <c r="A178" s="189" t="s">
        <v>188</v>
      </c>
      <c r="B178" s="190" t="str">
        <f>VLOOKUP(A178, 'Exit Prices'!$A$3:$B$231, 2,0)</f>
        <v>POWER STATION</v>
      </c>
      <c r="C178" s="191">
        <f t="shared" si="12"/>
        <v>49.279810729716402</v>
      </c>
      <c r="D178" s="191">
        <f t="shared" si="13"/>
        <v>0</v>
      </c>
      <c r="E178" s="191">
        <f t="shared" si="14"/>
        <v>0</v>
      </c>
      <c r="F178" s="191">
        <f t="shared" si="15"/>
        <v>0.26115429329200202</v>
      </c>
      <c r="G178" s="191">
        <f t="shared" si="16"/>
        <v>6.64895970993859E-2</v>
      </c>
      <c r="H178" s="191">
        <f t="shared" si="17"/>
        <v>50.392545379892198</v>
      </c>
    </row>
    <row r="179" spans="1:8">
      <c r="A179" s="189" t="s">
        <v>241</v>
      </c>
      <c r="B179" s="190" t="str">
        <f>VLOOKUP(A179, 'Exit Prices'!$A$3:$B$231, 2,0)</f>
        <v>INDUSTRIAL</v>
      </c>
      <c r="C179" s="191">
        <f t="shared" si="12"/>
        <v>75.570686103107803</v>
      </c>
      <c r="D179" s="191">
        <f t="shared" si="13"/>
        <v>0</v>
      </c>
      <c r="E179" s="191">
        <f t="shared" si="14"/>
        <v>0</v>
      </c>
      <c r="F179" s="191">
        <f t="shared" si="15"/>
        <v>2.6249619891495798E-3</v>
      </c>
      <c r="G179" s="191">
        <f t="shared" si="16"/>
        <v>9.4296711456373195E-2</v>
      </c>
      <c r="H179" s="191">
        <f t="shared" si="17"/>
        <v>24.3323922234467</v>
      </c>
    </row>
    <row r="180" spans="1:8">
      <c r="A180" s="189" t="s">
        <v>189</v>
      </c>
      <c r="B180" s="190" t="str">
        <f>VLOOKUP(A180, 'Exit Prices'!$A$3:$B$231, 2,0)</f>
        <v>POWER STATION</v>
      </c>
      <c r="C180" s="191">
        <f t="shared" si="12"/>
        <v>49.279810729716402</v>
      </c>
      <c r="D180" s="191">
        <f t="shared" si="13"/>
        <v>0</v>
      </c>
      <c r="E180" s="191">
        <f t="shared" si="14"/>
        <v>0</v>
      </c>
      <c r="F180" s="191">
        <f t="shared" si="15"/>
        <v>0.26115429329200202</v>
      </c>
      <c r="G180" s="191">
        <f t="shared" si="16"/>
        <v>6.64895970993859E-2</v>
      </c>
      <c r="H180" s="191">
        <f t="shared" si="17"/>
        <v>50.392545379892198</v>
      </c>
    </row>
    <row r="181" spans="1:8">
      <c r="A181" s="189" t="s">
        <v>190</v>
      </c>
      <c r="B181" s="190" t="str">
        <f>VLOOKUP(A181, 'Exit Prices'!$A$3:$B$231, 2,0)</f>
        <v>INDUSTRIAL</v>
      </c>
      <c r="C181" s="191">
        <f t="shared" si="12"/>
        <v>75.570686103107803</v>
      </c>
      <c r="D181" s="191">
        <f t="shared" si="13"/>
        <v>0</v>
      </c>
      <c r="E181" s="191">
        <f t="shared" si="14"/>
        <v>0</v>
      </c>
      <c r="F181" s="191">
        <f t="shared" si="15"/>
        <v>2.6249619891495798E-3</v>
      </c>
      <c r="G181" s="191">
        <f t="shared" si="16"/>
        <v>9.4296711456373195E-2</v>
      </c>
      <c r="H181" s="191">
        <f t="shared" si="17"/>
        <v>24.3323922234467</v>
      </c>
    </row>
    <row r="182" spans="1:8">
      <c r="A182" s="189" t="s">
        <v>191</v>
      </c>
      <c r="B182" s="190" t="str">
        <f>VLOOKUP(A182, 'Exit Prices'!$A$3:$B$231, 2,0)</f>
        <v>DNO</v>
      </c>
      <c r="C182" s="191">
        <f t="shared" si="12"/>
        <v>97.404259388107505</v>
      </c>
      <c r="D182" s="191">
        <f t="shared" si="13"/>
        <v>0</v>
      </c>
      <c r="E182" s="191">
        <f t="shared" si="14"/>
        <v>0</v>
      </c>
      <c r="F182" s="191">
        <f t="shared" si="15"/>
        <v>0</v>
      </c>
      <c r="G182" s="191">
        <f t="shared" si="16"/>
        <v>9.2086920296010205E-2</v>
      </c>
      <c r="H182" s="191">
        <f t="shared" si="17"/>
        <v>2.5036536915964902</v>
      </c>
    </row>
    <row r="183" spans="1:8">
      <c r="A183" s="189" t="s">
        <v>192</v>
      </c>
      <c r="B183" s="190" t="str">
        <f>VLOOKUP(A183, 'Exit Prices'!$A$3:$B$231, 2,0)</f>
        <v>INDUSTRIAL</v>
      </c>
      <c r="C183" s="191">
        <f t="shared" si="12"/>
        <v>75.570686103107803</v>
      </c>
      <c r="D183" s="191">
        <f t="shared" si="13"/>
        <v>0</v>
      </c>
      <c r="E183" s="191">
        <f t="shared" si="14"/>
        <v>0</v>
      </c>
      <c r="F183" s="191">
        <f t="shared" si="15"/>
        <v>2.6249619891495798E-3</v>
      </c>
      <c r="G183" s="191">
        <f t="shared" si="16"/>
        <v>9.4296711456373195E-2</v>
      </c>
      <c r="H183" s="191">
        <f t="shared" si="17"/>
        <v>24.3323922234467</v>
      </c>
    </row>
    <row r="184" spans="1:8">
      <c r="A184" s="189" t="s">
        <v>193</v>
      </c>
      <c r="B184" s="190" t="str">
        <f>VLOOKUP(A184, 'Exit Prices'!$A$3:$B$231, 2,0)</f>
        <v>DNO</v>
      </c>
      <c r="C184" s="191">
        <f t="shared" si="12"/>
        <v>97.404259388107505</v>
      </c>
      <c r="D184" s="191">
        <f t="shared" si="13"/>
        <v>0</v>
      </c>
      <c r="E184" s="191">
        <f t="shared" si="14"/>
        <v>0</v>
      </c>
      <c r="F184" s="191">
        <f t="shared" si="15"/>
        <v>0</v>
      </c>
      <c r="G184" s="191">
        <f t="shared" si="16"/>
        <v>9.2086920296010205E-2</v>
      </c>
      <c r="H184" s="191">
        <f t="shared" si="17"/>
        <v>2.5036536915964902</v>
      </c>
    </row>
    <row r="185" spans="1:8">
      <c r="A185" s="189" t="s">
        <v>194</v>
      </c>
      <c r="B185" s="190" t="str">
        <f>VLOOKUP(A185, 'Exit Prices'!$A$3:$B$231, 2,0)</f>
        <v>DNO</v>
      </c>
      <c r="C185" s="191">
        <f t="shared" si="12"/>
        <v>97.404259388107505</v>
      </c>
      <c r="D185" s="191">
        <f t="shared" si="13"/>
        <v>0</v>
      </c>
      <c r="E185" s="191">
        <f t="shared" si="14"/>
        <v>0</v>
      </c>
      <c r="F185" s="191">
        <f t="shared" si="15"/>
        <v>0</v>
      </c>
      <c r="G185" s="191">
        <f t="shared" si="16"/>
        <v>9.2086920296010205E-2</v>
      </c>
      <c r="H185" s="191">
        <f t="shared" si="17"/>
        <v>2.5036536915964902</v>
      </c>
    </row>
    <row r="186" spans="1:8">
      <c r="A186" s="189" t="s">
        <v>195</v>
      </c>
      <c r="B186" s="190" t="str">
        <f>VLOOKUP(A186, 'Exit Prices'!$A$3:$B$231, 2,0)</f>
        <v>DNO</v>
      </c>
      <c r="C186" s="191">
        <f t="shared" si="12"/>
        <v>97.404259388107505</v>
      </c>
      <c r="D186" s="191">
        <f t="shared" si="13"/>
        <v>0</v>
      </c>
      <c r="E186" s="191">
        <f t="shared" si="14"/>
        <v>0</v>
      </c>
      <c r="F186" s="191">
        <f t="shared" si="15"/>
        <v>0</v>
      </c>
      <c r="G186" s="191">
        <f t="shared" si="16"/>
        <v>9.2086920296010205E-2</v>
      </c>
      <c r="H186" s="191">
        <f t="shared" si="17"/>
        <v>2.5036536915964902</v>
      </c>
    </row>
    <row r="187" spans="1:8">
      <c r="A187" s="189" t="s">
        <v>196</v>
      </c>
      <c r="B187" s="190" t="str">
        <f>VLOOKUP(A187, 'Exit Prices'!$A$3:$B$231, 2,0)</f>
        <v>POWER STATION</v>
      </c>
      <c r="C187" s="191">
        <f t="shared" si="12"/>
        <v>49.279810729716402</v>
      </c>
      <c r="D187" s="191">
        <f t="shared" si="13"/>
        <v>0</v>
      </c>
      <c r="E187" s="191">
        <f t="shared" si="14"/>
        <v>0</v>
      </c>
      <c r="F187" s="191">
        <f t="shared" si="15"/>
        <v>0.26115429329200202</v>
      </c>
      <c r="G187" s="191">
        <f t="shared" si="16"/>
        <v>6.64895970993859E-2</v>
      </c>
      <c r="H187" s="191">
        <f t="shared" si="17"/>
        <v>50.392545379892198</v>
      </c>
    </row>
    <row r="188" spans="1:8">
      <c r="A188" s="189" t="s">
        <v>21</v>
      </c>
      <c r="B188" s="190" t="str">
        <f>VLOOKUP(A188, 'Exit Prices'!$A$3:$B$231, 2,0)</f>
        <v>DNO</v>
      </c>
      <c r="C188" s="191">
        <f t="shared" si="12"/>
        <v>97.404259388107505</v>
      </c>
      <c r="D188" s="191">
        <f t="shared" si="13"/>
        <v>0</v>
      </c>
      <c r="E188" s="191">
        <f t="shared" si="14"/>
        <v>0</v>
      </c>
      <c r="F188" s="191">
        <f t="shared" si="15"/>
        <v>0</v>
      </c>
      <c r="G188" s="191">
        <f t="shared" si="16"/>
        <v>9.2086920296010205E-2</v>
      </c>
      <c r="H188" s="191">
        <f t="shared" si="17"/>
        <v>2.5036536915964902</v>
      </c>
    </row>
    <row r="189" spans="1:8">
      <c r="A189" s="189" t="s">
        <v>197</v>
      </c>
      <c r="B189" s="190" t="str">
        <f>VLOOKUP(A189, 'Exit Prices'!$A$3:$B$231, 2,0)</f>
        <v>POWER STATION</v>
      </c>
      <c r="C189" s="191">
        <f t="shared" si="12"/>
        <v>49.279810729716402</v>
      </c>
      <c r="D189" s="191">
        <f t="shared" si="13"/>
        <v>0</v>
      </c>
      <c r="E189" s="191">
        <f t="shared" si="14"/>
        <v>0</v>
      </c>
      <c r="F189" s="191">
        <f t="shared" si="15"/>
        <v>0.26115429329200202</v>
      </c>
      <c r="G189" s="191">
        <f t="shared" si="16"/>
        <v>6.64895970993859E-2</v>
      </c>
      <c r="H189" s="191">
        <f t="shared" si="17"/>
        <v>50.392545379892198</v>
      </c>
    </row>
    <row r="190" spans="1:8">
      <c r="A190" s="189" t="s">
        <v>198</v>
      </c>
      <c r="B190" s="190" t="str">
        <f>VLOOKUP(A190, 'Exit Prices'!$A$3:$B$231, 2,0)</f>
        <v>INDUSTRIAL</v>
      </c>
      <c r="C190" s="191">
        <f t="shared" si="12"/>
        <v>75.570686103107803</v>
      </c>
      <c r="D190" s="191">
        <f t="shared" si="13"/>
        <v>0</v>
      </c>
      <c r="E190" s="191">
        <f t="shared" si="14"/>
        <v>0</v>
      </c>
      <c r="F190" s="191">
        <f t="shared" si="15"/>
        <v>2.6249619891495798E-3</v>
      </c>
      <c r="G190" s="191">
        <f t="shared" si="16"/>
        <v>9.4296711456373195E-2</v>
      </c>
      <c r="H190" s="191">
        <f t="shared" si="17"/>
        <v>24.3323922234467</v>
      </c>
    </row>
    <row r="191" spans="1:8">
      <c r="A191" s="189" t="s">
        <v>199</v>
      </c>
      <c r="B191" s="190" t="str">
        <f>VLOOKUP(A191, 'Exit Prices'!$A$3:$B$231, 2,0)</f>
        <v>POWER STATION</v>
      </c>
      <c r="C191" s="191">
        <f t="shared" si="12"/>
        <v>49.279810729716402</v>
      </c>
      <c r="D191" s="191">
        <f t="shared" si="13"/>
        <v>0</v>
      </c>
      <c r="E191" s="191">
        <f t="shared" si="14"/>
        <v>0</v>
      </c>
      <c r="F191" s="191">
        <f t="shared" si="15"/>
        <v>0.26115429329200202</v>
      </c>
      <c r="G191" s="191">
        <f t="shared" si="16"/>
        <v>6.64895970993859E-2</v>
      </c>
      <c r="H191" s="191">
        <f t="shared" si="17"/>
        <v>50.392545379892198</v>
      </c>
    </row>
    <row r="192" spans="1:8">
      <c r="A192" s="189" t="s">
        <v>200</v>
      </c>
      <c r="B192" s="190" t="str">
        <f>VLOOKUP(A192, 'Exit Prices'!$A$3:$B$231, 2,0)</f>
        <v>POWER STATION</v>
      </c>
      <c r="C192" s="191">
        <f t="shared" si="12"/>
        <v>49.279810729716402</v>
      </c>
      <c r="D192" s="191">
        <f t="shared" si="13"/>
        <v>0</v>
      </c>
      <c r="E192" s="191">
        <f t="shared" si="14"/>
        <v>0</v>
      </c>
      <c r="F192" s="191">
        <f t="shared" si="15"/>
        <v>0.26115429329200202</v>
      </c>
      <c r="G192" s="191">
        <f t="shared" si="16"/>
        <v>6.64895970993859E-2</v>
      </c>
      <c r="H192" s="191">
        <f t="shared" si="17"/>
        <v>50.392545379892198</v>
      </c>
    </row>
    <row r="193" spans="1:8">
      <c r="A193" s="189" t="s">
        <v>201</v>
      </c>
      <c r="B193" s="190" t="str">
        <f>VLOOKUP(A193, 'Exit Prices'!$A$3:$B$231, 2,0)</f>
        <v>POWER STATION</v>
      </c>
      <c r="C193" s="191">
        <f t="shared" si="12"/>
        <v>49.279810729716402</v>
      </c>
      <c r="D193" s="191">
        <f t="shared" si="13"/>
        <v>0</v>
      </c>
      <c r="E193" s="191">
        <f t="shared" si="14"/>
        <v>0</v>
      </c>
      <c r="F193" s="191">
        <f t="shared" si="15"/>
        <v>0.26115429329200202</v>
      </c>
      <c r="G193" s="191">
        <f t="shared" si="16"/>
        <v>6.64895970993859E-2</v>
      </c>
      <c r="H193" s="191">
        <f t="shared" si="17"/>
        <v>50.392545379892198</v>
      </c>
    </row>
    <row r="194" spans="1:8">
      <c r="A194" s="189" t="s">
        <v>202</v>
      </c>
      <c r="B194" s="190" t="str">
        <f>VLOOKUP(A194, 'Exit Prices'!$A$3:$B$231, 2,0)</f>
        <v>POWER STATION</v>
      </c>
      <c r="C194" s="191">
        <f t="shared" si="12"/>
        <v>49.279810729716402</v>
      </c>
      <c r="D194" s="191">
        <f t="shared" si="13"/>
        <v>0</v>
      </c>
      <c r="E194" s="191">
        <f t="shared" si="14"/>
        <v>0</v>
      </c>
      <c r="F194" s="191">
        <f t="shared" si="15"/>
        <v>0.26115429329200202</v>
      </c>
      <c r="G194" s="191">
        <f t="shared" si="16"/>
        <v>6.64895970993859E-2</v>
      </c>
      <c r="H194" s="191">
        <f t="shared" si="17"/>
        <v>50.392545379892198</v>
      </c>
    </row>
    <row r="195" spans="1:8">
      <c r="A195" s="189" t="s">
        <v>203</v>
      </c>
      <c r="B195" s="190" t="str">
        <f>VLOOKUP(A195, 'Exit Prices'!$A$3:$B$231, 2,0)</f>
        <v>DNO</v>
      </c>
      <c r="C195" s="191">
        <f t="shared" si="12"/>
        <v>97.404259388107505</v>
      </c>
      <c r="D195" s="191">
        <f t="shared" si="13"/>
        <v>0</v>
      </c>
      <c r="E195" s="191">
        <f t="shared" si="14"/>
        <v>0</v>
      </c>
      <c r="F195" s="191">
        <f t="shared" si="15"/>
        <v>0</v>
      </c>
      <c r="G195" s="191">
        <f t="shared" si="16"/>
        <v>9.2086920296010205E-2</v>
      </c>
      <c r="H195" s="191">
        <f t="shared" si="17"/>
        <v>2.5036536915964902</v>
      </c>
    </row>
    <row r="196" spans="1:8">
      <c r="A196" s="189" t="s">
        <v>204</v>
      </c>
      <c r="B196" s="190" t="str">
        <f>VLOOKUP(A196, 'Exit Prices'!$A$3:$B$231, 2,0)</f>
        <v>DNO</v>
      </c>
      <c r="C196" s="191">
        <f t="shared" si="12"/>
        <v>97.404259388107505</v>
      </c>
      <c r="D196" s="191">
        <f t="shared" si="13"/>
        <v>0</v>
      </c>
      <c r="E196" s="191">
        <f t="shared" si="14"/>
        <v>0</v>
      </c>
      <c r="F196" s="191">
        <f t="shared" si="15"/>
        <v>0</v>
      </c>
      <c r="G196" s="191">
        <f t="shared" si="16"/>
        <v>9.2086920296010205E-2</v>
      </c>
      <c r="H196" s="191">
        <f t="shared" si="17"/>
        <v>2.5036536915964902</v>
      </c>
    </row>
    <row r="197" spans="1:8">
      <c r="A197" s="189" t="s">
        <v>205</v>
      </c>
      <c r="B197" s="190" t="str">
        <f>VLOOKUP(A197, 'Exit Prices'!$A$3:$B$231, 2,0)</f>
        <v>STORAGE SITE</v>
      </c>
      <c r="C197" s="191">
        <f t="shared" si="12"/>
        <v>27.665395475068301</v>
      </c>
      <c r="D197" s="191">
        <f t="shared" si="13"/>
        <v>0</v>
      </c>
      <c r="E197" s="191">
        <f t="shared" si="14"/>
        <v>0</v>
      </c>
      <c r="F197" s="191">
        <f t="shared" si="15"/>
        <v>0</v>
      </c>
      <c r="G197" s="191">
        <f t="shared" si="16"/>
        <v>0.15481302448832299</v>
      </c>
      <c r="H197" s="191">
        <f t="shared" si="17"/>
        <v>72.1797915004434</v>
      </c>
    </row>
    <row r="198" spans="1:8">
      <c r="A198" s="189" t="s">
        <v>206</v>
      </c>
      <c r="B198" s="190" t="str">
        <f>VLOOKUP(A198, 'Exit Prices'!$A$3:$B$231, 2,0)</f>
        <v>DNO</v>
      </c>
      <c r="C198" s="191">
        <f t="shared" si="12"/>
        <v>97.404259388107505</v>
      </c>
      <c r="D198" s="191">
        <f t="shared" si="13"/>
        <v>0</v>
      </c>
      <c r="E198" s="191">
        <f t="shared" si="14"/>
        <v>0</v>
      </c>
      <c r="F198" s="191">
        <f t="shared" si="15"/>
        <v>0</v>
      </c>
      <c r="G198" s="191">
        <f t="shared" si="16"/>
        <v>9.2086920296010205E-2</v>
      </c>
      <c r="H198" s="191">
        <f t="shared" si="17"/>
        <v>2.5036536915964902</v>
      </c>
    </row>
    <row r="199" spans="1:8">
      <c r="A199" s="189" t="s">
        <v>207</v>
      </c>
      <c r="B199" s="190" t="str">
        <f>VLOOKUP(A199, 'Exit Prices'!$A$3:$B$231, 2,0)</f>
        <v>POWER STATION</v>
      </c>
      <c r="C199" s="191">
        <f t="shared" si="12"/>
        <v>49.279810729716402</v>
      </c>
      <c r="D199" s="191">
        <f t="shared" si="13"/>
        <v>0</v>
      </c>
      <c r="E199" s="191">
        <f t="shared" si="14"/>
        <v>0</v>
      </c>
      <c r="F199" s="191">
        <f t="shared" si="15"/>
        <v>0.26115429329200202</v>
      </c>
      <c r="G199" s="191">
        <f t="shared" si="16"/>
        <v>6.64895970993859E-2</v>
      </c>
      <c r="H199" s="191">
        <f t="shared" si="17"/>
        <v>50.392545379892198</v>
      </c>
    </row>
    <row r="200" spans="1:8">
      <c r="A200" s="189" t="s">
        <v>208</v>
      </c>
      <c r="B200" s="190" t="str">
        <f>VLOOKUP(A200, 'Exit Prices'!$A$3:$B$231, 2,0)</f>
        <v>DNO</v>
      </c>
      <c r="C200" s="191">
        <f t="shared" si="12"/>
        <v>97.404259388107505</v>
      </c>
      <c r="D200" s="191">
        <f t="shared" si="13"/>
        <v>0</v>
      </c>
      <c r="E200" s="191">
        <f t="shared" si="14"/>
        <v>0</v>
      </c>
      <c r="F200" s="191">
        <f t="shared" si="15"/>
        <v>0</v>
      </c>
      <c r="G200" s="191">
        <f t="shared" si="16"/>
        <v>9.2086920296010205E-2</v>
      </c>
      <c r="H200" s="191">
        <f t="shared" si="17"/>
        <v>2.5036536915964902</v>
      </c>
    </row>
    <row r="201" spans="1:8">
      <c r="A201" s="189" t="s">
        <v>209</v>
      </c>
      <c r="B201" s="190" t="str">
        <f>VLOOKUP(A201, 'Exit Prices'!$A$3:$B$231, 2,0)</f>
        <v>INDUSTRIAL</v>
      </c>
      <c r="C201" s="191">
        <f t="shared" si="12"/>
        <v>75.570686103107803</v>
      </c>
      <c r="D201" s="191">
        <f t="shared" si="13"/>
        <v>0</v>
      </c>
      <c r="E201" s="191">
        <f t="shared" si="14"/>
        <v>0</v>
      </c>
      <c r="F201" s="191">
        <f t="shared" si="15"/>
        <v>2.6249619891495798E-3</v>
      </c>
      <c r="G201" s="191">
        <f t="shared" si="16"/>
        <v>9.4296711456373195E-2</v>
      </c>
      <c r="H201" s="191">
        <f t="shared" si="17"/>
        <v>24.3323922234467</v>
      </c>
    </row>
    <row r="202" spans="1:8">
      <c r="A202" s="189" t="s">
        <v>210</v>
      </c>
      <c r="B202" s="190" t="str">
        <f>VLOOKUP(A202, 'Exit Prices'!$A$3:$B$231, 2,0)</f>
        <v>INDUSTRIAL</v>
      </c>
      <c r="C202" s="191">
        <f t="shared" si="12"/>
        <v>75.570686103107803</v>
      </c>
      <c r="D202" s="191">
        <f t="shared" si="13"/>
        <v>0</v>
      </c>
      <c r="E202" s="191">
        <f t="shared" si="14"/>
        <v>0</v>
      </c>
      <c r="F202" s="191">
        <f t="shared" si="15"/>
        <v>2.6249619891495798E-3</v>
      </c>
      <c r="G202" s="191">
        <f t="shared" si="16"/>
        <v>9.4296711456373195E-2</v>
      </c>
      <c r="H202" s="191">
        <f t="shared" si="17"/>
        <v>24.3323922234467</v>
      </c>
    </row>
    <row r="203" spans="1:8">
      <c r="A203" s="189" t="s">
        <v>211</v>
      </c>
      <c r="B203" s="190" t="str">
        <f>VLOOKUP(A203, 'Exit Prices'!$A$3:$B$231, 2,0)</f>
        <v>INDUSTRIAL</v>
      </c>
      <c r="C203" s="191">
        <f t="shared" si="12"/>
        <v>75.570686103107803</v>
      </c>
      <c r="D203" s="191">
        <f t="shared" si="13"/>
        <v>0</v>
      </c>
      <c r="E203" s="191">
        <f t="shared" si="14"/>
        <v>0</v>
      </c>
      <c r="F203" s="191">
        <f t="shared" si="15"/>
        <v>2.6249619891495798E-3</v>
      </c>
      <c r="G203" s="191">
        <f t="shared" si="16"/>
        <v>9.4296711456373195E-2</v>
      </c>
      <c r="H203" s="191">
        <f t="shared" si="17"/>
        <v>24.3323922234467</v>
      </c>
    </row>
    <row r="204" spans="1:8">
      <c r="A204" s="189" t="s">
        <v>212</v>
      </c>
      <c r="B204" s="190" t="str">
        <f>VLOOKUP(A204, 'Exit Prices'!$A$3:$B$231, 2,0)</f>
        <v>DNO</v>
      </c>
      <c r="C204" s="191">
        <f t="shared" ref="C204:C240" si="18">VLOOKUP($B204, $B$4:$H$8, 2, 0)</f>
        <v>97.404259388107505</v>
      </c>
      <c r="D204" s="191">
        <f t="shared" ref="D204:D240" si="19">VLOOKUP($B204, $B$4:$H$8, 3, 0)</f>
        <v>0</v>
      </c>
      <c r="E204" s="191">
        <f t="shared" ref="E204:E240" si="20">VLOOKUP($B204, $B$4:$H$8, 4, 0)</f>
        <v>0</v>
      </c>
      <c r="F204" s="191">
        <f t="shared" ref="F204:F240" si="21">VLOOKUP($B204, $B$4:$H$8, 5, 0)</f>
        <v>0</v>
      </c>
      <c r="G204" s="191">
        <f t="shared" ref="G204:G240" si="22">VLOOKUP($B204, $B$4:$H$8, 6, 0)</f>
        <v>9.2086920296010205E-2</v>
      </c>
      <c r="H204" s="191">
        <f t="shared" ref="H204:H240" si="23">VLOOKUP($B204, $B$4:$H$8, 7, 0)</f>
        <v>2.5036536915964902</v>
      </c>
    </row>
    <row r="205" spans="1:8">
      <c r="A205" s="189" t="s">
        <v>213</v>
      </c>
      <c r="B205" s="190" t="str">
        <f>VLOOKUP(A205, 'Exit Prices'!$A$3:$B$231, 2,0)</f>
        <v>INDUSTRIAL</v>
      </c>
      <c r="C205" s="191">
        <f t="shared" si="18"/>
        <v>75.570686103107803</v>
      </c>
      <c r="D205" s="191">
        <f t="shared" si="19"/>
        <v>0</v>
      </c>
      <c r="E205" s="191">
        <f t="shared" si="20"/>
        <v>0</v>
      </c>
      <c r="F205" s="191">
        <f t="shared" si="21"/>
        <v>2.6249619891495798E-3</v>
      </c>
      <c r="G205" s="191">
        <f t="shared" si="22"/>
        <v>9.4296711456373195E-2</v>
      </c>
      <c r="H205" s="191">
        <f t="shared" si="23"/>
        <v>24.3323922234467</v>
      </c>
    </row>
    <row r="206" spans="1:8">
      <c r="A206" s="189" t="s">
        <v>214</v>
      </c>
      <c r="B206" s="190" t="str">
        <f>VLOOKUP(A206, 'Exit Prices'!$A$3:$B$231, 2,0)</f>
        <v>POWER STATION</v>
      </c>
      <c r="C206" s="191">
        <f t="shared" si="18"/>
        <v>49.279810729716402</v>
      </c>
      <c r="D206" s="191">
        <f t="shared" si="19"/>
        <v>0</v>
      </c>
      <c r="E206" s="191">
        <f t="shared" si="20"/>
        <v>0</v>
      </c>
      <c r="F206" s="191">
        <f t="shared" si="21"/>
        <v>0.26115429329200202</v>
      </c>
      <c r="G206" s="191">
        <f t="shared" si="22"/>
        <v>6.64895970993859E-2</v>
      </c>
      <c r="H206" s="191">
        <f t="shared" si="23"/>
        <v>50.392545379892198</v>
      </c>
    </row>
    <row r="207" spans="1:8">
      <c r="A207" s="189" t="s">
        <v>215</v>
      </c>
      <c r="B207" s="190" t="str">
        <f>VLOOKUP(A207, 'Exit Prices'!$A$3:$B$231, 2,0)</f>
        <v>DNO</v>
      </c>
      <c r="C207" s="191">
        <f t="shared" si="18"/>
        <v>97.404259388107505</v>
      </c>
      <c r="D207" s="191">
        <f t="shared" si="19"/>
        <v>0</v>
      </c>
      <c r="E207" s="191">
        <f t="shared" si="20"/>
        <v>0</v>
      </c>
      <c r="F207" s="191">
        <f t="shared" si="21"/>
        <v>0</v>
      </c>
      <c r="G207" s="191">
        <f t="shared" si="22"/>
        <v>9.2086920296010205E-2</v>
      </c>
      <c r="H207" s="191">
        <f t="shared" si="23"/>
        <v>2.5036536915964902</v>
      </c>
    </row>
    <row r="208" spans="1:8">
      <c r="A208" s="189" t="s">
        <v>216</v>
      </c>
      <c r="B208" s="190" t="str">
        <f>VLOOKUP(A208, 'Exit Prices'!$A$3:$B$231, 2,0)</f>
        <v>POWER STATION</v>
      </c>
      <c r="C208" s="191">
        <f t="shared" si="18"/>
        <v>49.279810729716402</v>
      </c>
      <c r="D208" s="191">
        <f t="shared" si="19"/>
        <v>0</v>
      </c>
      <c r="E208" s="191">
        <f t="shared" si="20"/>
        <v>0</v>
      </c>
      <c r="F208" s="191">
        <f t="shared" si="21"/>
        <v>0.26115429329200202</v>
      </c>
      <c r="G208" s="191">
        <f t="shared" si="22"/>
        <v>6.64895970993859E-2</v>
      </c>
      <c r="H208" s="191">
        <f t="shared" si="23"/>
        <v>50.392545379892198</v>
      </c>
    </row>
    <row r="209" spans="1:8">
      <c r="A209" s="189" t="s">
        <v>217</v>
      </c>
      <c r="B209" s="190" t="str">
        <f>VLOOKUP(A209, 'Exit Prices'!$A$3:$B$231, 2,0)</f>
        <v>POWER STATION</v>
      </c>
      <c r="C209" s="191">
        <f t="shared" si="18"/>
        <v>49.279810729716402</v>
      </c>
      <c r="D209" s="191">
        <f t="shared" si="19"/>
        <v>0</v>
      </c>
      <c r="E209" s="191">
        <f t="shared" si="20"/>
        <v>0</v>
      </c>
      <c r="F209" s="191">
        <f t="shared" si="21"/>
        <v>0.26115429329200202</v>
      </c>
      <c r="G209" s="191">
        <f t="shared" si="22"/>
        <v>6.64895970993859E-2</v>
      </c>
      <c r="H209" s="191">
        <f t="shared" si="23"/>
        <v>50.392545379892198</v>
      </c>
    </row>
    <row r="210" spans="1:8">
      <c r="A210" s="189" t="s">
        <v>218</v>
      </c>
      <c r="B210" s="190" t="str">
        <f>VLOOKUP(A210, 'Exit Prices'!$A$3:$B$231, 2,0)</f>
        <v>DNO</v>
      </c>
      <c r="C210" s="191">
        <f t="shared" si="18"/>
        <v>97.404259388107505</v>
      </c>
      <c r="D210" s="191">
        <f t="shared" si="19"/>
        <v>0</v>
      </c>
      <c r="E210" s="191">
        <f t="shared" si="20"/>
        <v>0</v>
      </c>
      <c r="F210" s="191">
        <f t="shared" si="21"/>
        <v>0</v>
      </c>
      <c r="G210" s="191">
        <f t="shared" si="22"/>
        <v>9.2086920296010205E-2</v>
      </c>
      <c r="H210" s="191">
        <f t="shared" si="23"/>
        <v>2.5036536915964902</v>
      </c>
    </row>
    <row r="211" spans="1:8">
      <c r="A211" s="189" t="s">
        <v>219</v>
      </c>
      <c r="B211" s="190" t="str">
        <f>VLOOKUP(A211, 'Exit Prices'!$A$3:$B$231, 2,0)</f>
        <v>DNO</v>
      </c>
      <c r="C211" s="191">
        <f t="shared" si="18"/>
        <v>97.404259388107505</v>
      </c>
      <c r="D211" s="191">
        <f t="shared" si="19"/>
        <v>0</v>
      </c>
      <c r="E211" s="191">
        <f t="shared" si="20"/>
        <v>0</v>
      </c>
      <c r="F211" s="191">
        <f t="shared" si="21"/>
        <v>0</v>
      </c>
      <c r="G211" s="191">
        <f t="shared" si="22"/>
        <v>9.2086920296010205E-2</v>
      </c>
      <c r="H211" s="191">
        <f t="shared" si="23"/>
        <v>2.5036536915964902</v>
      </c>
    </row>
    <row r="212" spans="1:8">
      <c r="A212" s="189" t="s">
        <v>239</v>
      </c>
      <c r="B212" s="190" t="str">
        <f>VLOOKUP(A212, 'Exit Prices'!$A$3:$B$231, 2,0)</f>
        <v>POWER STATION</v>
      </c>
      <c r="C212" s="191">
        <f t="shared" si="18"/>
        <v>49.279810729716402</v>
      </c>
      <c r="D212" s="191">
        <f t="shared" si="19"/>
        <v>0</v>
      </c>
      <c r="E212" s="191">
        <f t="shared" si="20"/>
        <v>0</v>
      </c>
      <c r="F212" s="191">
        <f t="shared" si="21"/>
        <v>0.26115429329200202</v>
      </c>
      <c r="G212" s="191">
        <f t="shared" si="22"/>
        <v>6.64895970993859E-2</v>
      </c>
      <c r="H212" s="191">
        <f t="shared" si="23"/>
        <v>50.392545379892198</v>
      </c>
    </row>
    <row r="213" spans="1:8">
      <c r="A213" s="189" t="s">
        <v>220</v>
      </c>
      <c r="B213" s="190" t="str">
        <f>VLOOKUP(A213, 'Exit Prices'!$A$3:$B$231, 2,0)</f>
        <v>DNO</v>
      </c>
      <c r="C213" s="191">
        <f t="shared" si="18"/>
        <v>97.404259388107505</v>
      </c>
      <c r="D213" s="191">
        <f t="shared" si="19"/>
        <v>0</v>
      </c>
      <c r="E213" s="191">
        <f t="shared" si="20"/>
        <v>0</v>
      </c>
      <c r="F213" s="191">
        <f t="shared" si="21"/>
        <v>0</v>
      </c>
      <c r="G213" s="191">
        <f t="shared" si="22"/>
        <v>9.2086920296010205E-2</v>
      </c>
      <c r="H213" s="191">
        <f t="shared" si="23"/>
        <v>2.5036536915964902</v>
      </c>
    </row>
    <row r="214" spans="1:8">
      <c r="A214" s="189" t="s">
        <v>221</v>
      </c>
      <c r="B214" s="190" t="str">
        <f>VLOOKUP(A214, 'Exit Prices'!$A$3:$B$231, 2,0)</f>
        <v>INDUSTRIAL</v>
      </c>
      <c r="C214" s="191">
        <f t="shared" si="18"/>
        <v>75.570686103107803</v>
      </c>
      <c r="D214" s="191">
        <f t="shared" si="19"/>
        <v>0</v>
      </c>
      <c r="E214" s="191">
        <f t="shared" si="20"/>
        <v>0</v>
      </c>
      <c r="F214" s="191">
        <f t="shared" si="21"/>
        <v>2.6249619891495798E-3</v>
      </c>
      <c r="G214" s="191">
        <f t="shared" si="22"/>
        <v>9.4296711456373195E-2</v>
      </c>
      <c r="H214" s="191">
        <f t="shared" si="23"/>
        <v>24.3323922234467</v>
      </c>
    </row>
    <row r="215" spans="1:8">
      <c r="A215" s="189" t="s">
        <v>222</v>
      </c>
      <c r="B215" s="190" t="str">
        <f>VLOOKUP(A215, 'Exit Prices'!$A$3:$B$231, 2,0)</f>
        <v>DNO</v>
      </c>
      <c r="C215" s="191">
        <f t="shared" si="18"/>
        <v>97.404259388107505</v>
      </c>
      <c r="D215" s="191">
        <f t="shared" si="19"/>
        <v>0</v>
      </c>
      <c r="E215" s="191">
        <f t="shared" si="20"/>
        <v>0</v>
      </c>
      <c r="F215" s="191">
        <f t="shared" si="21"/>
        <v>0</v>
      </c>
      <c r="G215" s="191">
        <f t="shared" si="22"/>
        <v>9.2086920296010205E-2</v>
      </c>
      <c r="H215" s="191">
        <f t="shared" si="23"/>
        <v>2.5036536915964902</v>
      </c>
    </row>
    <row r="216" spans="1:8">
      <c r="A216" s="189" t="s">
        <v>223</v>
      </c>
      <c r="B216" s="190" t="str">
        <f>VLOOKUP(A216, 'Exit Prices'!$A$3:$B$231, 2,0)</f>
        <v>DNO</v>
      </c>
      <c r="C216" s="191">
        <f t="shared" si="18"/>
        <v>97.404259388107505</v>
      </c>
      <c r="D216" s="191">
        <f t="shared" si="19"/>
        <v>0</v>
      </c>
      <c r="E216" s="191">
        <f t="shared" si="20"/>
        <v>0</v>
      </c>
      <c r="F216" s="191">
        <f t="shared" si="21"/>
        <v>0</v>
      </c>
      <c r="G216" s="191">
        <f t="shared" si="22"/>
        <v>9.2086920296010205E-2</v>
      </c>
      <c r="H216" s="191">
        <f t="shared" si="23"/>
        <v>2.5036536915964902</v>
      </c>
    </row>
    <row r="217" spans="1:8">
      <c r="A217" s="189" t="s">
        <v>224</v>
      </c>
      <c r="B217" s="190" t="str">
        <f>VLOOKUP(A217, 'Exit Prices'!$A$3:$B$231, 2,0)</f>
        <v>POWER STATION</v>
      </c>
      <c r="C217" s="191">
        <f t="shared" si="18"/>
        <v>49.279810729716402</v>
      </c>
      <c r="D217" s="191">
        <f t="shared" si="19"/>
        <v>0</v>
      </c>
      <c r="E217" s="191">
        <f t="shared" si="20"/>
        <v>0</v>
      </c>
      <c r="F217" s="191">
        <f t="shared" si="21"/>
        <v>0.26115429329200202</v>
      </c>
      <c r="G217" s="191">
        <f t="shared" si="22"/>
        <v>6.64895970993859E-2</v>
      </c>
      <c r="H217" s="191">
        <f t="shared" si="23"/>
        <v>50.392545379892198</v>
      </c>
    </row>
    <row r="218" spans="1:8">
      <c r="A218" s="189" t="s">
        <v>225</v>
      </c>
      <c r="B218" s="190" t="str">
        <f>VLOOKUP(A218, 'Exit Prices'!$A$3:$B$231, 2,0)</f>
        <v>DNO</v>
      </c>
      <c r="C218" s="191">
        <f t="shared" si="18"/>
        <v>97.404259388107505</v>
      </c>
      <c r="D218" s="191">
        <f t="shared" si="19"/>
        <v>0</v>
      </c>
      <c r="E218" s="191">
        <f t="shared" si="20"/>
        <v>0</v>
      </c>
      <c r="F218" s="191">
        <f t="shared" si="21"/>
        <v>0</v>
      </c>
      <c r="G218" s="191">
        <f t="shared" si="22"/>
        <v>9.2086920296010205E-2</v>
      </c>
      <c r="H218" s="191">
        <f t="shared" si="23"/>
        <v>2.5036536915964902</v>
      </c>
    </row>
    <row r="219" spans="1:8">
      <c r="A219" s="189" t="s">
        <v>226</v>
      </c>
      <c r="B219" s="190" t="str">
        <f>VLOOKUP(A219, 'Exit Prices'!$A$3:$B$231, 2,0)</f>
        <v>DNO</v>
      </c>
      <c r="C219" s="191">
        <f t="shared" si="18"/>
        <v>97.404259388107505</v>
      </c>
      <c r="D219" s="191">
        <f t="shared" si="19"/>
        <v>0</v>
      </c>
      <c r="E219" s="191">
        <f t="shared" si="20"/>
        <v>0</v>
      </c>
      <c r="F219" s="191">
        <f t="shared" si="21"/>
        <v>0</v>
      </c>
      <c r="G219" s="191">
        <f t="shared" si="22"/>
        <v>9.2086920296010205E-2</v>
      </c>
      <c r="H219" s="191">
        <f t="shared" si="23"/>
        <v>2.5036536915964902</v>
      </c>
    </row>
    <row r="220" spans="1:8">
      <c r="A220" s="189" t="s">
        <v>227</v>
      </c>
      <c r="B220" s="190" t="str">
        <f>VLOOKUP(A220, 'Exit Prices'!$A$3:$B$231, 2,0)</f>
        <v>INDUSTRIAL</v>
      </c>
      <c r="C220" s="191">
        <f t="shared" si="18"/>
        <v>75.570686103107803</v>
      </c>
      <c r="D220" s="191">
        <f t="shared" si="19"/>
        <v>0</v>
      </c>
      <c r="E220" s="191">
        <f t="shared" si="20"/>
        <v>0</v>
      </c>
      <c r="F220" s="191">
        <f t="shared" si="21"/>
        <v>2.6249619891495798E-3</v>
      </c>
      <c r="G220" s="191">
        <f t="shared" si="22"/>
        <v>9.4296711456373195E-2</v>
      </c>
      <c r="H220" s="191">
        <f t="shared" si="23"/>
        <v>24.3323922234467</v>
      </c>
    </row>
    <row r="221" spans="1:8">
      <c r="A221" s="189" t="s">
        <v>228</v>
      </c>
      <c r="B221" s="190" t="str">
        <f>VLOOKUP(A221, 'Exit Prices'!$A$3:$B$231, 2,0)</f>
        <v>POWER STATION</v>
      </c>
      <c r="C221" s="191">
        <f t="shared" si="18"/>
        <v>49.279810729716402</v>
      </c>
      <c r="D221" s="191">
        <f t="shared" si="19"/>
        <v>0</v>
      </c>
      <c r="E221" s="191">
        <f t="shared" si="20"/>
        <v>0</v>
      </c>
      <c r="F221" s="191">
        <f t="shared" si="21"/>
        <v>0.26115429329200202</v>
      </c>
      <c r="G221" s="191">
        <f t="shared" si="22"/>
        <v>6.64895970993859E-2</v>
      </c>
      <c r="H221" s="191">
        <f t="shared" si="23"/>
        <v>50.392545379892198</v>
      </c>
    </row>
    <row r="222" spans="1:8">
      <c r="A222" s="189" t="s">
        <v>229</v>
      </c>
      <c r="B222" s="190" t="str">
        <f>VLOOKUP(A222, 'Exit Prices'!$A$3:$B$231, 2,0)</f>
        <v>DNO</v>
      </c>
      <c r="C222" s="191">
        <f t="shared" si="18"/>
        <v>97.404259388107505</v>
      </c>
      <c r="D222" s="191">
        <f t="shared" si="19"/>
        <v>0</v>
      </c>
      <c r="E222" s="191">
        <f t="shared" si="20"/>
        <v>0</v>
      </c>
      <c r="F222" s="191">
        <f t="shared" si="21"/>
        <v>0</v>
      </c>
      <c r="G222" s="191">
        <f t="shared" si="22"/>
        <v>9.2086920296010205E-2</v>
      </c>
      <c r="H222" s="191">
        <f t="shared" si="23"/>
        <v>2.5036536915964902</v>
      </c>
    </row>
    <row r="223" spans="1:8">
      <c r="A223" s="189" t="s">
        <v>230</v>
      </c>
      <c r="B223" s="190" t="str">
        <f>VLOOKUP(A223, 'Exit Prices'!$A$3:$B$231, 2,0)</f>
        <v>DNO</v>
      </c>
      <c r="C223" s="191">
        <f t="shared" si="18"/>
        <v>97.404259388107505</v>
      </c>
      <c r="D223" s="191">
        <f t="shared" si="19"/>
        <v>0</v>
      </c>
      <c r="E223" s="191">
        <f t="shared" si="20"/>
        <v>0</v>
      </c>
      <c r="F223" s="191">
        <f t="shared" si="21"/>
        <v>0</v>
      </c>
      <c r="G223" s="191">
        <f t="shared" si="22"/>
        <v>9.2086920296010205E-2</v>
      </c>
      <c r="H223" s="191">
        <f t="shared" si="23"/>
        <v>2.5036536915964902</v>
      </c>
    </row>
    <row r="224" spans="1:8">
      <c r="A224" s="189" t="s">
        <v>231</v>
      </c>
      <c r="B224" s="190" t="str">
        <f>VLOOKUP(A224, 'Exit Prices'!$A$3:$B$231, 2,0)</f>
        <v>POWER STATION</v>
      </c>
      <c r="C224" s="191">
        <f t="shared" si="18"/>
        <v>49.279810729716402</v>
      </c>
      <c r="D224" s="191">
        <f t="shared" si="19"/>
        <v>0</v>
      </c>
      <c r="E224" s="191">
        <f t="shared" si="20"/>
        <v>0</v>
      </c>
      <c r="F224" s="191">
        <f t="shared" si="21"/>
        <v>0.26115429329200202</v>
      </c>
      <c r="G224" s="191">
        <f t="shared" si="22"/>
        <v>6.64895970993859E-2</v>
      </c>
      <c r="H224" s="191">
        <f t="shared" si="23"/>
        <v>50.392545379892198</v>
      </c>
    </row>
    <row r="225" spans="1:8">
      <c r="A225" s="189" t="s">
        <v>232</v>
      </c>
      <c r="B225" s="190" t="str">
        <f>VLOOKUP(A225, 'Exit Prices'!$A$3:$B$231, 2,0)</f>
        <v>DNO</v>
      </c>
      <c r="C225" s="191">
        <f t="shared" si="18"/>
        <v>97.404259388107505</v>
      </c>
      <c r="D225" s="191">
        <f t="shared" si="19"/>
        <v>0</v>
      </c>
      <c r="E225" s="191">
        <f t="shared" si="20"/>
        <v>0</v>
      </c>
      <c r="F225" s="191">
        <f t="shared" si="21"/>
        <v>0</v>
      </c>
      <c r="G225" s="191">
        <f t="shared" si="22"/>
        <v>9.2086920296010205E-2</v>
      </c>
      <c r="H225" s="191">
        <f t="shared" si="23"/>
        <v>2.5036536915964902</v>
      </c>
    </row>
    <row r="226" spans="1:8">
      <c r="A226" s="189" t="s">
        <v>233</v>
      </c>
      <c r="B226" s="190" t="str">
        <f>VLOOKUP(A226, 'Exit Prices'!$A$3:$B$231, 2,0)</f>
        <v>DNO</v>
      </c>
      <c r="C226" s="191">
        <f t="shared" si="18"/>
        <v>97.404259388107505</v>
      </c>
      <c r="D226" s="191">
        <f t="shared" si="19"/>
        <v>0</v>
      </c>
      <c r="E226" s="191">
        <f t="shared" si="20"/>
        <v>0</v>
      </c>
      <c r="F226" s="191">
        <f t="shared" si="21"/>
        <v>0</v>
      </c>
      <c r="G226" s="191">
        <f t="shared" si="22"/>
        <v>9.2086920296010205E-2</v>
      </c>
      <c r="H226" s="191">
        <f t="shared" si="23"/>
        <v>2.5036536915964902</v>
      </c>
    </row>
    <row r="227" spans="1:8">
      <c r="A227" s="189" t="s">
        <v>234</v>
      </c>
      <c r="B227" s="190" t="str">
        <f>VLOOKUP(A227, 'Exit Prices'!$A$3:$B$231, 2,0)</f>
        <v>DNO</v>
      </c>
      <c r="C227" s="191">
        <f t="shared" si="18"/>
        <v>97.404259388107505</v>
      </c>
      <c r="D227" s="191">
        <f t="shared" si="19"/>
        <v>0</v>
      </c>
      <c r="E227" s="191">
        <f t="shared" si="20"/>
        <v>0</v>
      </c>
      <c r="F227" s="191">
        <f t="shared" si="21"/>
        <v>0</v>
      </c>
      <c r="G227" s="191">
        <f t="shared" si="22"/>
        <v>9.2086920296010205E-2</v>
      </c>
      <c r="H227" s="191">
        <f t="shared" si="23"/>
        <v>2.5036536915964902</v>
      </c>
    </row>
    <row r="228" spans="1:8">
      <c r="A228" s="189" t="s">
        <v>235</v>
      </c>
      <c r="B228" s="190" t="str">
        <f>VLOOKUP(A228, 'Exit Prices'!$A$3:$B$231, 2,0)</f>
        <v>POWER STATION</v>
      </c>
      <c r="C228" s="191">
        <f t="shared" si="18"/>
        <v>49.279810729716402</v>
      </c>
      <c r="D228" s="191">
        <f t="shared" si="19"/>
        <v>0</v>
      </c>
      <c r="E228" s="191">
        <f t="shared" si="20"/>
        <v>0</v>
      </c>
      <c r="F228" s="191">
        <f t="shared" si="21"/>
        <v>0.26115429329200202</v>
      </c>
      <c r="G228" s="191">
        <f t="shared" si="22"/>
        <v>6.64895970993859E-2</v>
      </c>
      <c r="H228" s="191">
        <f t="shared" si="23"/>
        <v>50.392545379892198</v>
      </c>
    </row>
    <row r="229" spans="1:8">
      <c r="A229" s="189" t="s">
        <v>236</v>
      </c>
      <c r="B229" s="190" t="str">
        <f>VLOOKUP(A229, 'Exit Prices'!$A$3:$B$231, 2,0)</f>
        <v>POWER STATION</v>
      </c>
      <c r="C229" s="191">
        <f t="shared" si="18"/>
        <v>49.279810729716402</v>
      </c>
      <c r="D229" s="191">
        <f t="shared" si="19"/>
        <v>0</v>
      </c>
      <c r="E229" s="191">
        <f t="shared" si="20"/>
        <v>0</v>
      </c>
      <c r="F229" s="191">
        <f t="shared" si="21"/>
        <v>0.26115429329200202</v>
      </c>
      <c r="G229" s="191">
        <f t="shared" si="22"/>
        <v>6.64895970993859E-2</v>
      </c>
      <c r="H229" s="191">
        <f t="shared" si="23"/>
        <v>50.392545379892198</v>
      </c>
    </row>
    <row r="230" spans="1:8">
      <c r="A230" s="189" t="s">
        <v>237</v>
      </c>
      <c r="B230" s="190" t="str">
        <f>VLOOKUP(A230, 'Exit Prices'!$A$3:$B$231, 2,0)</f>
        <v>DNO</v>
      </c>
      <c r="C230" s="191">
        <f t="shared" si="18"/>
        <v>97.404259388107505</v>
      </c>
      <c r="D230" s="191">
        <f t="shared" si="19"/>
        <v>0</v>
      </c>
      <c r="E230" s="191">
        <f t="shared" si="20"/>
        <v>0</v>
      </c>
      <c r="F230" s="191">
        <f t="shared" si="21"/>
        <v>0</v>
      </c>
      <c r="G230" s="191">
        <f t="shared" si="22"/>
        <v>9.2086920296010205E-2</v>
      </c>
      <c r="H230" s="191">
        <f t="shared" si="23"/>
        <v>2.5036536915964902</v>
      </c>
    </row>
    <row r="231" spans="1:8">
      <c r="A231" s="189" t="s">
        <v>238</v>
      </c>
      <c r="B231" s="190" t="str">
        <f>VLOOKUP(A231, 'Exit Prices'!$A$3:$B$231, 2,0)</f>
        <v>INDUSTRIAL</v>
      </c>
      <c r="C231" s="191">
        <f t="shared" si="18"/>
        <v>75.570686103107803</v>
      </c>
      <c r="D231" s="191">
        <f t="shared" si="19"/>
        <v>0</v>
      </c>
      <c r="E231" s="191">
        <f t="shared" si="20"/>
        <v>0</v>
      </c>
      <c r="F231" s="191">
        <f t="shared" si="21"/>
        <v>2.6249619891495798E-3</v>
      </c>
      <c r="G231" s="191">
        <f t="shared" si="22"/>
        <v>9.4296711456373195E-2</v>
      </c>
      <c r="H231" s="191">
        <f t="shared" si="23"/>
        <v>24.3323922234467</v>
      </c>
    </row>
    <row r="232" spans="1:8">
      <c r="A232" s="189" t="s">
        <v>534</v>
      </c>
      <c r="B232" s="190" t="str">
        <f>VLOOKUP(A232, 'Exit Prices'!$A$3:$B$231, 2,0)</f>
        <v>INDUSTRIAL</v>
      </c>
      <c r="C232" s="191">
        <f t="shared" si="18"/>
        <v>75.570686103107803</v>
      </c>
      <c r="D232" s="191">
        <f t="shared" si="19"/>
        <v>0</v>
      </c>
      <c r="E232" s="191">
        <f t="shared" si="20"/>
        <v>0</v>
      </c>
      <c r="F232" s="191">
        <f t="shared" si="21"/>
        <v>2.6249619891495798E-3</v>
      </c>
      <c r="G232" s="191">
        <f t="shared" si="22"/>
        <v>9.4296711456373195E-2</v>
      </c>
      <c r="H232" s="191">
        <f t="shared" si="23"/>
        <v>24.3323922234467</v>
      </c>
    </row>
    <row r="233" spans="1:8">
      <c r="A233" s="189" t="s">
        <v>535</v>
      </c>
      <c r="B233" s="190" t="str">
        <f>VLOOKUP(A233, 'Exit Prices'!$A$3:$B$231, 2,0)</f>
        <v>INDUSTRIAL</v>
      </c>
      <c r="C233" s="191">
        <f t="shared" si="18"/>
        <v>75.570686103107803</v>
      </c>
      <c r="D233" s="191">
        <f t="shared" si="19"/>
        <v>0</v>
      </c>
      <c r="E233" s="191">
        <f t="shared" si="20"/>
        <v>0</v>
      </c>
      <c r="F233" s="191">
        <f t="shared" si="21"/>
        <v>2.6249619891495798E-3</v>
      </c>
      <c r="G233" s="191">
        <f t="shared" si="22"/>
        <v>9.4296711456373195E-2</v>
      </c>
      <c r="H233" s="191">
        <f t="shared" si="23"/>
        <v>24.3323922234467</v>
      </c>
    </row>
    <row r="234" spans="1:8">
      <c r="A234" s="189" t="s">
        <v>536</v>
      </c>
      <c r="B234" s="190" t="str">
        <f>VLOOKUP(A234, 'Exit Prices'!$A$3:$B$231, 2,0)</f>
        <v>POWER STATION</v>
      </c>
      <c r="C234" s="191">
        <f t="shared" si="18"/>
        <v>49.279810729716402</v>
      </c>
      <c r="D234" s="191">
        <f t="shared" si="19"/>
        <v>0</v>
      </c>
      <c r="E234" s="191">
        <f t="shared" si="20"/>
        <v>0</v>
      </c>
      <c r="F234" s="191">
        <f t="shared" si="21"/>
        <v>0.26115429329200202</v>
      </c>
      <c r="G234" s="191">
        <f t="shared" si="22"/>
        <v>6.64895970993859E-2</v>
      </c>
      <c r="H234" s="191">
        <f t="shared" si="23"/>
        <v>50.392545379892198</v>
      </c>
    </row>
    <row r="235" spans="1:8">
      <c r="A235" s="189" t="s">
        <v>537</v>
      </c>
      <c r="B235" s="190" t="str">
        <f>VLOOKUP(A235, 'Exit Prices'!$A$3:$B$231, 2,0)</f>
        <v>INDUSTRIAL</v>
      </c>
      <c r="C235" s="191">
        <f t="shared" si="18"/>
        <v>75.570686103107803</v>
      </c>
      <c r="D235" s="191">
        <f t="shared" si="19"/>
        <v>0</v>
      </c>
      <c r="E235" s="191">
        <f t="shared" si="20"/>
        <v>0</v>
      </c>
      <c r="F235" s="191">
        <f t="shared" si="21"/>
        <v>2.6249619891495798E-3</v>
      </c>
      <c r="G235" s="191">
        <f t="shared" si="22"/>
        <v>9.4296711456373195E-2</v>
      </c>
      <c r="H235" s="191">
        <f t="shared" si="23"/>
        <v>24.3323922234467</v>
      </c>
    </row>
    <row r="236" spans="1:8">
      <c r="A236" s="189" t="s">
        <v>538</v>
      </c>
      <c r="B236" s="190" t="str">
        <f>VLOOKUP(A236, 'Exit Prices'!$A$3:$B$231, 2,0)</f>
        <v>INDUSTRIAL</v>
      </c>
      <c r="C236" s="191">
        <f t="shared" si="18"/>
        <v>75.570686103107803</v>
      </c>
      <c r="D236" s="191">
        <f t="shared" si="19"/>
        <v>0</v>
      </c>
      <c r="E236" s="191">
        <f t="shared" si="20"/>
        <v>0</v>
      </c>
      <c r="F236" s="191">
        <f t="shared" si="21"/>
        <v>2.6249619891495798E-3</v>
      </c>
      <c r="G236" s="191">
        <f t="shared" si="22"/>
        <v>9.4296711456373195E-2</v>
      </c>
      <c r="H236" s="191">
        <f t="shared" si="23"/>
        <v>24.3323922234467</v>
      </c>
    </row>
    <row r="237" spans="1:8">
      <c r="A237" s="189" t="s">
        <v>545</v>
      </c>
      <c r="B237" s="190" t="str">
        <f>VLOOKUP(A237, 'Exit Prices'!$A$3:$B$231, 2,0)</f>
        <v>POWER STATION</v>
      </c>
      <c r="C237" s="191">
        <f t="shared" si="18"/>
        <v>49.279810729716402</v>
      </c>
      <c r="D237" s="191">
        <f t="shared" si="19"/>
        <v>0</v>
      </c>
      <c r="E237" s="191">
        <f t="shared" si="20"/>
        <v>0</v>
      </c>
      <c r="F237" s="191">
        <f t="shared" si="21"/>
        <v>0.26115429329200202</v>
      </c>
      <c r="G237" s="191">
        <f t="shared" si="22"/>
        <v>6.64895970993859E-2</v>
      </c>
      <c r="H237" s="191">
        <f t="shared" si="23"/>
        <v>50.392545379892198</v>
      </c>
    </row>
    <row r="238" spans="1:8">
      <c r="A238" s="189" t="s">
        <v>539</v>
      </c>
      <c r="B238" s="190" t="str">
        <f>VLOOKUP(A238, 'Exit Prices'!$A$3:$B$231, 2,0)</f>
        <v>POWER STATION</v>
      </c>
      <c r="C238" s="191">
        <f t="shared" si="18"/>
        <v>49.279810729716402</v>
      </c>
      <c r="D238" s="191">
        <f t="shared" si="19"/>
        <v>0</v>
      </c>
      <c r="E238" s="191">
        <f t="shared" si="20"/>
        <v>0</v>
      </c>
      <c r="F238" s="191">
        <f t="shared" si="21"/>
        <v>0.26115429329200202</v>
      </c>
      <c r="G238" s="191">
        <f t="shared" si="22"/>
        <v>6.64895970993859E-2</v>
      </c>
      <c r="H238" s="191">
        <f t="shared" si="23"/>
        <v>50.392545379892198</v>
      </c>
    </row>
    <row r="239" spans="1:8">
      <c r="A239" s="189" t="s">
        <v>540</v>
      </c>
      <c r="B239" s="190" t="str">
        <f>VLOOKUP(A239, 'Exit Prices'!$A$3:$B$231, 2,0)</f>
        <v>POWER STATION</v>
      </c>
      <c r="C239" s="191">
        <f t="shared" si="18"/>
        <v>49.279810729716402</v>
      </c>
      <c r="D239" s="191">
        <f t="shared" si="19"/>
        <v>0</v>
      </c>
      <c r="E239" s="191">
        <f t="shared" si="20"/>
        <v>0</v>
      </c>
      <c r="F239" s="191">
        <f t="shared" si="21"/>
        <v>0.26115429329200202</v>
      </c>
      <c r="G239" s="191">
        <f t="shared" si="22"/>
        <v>6.64895970993859E-2</v>
      </c>
      <c r="H239" s="191">
        <f t="shared" si="23"/>
        <v>50.392545379892198</v>
      </c>
    </row>
    <row r="240" spans="1:8">
      <c r="A240" s="189" t="s">
        <v>176</v>
      </c>
      <c r="B240" s="190" t="str">
        <f>VLOOKUP(A240, 'Exit Prices'!$A$3:$B$231, 2,0)</f>
        <v>STORAGE SITE</v>
      </c>
      <c r="C240" s="191">
        <f t="shared" si="18"/>
        <v>27.665395475068301</v>
      </c>
      <c r="D240" s="191">
        <f t="shared" si="19"/>
        <v>0</v>
      </c>
      <c r="E240" s="191">
        <f t="shared" si="20"/>
        <v>0</v>
      </c>
      <c r="F240" s="191">
        <f t="shared" si="21"/>
        <v>0</v>
      </c>
      <c r="G240" s="191">
        <f t="shared" si="22"/>
        <v>0.15481302448832299</v>
      </c>
      <c r="H240" s="191">
        <f t="shared" si="23"/>
        <v>72.1797915004434</v>
      </c>
    </row>
  </sheetData>
  <mergeCells count="1">
    <mergeCell ref="B2:H2"/>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Button 1">
              <controlPr defaultSize="0" print="0" autoFill="0" autoPict="0" macro="[0]!UserInputSelect">
                <anchor moveWithCells="1" sizeWithCells="1">
                  <from>
                    <xdr:col>0</xdr:col>
                    <xdr:colOff>419100</xdr:colOff>
                    <xdr:row>2</xdr:row>
                    <xdr:rowOff>19050</xdr:rowOff>
                  </from>
                  <to>
                    <xdr:col>0</xdr:col>
                    <xdr:colOff>2266950</xdr:colOff>
                    <xdr:row>5</xdr:row>
                    <xdr:rowOff>47625</xdr:rowOff>
                  </to>
                </anchor>
              </controlPr>
            </control>
          </mc:Choice>
        </mc:AlternateContent>
        <mc:AlternateContent xmlns:mc="http://schemas.openxmlformats.org/markup-compatibility/2006">
          <mc:Choice Requires="x14">
            <control shapeId="134146" r:id="rId5" name="Button 2">
              <controlPr defaultSize="0" print="0" autoFill="0" autoPict="0" macro="[0]!UserInputSelect">
                <anchor moveWithCells="1" sizeWithCells="1">
                  <from>
                    <xdr:col>8</xdr:col>
                    <xdr:colOff>152400</xdr:colOff>
                    <xdr:row>2</xdr:row>
                    <xdr:rowOff>161925</xdr:rowOff>
                  </from>
                  <to>
                    <xdr:col>8</xdr:col>
                    <xdr:colOff>1123950</xdr:colOff>
                    <xdr:row>5</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39997558519241921"/>
  </sheetPr>
  <dimension ref="A1:M38"/>
  <sheetViews>
    <sheetView workbookViewId="0">
      <selection activeCell="D30" sqref="D30"/>
    </sheetView>
  </sheetViews>
  <sheetFormatPr defaultColWidth="8.85546875" defaultRowHeight="15"/>
  <cols>
    <col min="1" max="1" width="33.140625" bestFit="1" customWidth="1"/>
    <col min="2" max="2" width="31.28515625" customWidth="1"/>
    <col min="3" max="3" width="31.42578125" customWidth="1"/>
    <col min="4" max="4" width="25.85546875" bestFit="1" customWidth="1"/>
    <col min="5" max="5" width="25.140625" bestFit="1" customWidth="1"/>
    <col min="6" max="6" width="23.42578125" bestFit="1" customWidth="1"/>
    <col min="7" max="7" width="12.85546875" customWidth="1"/>
    <col min="9" max="9" width="25.42578125" bestFit="1" customWidth="1"/>
    <col min="10" max="10" width="9.140625"/>
    <col min="11" max="11" width="24.140625" bestFit="1" customWidth="1"/>
    <col min="13" max="13" width="19.140625" customWidth="1"/>
  </cols>
  <sheetData>
    <row r="1" spans="1:13">
      <c r="A1" s="59"/>
      <c r="B1" s="59"/>
      <c r="C1" s="59"/>
      <c r="E1" s="59"/>
      <c r="F1" s="59"/>
      <c r="G1" s="315" t="s">
        <v>392</v>
      </c>
      <c r="I1" s="59"/>
      <c r="K1" s="59"/>
      <c r="M1" s="312" t="s">
        <v>494</v>
      </c>
    </row>
    <row r="2" spans="1:13">
      <c r="G2" s="314" t="s">
        <v>336</v>
      </c>
      <c r="M2" s="313" t="s">
        <v>491</v>
      </c>
    </row>
    <row r="3" spans="1:13">
      <c r="G3" s="314" t="s">
        <v>337</v>
      </c>
      <c r="M3" s="313" t="s">
        <v>493</v>
      </c>
    </row>
    <row r="4" spans="1:13">
      <c r="M4" s="311"/>
    </row>
    <row r="9" spans="1:13">
      <c r="A9" s="315" t="s">
        <v>402</v>
      </c>
      <c r="B9" s="315" t="s">
        <v>403</v>
      </c>
      <c r="E9" s="59"/>
    </row>
    <row r="10" spans="1:13">
      <c r="A10" s="314" t="str">
        <f>VLOOKUP('User Inputs'!$C$7,$A$14:$F$27,5,FALSE)</f>
        <v>20-21 FCC - Entry</v>
      </c>
      <c r="B10" s="314" t="str">
        <f>VLOOKUP('User Inputs'!$C$7,$A$14:$F$27,6,FALSE)</f>
        <v>20-21 FCC - Exit</v>
      </c>
    </row>
    <row r="14" spans="1:13">
      <c r="A14" s="315" t="s">
        <v>359</v>
      </c>
      <c r="B14" s="315" t="s">
        <v>360</v>
      </c>
      <c r="C14" s="315" t="s">
        <v>361</v>
      </c>
      <c r="D14" s="315" t="s">
        <v>362</v>
      </c>
      <c r="E14" s="315" t="s">
        <v>404</v>
      </c>
      <c r="F14" s="315" t="s">
        <v>405</v>
      </c>
    </row>
    <row r="15" spans="1:13">
      <c r="A15" s="316" t="s">
        <v>363</v>
      </c>
      <c r="B15" s="317">
        <v>43374</v>
      </c>
      <c r="C15" s="317">
        <v>43738</v>
      </c>
      <c r="D15" s="314">
        <f>C15-B15+1</f>
        <v>365</v>
      </c>
      <c r="E15" s="314" t="s">
        <v>408</v>
      </c>
      <c r="F15" s="314" t="s">
        <v>409</v>
      </c>
    </row>
    <row r="16" spans="1:13">
      <c r="A16" s="316" t="s">
        <v>406</v>
      </c>
      <c r="B16" s="317">
        <v>43739</v>
      </c>
      <c r="C16" s="317">
        <v>44104</v>
      </c>
      <c r="D16" s="314">
        <f>C16-B16+1</f>
        <v>366</v>
      </c>
      <c r="E16" s="314" t="s">
        <v>467</v>
      </c>
      <c r="F16" s="314" t="s">
        <v>470</v>
      </c>
    </row>
    <row r="17" spans="1:6">
      <c r="A17" s="316" t="s">
        <v>465</v>
      </c>
      <c r="B17" s="317">
        <v>44105</v>
      </c>
      <c r="C17" s="317">
        <v>44469</v>
      </c>
      <c r="D17" s="314">
        <f>C17-B17+1</f>
        <v>365</v>
      </c>
      <c r="E17" s="314" t="s">
        <v>468</v>
      </c>
      <c r="F17" s="314" t="s">
        <v>471</v>
      </c>
    </row>
    <row r="18" spans="1:6">
      <c r="A18" s="316" t="s">
        <v>466</v>
      </c>
      <c r="B18" s="317">
        <v>44470</v>
      </c>
      <c r="C18" s="317">
        <v>44834</v>
      </c>
      <c r="D18" s="314">
        <f>C18-B18+1</f>
        <v>365</v>
      </c>
      <c r="E18" s="314" t="s">
        <v>469</v>
      </c>
      <c r="F18" s="314" t="s">
        <v>472</v>
      </c>
    </row>
    <row r="19" spans="1:6">
      <c r="A19" s="316" t="s">
        <v>480</v>
      </c>
      <c r="B19" s="317">
        <v>44835</v>
      </c>
      <c r="C19" s="317">
        <v>45199</v>
      </c>
      <c r="D19" s="314">
        <f t="shared" ref="D19:D27" si="0">C19-B19+1</f>
        <v>365</v>
      </c>
      <c r="E19" s="314" t="s">
        <v>514</v>
      </c>
      <c r="F19" s="314" t="s">
        <v>515</v>
      </c>
    </row>
    <row r="20" spans="1:6">
      <c r="A20" s="316" t="s">
        <v>481</v>
      </c>
      <c r="B20" s="317">
        <v>45200</v>
      </c>
      <c r="C20" s="317">
        <v>45565</v>
      </c>
      <c r="D20" s="314">
        <f t="shared" si="0"/>
        <v>366</v>
      </c>
      <c r="E20" s="314" t="s">
        <v>541</v>
      </c>
      <c r="F20" s="314" t="s">
        <v>542</v>
      </c>
    </row>
    <row r="21" spans="1:6">
      <c r="A21" s="316" t="s">
        <v>482</v>
      </c>
      <c r="B21" s="317">
        <v>45566</v>
      </c>
      <c r="C21" s="317">
        <v>45930</v>
      </c>
      <c r="D21" s="314">
        <f t="shared" si="0"/>
        <v>365</v>
      </c>
      <c r="E21" s="314" t="s">
        <v>547</v>
      </c>
      <c r="F21" s="314" t="s">
        <v>548</v>
      </c>
    </row>
    <row r="22" spans="1:6">
      <c r="A22" s="316" t="s">
        <v>483</v>
      </c>
      <c r="B22" s="317">
        <v>45931</v>
      </c>
      <c r="C22" s="317">
        <v>46295</v>
      </c>
      <c r="D22" s="314">
        <f t="shared" si="0"/>
        <v>365</v>
      </c>
      <c r="E22" s="314" t="s">
        <v>547</v>
      </c>
      <c r="F22" s="314" t="s">
        <v>548</v>
      </c>
    </row>
    <row r="23" spans="1:6">
      <c r="A23" s="316" t="s">
        <v>484</v>
      </c>
      <c r="B23" s="317">
        <v>46296</v>
      </c>
      <c r="C23" s="317">
        <v>46660</v>
      </c>
      <c r="D23" s="314">
        <f t="shared" si="0"/>
        <v>365</v>
      </c>
      <c r="E23" s="314" t="s">
        <v>547</v>
      </c>
      <c r="F23" s="314" t="s">
        <v>548</v>
      </c>
    </row>
    <row r="24" spans="1:6">
      <c r="A24" s="316" t="s">
        <v>485</v>
      </c>
      <c r="B24" s="317">
        <v>46661</v>
      </c>
      <c r="C24" s="317">
        <v>47026</v>
      </c>
      <c r="D24" s="314">
        <f t="shared" si="0"/>
        <v>366</v>
      </c>
      <c r="E24" s="314" t="s">
        <v>547</v>
      </c>
      <c r="F24" s="314" t="s">
        <v>548</v>
      </c>
    </row>
    <row r="25" spans="1:6">
      <c r="A25" s="316" t="s">
        <v>486</v>
      </c>
      <c r="B25" s="317">
        <v>47027</v>
      </c>
      <c r="C25" s="317">
        <v>47391</v>
      </c>
      <c r="D25" s="314">
        <f t="shared" si="0"/>
        <v>365</v>
      </c>
      <c r="E25" s="314" t="s">
        <v>547</v>
      </c>
      <c r="F25" s="314" t="s">
        <v>548</v>
      </c>
    </row>
    <row r="26" spans="1:6">
      <c r="A26" s="316" t="s">
        <v>487</v>
      </c>
      <c r="B26" s="317">
        <v>47392</v>
      </c>
      <c r="C26" s="317">
        <v>47756</v>
      </c>
      <c r="D26" s="314">
        <f t="shared" si="0"/>
        <v>365</v>
      </c>
      <c r="E26" s="314" t="s">
        <v>547</v>
      </c>
      <c r="F26" s="314" t="s">
        <v>548</v>
      </c>
    </row>
    <row r="27" spans="1:6">
      <c r="A27" s="316" t="s">
        <v>488</v>
      </c>
      <c r="B27" s="317">
        <v>47757</v>
      </c>
      <c r="C27" s="317">
        <v>48121</v>
      </c>
      <c r="D27" s="314">
        <f t="shared" si="0"/>
        <v>365</v>
      </c>
      <c r="E27" s="314" t="s">
        <v>547</v>
      </c>
      <c r="F27" s="314" t="s">
        <v>548</v>
      </c>
    </row>
    <row r="29" spans="1:6">
      <c r="A29" s="59"/>
      <c r="C29" s="59"/>
    </row>
    <row r="36" spans="1:2">
      <c r="A36" s="315" t="s">
        <v>495</v>
      </c>
      <c r="B36" s="315" t="s">
        <v>496</v>
      </c>
    </row>
    <row r="37" spans="1:2">
      <c r="A37" s="314" t="s">
        <v>516</v>
      </c>
      <c r="B37" s="314" t="s">
        <v>516</v>
      </c>
    </row>
    <row r="38" spans="1:2">
      <c r="A38" s="311"/>
      <c r="B38" s="311"/>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7" tint="0.59999389629810485"/>
  </sheetPr>
  <dimension ref="A1:R63"/>
  <sheetViews>
    <sheetView zoomScaleNormal="100" workbookViewId="0">
      <pane xSplit="1" topLeftCell="B1" activePane="topRight" state="frozen"/>
      <selection activeCell="Z35" sqref="Z35"/>
      <selection pane="topRight" activeCell="M8" sqref="M8"/>
    </sheetView>
  </sheetViews>
  <sheetFormatPr defaultColWidth="8.85546875" defaultRowHeight="15"/>
  <cols>
    <col min="1" max="1" width="30" bestFit="1" customWidth="1"/>
    <col min="2" max="4" width="30" customWidth="1"/>
    <col min="5" max="5" width="29.85546875" customWidth="1"/>
    <col min="6" max="6" width="34.42578125" customWidth="1"/>
    <col min="7" max="9" width="33.7109375" customWidth="1"/>
    <col min="10" max="10" width="14.42578125" customWidth="1"/>
    <col min="11" max="11" width="12.85546875" customWidth="1"/>
    <col min="12" max="12" width="14.42578125" customWidth="1"/>
    <col min="13" max="13" width="20" customWidth="1"/>
    <col min="14" max="14" width="22.28515625" customWidth="1"/>
    <col min="15" max="15" width="22.7109375" customWidth="1"/>
    <col min="16" max="16" width="21.85546875" customWidth="1"/>
    <col min="17" max="17" width="23.42578125" customWidth="1"/>
    <col min="18" max="18" width="22.7109375" customWidth="1"/>
  </cols>
  <sheetData>
    <row r="1" spans="1:18">
      <c r="M1" s="176" t="s">
        <v>427</v>
      </c>
      <c r="N1" s="176" t="s">
        <v>428</v>
      </c>
      <c r="O1" s="176" t="s">
        <v>429</v>
      </c>
      <c r="P1" s="176" t="s">
        <v>430</v>
      </c>
      <c r="Q1" s="176" t="s">
        <v>431</v>
      </c>
      <c r="R1" s="176" t="s">
        <v>432</v>
      </c>
    </row>
    <row r="2" spans="1:18" s="34" customFormat="1" ht="64.5" thickBot="1">
      <c r="A2" s="33" t="s">
        <v>25</v>
      </c>
      <c r="B2" s="33" t="s">
        <v>323</v>
      </c>
      <c r="C2" s="32" t="s">
        <v>517</v>
      </c>
      <c r="D2" s="32" t="s">
        <v>527</v>
      </c>
      <c r="E2" s="32" t="s">
        <v>243</v>
      </c>
      <c r="F2" s="32" t="s">
        <v>246</v>
      </c>
      <c r="G2" s="32" t="s">
        <v>255</v>
      </c>
      <c r="H2" s="32" t="s">
        <v>253</v>
      </c>
      <c r="I2" s="32" t="s">
        <v>384</v>
      </c>
      <c r="K2" s="35" t="s">
        <v>331</v>
      </c>
      <c r="M2" s="35" t="s">
        <v>324</v>
      </c>
      <c r="N2" s="35" t="s">
        <v>325</v>
      </c>
      <c r="O2" s="35" t="s">
        <v>326</v>
      </c>
      <c r="P2" s="35" t="s">
        <v>328</v>
      </c>
      <c r="Q2" s="35" t="s">
        <v>327</v>
      </c>
      <c r="R2" s="69" t="s">
        <v>374</v>
      </c>
    </row>
    <row r="3" spans="1:18">
      <c r="A3" s="4" t="s">
        <v>1</v>
      </c>
      <c r="B3" s="4" t="str">
        <f>VLOOKUP(A3,'Locations &amp; Types'!$A:$B,2,FALSE)</f>
        <v>STORAGE SITE</v>
      </c>
      <c r="C3" s="4">
        <f ca="1">(VLOOKUP(A3, INDIRECT("'"&amp;'Drop Down Inputs'!$A$10&amp;"'!"&amp;" $A:$H"),MATCH('User Inputs'!$C$19, INDIRECT("'"&amp;'Drop Down Inputs'!$A$10&amp;"'!"&amp;"$A$1:$H$1"),0), FALSE))*'User Inputs'!$C$20/100</f>
        <v>0</v>
      </c>
      <c r="D3" s="4">
        <f ca="1">IF('User Inputs'!$C$23="YES",IF('Entry Prices'!C3-VLOOKUP('Entry Prices'!A3,'Existing Contracts - Entry'!$A:$N,MATCH('User Inputs'!$C$7,'Existing Contracts - Entry'!$A$1:$N$1,0),FALSE)&lt;0,0,'Entry Prices'!C3-VLOOKUP('Entry Prices'!A3,'Existing Contracts - Entry'!$A:$N,MATCH('User Inputs'!$C$7,'Existing Contracts - Entry'!$A$1:$N$1,0),FALSE)),'Entry Prices'!C3)</f>
        <v>0</v>
      </c>
      <c r="E3" s="89">
        <f ca="1">SUMPRODUCT('Exit Prices'!$C$3:$C$231, INDEX('Distance Matrix'!$C$3:$AC$231, 0,MATCH(A3, 'Distance Matrix'!$C$2:$AC$2, 0))) /SUM('Exit Prices'!$C$3:$C$230)</f>
        <v>390.84511699879903</v>
      </c>
      <c r="F3" s="319">
        <f t="shared" ref="F3:F29" ca="1" si="0">(D3*E3)/SUMPRODUCT($D$3:$D$29,$E$3:$E$29)</f>
        <v>0</v>
      </c>
      <c r="G3" s="89">
        <f ca="1">F3*'Revenue Input'!$B$5</f>
        <v>0</v>
      </c>
      <c r="H3" s="145">
        <f ca="1">IF('User Inputs'!$D$4="PS",('Revenue Input'!$B$5/SUM('Entry Prices'!$D$3:$D$29)),IF(ISERR(G3/D3),0,(G3/D3)))</f>
        <v>26.185696365442677</v>
      </c>
      <c r="I3" s="145">
        <f ca="1">((IF(H3&gt;0,H3,VLOOKUP(A3,'Nearest Location Prices'!$E$1:$G$28,3,FALSE))))</f>
        <v>26.185696365442677</v>
      </c>
      <c r="J3" s="256"/>
      <c r="K3" s="326"/>
      <c r="L3" s="256"/>
      <c r="M3" s="145">
        <f ca="1">(IF(B3="STORAGE SITE",((100-'User Inputs'!$C$37)/100)*I3/'User Inputs'!$D$7,(IF(B3="LNG IMPORTATION TERMINAL",((100-'User Inputs'!$C$38)/100)*I3/'User Inputs'!$D$7,(IF(B3="INTERCONNECTION POINT",((100-'User Inputs'!$C$39)/100)*I3/'User Inputs'!$D$7,I3/'User Inputs'!$D$7))))))</f>
        <v>3.5870816938962574E-2</v>
      </c>
      <c r="N3" s="147" t="s">
        <v>428</v>
      </c>
      <c r="O3" s="145">
        <f ca="1">(IF(B3="STORAGE SITE",((100-'User Inputs'!$C$37)/100)* 'User Inputs'!$C$26*'Entry Prices'!I3/'User Inputs'!$D$7, IF(B3="LNG IMPORTATION TERMINAL",((100-'User Inputs'!$C$38)/100)*'User Inputs'!$C$26*'Entry Prices'!I3/'User Inputs'!$D$7,IF(B3="INTERCONNECTION POINT", ((100-'User Inputs'!$C$39)/100)*'User Inputs'!$C$32*'Entry Prices'!I3/'User Inputs'!$D$7, 'User Inputs'!$C$26*'Entry Prices'!I3/'User Inputs'!$D$7))))</f>
        <v>3.5870816938962574E-2</v>
      </c>
      <c r="P3" s="145">
        <f ca="1">(IF(B3="STORAGE SITE",((100-'User Inputs'!$C$37)/100)* 'User Inputs'!$C$27*'Entry Prices'!I3/'User Inputs'!$D$7, IF(B3="LNG IMPORTATION TERMINAL",((100-'User Inputs'!$C$38)/100)*'User Inputs'!$C$27*'Entry Prices'!I3/'User Inputs'!$D$7,IF(B3="INTERCONNECTION POINT",((100-'User Inputs'!$C$39)/100)* 'User Inputs'!$C$33*'Entry Prices'!I3/'User Inputs'!$D$7, 'User Inputs'!$C$27*'Entry Prices'!I3/'User Inputs'!$D$7))))</f>
        <v>3.5870816938962574E-2</v>
      </c>
      <c r="Q3" s="145">
        <f ca="1">(IF(B3="STORAGE SITE",((100-'User Inputs'!$C$37)/100)* 'User Inputs'!$C$28*'Entry Prices'!I3/'User Inputs'!$D$7, IF(B3="LNG IMPORTATION TERMINAL",((100-'User Inputs'!$C$38)/100)*'User Inputs'!$C$28*'Entry Prices'!I3/'User Inputs'!$D$7,IF(B3="INTERCONNECTION POINT", ((100-'User Inputs'!$C$39)/100)*'User Inputs'!$C$34*'Entry Prices'!I3/'User Inputs'!$D$7, 'User Inputs'!$C$28*'Entry Prices'!I3/'User Inputs'!$D$7))))</f>
        <v>3.5870816938962574E-2</v>
      </c>
      <c r="R3" s="145">
        <f ca="1">(100-(VLOOKUP(A3,'Entry Interruption Prob''s'!$A:$E,5,FALSE)))*P3/100</f>
        <v>3.2283735245066315E-2</v>
      </c>
    </row>
    <row r="4" spans="1:18">
      <c r="A4" s="3" t="s">
        <v>2</v>
      </c>
      <c r="B4" s="4" t="str">
        <f>VLOOKUP(A4,'Locations &amp; Types'!$A:$B,2,FALSE)</f>
        <v>INTERCONNECTION POINT</v>
      </c>
      <c r="C4" s="4">
        <f ca="1">(VLOOKUP(A4, INDIRECT("'"&amp;'Drop Down Inputs'!$A$10&amp;"'!"&amp;" $A:$H"),MATCH('User Inputs'!$C$19, INDIRECT("'"&amp;'Drop Down Inputs'!$A$10&amp;"'!"&amp;"$A$1:$H$1"),0), FALSE))*'User Inputs'!$C$20/100</f>
        <v>178627069.62191781</v>
      </c>
      <c r="D4" s="4">
        <f ca="1">IF('User Inputs'!$C$23="YES",IF('Entry Prices'!C4-VLOOKUP('Entry Prices'!A4,'Existing Contracts - Entry'!$A:$N,MATCH('User Inputs'!$C$7,'Existing Contracts - Entry'!$A$1:$N$1,0),FALSE)&lt;0,0,'Entry Prices'!C4-VLOOKUP('Entry Prices'!A4,'Existing Contracts - Entry'!$A:$N,MATCH('User Inputs'!$C$7,'Existing Contracts - Entry'!$A$1:$N$1,0),FALSE)),'Entry Prices'!C4)</f>
        <v>86464771.073972613</v>
      </c>
      <c r="E4" s="89">
        <f ca="1">SUMPRODUCT('Exit Prices'!$C$3:$C$231, INDEX('Distance Matrix'!$C$3:$AC$231, 0,MATCH(A4, 'Distance Matrix'!$C$2:$AC$2, 0))) /SUM('Exit Prices'!$C$3:$C$230)</f>
        <v>316.79132743601127</v>
      </c>
      <c r="F4" s="319">
        <f t="shared" ca="1" si="0"/>
        <v>3.1844813403213719E-2</v>
      </c>
      <c r="G4" s="89">
        <f ca="1">F4*'Revenue Input'!$B$5</f>
        <v>1483645510.5383224</v>
      </c>
      <c r="H4" s="145">
        <f ca="1">IF('User Inputs'!$D$4="PS",('Revenue Input'!$B$5/SUM('Entry Prices'!$D$3:$D$29)),IF(ISERR(G4/D4),0,(G4/D4)))</f>
        <v>26.185696365442677</v>
      </c>
      <c r="I4" s="145">
        <f ca="1">((IF(H4&gt;0,H4,VLOOKUP(A4,'Nearest Location Prices'!$E$1:$G$28,3,FALSE))))</f>
        <v>26.185696365442677</v>
      </c>
      <c r="J4" s="256"/>
      <c r="K4" s="326"/>
      <c r="L4" s="256"/>
      <c r="M4" s="145">
        <f ca="1">(IF(B4="STORAGE SITE",((100-'User Inputs'!$C$37)/100)*I4/'User Inputs'!$D$7,(IF(B4="LNG IMPORTATION TERMINAL",((100-'User Inputs'!$C$38)/100)*I4/'User Inputs'!$D$7,(IF(B4="INTERCONNECTION POINT",((100-'User Inputs'!$C$39)/100)*I4/'User Inputs'!$D$7,I4/'User Inputs'!$D$7))))))</f>
        <v>7.1741633877925148E-2</v>
      </c>
      <c r="N4" s="145">
        <f ca="1">(IF(B4="STORAGE SITE",((100-'User Inputs'!$C$37)/100)*'User Inputs'!$C$26*'Entry Prices'!I4/'User Inputs'!$D$7,IF(B4="LNG IMPORTATION TERMINAL",((100-'User Inputs'!$C$38)/100)*'User Inputs'!$C$26*'Entry Prices'!I4/'User Inputs'!$D$7,IF(B4="INTERCONNECTION POINT",((100-'User Inputs'!$C$39)/100)*'User Inputs'!$C$31*'Entry Prices'!I4/'User Inputs'!$D$7,'User Inputs'!$C$26*'Entry Prices'!I4/'User Inputs'!$D$7))))</f>
        <v>7.1741633877925148E-2</v>
      </c>
      <c r="O4" s="145">
        <f ca="1">(IF(B4="STORAGE SITE",((100-'User Inputs'!$C$37)/100)* 'User Inputs'!$C$26*'Entry Prices'!I4/'User Inputs'!$D$7, IF(B4="LNG IMPORTATION TERMINAL",((100-'User Inputs'!$C$38)/100)*'User Inputs'!$C$26*'Entry Prices'!I4/'User Inputs'!$D$7,IF(B4="INTERCONNECTION POINT", ((100-'User Inputs'!$C$39)/100)*'User Inputs'!$C$32*'Entry Prices'!I4/'User Inputs'!$D$7, 'User Inputs'!$C$26*'Entry Prices'!I4/'User Inputs'!$D$7))))</f>
        <v>7.1741633877925148E-2</v>
      </c>
      <c r="P4" s="145">
        <f ca="1">(IF(B4="STORAGE SITE",((100-'User Inputs'!$C$37)/100)* 'User Inputs'!$C$27*'Entry Prices'!I4/'User Inputs'!$D$7, IF(B4="LNG IMPORTATION TERMINAL",((100-'User Inputs'!$C$38)/100)*'User Inputs'!$C$27*'Entry Prices'!I4/'User Inputs'!$D$7,IF(B4="INTERCONNECTION POINT",((100-'User Inputs'!$C$39)/100)* 'User Inputs'!$C$33*'Entry Prices'!I4/'User Inputs'!$D$7, 'User Inputs'!$C$27*'Entry Prices'!I4/'User Inputs'!$D$7))))</f>
        <v>7.1741633877925148E-2</v>
      </c>
      <c r="Q4" s="145">
        <f ca="1">(IF(B4="STORAGE SITE",((100-'User Inputs'!$C$37)/100)* 'User Inputs'!$C$28*'Entry Prices'!I4/'User Inputs'!$D$7, IF(B4="LNG IMPORTATION TERMINAL",((100-'User Inputs'!$C$38)/100)*'User Inputs'!$C$28*'Entry Prices'!I4/'User Inputs'!$D$7,IF(B4="INTERCONNECTION POINT", ((100-'User Inputs'!$C$39)/100)*'User Inputs'!$C$34*'Entry Prices'!I4/'User Inputs'!$D$7, 'User Inputs'!$C$28*'Entry Prices'!I4/'User Inputs'!$D$7))))</f>
        <v>7.1741633877925148E-2</v>
      </c>
      <c r="R4" s="145">
        <f ca="1">(100-(VLOOKUP(A4,'Entry Interruption Prob''s'!$A:$E,5,FALSE)))*P4/100</f>
        <v>6.4567470490132631E-2</v>
      </c>
    </row>
    <row r="5" spans="1:18">
      <c r="A5" s="5" t="s">
        <v>3</v>
      </c>
      <c r="B5" s="4" t="str">
        <f>VLOOKUP(A5,'Locations &amp; Types'!$A:$B,2,FALSE)</f>
        <v>BEACH TERMINAL</v>
      </c>
      <c r="C5" s="4">
        <f ca="1">(VLOOKUP(A5, INDIRECT("'"&amp;'Drop Down Inputs'!$A$10&amp;"'!"&amp;" $A:$H"),MATCH('User Inputs'!$C$19, INDIRECT("'"&amp;'Drop Down Inputs'!$A$10&amp;"'!"&amp;"$A$1:$H$1"),0), FALSE))*'User Inputs'!$C$20/100</f>
        <v>648603335.88767123</v>
      </c>
      <c r="D5" s="4">
        <f ca="1">IF('User Inputs'!$C$23="YES",IF('Entry Prices'!C5-VLOOKUP('Entry Prices'!A5,'Existing Contracts - Entry'!$A:$N,MATCH('User Inputs'!$C$7,'Existing Contracts - Entry'!$A$1:$N$1,0),FALSE)&lt;0,0,'Entry Prices'!C5-VLOOKUP('Entry Prices'!A5,'Existing Contracts - Entry'!$A:$N,MATCH('User Inputs'!$C$7,'Existing Contracts - Entry'!$A$1:$N$1,0),FALSE)),'Entry Prices'!C5)</f>
        <v>438046872.96164382</v>
      </c>
      <c r="E5" s="89">
        <f ca="1">SUMPRODUCT('Exit Prices'!$C$3:$C$231, INDEX('Distance Matrix'!$C$3:$AC$231, 0,MATCH(A5, 'Distance Matrix'!$C$2:$AC$2, 0))) /SUM('Exit Prices'!$C$3:$C$230)</f>
        <v>316.79132743601127</v>
      </c>
      <c r="F5" s="319">
        <f t="shared" ca="1" si="0"/>
        <v>0.161331843686843</v>
      </c>
      <c r="G5" s="89">
        <f ca="1">F5*'Revenue Input'!$B$5</f>
        <v>7516428580.1310215</v>
      </c>
      <c r="H5" s="145">
        <f ca="1">IF('User Inputs'!$D$4="PS",('Revenue Input'!$B$5/SUM('Entry Prices'!$D$3:$D$29)),IF(ISERR(G5/D5),0,(G5/D5)))</f>
        <v>26.185696365442677</v>
      </c>
      <c r="I5" s="145">
        <f ca="1">((IF(H5&gt;0,H5,VLOOKUP(A5,'Nearest Location Prices'!$E$1:$G$28,3,FALSE))))</f>
        <v>26.185696365442677</v>
      </c>
      <c r="J5" s="256"/>
      <c r="K5" s="326"/>
      <c r="L5" s="256"/>
      <c r="M5" s="145">
        <f ca="1">(IF(B5="STORAGE SITE",((100-'User Inputs'!$C$37)/100)*I5/'User Inputs'!$D$7,(IF(B5="LNG IMPORTATION TERMINAL",((100-'User Inputs'!$C$38)/100)*I5/'User Inputs'!$D$7,(IF(B5="INTERCONNECTION POINT",((100-'User Inputs'!$C$39)/100)*I5/'User Inputs'!$D$7,I5/'User Inputs'!$D$7))))))</f>
        <v>7.1741633877925148E-2</v>
      </c>
      <c r="N5" s="147" t="s">
        <v>428</v>
      </c>
      <c r="O5" s="145">
        <f ca="1">(IF(B5="STORAGE SITE",((100-'User Inputs'!$C$37)/100)* 'User Inputs'!$C$26*'Entry Prices'!I5/'User Inputs'!$D$7, IF(B5="LNG IMPORTATION TERMINAL",((100-'User Inputs'!$C$38)/100)*'User Inputs'!$C$26*'Entry Prices'!I5/'User Inputs'!$D$7,IF(B5="INTERCONNECTION POINT", ((100-'User Inputs'!$C$39)/100)*'User Inputs'!$C$32*'Entry Prices'!I5/'User Inputs'!$D$7, 'User Inputs'!$C$26*'Entry Prices'!I5/'User Inputs'!$D$7))))</f>
        <v>7.1741633877925148E-2</v>
      </c>
      <c r="P5" s="145">
        <f ca="1">(IF(B5="STORAGE SITE",((100-'User Inputs'!$C$37)/100)* 'User Inputs'!$C$27*'Entry Prices'!I5/'User Inputs'!$D$7, IF(B5="LNG IMPORTATION TERMINAL",((100-'User Inputs'!$C$38)/100)*'User Inputs'!$C$27*'Entry Prices'!I5/'User Inputs'!$D$7,IF(B5="INTERCONNECTION POINT",((100-'User Inputs'!$C$39)/100)* 'User Inputs'!$C$33*'Entry Prices'!I5/'User Inputs'!$D$7, 'User Inputs'!$C$27*'Entry Prices'!I5/'User Inputs'!$D$7))))</f>
        <v>7.1741633877925148E-2</v>
      </c>
      <c r="Q5" s="145">
        <f ca="1">(IF(B5="STORAGE SITE",((100-'User Inputs'!$C$37)/100)* 'User Inputs'!$C$28*'Entry Prices'!I5/'User Inputs'!$D$7, IF(B5="LNG IMPORTATION TERMINAL",((100-'User Inputs'!$C$38)/100)*'User Inputs'!$C$28*'Entry Prices'!I5/'User Inputs'!$D$7,IF(B5="INTERCONNECTION POINT", ((100-'User Inputs'!$C$39)/100)*'User Inputs'!$C$34*'Entry Prices'!I5/'User Inputs'!$D$7, 'User Inputs'!$C$28*'Entry Prices'!I5/'User Inputs'!$D$7))))</f>
        <v>7.1741633877925148E-2</v>
      </c>
      <c r="R5" s="145">
        <f ca="1">(100-(VLOOKUP(A5,'Entry Interruption Prob''s'!$A:$E,5,FALSE)))*P5/100</f>
        <v>6.4567470490132631E-2</v>
      </c>
    </row>
    <row r="6" spans="1:18">
      <c r="A6" s="3" t="s">
        <v>4</v>
      </c>
      <c r="B6" s="4" t="str">
        <f>VLOOKUP(A6,'Locations &amp; Types'!$A:$B,2,FALSE)</f>
        <v>ONSHORE FIELD</v>
      </c>
      <c r="C6" s="4">
        <f ca="1">(VLOOKUP(A6, INDIRECT("'"&amp;'Drop Down Inputs'!$A$10&amp;"'!"&amp;" $A:$H"),MATCH('User Inputs'!$C$19, INDIRECT("'"&amp;'Drop Down Inputs'!$A$10&amp;"'!"&amp;"$A$1:$H$1"),0), FALSE))*'User Inputs'!$C$20/100</f>
        <v>14936970.808219178</v>
      </c>
      <c r="D6" s="4">
        <f ca="1">IF('User Inputs'!$C$23="YES",IF('Entry Prices'!C6-VLOOKUP('Entry Prices'!A6,'Existing Contracts - Entry'!$A:$N,MATCH('User Inputs'!$C$7,'Existing Contracts - Entry'!$A$1:$N$1,0),FALSE)&lt;0,0,'Entry Prices'!C6-VLOOKUP('Entry Prices'!A6,'Existing Contracts - Entry'!$A:$N,MATCH('User Inputs'!$C$7,'Existing Contracts - Entry'!$A$1:$N$1,0),FALSE)),'Entry Prices'!C6)</f>
        <v>7802239.701369863</v>
      </c>
      <c r="E6" s="89">
        <f ca="1">SUMPRODUCT('Exit Prices'!$C$3:$C$231, INDEX('Distance Matrix'!$C$3:$AC$231, 0,MATCH(A6, 'Distance Matrix'!$C$2:$AC$2, 0))) /SUM('Exit Prices'!$C$3:$C$230)</f>
        <v>356.69652311328758</v>
      </c>
      <c r="F6" s="319">
        <f t="shared" ca="1" si="0"/>
        <v>3.2355222706037167E-3</v>
      </c>
      <c r="G6" s="89">
        <f ca="1">F6*'Revenue Input'!$B$5</f>
        <v>150742541.03004161</v>
      </c>
      <c r="H6" s="145">
        <f ca="1">IF('User Inputs'!$D$4="PS",('Revenue Input'!$B$5/SUM('Entry Prices'!$D$3:$D$29)),IF(ISERR(G6/D6),0,(G6/D6)))</f>
        <v>26.185696365442677</v>
      </c>
      <c r="I6" s="145">
        <f ca="1">((IF(H6&gt;0,H6,VLOOKUP(A6,'Nearest Location Prices'!$E$1:$G$28,3,FALSE))))</f>
        <v>26.185696365442677</v>
      </c>
      <c r="J6" s="256"/>
      <c r="K6" s="326"/>
      <c r="L6" s="256"/>
      <c r="M6" s="145">
        <f ca="1">(IF(B6="STORAGE SITE",((100-'User Inputs'!$C$37)/100)*I6/'User Inputs'!$D$7,(IF(B6="LNG IMPORTATION TERMINAL",((100-'User Inputs'!$C$38)/100)*I6/'User Inputs'!$D$7,(IF(B6="INTERCONNECTION POINT",((100-'User Inputs'!$C$39)/100)*I6/'User Inputs'!$D$7,I6/'User Inputs'!$D$7))))))</f>
        <v>7.1741633877925148E-2</v>
      </c>
      <c r="N6" s="147" t="s">
        <v>428</v>
      </c>
      <c r="O6" s="145">
        <f ca="1">(IF(B6="STORAGE SITE",((100-'User Inputs'!$C$37)/100)* 'User Inputs'!$C$26*'Entry Prices'!I6/'User Inputs'!$D$7, IF(B6="LNG IMPORTATION TERMINAL",((100-'User Inputs'!$C$38)/100)*'User Inputs'!$C$26*'Entry Prices'!I6/'User Inputs'!$D$7,IF(B6="INTERCONNECTION POINT", ((100-'User Inputs'!$C$39)/100)*'User Inputs'!$C$32*'Entry Prices'!I6/'User Inputs'!$D$7, 'User Inputs'!$C$26*'Entry Prices'!I6/'User Inputs'!$D$7))))</f>
        <v>7.1741633877925148E-2</v>
      </c>
      <c r="P6" s="145">
        <f ca="1">(IF(B6="STORAGE SITE",((100-'User Inputs'!$C$37)/100)* 'User Inputs'!$C$27*'Entry Prices'!I6/'User Inputs'!$D$7, IF(B6="LNG IMPORTATION TERMINAL",((100-'User Inputs'!$C$38)/100)*'User Inputs'!$C$27*'Entry Prices'!I6/'User Inputs'!$D$7,IF(B6="INTERCONNECTION POINT",((100-'User Inputs'!$C$39)/100)* 'User Inputs'!$C$33*'Entry Prices'!I6/'User Inputs'!$D$7, 'User Inputs'!$C$27*'Entry Prices'!I6/'User Inputs'!$D$7))))</f>
        <v>7.1741633877925148E-2</v>
      </c>
      <c r="Q6" s="145">
        <f ca="1">(IF(B6="STORAGE SITE",((100-'User Inputs'!$C$37)/100)* 'User Inputs'!$C$28*'Entry Prices'!I6/'User Inputs'!$D$7, IF(B6="LNG IMPORTATION TERMINAL",((100-'User Inputs'!$C$38)/100)*'User Inputs'!$C$28*'Entry Prices'!I6/'User Inputs'!$D$7,IF(B6="INTERCONNECTION POINT", ((100-'User Inputs'!$C$39)/100)*'User Inputs'!$C$34*'Entry Prices'!I6/'User Inputs'!$D$7, 'User Inputs'!$C$28*'Entry Prices'!I6/'User Inputs'!$D$7))))</f>
        <v>7.1741633877925148E-2</v>
      </c>
      <c r="R6" s="145">
        <f ca="1">(100-(VLOOKUP(A6,'Entry Interruption Prob''s'!$A:$E,5,FALSE)))*P6/100</f>
        <v>6.4567470490132631E-2</v>
      </c>
    </row>
    <row r="7" spans="1:18">
      <c r="A7" s="3" t="s">
        <v>5</v>
      </c>
      <c r="B7" s="4" t="str">
        <f>VLOOKUP(A7,'Locations &amp; Types'!$A:$B,2,FALSE)</f>
        <v>BEACH TERMINAL</v>
      </c>
      <c r="C7" s="4">
        <f ca="1">(VLOOKUP(A7, INDIRECT("'"&amp;'Drop Down Inputs'!$A$10&amp;"'!"&amp;" $A:$H"),MATCH('User Inputs'!$C$19, INDIRECT("'"&amp;'Drop Down Inputs'!$A$10&amp;"'!"&amp;"$A$1:$H$1"),0), FALSE))*'User Inputs'!$C$20/100</f>
        <v>75553005.904109582</v>
      </c>
      <c r="D7" s="4">
        <f ca="1">IF('User Inputs'!$C$23="YES",IF('Entry Prices'!C7-VLOOKUP('Entry Prices'!A7,'Existing Contracts - Entry'!$A:$N,MATCH('User Inputs'!$C$7,'Existing Contracts - Entry'!$A$1:$N$1,0),FALSE)&lt;0,0,'Entry Prices'!C7-VLOOKUP('Entry Prices'!A7,'Existing Contracts - Entry'!$A:$N,MATCH('User Inputs'!$C$7,'Existing Contracts - Entry'!$A$1:$N$1,0),FALSE)),'Entry Prices'!C7)</f>
        <v>46939524.909589037</v>
      </c>
      <c r="E7" s="89">
        <f ca="1">SUMPRODUCT('Exit Prices'!$C$3:$C$231, INDEX('Distance Matrix'!$C$3:$AC$231, 0,MATCH(A7, 'Distance Matrix'!$C$2:$AC$2, 0))) /SUM('Exit Prices'!$C$3:$C$230)</f>
        <v>389.36223066925805</v>
      </c>
      <c r="F7" s="319">
        <f t="shared" ca="1" si="0"/>
        <v>2.1248033369851857E-2</v>
      </c>
      <c r="G7" s="89">
        <f ca="1">F7*'Revenue Input'!$B$5</f>
        <v>989942974.94510579</v>
      </c>
      <c r="H7" s="145">
        <f ca="1">IF('User Inputs'!$D$4="PS",('Revenue Input'!$B$5/SUM('Entry Prices'!$D$3:$D$29)),IF(ISERR(G7/D7),0,(G7/D7)))</f>
        <v>26.185696365442677</v>
      </c>
      <c r="I7" s="145">
        <f ca="1">((IF(H7&gt;0,H7,VLOOKUP(A7,'Nearest Location Prices'!$E$1:$G$28,3,FALSE))))</f>
        <v>26.185696365442677</v>
      </c>
      <c r="J7" s="256"/>
      <c r="K7" s="326"/>
      <c r="L7" s="256"/>
      <c r="M7" s="145">
        <f ca="1">(IF(B7="STORAGE SITE",((100-'User Inputs'!$C$37)/100)*I7/'User Inputs'!$D$7,(IF(B7="LNG IMPORTATION TERMINAL",((100-'User Inputs'!$C$38)/100)*I7/'User Inputs'!$D$7,(IF(B7="INTERCONNECTION POINT",((100-'User Inputs'!$C$39)/100)*I7/'User Inputs'!$D$7,I7/'User Inputs'!$D$7))))))</f>
        <v>7.1741633877925148E-2</v>
      </c>
      <c r="N7" s="147" t="s">
        <v>428</v>
      </c>
      <c r="O7" s="145">
        <f ca="1">(IF(B7="STORAGE SITE",((100-'User Inputs'!$C$37)/100)* 'User Inputs'!$C$26*'Entry Prices'!I7/'User Inputs'!$D$7, IF(B7="LNG IMPORTATION TERMINAL",((100-'User Inputs'!$C$38)/100)*'User Inputs'!$C$26*'Entry Prices'!I7/'User Inputs'!$D$7,IF(B7="INTERCONNECTION POINT", ((100-'User Inputs'!$C$39)/100)*'User Inputs'!$C$32*'Entry Prices'!I7/'User Inputs'!$D$7, 'User Inputs'!$C$26*'Entry Prices'!I7/'User Inputs'!$D$7))))</f>
        <v>7.1741633877925148E-2</v>
      </c>
      <c r="P7" s="145">
        <f ca="1">(IF(B7="STORAGE SITE",((100-'User Inputs'!$C$37)/100)* 'User Inputs'!$C$27*'Entry Prices'!I7/'User Inputs'!$D$7, IF(B7="LNG IMPORTATION TERMINAL",((100-'User Inputs'!$C$38)/100)*'User Inputs'!$C$27*'Entry Prices'!I7/'User Inputs'!$D$7,IF(B7="INTERCONNECTION POINT",((100-'User Inputs'!$C$39)/100)* 'User Inputs'!$C$33*'Entry Prices'!I7/'User Inputs'!$D$7, 'User Inputs'!$C$27*'Entry Prices'!I7/'User Inputs'!$D$7))))</f>
        <v>7.1741633877925148E-2</v>
      </c>
      <c r="Q7" s="145">
        <f ca="1">(IF(B7="STORAGE SITE",((100-'User Inputs'!$C$37)/100)* 'User Inputs'!$C$28*'Entry Prices'!I7/'User Inputs'!$D$7, IF(B7="LNG IMPORTATION TERMINAL",((100-'User Inputs'!$C$38)/100)*'User Inputs'!$C$28*'Entry Prices'!I7/'User Inputs'!$D$7,IF(B7="INTERCONNECTION POINT", ((100-'User Inputs'!$C$39)/100)*'User Inputs'!$C$34*'Entry Prices'!I7/'User Inputs'!$D$7, 'User Inputs'!$C$28*'Entry Prices'!I7/'User Inputs'!$D$7))))</f>
        <v>7.1741633877925148E-2</v>
      </c>
      <c r="R7" s="145">
        <f ca="1">(100-(VLOOKUP(A7,'Entry Interruption Prob''s'!$A:$E,5,FALSE)))*P7/100</f>
        <v>6.4567470490132631E-2</v>
      </c>
    </row>
    <row r="8" spans="1:18">
      <c r="A8" s="3" t="s">
        <v>6</v>
      </c>
      <c r="B8" s="4" t="str">
        <f>VLOOKUP(A8,'Locations &amp; Types'!$A:$B,2,FALSE)</f>
        <v>STORAGE SITE</v>
      </c>
      <c r="C8" s="4">
        <f ca="1">(VLOOKUP(A8, INDIRECT("'"&amp;'Drop Down Inputs'!$A$10&amp;"'!"&amp;" $A:$H"),MATCH('User Inputs'!$C$19, INDIRECT("'"&amp;'Drop Down Inputs'!$A$10&amp;"'!"&amp;"$A$1:$H$1"),0), FALSE))*'User Inputs'!$C$20/100</f>
        <v>80975342.465753421</v>
      </c>
      <c r="D8" s="4">
        <f ca="1">IF('User Inputs'!$C$23="YES",IF('Entry Prices'!C8-VLOOKUP('Entry Prices'!A8,'Existing Contracts - Entry'!$A:$N,MATCH('User Inputs'!$C$7,'Existing Contracts - Entry'!$A$1:$N$1,0),FALSE)&lt;0,0,'Entry Prices'!C8-VLOOKUP('Entry Prices'!A8,'Existing Contracts - Entry'!$A:$N,MATCH('User Inputs'!$C$7,'Existing Contracts - Entry'!$A$1:$N$1,0),FALSE)),'Entry Prices'!C8)</f>
        <v>0</v>
      </c>
      <c r="E8" s="89">
        <f ca="1">SUMPRODUCT('Exit Prices'!$C$3:$C$231, INDEX('Distance Matrix'!$C$3:$AC$231, 0,MATCH(A8, 'Distance Matrix'!$C$2:$AC$2, 0))) /SUM('Exit Prices'!$C$3:$C$230)</f>
        <v>379.50044880087216</v>
      </c>
      <c r="F8" s="319">
        <f t="shared" ca="1" si="0"/>
        <v>0</v>
      </c>
      <c r="G8" s="89">
        <f ca="1">F8*'Revenue Input'!$B$5</f>
        <v>0</v>
      </c>
      <c r="H8" s="145">
        <f ca="1">IF('User Inputs'!$D$4="PS",('Revenue Input'!$B$5/SUM('Entry Prices'!$D$3:$D$29)),IF(ISERR(G8/D8),0,(G8/D8)))</f>
        <v>26.185696365442677</v>
      </c>
      <c r="I8" s="145">
        <f ca="1">((IF(H8&gt;0,H8,VLOOKUP(A8,'Nearest Location Prices'!$E$1:$G$28,3,FALSE))))</f>
        <v>26.185696365442677</v>
      </c>
      <c r="J8" s="256"/>
      <c r="K8" s="326"/>
      <c r="L8" s="256"/>
      <c r="M8" s="145">
        <f ca="1">(IF(B8="STORAGE SITE",((100-'User Inputs'!$C$37)/100)*I8/'User Inputs'!$D$7,(IF(B8="LNG IMPORTATION TERMINAL",((100-'User Inputs'!$C$38)/100)*I8/'User Inputs'!$D$7,(IF(B8="INTERCONNECTION POINT",((100-'User Inputs'!$C$39)/100)*I8/'User Inputs'!$D$7,I8/'User Inputs'!$D$7))))))</f>
        <v>3.5870816938962574E-2</v>
      </c>
      <c r="N8" s="147" t="s">
        <v>428</v>
      </c>
      <c r="O8" s="145">
        <f ca="1">(IF(B8="STORAGE SITE",((100-'User Inputs'!$C$37)/100)* 'User Inputs'!$C$26*'Entry Prices'!I8/'User Inputs'!$D$7, IF(B8="LNG IMPORTATION TERMINAL",((100-'User Inputs'!$C$38)/100)*'User Inputs'!$C$26*'Entry Prices'!I8/'User Inputs'!$D$7,IF(B8="INTERCONNECTION POINT", ((100-'User Inputs'!$C$39)/100)*'User Inputs'!$C$32*'Entry Prices'!I8/'User Inputs'!$D$7, 'User Inputs'!$C$26*'Entry Prices'!I8/'User Inputs'!$D$7))))</f>
        <v>3.5870816938962574E-2</v>
      </c>
      <c r="P8" s="145">
        <f ca="1">(IF(B8="STORAGE SITE",((100-'User Inputs'!$C$37)/100)* 'User Inputs'!$C$27*'Entry Prices'!I8/'User Inputs'!$D$7, IF(B8="LNG IMPORTATION TERMINAL",((100-'User Inputs'!$C$38)/100)*'User Inputs'!$C$27*'Entry Prices'!I8/'User Inputs'!$D$7,IF(B8="INTERCONNECTION POINT",((100-'User Inputs'!$C$39)/100)* 'User Inputs'!$C$33*'Entry Prices'!I8/'User Inputs'!$D$7, 'User Inputs'!$C$27*'Entry Prices'!I8/'User Inputs'!$D$7))))</f>
        <v>3.5870816938962574E-2</v>
      </c>
      <c r="Q8" s="145">
        <f ca="1">(IF(B8="STORAGE SITE",((100-'User Inputs'!$C$37)/100)* 'User Inputs'!$C$28*'Entry Prices'!I8/'User Inputs'!$D$7, IF(B8="LNG IMPORTATION TERMINAL",((100-'User Inputs'!$C$38)/100)*'User Inputs'!$C$28*'Entry Prices'!I8/'User Inputs'!$D$7,IF(B8="INTERCONNECTION POINT", ((100-'User Inputs'!$C$39)/100)*'User Inputs'!$C$34*'Entry Prices'!I8/'User Inputs'!$D$7, 'User Inputs'!$C$28*'Entry Prices'!I8/'User Inputs'!$D$7))))</f>
        <v>3.5870816938962574E-2</v>
      </c>
      <c r="R8" s="145">
        <f ca="1">(100-(VLOOKUP(A8,'Entry Interruption Prob''s'!$A:$E,5,FALSE)))*P8/100</f>
        <v>3.2283735245066315E-2</v>
      </c>
    </row>
    <row r="9" spans="1:18">
      <c r="A9" s="3" t="s">
        <v>7</v>
      </c>
      <c r="B9" s="4" t="str">
        <f>VLOOKUP(A9,'Locations &amp; Types'!$A:$B,2,FALSE)</f>
        <v>ONSHORE FIELD</v>
      </c>
      <c r="C9" s="4">
        <f ca="1">(VLOOKUP(A9, INDIRECT("'"&amp;'Drop Down Inputs'!$A$10&amp;"'!"&amp;" $A:$H"),MATCH('User Inputs'!$C$19, INDIRECT("'"&amp;'Drop Down Inputs'!$A$10&amp;"'!"&amp;"$A$1:$H$1"),0), FALSE))*'User Inputs'!$C$20/100</f>
        <v>0</v>
      </c>
      <c r="D9" s="4">
        <f ca="1">IF('User Inputs'!$C$23="YES",IF('Entry Prices'!C9-VLOOKUP('Entry Prices'!A9,'Existing Contracts - Entry'!$A:$N,MATCH('User Inputs'!$C$7,'Existing Contracts - Entry'!$A$1:$N$1,0),FALSE)&lt;0,0,'Entry Prices'!C9-VLOOKUP('Entry Prices'!A9,'Existing Contracts - Entry'!$A:$N,MATCH('User Inputs'!$C$7,'Existing Contracts - Entry'!$A$1:$N$1,0),FALSE)),'Entry Prices'!C9)</f>
        <v>0</v>
      </c>
      <c r="E9" s="89">
        <f ca="1">SUMPRODUCT('Exit Prices'!$C$3:$C$231, INDEX('Distance Matrix'!$C$3:$AC$231, 0,MATCH(A9, 'Distance Matrix'!$C$2:$AC$2, 0))) /SUM('Exit Prices'!$C$3:$C$230)</f>
        <v>389.5766123089893</v>
      </c>
      <c r="F9" s="319">
        <f t="shared" ca="1" si="0"/>
        <v>0</v>
      </c>
      <c r="G9" s="89">
        <f ca="1">F9*'Revenue Input'!$B$5</f>
        <v>0</v>
      </c>
      <c r="H9" s="145">
        <f ca="1">IF('User Inputs'!$D$4="PS",('Revenue Input'!$B$5/SUM('Entry Prices'!$D$3:$D$29)),IF(ISERR(G9/D9),0,(G9/D9)))</f>
        <v>26.185696365442677</v>
      </c>
      <c r="I9" s="145">
        <f ca="1">((IF(H9&gt;0,H9,VLOOKUP(A9,'Nearest Location Prices'!$E$1:$G$28,3,FALSE))))</f>
        <v>26.185696365442677</v>
      </c>
      <c r="J9" s="256"/>
      <c r="K9" s="326"/>
      <c r="L9" s="256"/>
      <c r="M9" s="145">
        <f ca="1">(IF(B9="STORAGE SITE",((100-'User Inputs'!$C$37)/100)*I9/'User Inputs'!$D$7,(IF(B9="LNG IMPORTATION TERMINAL",((100-'User Inputs'!$C$38)/100)*I9/'User Inputs'!$D$7,(IF(B9="INTERCONNECTION POINT",((100-'User Inputs'!$C$39)/100)*I9/'User Inputs'!$D$7,I9/'User Inputs'!$D$7))))))</f>
        <v>7.1741633877925148E-2</v>
      </c>
      <c r="N9" s="147" t="s">
        <v>428</v>
      </c>
      <c r="O9" s="145">
        <f ca="1">(IF(B9="STORAGE SITE",((100-'User Inputs'!$C$37)/100)* 'User Inputs'!$C$26*'Entry Prices'!I9/'User Inputs'!$D$7, IF(B9="LNG IMPORTATION TERMINAL",((100-'User Inputs'!$C$38)/100)*'User Inputs'!$C$26*'Entry Prices'!I9/'User Inputs'!$D$7,IF(B9="INTERCONNECTION POINT", ((100-'User Inputs'!$C$39)/100)*'User Inputs'!$C$32*'Entry Prices'!I9/'User Inputs'!$D$7, 'User Inputs'!$C$26*'Entry Prices'!I9/'User Inputs'!$D$7))))</f>
        <v>7.1741633877925148E-2</v>
      </c>
      <c r="P9" s="145">
        <f ca="1">(IF(B9="STORAGE SITE",((100-'User Inputs'!$C$37)/100)* 'User Inputs'!$C$27*'Entry Prices'!I9/'User Inputs'!$D$7, IF(B9="LNG IMPORTATION TERMINAL",((100-'User Inputs'!$C$38)/100)*'User Inputs'!$C$27*'Entry Prices'!I9/'User Inputs'!$D$7,IF(B9="INTERCONNECTION POINT",((100-'User Inputs'!$C$39)/100)* 'User Inputs'!$C$33*'Entry Prices'!I9/'User Inputs'!$D$7, 'User Inputs'!$C$27*'Entry Prices'!I9/'User Inputs'!$D$7))))</f>
        <v>7.1741633877925148E-2</v>
      </c>
      <c r="Q9" s="145">
        <f ca="1">(IF(B9="STORAGE SITE",((100-'User Inputs'!$C$37)/100)* 'User Inputs'!$C$28*'Entry Prices'!I9/'User Inputs'!$D$7, IF(B9="LNG IMPORTATION TERMINAL",((100-'User Inputs'!$C$38)/100)*'User Inputs'!$C$28*'Entry Prices'!I9/'User Inputs'!$D$7,IF(B9="INTERCONNECTION POINT", ((100-'User Inputs'!$C$39)/100)*'User Inputs'!$C$34*'Entry Prices'!I9/'User Inputs'!$D$7, 'User Inputs'!$C$28*'Entry Prices'!I9/'User Inputs'!$D$7))))</f>
        <v>7.1741633877925148E-2</v>
      </c>
      <c r="R9" s="145">
        <f ca="1">(100-(VLOOKUP(A9,'Entry Interruption Prob''s'!$A:$E,5,FALSE)))*P9/100</f>
        <v>6.4567470490132631E-2</v>
      </c>
    </row>
    <row r="10" spans="1:18">
      <c r="A10" s="3" t="s">
        <v>8</v>
      </c>
      <c r="B10" s="4" t="str">
        <f>VLOOKUP(A10,'Locations &amp; Types'!$A:$B,2,FALSE)</f>
        <v>STORAGE SITE</v>
      </c>
      <c r="C10" s="4">
        <f ca="1">(VLOOKUP(A10, INDIRECT("'"&amp;'Drop Down Inputs'!$A$10&amp;"'!"&amp;" $A:$H"),MATCH('User Inputs'!$C$19, INDIRECT("'"&amp;'Drop Down Inputs'!$A$10&amp;"'!"&amp;"$A$1:$H$1"),0), FALSE))*'User Inputs'!$C$20/100</f>
        <v>541245000</v>
      </c>
      <c r="D10" s="4">
        <f ca="1">IF('User Inputs'!$C$23="YES",IF('Entry Prices'!C10-VLOOKUP('Entry Prices'!A10,'Existing Contracts - Entry'!$A:$N,MATCH('User Inputs'!$C$7,'Existing Contracts - Entry'!$A$1:$N$1,0),FALSE)&lt;0,0,'Entry Prices'!C10-VLOOKUP('Entry Prices'!A10,'Existing Contracts - Entry'!$A:$N,MATCH('User Inputs'!$C$7,'Existing Contracts - Entry'!$A$1:$N$1,0),FALSE)),'Entry Prices'!C10)</f>
        <v>27135000</v>
      </c>
      <c r="E10" s="89">
        <f ca="1">SUMPRODUCT('Exit Prices'!$C$3:$C$231, INDEX('Distance Matrix'!$C$3:$AC$231, 0,MATCH(A10, 'Distance Matrix'!$C$2:$AC$2, 0))) /SUM('Exit Prices'!$C$3:$C$230)</f>
        <v>311.71660583952115</v>
      </c>
      <c r="F10" s="319">
        <f t="shared" ca="1" si="0"/>
        <v>9.8336782271238928E-3</v>
      </c>
      <c r="G10" s="89">
        <f ca="1">F10*'Revenue Input'!$B$5</f>
        <v>458149726.58242828</v>
      </c>
      <c r="H10" s="145">
        <f ca="1">IF('User Inputs'!$D$4="PS",('Revenue Input'!$B$5/SUM('Entry Prices'!$D$3:$D$29)),IF(ISERR(G10/D10),0,(G10/D10)))</f>
        <v>26.185696365442677</v>
      </c>
      <c r="I10" s="145">
        <f ca="1">((IF(H10&gt;0,H10,VLOOKUP(A10,'Nearest Location Prices'!$E$1:$G$28,3,FALSE))))</f>
        <v>26.185696365442677</v>
      </c>
      <c r="J10" s="256"/>
      <c r="K10" s="326"/>
      <c r="L10" s="256"/>
      <c r="M10" s="145">
        <f ca="1">(IF(B10="STORAGE SITE",((100-'User Inputs'!$C$37)/100)*I10/'User Inputs'!$D$7,(IF(B10="LNG IMPORTATION TERMINAL",((100-'User Inputs'!$C$38)/100)*I10/'User Inputs'!$D$7,(IF(B10="INTERCONNECTION POINT",((100-'User Inputs'!$C$39)/100)*I10/'User Inputs'!$D$7,I10/'User Inputs'!$D$7))))))</f>
        <v>3.5870816938962574E-2</v>
      </c>
      <c r="N10" s="147" t="s">
        <v>428</v>
      </c>
      <c r="O10" s="145">
        <f ca="1">(IF(B10="STORAGE SITE",((100-'User Inputs'!$C$37)/100)* 'User Inputs'!$C$26*'Entry Prices'!I10/'User Inputs'!$D$7, IF(B10="LNG IMPORTATION TERMINAL",((100-'User Inputs'!$C$38)/100)*'User Inputs'!$C$26*'Entry Prices'!I10/'User Inputs'!$D$7,IF(B10="INTERCONNECTION POINT", ((100-'User Inputs'!$C$39)/100)*'User Inputs'!$C$32*'Entry Prices'!I10/'User Inputs'!$D$7, 'User Inputs'!$C$26*'Entry Prices'!I10/'User Inputs'!$D$7))))</f>
        <v>3.5870816938962574E-2</v>
      </c>
      <c r="P10" s="145">
        <f ca="1">(IF(B10="STORAGE SITE",((100-'User Inputs'!$C$37)/100)* 'User Inputs'!$C$27*'Entry Prices'!I10/'User Inputs'!$D$7, IF(B10="LNG IMPORTATION TERMINAL",((100-'User Inputs'!$C$38)/100)*'User Inputs'!$C$27*'Entry Prices'!I10/'User Inputs'!$D$7,IF(B10="INTERCONNECTION POINT",((100-'User Inputs'!$C$39)/100)* 'User Inputs'!$C$33*'Entry Prices'!I10/'User Inputs'!$D$7, 'User Inputs'!$C$27*'Entry Prices'!I10/'User Inputs'!$D$7))))</f>
        <v>3.5870816938962574E-2</v>
      </c>
      <c r="Q10" s="145">
        <f ca="1">(IF(B10="STORAGE SITE",((100-'User Inputs'!$C$37)/100)* 'User Inputs'!$C$28*'Entry Prices'!I10/'User Inputs'!$D$7, IF(B10="LNG IMPORTATION TERMINAL",((100-'User Inputs'!$C$38)/100)*'User Inputs'!$C$28*'Entry Prices'!I10/'User Inputs'!$D$7,IF(B10="INTERCONNECTION POINT", ((100-'User Inputs'!$C$39)/100)*'User Inputs'!$C$34*'Entry Prices'!I10/'User Inputs'!$D$7, 'User Inputs'!$C$28*'Entry Prices'!I10/'User Inputs'!$D$7))))</f>
        <v>3.5870816938962574E-2</v>
      </c>
      <c r="R10" s="145">
        <f ca="1">(100-(VLOOKUP(A10,'Entry Interruption Prob''s'!$A:$E,5,FALSE)))*P10/100</f>
        <v>3.2283735245066315E-2</v>
      </c>
    </row>
    <row r="11" spans="1:18">
      <c r="A11" s="3" t="s">
        <v>9</v>
      </c>
      <c r="B11" s="4" t="str">
        <f>VLOOKUP(A11,'Locations &amp; Types'!$A:$B,2,FALSE)</f>
        <v>STORAGE SITE</v>
      </c>
      <c r="C11" s="4">
        <f ca="1">(VLOOKUP(A11, INDIRECT("'"&amp;'Drop Down Inputs'!$A$10&amp;"'!"&amp;" $A:$H"),MATCH('User Inputs'!$C$19, INDIRECT("'"&amp;'Drop Down Inputs'!$A$10&amp;"'!"&amp;"$A$1:$H$1"),0), FALSE))*'User Inputs'!$C$20/100</f>
        <v>90000000</v>
      </c>
      <c r="D11" s="4">
        <f ca="1">IF('User Inputs'!$C$23="YES",IF('Entry Prices'!C11-VLOOKUP('Entry Prices'!A11,'Existing Contracts - Entry'!$A:$N,MATCH('User Inputs'!$C$7,'Existing Contracts - Entry'!$A$1:$N$1,0),FALSE)&lt;0,0,'Entry Prices'!C11-VLOOKUP('Entry Prices'!A11,'Existing Contracts - Entry'!$A:$N,MATCH('User Inputs'!$C$7,'Existing Contracts - Entry'!$A$1:$N$1,0),FALSE)),'Entry Prices'!C11)</f>
        <v>0</v>
      </c>
      <c r="E11" s="89">
        <f ca="1">SUMPRODUCT('Exit Prices'!$C$3:$C$231, INDEX('Distance Matrix'!$C$3:$AC$231, 0,MATCH(A11, 'Distance Matrix'!$C$2:$AC$2, 0))) /SUM('Exit Prices'!$C$3:$C$230)</f>
        <v>294.43303676668472</v>
      </c>
      <c r="F11" s="319">
        <f t="shared" ca="1" si="0"/>
        <v>0</v>
      </c>
      <c r="G11" s="89">
        <f ca="1">F11*'Revenue Input'!$B$5</f>
        <v>0</v>
      </c>
      <c r="H11" s="145">
        <f ca="1">IF('User Inputs'!$D$4="PS",('Revenue Input'!$B$5/SUM('Entry Prices'!$D$3:$D$29)),IF(ISERR(G11/D11),0,(G11/D11)))</f>
        <v>26.185696365442677</v>
      </c>
      <c r="I11" s="145">
        <f ca="1">((IF(H11&gt;0,H11,VLOOKUP(A11,'Nearest Location Prices'!$E$1:$G$28,3,FALSE))))</f>
        <v>26.185696365442677</v>
      </c>
      <c r="J11" s="256"/>
      <c r="K11" s="326"/>
      <c r="L11" s="256"/>
      <c r="M11" s="145">
        <f ca="1">(IF(B11="STORAGE SITE",((100-'User Inputs'!$C$37)/100)*I11/'User Inputs'!$D$7,(IF(B11="LNG IMPORTATION TERMINAL",((100-'User Inputs'!$C$38)/100)*I11/'User Inputs'!$D$7,(IF(B11="INTERCONNECTION POINT",((100-'User Inputs'!$C$39)/100)*I11/'User Inputs'!$D$7,I11/'User Inputs'!$D$7))))))</f>
        <v>3.5870816938962574E-2</v>
      </c>
      <c r="N11" s="147" t="s">
        <v>428</v>
      </c>
      <c r="O11" s="145">
        <f ca="1">(IF(B11="STORAGE SITE",((100-'User Inputs'!$C$37)/100)* 'User Inputs'!$C$26*'Entry Prices'!I11/'User Inputs'!$D$7, IF(B11="LNG IMPORTATION TERMINAL",((100-'User Inputs'!$C$38)/100)*'User Inputs'!$C$26*'Entry Prices'!I11/'User Inputs'!$D$7,IF(B11="INTERCONNECTION POINT", ((100-'User Inputs'!$C$39)/100)*'User Inputs'!$C$32*'Entry Prices'!I11/'User Inputs'!$D$7, 'User Inputs'!$C$26*'Entry Prices'!I11/'User Inputs'!$D$7))))</f>
        <v>3.5870816938962574E-2</v>
      </c>
      <c r="P11" s="145">
        <f ca="1">(IF(B11="STORAGE SITE",((100-'User Inputs'!$C$37)/100)* 'User Inputs'!$C$27*'Entry Prices'!I11/'User Inputs'!$D$7, IF(B11="LNG IMPORTATION TERMINAL",((100-'User Inputs'!$C$38)/100)*'User Inputs'!$C$27*'Entry Prices'!I11/'User Inputs'!$D$7,IF(B11="INTERCONNECTION POINT",((100-'User Inputs'!$C$39)/100)* 'User Inputs'!$C$33*'Entry Prices'!I11/'User Inputs'!$D$7, 'User Inputs'!$C$27*'Entry Prices'!I11/'User Inputs'!$D$7))))</f>
        <v>3.5870816938962574E-2</v>
      </c>
      <c r="Q11" s="145">
        <f ca="1">(IF(B11="STORAGE SITE",((100-'User Inputs'!$C$37)/100)* 'User Inputs'!$C$28*'Entry Prices'!I11/'User Inputs'!$D$7, IF(B11="LNG IMPORTATION TERMINAL",((100-'User Inputs'!$C$38)/100)*'User Inputs'!$C$28*'Entry Prices'!I11/'User Inputs'!$D$7,IF(B11="INTERCONNECTION POINT", ((100-'User Inputs'!$C$39)/100)*'User Inputs'!$C$34*'Entry Prices'!I11/'User Inputs'!$D$7, 'User Inputs'!$C$28*'Entry Prices'!I11/'User Inputs'!$D$7))))</f>
        <v>3.5870816938962574E-2</v>
      </c>
      <c r="R11" s="145">
        <f ca="1">(100-(VLOOKUP(A11,'Entry Interruption Prob''s'!$A:$E,5,FALSE)))*P11/100</f>
        <v>3.2283735245066315E-2</v>
      </c>
    </row>
    <row r="12" spans="1:18">
      <c r="A12" s="3" t="s">
        <v>10</v>
      </c>
      <c r="B12" s="4" t="str">
        <f>VLOOKUP(A12,'Locations &amp; Types'!$A:$B,2,FALSE)</f>
        <v>STORAGE SITE</v>
      </c>
      <c r="C12" s="4">
        <f ca="1">(VLOOKUP(A12, INDIRECT("'"&amp;'Drop Down Inputs'!$A$10&amp;"'!"&amp;" $A:$H"),MATCH('User Inputs'!$C$19, INDIRECT("'"&amp;'Drop Down Inputs'!$A$10&amp;"'!"&amp;"$A$1:$H$1"),0), FALSE))*'User Inputs'!$C$20/100</f>
        <v>0</v>
      </c>
      <c r="D12" s="4">
        <f ca="1">IF('User Inputs'!$C$23="YES",IF('Entry Prices'!C12-VLOOKUP('Entry Prices'!A12,'Existing Contracts - Entry'!$A:$N,MATCH('User Inputs'!$C$7,'Existing Contracts - Entry'!$A$1:$N$1,0),FALSE)&lt;0,0,'Entry Prices'!C12-VLOOKUP('Entry Prices'!A12,'Existing Contracts - Entry'!$A:$N,MATCH('User Inputs'!$C$7,'Existing Contracts - Entry'!$A$1:$N$1,0),FALSE)),'Entry Prices'!C12)</f>
        <v>0</v>
      </c>
      <c r="E12" s="89">
        <f ca="1">SUMPRODUCT('Exit Prices'!$C$3:$C$231, INDEX('Distance Matrix'!$C$3:$AC$231, 0,MATCH(A12, 'Distance Matrix'!$C$2:$AC$2, 0))) /SUM('Exit Prices'!$C$3:$C$230)</f>
        <v>414.7024503340462</v>
      </c>
      <c r="F12" s="319">
        <f t="shared" ca="1" si="0"/>
        <v>0</v>
      </c>
      <c r="G12" s="89">
        <f ca="1">F12*'Revenue Input'!$B$5</f>
        <v>0</v>
      </c>
      <c r="H12" s="145">
        <f ca="1">IF('User Inputs'!$D$4="PS",('Revenue Input'!$B$5/SUM('Entry Prices'!$D$3:$D$29)),IF(ISERR(G12/D12),0,(G12/D12)))</f>
        <v>26.185696365442677</v>
      </c>
      <c r="I12" s="145">
        <f ca="1">((IF(H12&gt;0,H12,VLOOKUP(A12,'Nearest Location Prices'!$E$1:$G$28,3,FALSE))))</f>
        <v>26.185696365442677</v>
      </c>
      <c r="J12" s="256"/>
      <c r="K12" s="326"/>
      <c r="L12" s="256"/>
      <c r="M12" s="145">
        <f ca="1">(IF(B12="STORAGE SITE",((100-'User Inputs'!$C$37)/100)*I12/'User Inputs'!$D$7,(IF(B12="LNG IMPORTATION TERMINAL",((100-'User Inputs'!$C$38)/100)*I12/'User Inputs'!$D$7,(IF(B12="INTERCONNECTION POINT",((100-'User Inputs'!$C$39)/100)*I12/'User Inputs'!$D$7,I12/'User Inputs'!$D$7))))))</f>
        <v>3.5870816938962574E-2</v>
      </c>
      <c r="N12" s="147" t="s">
        <v>428</v>
      </c>
      <c r="O12" s="145">
        <f ca="1">(IF(B12="STORAGE SITE",((100-'User Inputs'!$C$37)/100)* 'User Inputs'!$C$26*'Entry Prices'!I12/'User Inputs'!$D$7, IF(B12="LNG IMPORTATION TERMINAL",((100-'User Inputs'!$C$38)/100)*'User Inputs'!$C$26*'Entry Prices'!I12/'User Inputs'!$D$7,IF(B12="INTERCONNECTION POINT", ((100-'User Inputs'!$C$39)/100)*'User Inputs'!$C$32*'Entry Prices'!I12/'User Inputs'!$D$7, 'User Inputs'!$C$26*'Entry Prices'!I12/'User Inputs'!$D$7))))</f>
        <v>3.5870816938962574E-2</v>
      </c>
      <c r="P12" s="145">
        <f ca="1">(IF(B12="STORAGE SITE",((100-'User Inputs'!$C$37)/100)* 'User Inputs'!$C$27*'Entry Prices'!I12/'User Inputs'!$D$7, IF(B12="LNG IMPORTATION TERMINAL",((100-'User Inputs'!$C$38)/100)*'User Inputs'!$C$27*'Entry Prices'!I12/'User Inputs'!$D$7,IF(B12="INTERCONNECTION POINT",((100-'User Inputs'!$C$39)/100)* 'User Inputs'!$C$33*'Entry Prices'!I12/'User Inputs'!$D$7, 'User Inputs'!$C$27*'Entry Prices'!I12/'User Inputs'!$D$7))))</f>
        <v>3.5870816938962574E-2</v>
      </c>
      <c r="Q12" s="145">
        <f ca="1">(IF(B12="STORAGE SITE",((100-'User Inputs'!$C$37)/100)* 'User Inputs'!$C$28*'Entry Prices'!I12/'User Inputs'!$D$7, IF(B12="LNG IMPORTATION TERMINAL",((100-'User Inputs'!$C$38)/100)*'User Inputs'!$C$28*'Entry Prices'!I12/'User Inputs'!$D$7,IF(B12="INTERCONNECTION POINT", ((100-'User Inputs'!$C$39)/100)*'User Inputs'!$C$34*'Entry Prices'!I12/'User Inputs'!$D$7, 'User Inputs'!$C$28*'Entry Prices'!I12/'User Inputs'!$D$7))))</f>
        <v>3.5870816938962574E-2</v>
      </c>
      <c r="R12" s="145">
        <f ca="1">(100-(VLOOKUP(A12,'Entry Interruption Prob''s'!$A:$E,5,FALSE)))*P12/100</f>
        <v>3.2283735245066315E-2</v>
      </c>
    </row>
    <row r="13" spans="1:18">
      <c r="A13" s="87" t="s">
        <v>477</v>
      </c>
      <c r="B13" s="4" t="str">
        <f>VLOOKUP(A13,'Locations &amp; Types'!$A:$B,2,FALSE)</f>
        <v>BEACH TERMINAL</v>
      </c>
      <c r="C13" s="4">
        <f ca="1">(VLOOKUP(A13, INDIRECT("'"&amp;'Drop Down Inputs'!$A$10&amp;"'!"&amp;" $A:$H"),MATCH('User Inputs'!$C$19, INDIRECT("'"&amp;'Drop Down Inputs'!$A$10&amp;"'!"&amp;"$A$1:$H$1"),0), FALSE))*'User Inputs'!$C$20/100</f>
        <v>833294279.96712327</v>
      </c>
      <c r="D13" s="4">
        <f ca="1">IF('User Inputs'!$C$23="YES",IF('Entry Prices'!C13-VLOOKUP('Entry Prices'!A13,'Existing Contracts - Entry'!$A:$N,MATCH('User Inputs'!$C$7,'Existing Contracts - Entry'!$A$1:$N$1,0),FALSE)&lt;0,0,'Entry Prices'!C13-VLOOKUP('Entry Prices'!A13,'Existing Contracts - Entry'!$A:$N,MATCH('User Inputs'!$C$7,'Existing Contracts - Entry'!$A$1:$N$1,0),FALSE)),'Entry Prices'!C13)</f>
        <v>161087384.96164382</v>
      </c>
      <c r="E13" s="89">
        <f ca="1">SUMPRODUCT('Exit Prices'!$C$3:$C$231, INDEX('Distance Matrix'!$C$3:$AC$231, 0,MATCH(A13, 'Distance Matrix'!$C$2:$AC$2, 0))) /SUM('Exit Prices'!$C$3:$C$230)</f>
        <v>292.67648619477188</v>
      </c>
      <c r="F13" s="319">
        <f t="shared" ca="1" si="0"/>
        <v>5.4811992862607843E-2</v>
      </c>
      <c r="G13" s="89">
        <f ca="1">F13*'Revenue Input'!$B$5</f>
        <v>2553683267.1803274</v>
      </c>
      <c r="H13" s="145">
        <f ca="1">IF('User Inputs'!$D$4="PS",('Revenue Input'!$B$5/SUM('Entry Prices'!$D$3:$D$29)),IF(ISERR(G13/D13),0,(G13/D13)))</f>
        <v>26.185696365442677</v>
      </c>
      <c r="I13" s="145">
        <f ca="1">((IF(H13&gt;0,H13,VLOOKUP(A13,'Nearest Location Prices'!$E$1:$G$28,3,FALSE))))</f>
        <v>26.185696365442677</v>
      </c>
      <c r="J13" s="256"/>
      <c r="K13" s="326"/>
      <c r="L13" s="256"/>
      <c r="M13" s="145">
        <f ca="1">(IF(B13="STORAGE SITE",((100-'User Inputs'!$C$37)/100)*I13/'User Inputs'!$D$7,(IF(B13="LNG IMPORTATION TERMINAL",((100-'User Inputs'!$C$38)/100)*I13/'User Inputs'!$D$7,(IF(B13="INTERCONNECTION POINT",((100-'User Inputs'!$C$39)/100)*I13/'User Inputs'!$D$7,I13/'User Inputs'!$D$7))))))</f>
        <v>7.1741633877925148E-2</v>
      </c>
      <c r="N13" s="147" t="s">
        <v>428</v>
      </c>
      <c r="O13" s="145">
        <f ca="1">(IF(B13="STORAGE SITE",((100-'User Inputs'!$C$37)/100)* 'User Inputs'!$C$26*'Entry Prices'!I13/'User Inputs'!$D$7, IF(B13="LNG IMPORTATION TERMINAL",((100-'User Inputs'!$C$38)/100)*'User Inputs'!$C$26*'Entry Prices'!I13/'User Inputs'!$D$7,IF(B13="INTERCONNECTION POINT", ((100-'User Inputs'!$C$39)/100)*'User Inputs'!$C$32*'Entry Prices'!I13/'User Inputs'!$D$7, 'User Inputs'!$C$26*'Entry Prices'!I13/'User Inputs'!$D$7))))</f>
        <v>7.1741633877925148E-2</v>
      </c>
      <c r="P13" s="145">
        <f ca="1">(IF(B13="STORAGE SITE",((100-'User Inputs'!$C$37)/100)* 'User Inputs'!$C$27*'Entry Prices'!I13/'User Inputs'!$D$7, IF(B13="LNG IMPORTATION TERMINAL",((100-'User Inputs'!$C$38)/100)*'User Inputs'!$C$27*'Entry Prices'!I13/'User Inputs'!$D$7,IF(B13="INTERCONNECTION POINT",((100-'User Inputs'!$C$39)/100)* 'User Inputs'!$C$33*'Entry Prices'!I13/'User Inputs'!$D$7, 'User Inputs'!$C$27*'Entry Prices'!I13/'User Inputs'!$D$7))))</f>
        <v>7.1741633877925148E-2</v>
      </c>
      <c r="Q13" s="145">
        <f ca="1">(IF(B13="STORAGE SITE",((100-'User Inputs'!$C$37)/100)* 'User Inputs'!$C$28*'Entry Prices'!I13/'User Inputs'!$D$7, IF(B13="LNG IMPORTATION TERMINAL",((100-'User Inputs'!$C$38)/100)*'User Inputs'!$C$28*'Entry Prices'!I13/'User Inputs'!$D$7,IF(B13="INTERCONNECTION POINT", ((100-'User Inputs'!$C$39)/100)*'User Inputs'!$C$34*'Entry Prices'!I13/'User Inputs'!$D$7, 'User Inputs'!$C$28*'Entry Prices'!I13/'User Inputs'!$D$7))))</f>
        <v>7.1741633877925148E-2</v>
      </c>
      <c r="R13" s="145">
        <f ca="1">(100-(VLOOKUP(A13,'Entry Interruption Prob''s'!$A:$E,5,FALSE)))*P13/100</f>
        <v>6.4567470490132631E-2</v>
      </c>
    </row>
    <row r="14" spans="1:18">
      <c r="A14" s="3" t="s">
        <v>11</v>
      </c>
      <c r="B14" s="4" t="str">
        <f>VLOOKUP(A14,'Locations &amp; Types'!$A:$B,2,FALSE)</f>
        <v>STORAGE SITE</v>
      </c>
      <c r="C14" s="4">
        <f ca="1">(VLOOKUP(A14, INDIRECT("'"&amp;'Drop Down Inputs'!$A$10&amp;"'!"&amp;" $A:$H"),MATCH('User Inputs'!$C$19, INDIRECT("'"&amp;'Drop Down Inputs'!$A$10&amp;"'!"&amp;"$A$1:$H$1"),0), FALSE))*'User Inputs'!$C$20/100</f>
        <v>0</v>
      </c>
      <c r="D14" s="4">
        <f ca="1">IF('User Inputs'!$C$23="YES",IF('Entry Prices'!C14-VLOOKUP('Entry Prices'!A14,'Existing Contracts - Entry'!$A:$N,MATCH('User Inputs'!$C$7,'Existing Contracts - Entry'!$A$1:$N$1,0),FALSE)&lt;0,0,'Entry Prices'!C14-VLOOKUP('Entry Prices'!A14,'Existing Contracts - Entry'!$A:$N,MATCH('User Inputs'!$C$7,'Existing Contracts - Entry'!$A$1:$N$1,0),FALSE)),'Entry Prices'!C14)</f>
        <v>0</v>
      </c>
      <c r="E14" s="89">
        <f ca="1">SUMPRODUCT('Exit Prices'!$C$3:$C$231, INDEX('Distance Matrix'!$C$3:$AC$231, 0,MATCH(A14, 'Distance Matrix'!$C$2:$AC$2, 0))) /SUM('Exit Prices'!$C$3:$C$230)</f>
        <v>333.35910501010648</v>
      </c>
      <c r="F14" s="319">
        <f t="shared" ca="1" si="0"/>
        <v>0</v>
      </c>
      <c r="G14" s="89">
        <f ca="1">F14*'Revenue Input'!$B$5</f>
        <v>0</v>
      </c>
      <c r="H14" s="145">
        <f ca="1">IF('User Inputs'!$D$4="PS",('Revenue Input'!$B$5/SUM('Entry Prices'!$D$3:$D$29)),IF(ISERR(G14/D14),0,(G14/D14)))</f>
        <v>26.185696365442677</v>
      </c>
      <c r="I14" s="145">
        <f ca="1">((IF(H14&gt;0,H14,VLOOKUP(A14,'Nearest Location Prices'!$E$1:$G$28,3,FALSE))))</f>
        <v>26.185696365442677</v>
      </c>
      <c r="J14" s="256"/>
      <c r="K14" s="326"/>
      <c r="L14" s="256"/>
      <c r="M14" s="145">
        <f ca="1">(IF(B14="STORAGE SITE",((100-'User Inputs'!$C$37)/100)*I14/'User Inputs'!$D$7,(IF(B14="LNG IMPORTATION TERMINAL",((100-'User Inputs'!$C$38)/100)*I14/'User Inputs'!$D$7,(IF(B14="INTERCONNECTION POINT",((100-'User Inputs'!$C$39)/100)*I14/'User Inputs'!$D$7,I14/'User Inputs'!$D$7))))))</f>
        <v>3.5870816938962574E-2</v>
      </c>
      <c r="N14" s="147" t="s">
        <v>428</v>
      </c>
      <c r="O14" s="145">
        <f ca="1">(IF(B14="STORAGE SITE",((100-'User Inputs'!$C$37)/100)* 'User Inputs'!$C$26*'Entry Prices'!I14/'User Inputs'!$D$7, IF(B14="LNG IMPORTATION TERMINAL",((100-'User Inputs'!$C$38)/100)*'User Inputs'!$C$26*'Entry Prices'!I14/'User Inputs'!$D$7,IF(B14="INTERCONNECTION POINT", ((100-'User Inputs'!$C$39)/100)*'User Inputs'!$C$32*'Entry Prices'!I14/'User Inputs'!$D$7, 'User Inputs'!$C$26*'Entry Prices'!I14/'User Inputs'!$D$7))))</f>
        <v>3.5870816938962574E-2</v>
      </c>
      <c r="P14" s="145">
        <f ca="1">(IF(B14="STORAGE SITE",((100-'User Inputs'!$C$37)/100)* 'User Inputs'!$C$27*'Entry Prices'!I14/'User Inputs'!$D$7, IF(B14="LNG IMPORTATION TERMINAL",((100-'User Inputs'!$C$38)/100)*'User Inputs'!$C$27*'Entry Prices'!I14/'User Inputs'!$D$7,IF(B14="INTERCONNECTION POINT",((100-'User Inputs'!$C$39)/100)* 'User Inputs'!$C$33*'Entry Prices'!I14/'User Inputs'!$D$7, 'User Inputs'!$C$27*'Entry Prices'!I14/'User Inputs'!$D$7))))</f>
        <v>3.5870816938962574E-2</v>
      </c>
      <c r="Q14" s="145">
        <f ca="1">(IF(B14="STORAGE SITE",((100-'User Inputs'!$C$37)/100)* 'User Inputs'!$C$28*'Entry Prices'!I14/'User Inputs'!$D$7, IF(B14="LNG IMPORTATION TERMINAL",((100-'User Inputs'!$C$38)/100)*'User Inputs'!$C$28*'Entry Prices'!I14/'User Inputs'!$D$7,IF(B14="INTERCONNECTION POINT", ((100-'User Inputs'!$C$39)/100)*'User Inputs'!$C$34*'Entry Prices'!I14/'User Inputs'!$D$7, 'User Inputs'!$C$28*'Entry Prices'!I14/'User Inputs'!$D$7))))</f>
        <v>3.5870816938962574E-2</v>
      </c>
      <c r="R14" s="145">
        <f ca="1">(100-(VLOOKUP(A14,'Entry Interruption Prob''s'!$A:$E,5,FALSE)))*P14/100</f>
        <v>3.2283735245066315E-2</v>
      </c>
    </row>
    <row r="15" spans="1:18">
      <c r="A15" s="3" t="s">
        <v>12</v>
      </c>
      <c r="B15" s="4" t="str">
        <f>VLOOKUP(A15,'Locations &amp; Types'!$A:$B,2,FALSE)</f>
        <v>STORAGE SITE</v>
      </c>
      <c r="C15" s="4">
        <f ca="1">(VLOOKUP(A15, INDIRECT("'"&amp;'Drop Down Inputs'!$A$10&amp;"'!"&amp;" $A:$H"),MATCH('User Inputs'!$C$19, INDIRECT("'"&amp;'Drop Down Inputs'!$A$10&amp;"'!"&amp;"$A$1:$H$1"),0), FALSE))*'User Inputs'!$C$20/100</f>
        <v>0</v>
      </c>
      <c r="D15" s="4">
        <f ca="1">IF('User Inputs'!$C$23="YES",IF('Entry Prices'!C15-VLOOKUP('Entry Prices'!A15,'Existing Contracts - Entry'!$A:$N,MATCH('User Inputs'!$C$7,'Existing Contracts - Entry'!$A$1:$N$1,0),FALSE)&lt;0,0,'Entry Prices'!C15-VLOOKUP('Entry Prices'!A15,'Existing Contracts - Entry'!$A:$N,MATCH('User Inputs'!$C$7,'Existing Contracts - Entry'!$A$1:$N$1,0),FALSE)),'Entry Prices'!C15)</f>
        <v>0</v>
      </c>
      <c r="E15" s="89">
        <f ca="1">SUMPRODUCT('Exit Prices'!$C$3:$C$231, INDEX('Distance Matrix'!$C$3:$AC$231, 0,MATCH(A15, 'Distance Matrix'!$C$2:$AC$2, 0))) /SUM('Exit Prices'!$C$3:$C$230)</f>
        <v>513.3749475494061</v>
      </c>
      <c r="F15" s="319">
        <f t="shared" ca="1" si="0"/>
        <v>0</v>
      </c>
      <c r="G15" s="89">
        <f ca="1">F15*'Revenue Input'!$B$5</f>
        <v>0</v>
      </c>
      <c r="H15" s="145">
        <f ca="1">IF('User Inputs'!$D$4="PS",('Revenue Input'!$B$5/SUM('Entry Prices'!$D$3:$D$29)),IF(ISERR(G15/D15),0,(G15/D15)))</f>
        <v>26.185696365442677</v>
      </c>
      <c r="I15" s="145">
        <f ca="1">((IF(H15&gt;0,H15,VLOOKUP(A15,'Nearest Location Prices'!$E$1:$G$28,3,FALSE))))</f>
        <v>26.185696365442677</v>
      </c>
      <c r="J15" s="256"/>
      <c r="K15" s="326"/>
      <c r="L15" s="256"/>
      <c r="M15" s="145">
        <f ca="1">(IF(B15="STORAGE SITE",((100-'User Inputs'!$C$37)/100)*I15/'User Inputs'!$D$7,(IF(B15="LNG IMPORTATION TERMINAL",((100-'User Inputs'!$C$38)/100)*I15/'User Inputs'!$D$7,(IF(B15="INTERCONNECTION POINT",((100-'User Inputs'!$C$39)/100)*I15/'User Inputs'!$D$7,I15/'User Inputs'!$D$7))))))</f>
        <v>3.5870816938962574E-2</v>
      </c>
      <c r="N15" s="147" t="s">
        <v>428</v>
      </c>
      <c r="O15" s="145">
        <f ca="1">(IF(B15="STORAGE SITE",((100-'User Inputs'!$C$37)/100)* 'User Inputs'!$C$26*'Entry Prices'!I15/'User Inputs'!$D$7, IF(B15="LNG IMPORTATION TERMINAL",((100-'User Inputs'!$C$38)/100)*'User Inputs'!$C$26*'Entry Prices'!I15/'User Inputs'!$D$7,IF(B15="INTERCONNECTION POINT", ((100-'User Inputs'!$C$39)/100)*'User Inputs'!$C$32*'Entry Prices'!I15/'User Inputs'!$D$7, 'User Inputs'!$C$26*'Entry Prices'!I15/'User Inputs'!$D$7))))</f>
        <v>3.5870816938962574E-2</v>
      </c>
      <c r="P15" s="145">
        <f ca="1">(IF(B15="STORAGE SITE",((100-'User Inputs'!$C$37)/100)* 'User Inputs'!$C$27*'Entry Prices'!I15/'User Inputs'!$D$7, IF(B15="LNG IMPORTATION TERMINAL",((100-'User Inputs'!$C$38)/100)*'User Inputs'!$C$27*'Entry Prices'!I15/'User Inputs'!$D$7,IF(B15="INTERCONNECTION POINT",((100-'User Inputs'!$C$39)/100)* 'User Inputs'!$C$33*'Entry Prices'!I15/'User Inputs'!$D$7, 'User Inputs'!$C$27*'Entry Prices'!I15/'User Inputs'!$D$7))))</f>
        <v>3.5870816938962574E-2</v>
      </c>
      <c r="Q15" s="145">
        <f ca="1">(IF(B15="STORAGE SITE",((100-'User Inputs'!$C$37)/100)* 'User Inputs'!$C$28*'Entry Prices'!I15/'User Inputs'!$D$7, IF(B15="LNG IMPORTATION TERMINAL",((100-'User Inputs'!$C$38)/100)*'User Inputs'!$C$28*'Entry Prices'!I15/'User Inputs'!$D$7,IF(B15="INTERCONNECTION POINT", ((100-'User Inputs'!$C$39)/100)*'User Inputs'!$C$34*'Entry Prices'!I15/'User Inputs'!$D$7, 'User Inputs'!$C$28*'Entry Prices'!I15/'User Inputs'!$D$7))))</f>
        <v>3.5870816938962574E-2</v>
      </c>
      <c r="R15" s="145">
        <f ca="1">(100-(VLOOKUP(A15,'Entry Interruption Prob''s'!$A:$E,5,FALSE)))*P15/100</f>
        <v>3.2283735245066315E-2</v>
      </c>
    </row>
    <row r="16" spans="1:18">
      <c r="A16" s="3" t="s">
        <v>13</v>
      </c>
      <c r="B16" s="4" t="str">
        <f>VLOOKUP(A16,'Locations &amp; Types'!$A:$B,2,FALSE)</f>
        <v>STORAGE SITE</v>
      </c>
      <c r="C16" s="4">
        <f ca="1">(VLOOKUP(A16, INDIRECT("'"&amp;'Drop Down Inputs'!$A$10&amp;"'!"&amp;" $A:$H"),MATCH('User Inputs'!$C$19, INDIRECT("'"&amp;'Drop Down Inputs'!$A$10&amp;"'!"&amp;"$A$1:$H$1"),0), FALSE))*'User Inputs'!$C$20/100</f>
        <v>420000000</v>
      </c>
      <c r="D16" s="4">
        <f ca="1">IF('User Inputs'!$C$23="YES",IF('Entry Prices'!C16-VLOOKUP('Entry Prices'!A16,'Existing Contracts - Entry'!$A:$N,MATCH('User Inputs'!$C$7,'Existing Contracts - Entry'!$A$1:$N$1,0),FALSE)&lt;0,0,'Entry Prices'!C16-VLOOKUP('Entry Prices'!A16,'Existing Contracts - Entry'!$A:$N,MATCH('User Inputs'!$C$7,'Existing Contracts - Entry'!$A$1:$N$1,0),FALSE)),'Entry Prices'!C16)</f>
        <v>0</v>
      </c>
      <c r="E16" s="89">
        <f ca="1">SUMPRODUCT('Exit Prices'!$C$3:$C$231, INDEX('Distance Matrix'!$C$3:$AC$231, 0,MATCH(A16, 'Distance Matrix'!$C$2:$AC$2, 0))) /SUM('Exit Prices'!$C$3:$C$230)</f>
        <v>280.58125004751173</v>
      </c>
      <c r="F16" s="319">
        <f t="shared" ca="1" si="0"/>
        <v>0</v>
      </c>
      <c r="G16" s="89">
        <f ca="1">F16*'Revenue Input'!$B$5</f>
        <v>0</v>
      </c>
      <c r="H16" s="145">
        <f ca="1">IF('User Inputs'!$D$4="PS",('Revenue Input'!$B$5/SUM('Entry Prices'!$D$3:$D$29)),IF(ISERR(G16/D16),0,(G16/D16)))</f>
        <v>26.185696365442677</v>
      </c>
      <c r="I16" s="145">
        <f ca="1">((IF(H16&gt;0,H16,VLOOKUP(A16,'Nearest Location Prices'!$E$1:$G$28,3,FALSE))))</f>
        <v>26.185696365442677</v>
      </c>
      <c r="J16" s="256"/>
      <c r="K16" s="326"/>
      <c r="L16" s="256"/>
      <c r="M16" s="145">
        <f ca="1">(IF(B16="STORAGE SITE",((100-'User Inputs'!$C$37)/100)*I16/'User Inputs'!$D$7,(IF(B16="LNG IMPORTATION TERMINAL",((100-'User Inputs'!$C$38)/100)*I16/'User Inputs'!$D$7,(IF(B16="INTERCONNECTION POINT",((100-'User Inputs'!$C$39)/100)*I16/'User Inputs'!$D$7,I16/'User Inputs'!$D$7))))))</f>
        <v>3.5870816938962574E-2</v>
      </c>
      <c r="N16" s="147" t="s">
        <v>428</v>
      </c>
      <c r="O16" s="145">
        <f ca="1">(IF(B16="STORAGE SITE",((100-'User Inputs'!$C$37)/100)* 'User Inputs'!$C$26*'Entry Prices'!I16/'User Inputs'!$D$7, IF(B16="LNG IMPORTATION TERMINAL",((100-'User Inputs'!$C$38)/100)*'User Inputs'!$C$26*'Entry Prices'!I16/'User Inputs'!$D$7,IF(B16="INTERCONNECTION POINT", ((100-'User Inputs'!$C$39)/100)*'User Inputs'!$C$32*'Entry Prices'!I16/'User Inputs'!$D$7, 'User Inputs'!$C$26*'Entry Prices'!I16/'User Inputs'!$D$7))))</f>
        <v>3.5870816938962574E-2</v>
      </c>
      <c r="P16" s="145">
        <f ca="1">(IF(B16="STORAGE SITE",((100-'User Inputs'!$C$37)/100)* 'User Inputs'!$C$27*'Entry Prices'!I16/'User Inputs'!$D$7, IF(B16="LNG IMPORTATION TERMINAL",((100-'User Inputs'!$C$38)/100)*'User Inputs'!$C$27*'Entry Prices'!I16/'User Inputs'!$D$7,IF(B16="INTERCONNECTION POINT",((100-'User Inputs'!$C$39)/100)* 'User Inputs'!$C$33*'Entry Prices'!I16/'User Inputs'!$D$7, 'User Inputs'!$C$27*'Entry Prices'!I16/'User Inputs'!$D$7))))</f>
        <v>3.5870816938962574E-2</v>
      </c>
      <c r="Q16" s="145">
        <f ca="1">(IF(B16="STORAGE SITE",((100-'User Inputs'!$C$37)/100)* 'User Inputs'!$C$28*'Entry Prices'!I16/'User Inputs'!$D$7, IF(B16="LNG IMPORTATION TERMINAL",((100-'User Inputs'!$C$38)/100)*'User Inputs'!$C$28*'Entry Prices'!I16/'User Inputs'!$D$7,IF(B16="INTERCONNECTION POINT", ((100-'User Inputs'!$C$39)/100)*'User Inputs'!$C$34*'Entry Prices'!I16/'User Inputs'!$D$7, 'User Inputs'!$C$28*'Entry Prices'!I16/'User Inputs'!$D$7))))</f>
        <v>3.5870816938962574E-2</v>
      </c>
      <c r="R16" s="145">
        <f ca="1">(100-(VLOOKUP(A16,'Entry Interruption Prob''s'!$A:$E,5,FALSE)))*P16/100</f>
        <v>3.2283735245066315E-2</v>
      </c>
    </row>
    <row r="17" spans="1:18">
      <c r="A17" s="3" t="s">
        <v>14</v>
      </c>
      <c r="B17" s="4" t="str">
        <f>VLOOKUP(A17,'Locations &amp; Types'!$A:$B,2,FALSE)</f>
        <v>STORAGE SITE</v>
      </c>
      <c r="C17" s="4">
        <f ca="1">(VLOOKUP(A17, INDIRECT("'"&amp;'Drop Down Inputs'!$A$10&amp;"'!"&amp;" $A:$H"),MATCH('User Inputs'!$C$19, INDIRECT("'"&amp;'Drop Down Inputs'!$A$10&amp;"'!"&amp;"$A$1:$H$1"),0), FALSE))*'User Inputs'!$C$20/100</f>
        <v>283440000</v>
      </c>
      <c r="D17" s="4">
        <f ca="1">IF('User Inputs'!$C$23="YES",IF('Entry Prices'!C17-VLOOKUP('Entry Prices'!A17,'Existing Contracts - Entry'!$A:$N,MATCH('User Inputs'!$C$7,'Existing Contracts - Entry'!$A$1:$N$1,0),FALSE)&lt;0,0,'Entry Prices'!C17-VLOOKUP('Entry Prices'!A17,'Existing Contracts - Entry'!$A:$N,MATCH('User Inputs'!$C$7,'Existing Contracts - Entry'!$A$1:$N$1,0),FALSE)),'Entry Prices'!C17)</f>
        <v>0</v>
      </c>
      <c r="E17" s="89">
        <f ca="1">SUMPRODUCT('Exit Prices'!$C$3:$C$231, INDEX('Distance Matrix'!$C$3:$AC$231, 0,MATCH(A17, 'Distance Matrix'!$C$2:$AC$2, 0))) /SUM('Exit Prices'!$C$3:$C$230)</f>
        <v>308.79655365710028</v>
      </c>
      <c r="F17" s="319">
        <f t="shared" ca="1" si="0"/>
        <v>0</v>
      </c>
      <c r="G17" s="89">
        <f ca="1">F17*'Revenue Input'!$B$5</f>
        <v>0</v>
      </c>
      <c r="H17" s="145">
        <f ca="1">IF('User Inputs'!$D$4="PS",('Revenue Input'!$B$5/SUM('Entry Prices'!$D$3:$D$29)),IF(ISERR(G17/D17),0,(G17/D17)))</f>
        <v>26.185696365442677</v>
      </c>
      <c r="I17" s="145">
        <f ca="1">((IF(H17&gt;0,H17,VLOOKUP(A17,'Nearest Location Prices'!$E$1:$G$28,3,FALSE))))</f>
        <v>26.185696365442677</v>
      </c>
      <c r="J17" s="256"/>
      <c r="K17" s="326"/>
      <c r="L17" s="256"/>
      <c r="M17" s="145">
        <f ca="1">(IF(B17="STORAGE SITE",((100-'User Inputs'!$C$37)/100)*I17/'User Inputs'!$D$7,(IF(B17="LNG IMPORTATION TERMINAL",((100-'User Inputs'!$C$38)/100)*I17/'User Inputs'!$D$7,(IF(B17="INTERCONNECTION POINT",((100-'User Inputs'!$C$39)/100)*I17/'User Inputs'!$D$7,I17/'User Inputs'!$D$7))))))</f>
        <v>3.5870816938962574E-2</v>
      </c>
      <c r="N17" s="147" t="s">
        <v>428</v>
      </c>
      <c r="O17" s="145">
        <f ca="1">(IF(B17="STORAGE SITE",((100-'User Inputs'!$C$37)/100)* 'User Inputs'!$C$26*'Entry Prices'!I17/'User Inputs'!$D$7, IF(B17="LNG IMPORTATION TERMINAL",((100-'User Inputs'!$C$38)/100)*'User Inputs'!$C$26*'Entry Prices'!I17/'User Inputs'!$D$7,IF(B17="INTERCONNECTION POINT", ((100-'User Inputs'!$C$39)/100)*'User Inputs'!$C$32*'Entry Prices'!I17/'User Inputs'!$D$7, 'User Inputs'!$C$26*'Entry Prices'!I17/'User Inputs'!$D$7))))</f>
        <v>3.5870816938962574E-2</v>
      </c>
      <c r="P17" s="145">
        <f ca="1">(IF(B17="STORAGE SITE",((100-'User Inputs'!$C$37)/100)* 'User Inputs'!$C$27*'Entry Prices'!I17/'User Inputs'!$D$7, IF(B17="LNG IMPORTATION TERMINAL",((100-'User Inputs'!$C$38)/100)*'User Inputs'!$C$27*'Entry Prices'!I17/'User Inputs'!$D$7,IF(B17="INTERCONNECTION POINT",((100-'User Inputs'!$C$39)/100)* 'User Inputs'!$C$33*'Entry Prices'!I17/'User Inputs'!$D$7, 'User Inputs'!$C$27*'Entry Prices'!I17/'User Inputs'!$D$7))))</f>
        <v>3.5870816938962574E-2</v>
      </c>
      <c r="Q17" s="145">
        <f ca="1">(IF(B17="STORAGE SITE",((100-'User Inputs'!$C$37)/100)* 'User Inputs'!$C$28*'Entry Prices'!I17/'User Inputs'!$D$7, IF(B17="LNG IMPORTATION TERMINAL",((100-'User Inputs'!$C$38)/100)*'User Inputs'!$C$28*'Entry Prices'!I17/'User Inputs'!$D$7,IF(B17="INTERCONNECTION POINT", ((100-'User Inputs'!$C$39)/100)*'User Inputs'!$C$34*'Entry Prices'!I17/'User Inputs'!$D$7, 'User Inputs'!$C$28*'Entry Prices'!I17/'User Inputs'!$D$7))))</f>
        <v>3.5870816938962574E-2</v>
      </c>
      <c r="R17" s="145">
        <f ca="1">(100-(VLOOKUP(A17,'Entry Interruption Prob''s'!$A:$E,5,FALSE)))*P17/100</f>
        <v>3.2283735245066315E-2</v>
      </c>
    </row>
    <row r="18" spans="1:18">
      <c r="A18" s="3" t="s">
        <v>15</v>
      </c>
      <c r="B18" s="4" t="str">
        <f>VLOOKUP(A18,'Locations &amp; Types'!$A:$B,2,FALSE)</f>
        <v>ONSHORE FIELD</v>
      </c>
      <c r="C18" s="4">
        <f ca="1">(VLOOKUP(A18, INDIRECT("'"&amp;'Drop Down Inputs'!$A$10&amp;"'!"&amp;" $A:$H"),MATCH('User Inputs'!$C$19, INDIRECT("'"&amp;'Drop Down Inputs'!$A$10&amp;"'!"&amp;"$A$1:$H$1"),0), FALSE))*'User Inputs'!$C$20/100</f>
        <v>0</v>
      </c>
      <c r="D18" s="4">
        <f ca="1">IF('User Inputs'!$C$23="YES",IF('Entry Prices'!C18-VLOOKUP('Entry Prices'!A18,'Existing Contracts - Entry'!$A:$N,MATCH('User Inputs'!$C$7,'Existing Contracts - Entry'!$A$1:$N$1,0),FALSE)&lt;0,0,'Entry Prices'!C18-VLOOKUP('Entry Prices'!A18,'Existing Contracts - Entry'!$A:$N,MATCH('User Inputs'!$C$7,'Existing Contracts - Entry'!$A$1:$N$1,0),FALSE)),'Entry Prices'!C18)</f>
        <v>0</v>
      </c>
      <c r="E18" s="89">
        <f ca="1">SUMPRODUCT('Exit Prices'!$C$3:$C$231, INDEX('Distance Matrix'!$C$3:$AC$231, 0,MATCH(A18, 'Distance Matrix'!$C$2:$AC$2, 0))) /SUM('Exit Prices'!$C$3:$C$230)</f>
        <v>269.96186670436504</v>
      </c>
      <c r="F18" s="319">
        <f t="shared" ca="1" si="0"/>
        <v>0</v>
      </c>
      <c r="G18" s="89">
        <f ca="1">F18*'Revenue Input'!$B$5</f>
        <v>0</v>
      </c>
      <c r="H18" s="145">
        <f ca="1">IF('User Inputs'!$D$4="PS",('Revenue Input'!$B$5/SUM('Entry Prices'!$D$3:$D$29)),IF(ISERR(G18/D18),0,(G18/D18)))</f>
        <v>26.185696365442677</v>
      </c>
      <c r="I18" s="145">
        <f ca="1">((IF(H18&gt;0,H18,VLOOKUP(A18,'Nearest Location Prices'!$E$1:$G$28,3,FALSE))))</f>
        <v>26.185696365442677</v>
      </c>
      <c r="J18" s="256"/>
      <c r="K18" s="326"/>
      <c r="L18" s="256"/>
      <c r="M18" s="145">
        <f ca="1">(IF(B18="STORAGE SITE",((100-'User Inputs'!$C$37)/100)*I18/'User Inputs'!$D$7,(IF(B18="LNG IMPORTATION TERMINAL",((100-'User Inputs'!$C$38)/100)*I18/'User Inputs'!$D$7,(IF(B18="INTERCONNECTION POINT",((100-'User Inputs'!$C$39)/100)*I18/'User Inputs'!$D$7,I18/'User Inputs'!$D$7))))))</f>
        <v>7.1741633877925148E-2</v>
      </c>
      <c r="N18" s="147" t="s">
        <v>428</v>
      </c>
      <c r="O18" s="145">
        <f ca="1">(IF(B18="STORAGE SITE",((100-'User Inputs'!$C$37)/100)* 'User Inputs'!$C$26*'Entry Prices'!I18/'User Inputs'!$D$7, IF(B18="LNG IMPORTATION TERMINAL",((100-'User Inputs'!$C$38)/100)*'User Inputs'!$C$26*'Entry Prices'!I18/'User Inputs'!$D$7,IF(B18="INTERCONNECTION POINT", ((100-'User Inputs'!$C$39)/100)*'User Inputs'!$C$32*'Entry Prices'!I18/'User Inputs'!$D$7, 'User Inputs'!$C$26*'Entry Prices'!I18/'User Inputs'!$D$7))))</f>
        <v>7.1741633877925148E-2</v>
      </c>
      <c r="P18" s="145">
        <f ca="1">(IF(B18="STORAGE SITE",((100-'User Inputs'!$C$37)/100)* 'User Inputs'!$C$27*'Entry Prices'!I18/'User Inputs'!$D$7, IF(B18="LNG IMPORTATION TERMINAL",((100-'User Inputs'!$C$38)/100)*'User Inputs'!$C$27*'Entry Prices'!I18/'User Inputs'!$D$7,IF(B18="INTERCONNECTION POINT",((100-'User Inputs'!$C$39)/100)* 'User Inputs'!$C$33*'Entry Prices'!I18/'User Inputs'!$D$7, 'User Inputs'!$C$27*'Entry Prices'!I18/'User Inputs'!$D$7))))</f>
        <v>7.1741633877925148E-2</v>
      </c>
      <c r="Q18" s="145">
        <f ca="1">(IF(B18="STORAGE SITE",((100-'User Inputs'!$C$37)/100)* 'User Inputs'!$C$28*'Entry Prices'!I18/'User Inputs'!$D$7, IF(B18="LNG IMPORTATION TERMINAL",((100-'User Inputs'!$C$38)/100)*'User Inputs'!$C$28*'Entry Prices'!I18/'User Inputs'!$D$7,IF(B18="INTERCONNECTION POINT", ((100-'User Inputs'!$C$39)/100)*'User Inputs'!$C$34*'Entry Prices'!I18/'User Inputs'!$D$7, 'User Inputs'!$C$28*'Entry Prices'!I18/'User Inputs'!$D$7))))</f>
        <v>7.1741633877925148E-2</v>
      </c>
      <c r="R18" s="145">
        <f ca="1">(100-(VLOOKUP(A18,'Entry Interruption Prob''s'!$A:$E,5,FALSE)))*P18/100</f>
        <v>6.4567470490132631E-2</v>
      </c>
    </row>
    <row r="19" spans="1:18">
      <c r="A19" s="3" t="s">
        <v>16</v>
      </c>
      <c r="B19" s="4" t="str">
        <f>VLOOKUP(A19,'Locations &amp; Types'!$A:$B,2,FALSE)</f>
        <v>STORAGE SITE</v>
      </c>
      <c r="C19" s="4">
        <f ca="1">(VLOOKUP(A19, INDIRECT("'"&amp;'Drop Down Inputs'!$A$10&amp;"'!"&amp;" $A:$H"),MATCH('User Inputs'!$C$19, INDIRECT("'"&amp;'Drop Down Inputs'!$A$10&amp;"'!"&amp;"$A$1:$H$1"),0), FALSE))*'User Inputs'!$C$20/100</f>
        <v>77588014.975342467</v>
      </c>
      <c r="D19" s="4">
        <f ca="1">IF('User Inputs'!$C$23="YES",IF('Entry Prices'!C19-VLOOKUP('Entry Prices'!A19,'Existing Contracts - Entry'!$A:$N,MATCH('User Inputs'!$C$7,'Existing Contracts - Entry'!$A$1:$N$1,0),FALSE)&lt;0,0,'Entry Prices'!C19-VLOOKUP('Entry Prices'!A19,'Existing Contracts - Entry'!$A:$N,MATCH('User Inputs'!$C$7,'Existing Contracts - Entry'!$A$1:$N$1,0),FALSE)),'Entry Prices'!C19)</f>
        <v>26845275.249315068</v>
      </c>
      <c r="E19" s="89">
        <f ca="1">SUMPRODUCT('Exit Prices'!$C$3:$C$231, INDEX('Distance Matrix'!$C$3:$AC$231, 0,MATCH(A19, 'Distance Matrix'!$C$2:$AC$2, 0))) /SUM('Exit Prices'!$C$3:$C$230)</f>
        <v>289.0373645824522</v>
      </c>
      <c r="F19" s="319">
        <f t="shared" ca="1" si="0"/>
        <v>9.0208628228732306E-3</v>
      </c>
      <c r="G19" s="89">
        <f ca="1">F19*'Revenue Input'!$B$5</f>
        <v>420280767.82473034</v>
      </c>
      <c r="H19" s="145">
        <f ca="1">IF('User Inputs'!$D$4="PS",('Revenue Input'!$B$5/SUM('Entry Prices'!$D$3:$D$29)),IF(ISERR(G19/D19),0,(G19/D19)))</f>
        <v>26.185696365442677</v>
      </c>
      <c r="I19" s="145">
        <f ca="1">((IF(H19&gt;0,H19,VLOOKUP(A19,'Nearest Location Prices'!$E$1:$G$28,3,FALSE))))</f>
        <v>26.185696365442677</v>
      </c>
      <c r="J19" s="256"/>
      <c r="K19" s="326"/>
      <c r="L19" s="256"/>
      <c r="M19" s="145">
        <f ca="1">(IF(B19="STORAGE SITE",((100-'User Inputs'!$C$37)/100)*I19/'User Inputs'!$D$7,(IF(B19="LNG IMPORTATION TERMINAL",((100-'User Inputs'!$C$38)/100)*I19/'User Inputs'!$D$7,(IF(B19="INTERCONNECTION POINT",((100-'User Inputs'!$C$39)/100)*I19/'User Inputs'!$D$7,I19/'User Inputs'!$D$7))))))</f>
        <v>3.5870816938962574E-2</v>
      </c>
      <c r="N19" s="147" t="s">
        <v>428</v>
      </c>
      <c r="O19" s="145">
        <f ca="1">(IF(B19="STORAGE SITE",((100-'User Inputs'!$C$37)/100)* 'User Inputs'!$C$26*'Entry Prices'!I19/'User Inputs'!$D$7, IF(B19="LNG IMPORTATION TERMINAL",((100-'User Inputs'!$C$38)/100)*'User Inputs'!$C$26*'Entry Prices'!I19/'User Inputs'!$D$7,IF(B19="INTERCONNECTION POINT", ((100-'User Inputs'!$C$39)/100)*'User Inputs'!$C$32*'Entry Prices'!I19/'User Inputs'!$D$7, 'User Inputs'!$C$26*'Entry Prices'!I19/'User Inputs'!$D$7))))</f>
        <v>3.5870816938962574E-2</v>
      </c>
      <c r="P19" s="145">
        <f ca="1">(IF(B19="STORAGE SITE",((100-'User Inputs'!$C$37)/100)* 'User Inputs'!$C$27*'Entry Prices'!I19/'User Inputs'!$D$7, IF(B19="LNG IMPORTATION TERMINAL",((100-'User Inputs'!$C$38)/100)*'User Inputs'!$C$27*'Entry Prices'!I19/'User Inputs'!$D$7,IF(B19="INTERCONNECTION POINT",((100-'User Inputs'!$C$39)/100)* 'User Inputs'!$C$33*'Entry Prices'!I19/'User Inputs'!$D$7, 'User Inputs'!$C$27*'Entry Prices'!I19/'User Inputs'!$D$7))))</f>
        <v>3.5870816938962574E-2</v>
      </c>
      <c r="Q19" s="145">
        <f ca="1">(IF(B19="STORAGE SITE",((100-'User Inputs'!$C$37)/100)* 'User Inputs'!$C$28*'Entry Prices'!I19/'User Inputs'!$D$7, IF(B19="LNG IMPORTATION TERMINAL",((100-'User Inputs'!$C$38)/100)*'User Inputs'!$C$28*'Entry Prices'!I19/'User Inputs'!$D$7,IF(B19="INTERCONNECTION POINT", ((100-'User Inputs'!$C$39)/100)*'User Inputs'!$C$34*'Entry Prices'!I19/'User Inputs'!$D$7, 'User Inputs'!$C$28*'Entry Prices'!I19/'User Inputs'!$D$7))))</f>
        <v>3.5870816938962574E-2</v>
      </c>
      <c r="R19" s="145">
        <f ca="1">(100-(VLOOKUP(A19,'Entry Interruption Prob''s'!$A:$E,5,FALSE)))*P19/100</f>
        <v>3.2283735245066315E-2</v>
      </c>
    </row>
    <row r="20" spans="1:18">
      <c r="A20" s="3" t="s">
        <v>17</v>
      </c>
      <c r="B20" s="4" t="str">
        <f>VLOOKUP(A20,'Locations &amp; Types'!$A:$B,2,FALSE)</f>
        <v>STORAGE SITE</v>
      </c>
      <c r="C20" s="4">
        <f ca="1">(VLOOKUP(A20, INDIRECT("'"&amp;'Drop Down Inputs'!$A$10&amp;"'!"&amp;" $A:$H"),MATCH('User Inputs'!$C$19, INDIRECT("'"&amp;'Drop Down Inputs'!$A$10&amp;"'!"&amp;"$A$1:$H$1"),0), FALSE))*'User Inputs'!$C$20/100</f>
        <v>5424657.5342465751</v>
      </c>
      <c r="D20" s="4">
        <f ca="1">IF('User Inputs'!$C$23="YES",IF('Entry Prices'!C20-VLOOKUP('Entry Prices'!A20,'Existing Contracts - Entry'!$A:$N,MATCH('User Inputs'!$C$7,'Existing Contracts - Entry'!$A$1:$N$1,0),FALSE)&lt;0,0,'Entry Prices'!C20-VLOOKUP('Entry Prices'!A20,'Existing Contracts - Entry'!$A:$N,MATCH('User Inputs'!$C$7,'Existing Contracts - Entry'!$A$1:$N$1,0),FALSE)),'Entry Prices'!C20)</f>
        <v>0</v>
      </c>
      <c r="E20" s="89">
        <f ca="1">SUMPRODUCT('Exit Prices'!$C$3:$C$231, INDEX('Distance Matrix'!$C$3:$AC$231, 0,MATCH(A20, 'Distance Matrix'!$C$2:$AC$2, 0))) /SUM('Exit Prices'!$C$3:$C$230)</f>
        <v>269.96186670436504</v>
      </c>
      <c r="F20" s="319">
        <f t="shared" ca="1" si="0"/>
        <v>0</v>
      </c>
      <c r="G20" s="89">
        <f ca="1">F20*'Revenue Input'!$B$5</f>
        <v>0</v>
      </c>
      <c r="H20" s="145">
        <f ca="1">IF('User Inputs'!$D$4="PS",('Revenue Input'!$B$5/SUM('Entry Prices'!$D$3:$D$29)),IF(ISERR(G20/D20),0,(G20/D20)))</f>
        <v>26.185696365442677</v>
      </c>
      <c r="I20" s="145">
        <f ca="1">((IF(H20&gt;0,H20,VLOOKUP(A20,'Nearest Location Prices'!$E$1:$G$28,3,FALSE))))</f>
        <v>26.185696365442677</v>
      </c>
      <c r="J20" s="256"/>
      <c r="K20" s="326"/>
      <c r="L20" s="256"/>
      <c r="M20" s="145">
        <f ca="1">(IF(B20="STORAGE SITE",((100-'User Inputs'!$C$37)/100)*I20/'User Inputs'!$D$7,(IF(B20="LNG IMPORTATION TERMINAL",((100-'User Inputs'!$C$38)/100)*I20/'User Inputs'!$D$7,(IF(B20="INTERCONNECTION POINT",((100-'User Inputs'!$C$39)/100)*I20/'User Inputs'!$D$7,I20/'User Inputs'!$D$7))))))</f>
        <v>3.5870816938962574E-2</v>
      </c>
      <c r="N20" s="147" t="s">
        <v>428</v>
      </c>
      <c r="O20" s="145">
        <f ca="1">(IF(B20="STORAGE SITE",((100-'User Inputs'!$C$37)/100)* 'User Inputs'!$C$26*'Entry Prices'!I20/'User Inputs'!$D$7, IF(B20="LNG IMPORTATION TERMINAL",((100-'User Inputs'!$C$38)/100)*'User Inputs'!$C$26*'Entry Prices'!I20/'User Inputs'!$D$7,IF(B20="INTERCONNECTION POINT", ((100-'User Inputs'!$C$39)/100)*'User Inputs'!$C$32*'Entry Prices'!I20/'User Inputs'!$D$7, 'User Inputs'!$C$26*'Entry Prices'!I20/'User Inputs'!$D$7))))</f>
        <v>3.5870816938962574E-2</v>
      </c>
      <c r="P20" s="145">
        <f ca="1">(IF(B20="STORAGE SITE",((100-'User Inputs'!$C$37)/100)* 'User Inputs'!$C$27*'Entry Prices'!I20/'User Inputs'!$D$7, IF(B20="LNG IMPORTATION TERMINAL",((100-'User Inputs'!$C$38)/100)*'User Inputs'!$C$27*'Entry Prices'!I20/'User Inputs'!$D$7,IF(B20="INTERCONNECTION POINT",((100-'User Inputs'!$C$39)/100)* 'User Inputs'!$C$33*'Entry Prices'!I20/'User Inputs'!$D$7, 'User Inputs'!$C$27*'Entry Prices'!I20/'User Inputs'!$D$7))))</f>
        <v>3.5870816938962574E-2</v>
      </c>
      <c r="Q20" s="145">
        <f ca="1">(IF(B20="STORAGE SITE",((100-'User Inputs'!$C$37)/100)* 'User Inputs'!$C$28*'Entry Prices'!I20/'User Inputs'!$D$7, IF(B20="LNG IMPORTATION TERMINAL",((100-'User Inputs'!$C$38)/100)*'User Inputs'!$C$28*'Entry Prices'!I20/'User Inputs'!$D$7,IF(B20="INTERCONNECTION POINT", ((100-'User Inputs'!$C$39)/100)*'User Inputs'!$C$34*'Entry Prices'!I20/'User Inputs'!$D$7, 'User Inputs'!$C$28*'Entry Prices'!I20/'User Inputs'!$D$7))))</f>
        <v>3.5870816938962574E-2</v>
      </c>
      <c r="R20" s="145">
        <f ca="1">(100-(VLOOKUP(A20,'Entry Interruption Prob''s'!$A:$E,5,FALSE)))*P20/100</f>
        <v>3.2283735245066315E-2</v>
      </c>
    </row>
    <row r="21" spans="1:18">
      <c r="A21" s="3" t="s">
        <v>18</v>
      </c>
      <c r="B21" s="4" t="str">
        <f>VLOOKUP(A21,'Locations &amp; Types'!$A:$B,2,FALSE)</f>
        <v>LNG IMPORTATION TERMINAL</v>
      </c>
      <c r="C21" s="4">
        <f ca="1">(VLOOKUP(A21, INDIRECT("'"&amp;'Drop Down Inputs'!$A$10&amp;"'!"&amp;" $A:$H"),MATCH('User Inputs'!$C$19, INDIRECT("'"&amp;'Drop Down Inputs'!$A$10&amp;"'!"&amp;"$A$1:$H$1"),0), FALSE))*'User Inputs'!$C$20/100</f>
        <v>643590136.98630142</v>
      </c>
      <c r="D21" s="4">
        <f ca="1">IF('User Inputs'!$C$23="YES",IF('Entry Prices'!C21-VLOOKUP('Entry Prices'!A21,'Existing Contracts - Entry'!$A:$N,MATCH('User Inputs'!$C$7,'Existing Contracts - Entry'!$A$1:$N$1,0),FALSE)&lt;0,0,'Entry Prices'!C21-VLOOKUP('Entry Prices'!A21,'Existing Contracts - Entry'!$A:$N,MATCH('User Inputs'!$C$7,'Existing Contracts - Entry'!$A$1:$N$1,0),FALSE)),'Entry Prices'!C21)</f>
        <v>197260.2739726305</v>
      </c>
      <c r="E21" s="89">
        <f ca="1">SUMPRODUCT('Exit Prices'!$C$3:$C$231, INDEX('Distance Matrix'!$C$3:$AC$231, 0,MATCH(A21, 'Distance Matrix'!$C$2:$AC$2, 0))) /SUM('Exit Prices'!$C$3:$C$230)</f>
        <v>375.14645061081802</v>
      </c>
      <c r="F21" s="319">
        <f t="shared" ca="1" si="0"/>
        <v>8.603332396604123E-5</v>
      </c>
      <c r="G21" s="89">
        <f ca="1">F21*'Revenue Input'!$B$5</f>
        <v>4008280.8224596046</v>
      </c>
      <c r="H21" s="145">
        <f ca="1">IF('User Inputs'!$D$4="PS",('Revenue Input'!$B$5/SUM('Entry Prices'!$D$3:$D$29)),IF(ISERR(G21/D21),0,(G21/D21)))</f>
        <v>26.185696365442677</v>
      </c>
      <c r="I21" s="145">
        <f ca="1">((IF(H21&gt;0,H21,VLOOKUP(A21,'Nearest Location Prices'!$E$1:$G$28,3,FALSE))))</f>
        <v>26.185696365442677</v>
      </c>
      <c r="J21" s="256"/>
      <c r="K21" s="326"/>
      <c r="L21" s="256"/>
      <c r="M21" s="145">
        <f ca="1">(IF(B21="STORAGE SITE",((100-'User Inputs'!$C$37)/100)*I21/'User Inputs'!$D$7,(IF(B21="LNG IMPORTATION TERMINAL",((100-'User Inputs'!$C$38)/100)*I21/'User Inputs'!$D$7,(IF(B21="INTERCONNECTION POINT",((100-'User Inputs'!$C$39)/100)*I21/'User Inputs'!$D$7,I21/'User Inputs'!$D$7))))))</f>
        <v>7.1741633877925148E-2</v>
      </c>
      <c r="N21" s="147" t="s">
        <v>428</v>
      </c>
      <c r="O21" s="145">
        <f ca="1">(IF(B21="STORAGE SITE",((100-'User Inputs'!$C$37)/100)* 'User Inputs'!$C$26*'Entry Prices'!I21/'User Inputs'!$D$7, IF(B21="LNG IMPORTATION TERMINAL",((100-'User Inputs'!$C$38)/100)*'User Inputs'!$C$26*'Entry Prices'!I21/'User Inputs'!$D$7,IF(B21="INTERCONNECTION POINT", ((100-'User Inputs'!$C$39)/100)*'User Inputs'!$C$32*'Entry Prices'!I21/'User Inputs'!$D$7, 'User Inputs'!$C$26*'Entry Prices'!I21/'User Inputs'!$D$7))))</f>
        <v>7.1741633877925148E-2</v>
      </c>
      <c r="P21" s="145">
        <f ca="1">(IF(B21="STORAGE SITE",((100-'User Inputs'!$C$37)/100)* 'User Inputs'!$C$27*'Entry Prices'!I21/'User Inputs'!$D$7, IF(B21="LNG IMPORTATION TERMINAL",((100-'User Inputs'!$C$38)/100)*'User Inputs'!$C$27*'Entry Prices'!I21/'User Inputs'!$D$7,IF(B21="INTERCONNECTION POINT",((100-'User Inputs'!$C$39)/100)* 'User Inputs'!$C$33*'Entry Prices'!I21/'User Inputs'!$D$7, 'User Inputs'!$C$27*'Entry Prices'!I21/'User Inputs'!$D$7))))</f>
        <v>7.1741633877925148E-2</v>
      </c>
      <c r="Q21" s="145">
        <f ca="1">(IF(B21="STORAGE SITE",((100-'User Inputs'!$C$37)/100)* 'User Inputs'!$C$28*'Entry Prices'!I21/'User Inputs'!$D$7, IF(B21="LNG IMPORTATION TERMINAL",((100-'User Inputs'!$C$38)/100)*'User Inputs'!$C$28*'Entry Prices'!I21/'User Inputs'!$D$7,IF(B21="INTERCONNECTION POINT", ((100-'User Inputs'!$C$39)/100)*'User Inputs'!$C$34*'Entry Prices'!I21/'User Inputs'!$D$7, 'User Inputs'!$C$28*'Entry Prices'!I21/'User Inputs'!$D$7))))</f>
        <v>7.1741633877925148E-2</v>
      </c>
      <c r="R21" s="145">
        <f ca="1">(100-(VLOOKUP(A21,'Entry Interruption Prob''s'!$A:$E,5,FALSE)))*P21/100</f>
        <v>6.4567470490132631E-2</v>
      </c>
    </row>
    <row r="22" spans="1:18">
      <c r="A22" s="3" t="s">
        <v>19</v>
      </c>
      <c r="B22" s="4" t="str">
        <f>VLOOKUP(A22,'Locations &amp; Types'!$A:$B,2,FALSE)</f>
        <v>LNG IMPORTATION TERMINAL</v>
      </c>
      <c r="C22" s="4">
        <f ca="1">(VLOOKUP(A22, INDIRECT("'"&amp;'Drop Down Inputs'!$A$10&amp;"'!"&amp;" $A:$H"),MATCH('User Inputs'!$C$19, INDIRECT("'"&amp;'Drop Down Inputs'!$A$10&amp;"'!"&amp;"$A$1:$H$1"),0), FALSE))*'User Inputs'!$C$20/100</f>
        <v>649178082.19178081</v>
      </c>
      <c r="D22" s="4">
        <f ca="1">IF('User Inputs'!$C$23="YES",IF('Entry Prices'!C22-VLOOKUP('Entry Prices'!A22,'Existing Contracts - Entry'!$A:$N,MATCH('User Inputs'!$C$7,'Existing Contracts - Entry'!$A$1:$N$1,0),FALSE)&lt;0,0,'Entry Prices'!C22-VLOOKUP('Entry Prices'!A22,'Existing Contracts - Entry'!$A:$N,MATCH('User Inputs'!$C$7,'Existing Contracts - Entry'!$A$1:$N$1,0),FALSE)),'Entry Prices'!C22)</f>
        <v>0</v>
      </c>
      <c r="E22" s="89">
        <f ca="1">SUMPRODUCT('Exit Prices'!$C$3:$C$231, INDEX('Distance Matrix'!$C$3:$AC$231, 0,MATCH(A22, 'Distance Matrix'!$C$2:$AC$2, 0))) /SUM('Exit Prices'!$C$3:$C$230)</f>
        <v>559.69969993781217</v>
      </c>
      <c r="F22" s="319">
        <f t="shared" ca="1" si="0"/>
        <v>0</v>
      </c>
      <c r="G22" s="89">
        <f ca="1">F22*'Revenue Input'!$B$5</f>
        <v>0</v>
      </c>
      <c r="H22" s="145">
        <f ca="1">IF('User Inputs'!$D$4="PS",('Revenue Input'!$B$5/SUM('Entry Prices'!$D$3:$D$29)),IF(ISERR(G22/D22),0,(G22/D22)))</f>
        <v>26.185696365442677</v>
      </c>
      <c r="I22" s="145">
        <f ca="1">((IF(H22&gt;0,H22,VLOOKUP(A22,'Nearest Location Prices'!$E$1:$G$28,3,FALSE))))</f>
        <v>26.185696365442677</v>
      </c>
      <c r="J22" s="256"/>
      <c r="K22" s="326"/>
      <c r="L22" s="256"/>
      <c r="M22" s="145">
        <f ca="1">(IF(B22="STORAGE SITE",((100-'User Inputs'!$C$37)/100)*I22/'User Inputs'!$D$7,(IF(B22="LNG IMPORTATION TERMINAL",((100-'User Inputs'!$C$38)/100)*I22/'User Inputs'!$D$7,(IF(B22="INTERCONNECTION POINT",((100-'User Inputs'!$C$39)/100)*I22/'User Inputs'!$D$7,I22/'User Inputs'!$D$7))))))</f>
        <v>7.1741633877925148E-2</v>
      </c>
      <c r="N22" s="147" t="s">
        <v>428</v>
      </c>
      <c r="O22" s="145">
        <f ca="1">(IF(B22="STORAGE SITE",((100-'User Inputs'!$C$37)/100)* 'User Inputs'!$C$26*'Entry Prices'!I22/'User Inputs'!$D$7, IF(B22="LNG IMPORTATION TERMINAL",((100-'User Inputs'!$C$38)/100)*'User Inputs'!$C$26*'Entry Prices'!I22/'User Inputs'!$D$7,IF(B22="INTERCONNECTION POINT", ((100-'User Inputs'!$C$39)/100)*'User Inputs'!$C$32*'Entry Prices'!I22/'User Inputs'!$D$7, 'User Inputs'!$C$26*'Entry Prices'!I22/'User Inputs'!$D$7))))</f>
        <v>7.1741633877925148E-2</v>
      </c>
      <c r="P22" s="145">
        <f ca="1">(IF(B22="STORAGE SITE",((100-'User Inputs'!$C$37)/100)* 'User Inputs'!$C$27*'Entry Prices'!I22/'User Inputs'!$D$7, IF(B22="LNG IMPORTATION TERMINAL",((100-'User Inputs'!$C$38)/100)*'User Inputs'!$C$27*'Entry Prices'!I22/'User Inputs'!$D$7,IF(B22="INTERCONNECTION POINT",((100-'User Inputs'!$C$39)/100)* 'User Inputs'!$C$33*'Entry Prices'!I22/'User Inputs'!$D$7, 'User Inputs'!$C$27*'Entry Prices'!I22/'User Inputs'!$D$7))))</f>
        <v>7.1741633877925148E-2</v>
      </c>
      <c r="Q22" s="145">
        <f ca="1">(IF(B22="STORAGE SITE",((100-'User Inputs'!$C$37)/100)* 'User Inputs'!$C$28*'Entry Prices'!I22/'User Inputs'!$D$7, IF(B22="LNG IMPORTATION TERMINAL",((100-'User Inputs'!$C$38)/100)*'User Inputs'!$C$28*'Entry Prices'!I22/'User Inputs'!$D$7,IF(B22="INTERCONNECTION POINT", ((100-'User Inputs'!$C$39)/100)*'User Inputs'!$C$34*'Entry Prices'!I22/'User Inputs'!$D$7, 'User Inputs'!$C$28*'Entry Prices'!I22/'User Inputs'!$D$7))))</f>
        <v>7.1741633877925148E-2</v>
      </c>
      <c r="R22" s="145">
        <f ca="1">(100-(VLOOKUP(A22,'Entry Interruption Prob''s'!$A:$E,5,FALSE)))*P22/100</f>
        <v>6.4567470490132631E-2</v>
      </c>
    </row>
    <row r="23" spans="1:18">
      <c r="A23" s="3" t="s">
        <v>20</v>
      </c>
      <c r="B23" s="4" t="str">
        <f>VLOOKUP(A23,'Locations &amp; Types'!$A:$B,2,FALSE)</f>
        <v>STORAGE SITE</v>
      </c>
      <c r="C23" s="4">
        <f ca="1">(VLOOKUP(A23, INDIRECT("'"&amp;'Drop Down Inputs'!$A$10&amp;"'!"&amp;" $A:$H"),MATCH('User Inputs'!$C$19, INDIRECT("'"&amp;'Drop Down Inputs'!$A$10&amp;"'!"&amp;"$A$1:$H$1"),0), FALSE))*'User Inputs'!$C$20/100</f>
        <v>40146.71232876712</v>
      </c>
      <c r="D23" s="4">
        <f ca="1">IF('User Inputs'!$C$23="YES",IF('Entry Prices'!C23-VLOOKUP('Entry Prices'!A23,'Existing Contracts - Entry'!$A:$N,MATCH('User Inputs'!$C$7,'Existing Contracts - Entry'!$A$1:$N$1,0),FALSE)&lt;0,0,'Entry Prices'!C23-VLOOKUP('Entry Prices'!A23,'Existing Contracts - Entry'!$A:$N,MATCH('User Inputs'!$C$7,'Existing Contracts - Entry'!$A$1:$N$1,0),FALSE)),'Entry Prices'!C23)</f>
        <v>40146.71232876712</v>
      </c>
      <c r="E23" s="89">
        <f ca="1">SUMPRODUCT('Exit Prices'!$C$3:$C$231, INDEX('Distance Matrix'!$C$3:$AC$231, 0,MATCH(A23, 'Distance Matrix'!$C$2:$AC$2, 0))) /SUM('Exit Prices'!$C$3:$C$230)</f>
        <v>317.78639050088248</v>
      </c>
      <c r="F23" s="319">
        <f t="shared" ca="1" si="0"/>
        <v>1.4832402733657571E-5</v>
      </c>
      <c r="G23" s="89">
        <f ca="1">F23*'Revenue Input'!$B$5</f>
        <v>691039.6191571526</v>
      </c>
      <c r="H23" s="145">
        <f ca="1">IF('User Inputs'!$D$4="PS",('Revenue Input'!$B$5/SUM('Entry Prices'!$D$3:$D$29)),IF(ISERR(G23/D23),0,(G23/D23)))</f>
        <v>26.185696365442677</v>
      </c>
      <c r="I23" s="145">
        <f ca="1">((IF(H23&gt;0,H23,VLOOKUP(A23,'Nearest Location Prices'!$E$1:$G$28,3,FALSE))))</f>
        <v>26.185696365442677</v>
      </c>
      <c r="J23" s="256"/>
      <c r="K23" s="326"/>
      <c r="L23" s="256"/>
      <c r="M23" s="145">
        <f ca="1">(IF(B23="STORAGE SITE",((100-'User Inputs'!$C$37)/100)*I23/'User Inputs'!$D$7,(IF(B23="LNG IMPORTATION TERMINAL",((100-'User Inputs'!$C$38)/100)*I23/'User Inputs'!$D$7,(IF(B23="INTERCONNECTION POINT",((100-'User Inputs'!$C$39)/100)*I23/'User Inputs'!$D$7,I23/'User Inputs'!$D$7))))))</f>
        <v>3.5870816938962574E-2</v>
      </c>
      <c r="N23" s="147" t="s">
        <v>428</v>
      </c>
      <c r="O23" s="145">
        <f ca="1">(IF(B23="STORAGE SITE",((100-'User Inputs'!$C$37)/100)* 'User Inputs'!$C$26*'Entry Prices'!I23/'User Inputs'!$D$7, IF(B23="LNG IMPORTATION TERMINAL",((100-'User Inputs'!$C$38)/100)*'User Inputs'!$C$26*'Entry Prices'!I23/'User Inputs'!$D$7,IF(B23="INTERCONNECTION POINT", ((100-'User Inputs'!$C$39)/100)*'User Inputs'!$C$32*'Entry Prices'!I23/'User Inputs'!$D$7, 'User Inputs'!$C$26*'Entry Prices'!I23/'User Inputs'!$D$7))))</f>
        <v>3.5870816938962574E-2</v>
      </c>
      <c r="P23" s="145">
        <f ca="1">(IF(B23="STORAGE SITE",((100-'User Inputs'!$C$37)/100)* 'User Inputs'!$C$27*'Entry Prices'!I23/'User Inputs'!$D$7, IF(B23="LNG IMPORTATION TERMINAL",((100-'User Inputs'!$C$38)/100)*'User Inputs'!$C$27*'Entry Prices'!I23/'User Inputs'!$D$7,IF(B23="INTERCONNECTION POINT",((100-'User Inputs'!$C$39)/100)* 'User Inputs'!$C$33*'Entry Prices'!I23/'User Inputs'!$D$7, 'User Inputs'!$C$27*'Entry Prices'!I23/'User Inputs'!$D$7))))</f>
        <v>3.5870816938962574E-2</v>
      </c>
      <c r="Q23" s="145">
        <f ca="1">(IF(B23="STORAGE SITE",((100-'User Inputs'!$C$37)/100)* 'User Inputs'!$C$28*'Entry Prices'!I23/'User Inputs'!$D$7, IF(B23="LNG IMPORTATION TERMINAL",((100-'User Inputs'!$C$38)/100)*'User Inputs'!$C$28*'Entry Prices'!I23/'User Inputs'!$D$7,IF(B23="INTERCONNECTION POINT", ((100-'User Inputs'!$C$39)/100)*'User Inputs'!$C$34*'Entry Prices'!I23/'User Inputs'!$D$7, 'User Inputs'!$C$28*'Entry Prices'!I23/'User Inputs'!$D$7))))</f>
        <v>3.5870816938962574E-2</v>
      </c>
      <c r="R23" s="145">
        <f ca="1">(100-(VLOOKUP(A23,'Entry Interruption Prob''s'!$A:$E,5,FALSE)))*P23/100</f>
        <v>3.2283735245066315E-2</v>
      </c>
    </row>
    <row r="24" spans="1:18">
      <c r="A24" s="87" t="s">
        <v>155</v>
      </c>
      <c r="B24" s="4" t="str">
        <f>VLOOKUP(A24,'Locations &amp; Types'!$A:$B,2,FALSE)</f>
        <v>INTERCONNECTION POINT</v>
      </c>
      <c r="C24" s="4">
        <f ca="1">(VLOOKUP(A24, INDIRECT("'"&amp;'Drop Down Inputs'!$A$10&amp;"'!"&amp;" $A:$H"),MATCH('User Inputs'!$C$19, INDIRECT("'"&amp;'Drop Down Inputs'!$A$10&amp;"'!"&amp;"$A$1:$H$1"),0), FALSE))*'User Inputs'!$C$20/100</f>
        <v>0</v>
      </c>
      <c r="D24" s="4">
        <f ca="1">IF('User Inputs'!$C$23="YES",IF('Entry Prices'!C24-VLOOKUP('Entry Prices'!A24,'Existing Contracts - Entry'!$A:$N,MATCH('User Inputs'!$C$7,'Existing Contracts - Entry'!$A$1:$N$1,0),FALSE)&lt;0,0,'Entry Prices'!C24-VLOOKUP('Entry Prices'!A24,'Existing Contracts - Entry'!$A:$N,MATCH('User Inputs'!$C$7,'Existing Contracts - Entry'!$A$1:$N$1,0),FALSE)),'Entry Prices'!C24)</f>
        <v>0</v>
      </c>
      <c r="E24" s="89">
        <f ca="1">SUMPRODUCT('Exit Prices'!$C$3:$C$231, INDEX('Distance Matrix'!$C$3:$AC$231, 0,MATCH(A24, 'Distance Matrix'!$C$2:$AC$2, 0))) /SUM('Exit Prices'!$C$3:$C$230)</f>
        <v>424.43298728822492</v>
      </c>
      <c r="F24" s="319">
        <f t="shared" ca="1" si="0"/>
        <v>0</v>
      </c>
      <c r="G24" s="89">
        <f ca="1">F24*'Revenue Input'!$B$5</f>
        <v>0</v>
      </c>
      <c r="H24" s="145">
        <f ca="1">IF('User Inputs'!$D$4="PS",('Revenue Input'!$B$5/SUM('Entry Prices'!$D$3:$D$29)),IF(ISERR(G24/D24),0,(G24/D24)))</f>
        <v>26.185696365442677</v>
      </c>
      <c r="I24" s="145">
        <f ca="1">((IF(H24&gt;0,H24,VLOOKUP(A24,'Nearest Location Prices'!$E$1:$G$28,3,FALSE))))</f>
        <v>26.185696365442677</v>
      </c>
      <c r="J24" s="256"/>
      <c r="K24" s="326"/>
      <c r="L24" s="256"/>
      <c r="M24" s="145">
        <f ca="1">(IF(B24="STORAGE SITE",((100-'User Inputs'!$C$37)/100)*I24/'User Inputs'!$D$7,(IF(B24="LNG IMPORTATION TERMINAL",((100-'User Inputs'!$C$38)/100)*I24/'User Inputs'!$D$7,(IF(B24="INTERCONNECTION POINT",((100-'User Inputs'!$C$39)/100)*I24/'User Inputs'!$D$7,I24/'User Inputs'!$D$7))))))</f>
        <v>7.1741633877925148E-2</v>
      </c>
      <c r="N24" s="147" t="s">
        <v>428</v>
      </c>
      <c r="O24" s="145">
        <f ca="1">(IF(B24="STORAGE SITE",((100-'User Inputs'!$C$37)/100)* 'User Inputs'!$C$26*'Entry Prices'!I24/'User Inputs'!$D$7, IF(B24="LNG IMPORTATION TERMINAL",((100-'User Inputs'!$C$38)/100)*'User Inputs'!$C$26*'Entry Prices'!I24/'User Inputs'!$D$7,IF(B24="INTERCONNECTION POINT", ((100-'User Inputs'!$C$39)/100)*'User Inputs'!$C$32*'Entry Prices'!I24/'User Inputs'!$D$7, 'User Inputs'!$C$26*'Entry Prices'!I24/'User Inputs'!$D$7))))</f>
        <v>7.1741633877925148E-2</v>
      </c>
      <c r="P24" s="145">
        <f ca="1">(IF(B24="STORAGE SITE",((100-'User Inputs'!$C$37)/100)* 'User Inputs'!$C$27*'Entry Prices'!I24/'User Inputs'!$D$7, IF(B24="LNG IMPORTATION TERMINAL",((100-'User Inputs'!$C$38)/100)*'User Inputs'!$C$27*'Entry Prices'!I24/'User Inputs'!$D$7,IF(B24="INTERCONNECTION POINT",((100-'User Inputs'!$C$39)/100)* 'User Inputs'!$C$33*'Entry Prices'!I24/'User Inputs'!$D$7, 'User Inputs'!$C$27*'Entry Prices'!I24/'User Inputs'!$D$7))))</f>
        <v>7.1741633877925148E-2</v>
      </c>
      <c r="Q24" s="145">
        <f ca="1">(IF(B24="STORAGE SITE",((100-'User Inputs'!$C$37)/100)* 'User Inputs'!$C$28*'Entry Prices'!I24/'User Inputs'!$D$7, IF(B24="LNG IMPORTATION TERMINAL",((100-'User Inputs'!$C$38)/100)*'User Inputs'!$C$28*'Entry Prices'!I24/'User Inputs'!$D$7,IF(B24="INTERCONNECTION POINT", ((100-'User Inputs'!$C$39)/100)*'User Inputs'!$C$34*'Entry Prices'!I24/'User Inputs'!$D$7, 'User Inputs'!$C$28*'Entry Prices'!I24/'User Inputs'!$D$7))))</f>
        <v>7.1741633877925148E-2</v>
      </c>
      <c r="R24" s="145">
        <f ca="1">(100-(VLOOKUP(A24,'Entry Interruption Prob''s'!$A:$E,5,FALSE)))*P24/100</f>
        <v>6.4567470490132631E-2</v>
      </c>
    </row>
    <row r="25" spans="1:18">
      <c r="A25" s="87" t="s">
        <v>533</v>
      </c>
      <c r="B25" s="4" t="str">
        <f>VLOOKUP(A25,'Locations &amp; Types'!$A:$B,2,FALSE)</f>
        <v>BIOMETHANE PLANT</v>
      </c>
      <c r="C25" s="4">
        <f ca="1">(VLOOKUP(A25, INDIRECT("'"&amp;'Drop Down Inputs'!$A$10&amp;"'!"&amp;" $A:$H"),MATCH('User Inputs'!$C$19, INDIRECT("'"&amp;'Drop Down Inputs'!$A$10&amp;"'!"&amp;"$A$1:$H$1"),0), FALSE))*'User Inputs'!$C$20/100</f>
        <v>500000</v>
      </c>
      <c r="D25" s="4">
        <f ca="1">IF('User Inputs'!$C$23="YES",IF('Entry Prices'!C25-VLOOKUP('Entry Prices'!A25,'Existing Contracts - Entry'!$A:$N,MATCH('User Inputs'!$C$7,'Existing Contracts - Entry'!$A$1:$N$1,0),FALSE)&lt;0,0,'Entry Prices'!C25-VLOOKUP('Entry Prices'!A25,'Existing Contracts - Entry'!$A:$N,MATCH('User Inputs'!$C$7,'Existing Contracts - Entry'!$A$1:$N$1,0),FALSE)),'Entry Prices'!C25)</f>
        <v>500000</v>
      </c>
      <c r="E25" s="89">
        <f ca="1">SUMPRODUCT('Exit Prices'!$C$3:$C$231, INDEX('Distance Matrix'!$C$3:$AC$231, 0,MATCH(A25, 'Distance Matrix'!$C$2:$AC$2, 0))) /SUM('Exit Prices'!$C$3:$C$230)</f>
        <v>257.5278061675042</v>
      </c>
      <c r="F25" s="319">
        <f ca="1">(D25*E25)/SUMPRODUCT($D$3:$D$29,$E$3:$E$29)</f>
        <v>1.4969950396300012E-4</v>
      </c>
      <c r="G25" s="89">
        <f ca="1">F25*'Revenue Input'!$B$5</f>
        <v>6974479.4598829364</v>
      </c>
      <c r="H25" s="145">
        <f ca="1">IF('User Inputs'!$D$4="PS",('Revenue Input'!$B$5/SUM('Entry Prices'!$D$3:$D$29)),IF(ISERR(G25/D25),0,(G25/D25)))</f>
        <v>26.185696365442677</v>
      </c>
      <c r="I25" s="145">
        <f ca="1">((IF(H25&gt;0,H25,VLOOKUP(A25,'Nearest Location Prices'!$E$1:$G$28,3,FALSE))))</f>
        <v>26.185696365442677</v>
      </c>
      <c r="J25" s="256"/>
      <c r="K25" s="326"/>
      <c r="L25" s="256"/>
      <c r="M25" s="145">
        <f ca="1">(IF(B25="STORAGE SITE",((100-'User Inputs'!$C$37)/100)*I25/'User Inputs'!$D$7,(IF(B25="LNG IMPORTATION TERMINAL",((100-'User Inputs'!$C$38)/100)*I25/'User Inputs'!$D$7,(IF(B25="INTERCONNECTION POINT",((100-'User Inputs'!$C$39)/100)*I25/'User Inputs'!$D$7,I25/'User Inputs'!$D$7))))))</f>
        <v>7.1741633877925148E-2</v>
      </c>
      <c r="N25" s="147" t="s">
        <v>428</v>
      </c>
      <c r="O25" s="145">
        <f ca="1">(IF(B25="STORAGE SITE",((100-'User Inputs'!$C$37)/100)* 'User Inputs'!$C$26*'Entry Prices'!I25/'User Inputs'!$D$7, IF(B25="LNG IMPORTATION TERMINAL",((100-'User Inputs'!$C$38)/100)*'User Inputs'!$C$26*'Entry Prices'!I25/'User Inputs'!$D$7,IF(B25="INTERCONNECTION POINT", ((100-'User Inputs'!$C$39)/100)*'User Inputs'!$C$32*'Entry Prices'!I25/'User Inputs'!$D$7, 'User Inputs'!$C$26*'Entry Prices'!I25/'User Inputs'!$D$7))))</f>
        <v>7.1741633877925148E-2</v>
      </c>
      <c r="P25" s="145">
        <f ca="1">(IF(B25="STORAGE SITE",((100-'User Inputs'!$C$37)/100)* 'User Inputs'!$C$27*'Entry Prices'!I25/'User Inputs'!$D$7, IF(B25="LNG IMPORTATION TERMINAL",((100-'User Inputs'!$C$38)/100)*'User Inputs'!$C$27*'Entry Prices'!I25/'User Inputs'!$D$7,IF(B25="INTERCONNECTION POINT",((100-'User Inputs'!$C$39)/100)* 'User Inputs'!$C$33*'Entry Prices'!I25/'User Inputs'!$D$7, 'User Inputs'!$C$27*'Entry Prices'!I25/'User Inputs'!$D$7))))</f>
        <v>7.1741633877925148E-2</v>
      </c>
      <c r="Q25" s="145">
        <f ca="1">(IF(B25="STORAGE SITE",((100-'User Inputs'!$C$37)/100)* 'User Inputs'!$C$28*'Entry Prices'!I25/'User Inputs'!$D$7, IF(B25="LNG IMPORTATION TERMINAL",((100-'User Inputs'!$C$38)/100)*'User Inputs'!$C$28*'Entry Prices'!I25/'User Inputs'!$D$7,IF(B25="INTERCONNECTION POINT", ((100-'User Inputs'!$C$39)/100)*'User Inputs'!$C$34*'Entry Prices'!I25/'User Inputs'!$D$7, 'User Inputs'!$C$28*'Entry Prices'!I25/'User Inputs'!$D$7))))</f>
        <v>7.1741633877925148E-2</v>
      </c>
      <c r="R25" s="145">
        <f ca="1">(100-(VLOOKUP(A25,'Entry Interruption Prob''s'!$A:$E,5,FALSE)))*P25/100</f>
        <v>6.4567470490132631E-2</v>
      </c>
    </row>
    <row r="26" spans="1:18">
      <c r="A26" s="3" t="s">
        <v>21</v>
      </c>
      <c r="B26" s="4" t="str">
        <f>VLOOKUP(A26,'Locations &amp; Types'!$A:$B,2,FALSE)</f>
        <v>BEACH TERMINAL</v>
      </c>
      <c r="C26" s="4">
        <f ca="1">(VLOOKUP(A26, INDIRECT("'"&amp;'Drop Down Inputs'!$A$10&amp;"'!"&amp;" $A:$H"),MATCH('User Inputs'!$C$19, INDIRECT("'"&amp;'Drop Down Inputs'!$A$10&amp;"'!"&amp;"$A$1:$H$1"),0), FALSE))*'User Inputs'!$C$20/100</f>
        <v>786035942.57168889</v>
      </c>
      <c r="D26" s="4">
        <f ca="1">IF('User Inputs'!$C$23="YES",IF('Entry Prices'!C26-VLOOKUP('Entry Prices'!A26,'Existing Contracts - Entry'!$A:$N,MATCH('User Inputs'!$C$7,'Existing Contracts - Entry'!$A$1:$N$1,0),FALSE)&lt;0,0,'Entry Prices'!C26-VLOOKUP('Entry Prices'!A26,'Existing Contracts - Entry'!$A:$N,MATCH('User Inputs'!$C$7,'Existing Contracts - Entry'!$A$1:$N$1,0),FALSE)),'Entry Prices'!C26)</f>
        <v>732305888.58812726</v>
      </c>
      <c r="E26" s="89">
        <f ca="1">SUMPRODUCT('Exit Prices'!$C$3:$C$231, INDEX('Distance Matrix'!$C$3:$AC$231, 0,MATCH(A26, 'Distance Matrix'!$C$2:$AC$2, 0))) /SUM('Exit Prices'!$C$3:$C$230)</f>
        <v>711.74802819171248</v>
      </c>
      <c r="F26" s="319">
        <f t="shared" ca="1" si="0"/>
        <v>0.60596149419215439</v>
      </c>
      <c r="G26" s="89">
        <f ca="1">F26*'Revenue Input'!$B$5</f>
        <v>28231663317.787094</v>
      </c>
      <c r="H26" s="145">
        <f ca="1">IF('User Inputs'!$D$4="PS",('Revenue Input'!$B$5/SUM('Entry Prices'!$D$3:$D$29)),IF(ISERR(G26/D26),0,(G26/D26)))</f>
        <v>26.185696365442677</v>
      </c>
      <c r="I26" s="145">
        <f ca="1">((IF(H26&gt;0,H26,VLOOKUP(A26,'Nearest Location Prices'!$E$1:$G$28,3,FALSE))))</f>
        <v>26.185696365442677</v>
      </c>
      <c r="J26" s="256"/>
      <c r="K26" s="326"/>
      <c r="L26" s="256"/>
      <c r="M26" s="145">
        <f ca="1">(IF(B26="STORAGE SITE",((100-'User Inputs'!$C$37)/100)*I26/'User Inputs'!$D$7,(IF(B26="LNG IMPORTATION TERMINAL",((100-'User Inputs'!$C$38)/100)*I26/'User Inputs'!$D$7,(IF(B26="INTERCONNECTION POINT",((100-'User Inputs'!$C$39)/100)*I26/'User Inputs'!$D$7,I26/'User Inputs'!$D$7))))))</f>
        <v>7.1741633877925148E-2</v>
      </c>
      <c r="N26" s="147" t="s">
        <v>428</v>
      </c>
      <c r="O26" s="145">
        <f ca="1">(IF(B26="STORAGE SITE",((100-'User Inputs'!$C$37)/100)* 'User Inputs'!$C$26*'Entry Prices'!I26/'User Inputs'!$D$7, IF(B26="LNG IMPORTATION TERMINAL",((100-'User Inputs'!$C$38)/100)*'User Inputs'!$C$26*'Entry Prices'!I26/'User Inputs'!$D$7,IF(B26="INTERCONNECTION POINT", ((100-'User Inputs'!$C$39)/100)*'User Inputs'!$C$32*'Entry Prices'!I26/'User Inputs'!$D$7, 'User Inputs'!$C$26*'Entry Prices'!I26/'User Inputs'!$D$7))))</f>
        <v>7.1741633877925148E-2</v>
      </c>
      <c r="P26" s="145">
        <f ca="1">(IF(B26="STORAGE SITE",((100-'User Inputs'!$C$37)/100)* 'User Inputs'!$C$27*'Entry Prices'!I26/'User Inputs'!$D$7, IF(B26="LNG IMPORTATION TERMINAL",((100-'User Inputs'!$C$38)/100)*'User Inputs'!$C$27*'Entry Prices'!I26/'User Inputs'!$D$7,IF(B26="INTERCONNECTION POINT",((100-'User Inputs'!$C$39)/100)* 'User Inputs'!$C$33*'Entry Prices'!I26/'User Inputs'!$D$7, 'User Inputs'!$C$27*'Entry Prices'!I26/'User Inputs'!$D$7))))</f>
        <v>7.1741633877925148E-2</v>
      </c>
      <c r="Q26" s="145">
        <f ca="1">(IF(B26="STORAGE SITE",((100-'User Inputs'!$C$37)/100)* 'User Inputs'!$C$28*'Entry Prices'!I26/'User Inputs'!$D$7, IF(B26="LNG IMPORTATION TERMINAL",((100-'User Inputs'!$C$38)/100)*'User Inputs'!$C$28*'Entry Prices'!I26/'User Inputs'!$D$7,IF(B26="INTERCONNECTION POINT", ((100-'User Inputs'!$C$39)/100)*'User Inputs'!$C$34*'Entry Prices'!I26/'User Inputs'!$D$7, 'User Inputs'!$C$28*'Entry Prices'!I26/'User Inputs'!$D$7))))</f>
        <v>7.1741633877925148E-2</v>
      </c>
      <c r="R26" s="145">
        <f ca="1">(100-(VLOOKUP(A26,'Entry Interruption Prob''s'!$A:$E,5,FALSE)))*P26/100</f>
        <v>6.4567470490132631E-2</v>
      </c>
    </row>
    <row r="27" spans="1:18">
      <c r="A27" s="3" t="s">
        <v>22</v>
      </c>
      <c r="B27" s="4" t="str">
        <f>VLOOKUP(A27,'Locations &amp; Types'!$A:$B,2,FALSE)</f>
        <v>BEACH TERMINAL</v>
      </c>
      <c r="C27" s="4">
        <f ca="1">(VLOOKUP(A27, INDIRECT("'"&amp;'Drop Down Inputs'!$A$10&amp;"'!"&amp;" $A:$H"),MATCH('User Inputs'!$C$19, INDIRECT("'"&amp;'Drop Down Inputs'!$A$10&amp;"'!"&amp;"$A$1:$H$1"),0), FALSE))*'User Inputs'!$C$20/100</f>
        <v>293042284.44999158</v>
      </c>
      <c r="D27" s="4">
        <f ca="1">IF('User Inputs'!$C$23="YES",IF('Entry Prices'!C27-VLOOKUP('Entry Prices'!A27,'Existing Contracts - Entry'!$A:$N,MATCH('User Inputs'!$C$7,'Existing Contracts - Entry'!$A$1:$N$1,0),FALSE)&lt;0,0,'Entry Prices'!C27-VLOOKUP('Entry Prices'!A27,'Existing Contracts - Entry'!$A:$N,MATCH('User Inputs'!$C$7,'Existing Contracts - Entry'!$A$1:$N$1,0),FALSE)),'Entry Prices'!C27)</f>
        <v>241122208.49108747</v>
      </c>
      <c r="E27" s="89">
        <f ca="1">SUMPRODUCT('Exit Prices'!$C$3:$C$231, INDEX('Distance Matrix'!$C$3:$AC$231, 0,MATCH(A27, 'Distance Matrix'!$C$2:$AC$2, 0))) /SUM('Exit Prices'!$C$3:$C$230)</f>
        <v>352.81069772838111</v>
      </c>
      <c r="F27" s="319">
        <f t="shared" ca="1" si="0"/>
        <v>9.8902025651952066E-2</v>
      </c>
      <c r="G27" s="89">
        <f ca="1">F27*'Revenue Input'!$B$5</f>
        <v>4607831877.791955</v>
      </c>
      <c r="H27" s="145">
        <f ca="1">IF('User Inputs'!$D$4="PS",('Revenue Input'!$B$5/SUM('Entry Prices'!$D$3:$D$29)),IF(ISERR(G27/D27),0,(G27/D27)))</f>
        <v>26.185696365442677</v>
      </c>
      <c r="I27" s="145">
        <f ca="1">((IF(H27&gt;0,H27,VLOOKUP(A27,'Nearest Location Prices'!$E$1:$G$28,3,FALSE))))</f>
        <v>26.185696365442677</v>
      </c>
      <c r="J27" s="256"/>
      <c r="K27" s="326"/>
      <c r="L27" s="256"/>
      <c r="M27" s="145">
        <f ca="1">(IF(B27="STORAGE SITE",((100-'User Inputs'!$C$37)/100)*I27/'User Inputs'!$D$7,(IF(B27="LNG IMPORTATION TERMINAL",((100-'User Inputs'!$C$38)/100)*I27/'User Inputs'!$D$7,(IF(B27="INTERCONNECTION POINT",((100-'User Inputs'!$C$39)/100)*I27/'User Inputs'!$D$7,I27/'User Inputs'!$D$7))))))</f>
        <v>7.1741633877925148E-2</v>
      </c>
      <c r="N27" s="147" t="s">
        <v>428</v>
      </c>
      <c r="O27" s="145">
        <f ca="1">(IF(B27="STORAGE SITE",((100-'User Inputs'!$C$37)/100)* 'User Inputs'!$C$26*'Entry Prices'!I27/'User Inputs'!$D$7, IF(B27="LNG IMPORTATION TERMINAL",((100-'User Inputs'!$C$38)/100)*'User Inputs'!$C$26*'Entry Prices'!I27/'User Inputs'!$D$7,IF(B27="INTERCONNECTION POINT", ((100-'User Inputs'!$C$39)/100)*'User Inputs'!$C$32*'Entry Prices'!I27/'User Inputs'!$D$7, 'User Inputs'!$C$26*'Entry Prices'!I27/'User Inputs'!$D$7))))</f>
        <v>7.1741633877925148E-2</v>
      </c>
      <c r="P27" s="145">
        <f ca="1">(IF(B27="STORAGE SITE",((100-'User Inputs'!$C$37)/100)* 'User Inputs'!$C$27*'Entry Prices'!I27/'User Inputs'!$D$7, IF(B27="LNG IMPORTATION TERMINAL",((100-'User Inputs'!$C$38)/100)*'User Inputs'!$C$27*'Entry Prices'!I27/'User Inputs'!$D$7,IF(B27="INTERCONNECTION POINT",((100-'User Inputs'!$C$39)/100)* 'User Inputs'!$C$33*'Entry Prices'!I27/'User Inputs'!$D$7, 'User Inputs'!$C$27*'Entry Prices'!I27/'User Inputs'!$D$7))))</f>
        <v>7.1741633877925148E-2</v>
      </c>
      <c r="Q27" s="145">
        <f ca="1">(IF(B27="STORAGE SITE",((100-'User Inputs'!$C$37)/100)* 'User Inputs'!$C$28*'Entry Prices'!I27/'User Inputs'!$D$7, IF(B27="LNG IMPORTATION TERMINAL",((100-'User Inputs'!$C$38)/100)*'User Inputs'!$C$28*'Entry Prices'!I27/'User Inputs'!$D$7,IF(B27="INTERCONNECTION POINT", ((100-'User Inputs'!$C$39)/100)*'User Inputs'!$C$34*'Entry Prices'!I27/'User Inputs'!$D$7, 'User Inputs'!$C$28*'Entry Prices'!I27/'User Inputs'!$D$7))))</f>
        <v>7.1741633877925148E-2</v>
      </c>
      <c r="R27" s="145">
        <f ca="1">(100-(VLOOKUP(A27,'Entry Interruption Prob''s'!$A:$E,5,FALSE)))*P27/100</f>
        <v>6.4567470490132631E-2</v>
      </c>
    </row>
    <row r="28" spans="1:18">
      <c r="A28" s="3" t="s">
        <v>23</v>
      </c>
      <c r="B28" s="4" t="str">
        <f>VLOOKUP(A28,'Locations &amp; Types'!$A:$B,2,FALSE)</f>
        <v>BEACH TERMINAL</v>
      </c>
      <c r="C28" s="4">
        <f ca="1">(VLOOKUP(A28, INDIRECT("'"&amp;'Drop Down Inputs'!$A$10&amp;"'!"&amp;" $A:$H"),MATCH('User Inputs'!$C$19, INDIRECT("'"&amp;'Drop Down Inputs'!$A$10&amp;"'!"&amp;"$A$1:$H$1"),0), FALSE))*'User Inputs'!$C$20/100</f>
        <v>10723835.616438357</v>
      </c>
      <c r="D28" s="4">
        <f ca="1">IF('User Inputs'!$C$23="YES",IF('Entry Prices'!C28-VLOOKUP('Entry Prices'!A28,'Existing Contracts - Entry'!$A:$N,MATCH('User Inputs'!$C$7,'Existing Contracts - Entry'!$A$1:$N$1,0),FALSE)&lt;0,0,'Entry Prices'!C28-VLOOKUP('Entry Prices'!A28,'Existing Contracts - Entry'!$A:$N,MATCH('User Inputs'!$C$7,'Existing Contracts - Entry'!$A$1:$N$1,0),FALSE)),'Entry Prices'!C28)</f>
        <v>10723835.616438357</v>
      </c>
      <c r="E28" s="89">
        <f ca="1">SUMPRODUCT('Exit Prices'!$C$3:$C$231, INDEX('Distance Matrix'!$C$3:$AC$231, 0,MATCH(A28, 'Distance Matrix'!$C$2:$AC$2, 0))) /SUM('Exit Prices'!$C$3:$C$230)</f>
        <v>285.47767137493918</v>
      </c>
      <c r="F28" s="319">
        <f t="shared" ca="1" si="0"/>
        <v>3.5591682821136976E-3</v>
      </c>
      <c r="G28" s="89">
        <f ca="1">F28*'Revenue Input'!$B$5</f>
        <v>165821164.53775415</v>
      </c>
      <c r="H28" s="145">
        <f ca="1">IF('User Inputs'!$D$4="PS",('Revenue Input'!$B$5/SUM('Entry Prices'!$D$3:$D$29)),IF(ISERR(G28/D28),0,(G28/D28)))</f>
        <v>26.185696365442677</v>
      </c>
      <c r="I28" s="145">
        <f ca="1">((IF(H28&gt;0,H28,VLOOKUP(A28,'Nearest Location Prices'!$E$1:$G$28,3,FALSE))))</f>
        <v>26.185696365442677</v>
      </c>
      <c r="J28" s="256"/>
      <c r="K28" s="326"/>
      <c r="L28" s="256"/>
      <c r="M28" s="145">
        <f ca="1">(IF(B28="STORAGE SITE",((100-'User Inputs'!$C$37)/100)*I28/'User Inputs'!$D$7,(IF(B28="LNG IMPORTATION TERMINAL",((100-'User Inputs'!$C$38)/100)*I28/'User Inputs'!$D$7,(IF(B28="INTERCONNECTION POINT",((100-'User Inputs'!$C$39)/100)*I28/'User Inputs'!$D$7,I28/'User Inputs'!$D$7))))))</f>
        <v>7.1741633877925148E-2</v>
      </c>
      <c r="N28" s="147" t="s">
        <v>428</v>
      </c>
      <c r="O28" s="145">
        <f ca="1">(IF(B28="STORAGE SITE",((100-'User Inputs'!$C$37)/100)* 'User Inputs'!$C$26*'Entry Prices'!I28/'User Inputs'!$D$7, IF(B28="LNG IMPORTATION TERMINAL",((100-'User Inputs'!$C$38)/100)*'User Inputs'!$C$26*'Entry Prices'!I28/'User Inputs'!$D$7,IF(B28="INTERCONNECTION POINT", ((100-'User Inputs'!$C$39)/100)*'User Inputs'!$C$32*'Entry Prices'!I28/'User Inputs'!$D$7, 'User Inputs'!$C$26*'Entry Prices'!I28/'User Inputs'!$D$7))))</f>
        <v>7.1741633877925148E-2</v>
      </c>
      <c r="P28" s="145">
        <f ca="1">(IF(B28="STORAGE SITE",((100-'User Inputs'!$C$37)/100)* 'User Inputs'!$C$27*'Entry Prices'!I28/'User Inputs'!$D$7, IF(B28="LNG IMPORTATION TERMINAL",((100-'User Inputs'!$C$38)/100)*'User Inputs'!$C$27*'Entry Prices'!I28/'User Inputs'!$D$7,IF(B28="INTERCONNECTION POINT",((100-'User Inputs'!$C$39)/100)* 'User Inputs'!$C$33*'Entry Prices'!I28/'User Inputs'!$D$7, 'User Inputs'!$C$27*'Entry Prices'!I28/'User Inputs'!$D$7))))</f>
        <v>7.1741633877925148E-2</v>
      </c>
      <c r="Q28" s="145">
        <f ca="1">(IF(B28="STORAGE SITE",((100-'User Inputs'!$C$37)/100)* 'User Inputs'!$C$28*'Entry Prices'!I28/'User Inputs'!$D$7, IF(B28="LNG IMPORTATION TERMINAL",((100-'User Inputs'!$C$38)/100)*'User Inputs'!$C$28*'Entry Prices'!I28/'User Inputs'!$D$7,IF(B28="INTERCONNECTION POINT", ((100-'User Inputs'!$C$39)/100)*'User Inputs'!$C$34*'Entry Prices'!I28/'User Inputs'!$D$7, 'User Inputs'!$C$28*'Entry Prices'!I28/'User Inputs'!$D$7))))</f>
        <v>7.1741633877925148E-2</v>
      </c>
      <c r="R28" s="145">
        <f ca="1">(100-(VLOOKUP(A28,'Entry Interruption Prob''s'!$A:$E,5,FALSE)))*P28/100</f>
        <v>6.4567470490132631E-2</v>
      </c>
    </row>
    <row r="29" spans="1:18">
      <c r="A29" s="3" t="s">
        <v>24</v>
      </c>
      <c r="B29" s="4" t="str">
        <f>VLOOKUP(A29,'Locations &amp; Types'!$A:$B,2,FALSE)</f>
        <v>ONSHORE FIELD</v>
      </c>
      <c r="C29" s="4">
        <f ca="1">(VLOOKUP(A29, INDIRECT("'"&amp;'Drop Down Inputs'!$A$10&amp;"'!"&amp;" $A:$H"),MATCH('User Inputs'!$C$19, INDIRECT("'"&amp;'Drop Down Inputs'!$A$10&amp;"'!"&amp;"$A$1:$H$1"),0), FALSE))*'User Inputs'!$C$20/100</f>
        <v>0</v>
      </c>
      <c r="D29" s="4">
        <f ca="1">IF('User Inputs'!$C$23="YES",IF('Entry Prices'!C29-VLOOKUP('Entry Prices'!A29,'Existing Contracts - Entry'!$A:$N,MATCH('User Inputs'!$C$7,'Existing Contracts - Entry'!$A$1:$N$1,0),FALSE)&lt;0,0,'Entry Prices'!C29-VLOOKUP('Entry Prices'!A29,'Existing Contracts - Entry'!$A:$N,MATCH('User Inputs'!$C$7,'Existing Contracts - Entry'!$A$1:$N$1,0),FALSE)),'Entry Prices'!C29)</f>
        <v>0</v>
      </c>
      <c r="E29" s="89">
        <f ca="1">SUMPRODUCT('Exit Prices'!$C$3:$C$231, INDEX('Distance Matrix'!$C$3:$AC$231, 0,MATCH(A29, 'Distance Matrix'!$C$2:$AC$2, 0))) /SUM('Exit Prices'!$C$3:$C$230)</f>
        <v>414.33248784593474</v>
      </c>
      <c r="F29" s="319">
        <f t="shared" ca="1" si="0"/>
        <v>0</v>
      </c>
      <c r="G29" s="89">
        <f ca="1">F29*'Revenue Input'!$B$5</f>
        <v>0</v>
      </c>
      <c r="H29" s="145">
        <f ca="1">IF('User Inputs'!$D$4="PS",('Revenue Input'!$B$5/SUM('Entry Prices'!$D$3:$D$29)),IF(ISERR(G29/D29),0,(G29/D29)))</f>
        <v>26.185696365442677</v>
      </c>
      <c r="I29" s="145">
        <f ca="1">((IF(H29&gt;0,H29,VLOOKUP(A29,'Nearest Location Prices'!$E$1:$G$28,3,FALSE))))</f>
        <v>26.185696365442677</v>
      </c>
      <c r="J29" s="256"/>
      <c r="K29" s="326"/>
      <c r="L29" s="256"/>
      <c r="M29" s="145">
        <f ca="1">(IF(B29="STORAGE SITE",((100-'User Inputs'!$C$37)/100)*I29/'User Inputs'!$D$7,(IF(B29="LNG IMPORTATION TERMINAL",((100-'User Inputs'!$C$38)/100)*I29/'User Inputs'!$D$7,(IF(B29="INTERCONNECTION POINT",((100-'User Inputs'!$C$39)/100)*I29/'User Inputs'!$D$7,I29/'User Inputs'!$D$7))))))</f>
        <v>7.1741633877925148E-2</v>
      </c>
      <c r="N29" s="147" t="s">
        <v>428</v>
      </c>
      <c r="O29" s="145">
        <f ca="1">(IF(B29="STORAGE SITE",((100-'User Inputs'!$C$37)/100)* 'User Inputs'!$C$26*'Entry Prices'!I29/'User Inputs'!$D$7, IF(B29="LNG IMPORTATION TERMINAL",((100-'User Inputs'!$C$38)/100)*'User Inputs'!$C$26*'Entry Prices'!I29/'User Inputs'!$D$7,IF(B29="INTERCONNECTION POINT", ((100-'User Inputs'!$C$39)/100)*'User Inputs'!$C$32*'Entry Prices'!I29/'User Inputs'!$D$7, 'User Inputs'!$C$26*'Entry Prices'!I29/'User Inputs'!$D$7))))</f>
        <v>7.1741633877925148E-2</v>
      </c>
      <c r="P29" s="145">
        <f ca="1">(IF(B29="STORAGE SITE",((100-'User Inputs'!$C$37)/100)* 'User Inputs'!$C$27*'Entry Prices'!I29/'User Inputs'!$D$7, IF(B29="LNG IMPORTATION TERMINAL",((100-'User Inputs'!$C$38)/100)*'User Inputs'!$C$27*'Entry Prices'!I29/'User Inputs'!$D$7,IF(B29="INTERCONNECTION POINT",((100-'User Inputs'!$C$39)/100)* 'User Inputs'!$C$33*'Entry Prices'!I29/'User Inputs'!$D$7, 'User Inputs'!$C$27*'Entry Prices'!I29/'User Inputs'!$D$7))))</f>
        <v>7.1741633877925148E-2</v>
      </c>
      <c r="Q29" s="145">
        <f ca="1">(IF(B29="STORAGE SITE",((100-'User Inputs'!$C$37)/100)* 'User Inputs'!$C$28*'Entry Prices'!I29/'User Inputs'!$D$7, IF(B29="LNG IMPORTATION TERMINAL",((100-'User Inputs'!$C$38)/100)*'User Inputs'!$C$28*'Entry Prices'!I29/'User Inputs'!$D$7,IF(B29="INTERCONNECTION POINT", ((100-'User Inputs'!$C$39)/100)*'User Inputs'!$C$34*'Entry Prices'!I29/'User Inputs'!$D$7, 'User Inputs'!$C$28*'Entry Prices'!I29/'User Inputs'!$D$7))))</f>
        <v>7.1741633877925148E-2</v>
      </c>
      <c r="R29" s="145">
        <f ca="1">(100-(VLOOKUP(A29,'Entry Interruption Prob''s'!$A:$E,5,FALSE)))*P29/100</f>
        <v>6.4567470490132631E-2</v>
      </c>
    </row>
    <row r="31" spans="1:18">
      <c r="C31" s="164"/>
      <c r="D31" s="164"/>
      <c r="E31" s="6"/>
      <c r="F31" s="149"/>
      <c r="G31" s="173"/>
      <c r="J31" s="172"/>
      <c r="L31" s="172"/>
    </row>
    <row r="32" spans="1:18">
      <c r="C32" s="164"/>
      <c r="D32" s="164"/>
      <c r="E32" s="6"/>
      <c r="F32" s="149"/>
      <c r="G32" s="173"/>
      <c r="J32" s="172"/>
      <c r="L32" s="172"/>
    </row>
    <row r="33" spans="5:12">
      <c r="E33" s="6"/>
      <c r="F33" s="149"/>
      <c r="G33" s="173"/>
      <c r="J33" s="172"/>
      <c r="L33" s="172"/>
    </row>
    <row r="34" spans="5:12">
      <c r="E34" s="6"/>
      <c r="F34" s="149"/>
      <c r="G34" s="173"/>
      <c r="J34" s="172"/>
      <c r="L34" s="172"/>
    </row>
    <row r="35" spans="5:12">
      <c r="E35" s="6"/>
      <c r="F35" s="149"/>
      <c r="G35" s="173"/>
      <c r="J35" s="172"/>
      <c r="L35" s="172"/>
    </row>
    <row r="36" spans="5:12">
      <c r="E36" s="6"/>
      <c r="F36" s="149"/>
      <c r="G36" s="173"/>
      <c r="J36" s="172"/>
      <c r="L36" s="172"/>
    </row>
    <row r="37" spans="5:12">
      <c r="E37" s="6"/>
      <c r="F37" s="149"/>
      <c r="G37" s="173"/>
      <c r="J37" s="172"/>
      <c r="L37" s="172"/>
    </row>
    <row r="38" spans="5:12">
      <c r="E38" s="6"/>
      <c r="F38" s="149"/>
      <c r="G38" s="173"/>
      <c r="J38" s="172"/>
      <c r="L38" s="172"/>
    </row>
    <row r="39" spans="5:12">
      <c r="E39" s="6"/>
      <c r="F39" s="149"/>
      <c r="G39" s="173"/>
      <c r="J39" s="172"/>
      <c r="L39" s="172"/>
    </row>
    <row r="40" spans="5:12">
      <c r="E40" s="6"/>
      <c r="F40" s="149"/>
      <c r="G40" s="173"/>
      <c r="J40" s="172"/>
      <c r="L40" s="172"/>
    </row>
    <row r="41" spans="5:12">
      <c r="E41" s="6"/>
      <c r="F41" s="149"/>
      <c r="G41" s="173"/>
      <c r="J41" s="172"/>
      <c r="L41" s="172"/>
    </row>
    <row r="42" spans="5:12">
      <c r="E42" s="6"/>
      <c r="F42" s="149"/>
      <c r="G42" s="173"/>
      <c r="J42" s="172"/>
      <c r="L42" s="172"/>
    </row>
    <row r="43" spans="5:12">
      <c r="E43" s="6"/>
      <c r="F43" s="149"/>
      <c r="G43" s="173"/>
      <c r="J43" s="172"/>
      <c r="L43" s="172"/>
    </row>
    <row r="44" spans="5:12">
      <c r="E44" s="6"/>
      <c r="F44" s="149"/>
      <c r="G44" s="173"/>
      <c r="J44" s="172"/>
      <c r="L44" s="172"/>
    </row>
    <row r="45" spans="5:12">
      <c r="E45" s="6"/>
      <c r="F45" s="149"/>
      <c r="G45" s="173"/>
      <c r="J45" s="172"/>
      <c r="L45" s="172"/>
    </row>
    <row r="46" spans="5:12">
      <c r="E46" s="6"/>
      <c r="F46" s="149"/>
      <c r="G46" s="173"/>
      <c r="J46" s="172"/>
      <c r="L46" s="172"/>
    </row>
    <row r="47" spans="5:12">
      <c r="E47" s="6"/>
      <c r="F47" s="149"/>
      <c r="G47" s="173"/>
      <c r="J47" s="172"/>
      <c r="L47" s="172"/>
    </row>
    <row r="48" spans="5:12">
      <c r="E48" s="6"/>
      <c r="F48" s="149"/>
      <c r="G48" s="173"/>
      <c r="J48" s="172"/>
      <c r="L48" s="172"/>
    </row>
    <row r="49" spans="5:12">
      <c r="E49" s="6"/>
      <c r="F49" s="149"/>
      <c r="G49" s="173"/>
      <c r="J49" s="172"/>
      <c r="L49" s="172"/>
    </row>
    <row r="50" spans="5:12">
      <c r="E50" s="6"/>
      <c r="F50" s="149"/>
      <c r="G50" s="173"/>
      <c r="J50" s="172"/>
      <c r="L50" s="172"/>
    </row>
    <row r="51" spans="5:12">
      <c r="E51" s="6"/>
      <c r="F51" s="149"/>
      <c r="G51" s="173"/>
      <c r="J51" s="172"/>
      <c r="L51" s="172"/>
    </row>
    <row r="52" spans="5:12">
      <c r="E52" s="6"/>
      <c r="F52" s="149"/>
      <c r="G52" s="173"/>
      <c r="J52" s="172"/>
      <c r="L52" s="172"/>
    </row>
    <row r="53" spans="5:12">
      <c r="E53" s="6"/>
      <c r="F53" s="149"/>
      <c r="G53" s="173"/>
      <c r="J53" s="172"/>
      <c r="L53" s="172"/>
    </row>
    <row r="54" spans="5:12">
      <c r="E54" s="6"/>
      <c r="F54" s="149"/>
      <c r="G54" s="173"/>
      <c r="J54" s="172"/>
      <c r="L54" s="172"/>
    </row>
    <row r="55" spans="5:12">
      <c r="E55" s="6"/>
      <c r="F55" s="149"/>
      <c r="G55" s="173"/>
      <c r="J55" s="172"/>
      <c r="L55" s="172"/>
    </row>
    <row r="56" spans="5:12">
      <c r="E56" s="6"/>
      <c r="F56" s="149"/>
      <c r="G56" s="173"/>
      <c r="J56" s="172"/>
      <c r="L56" s="172"/>
    </row>
    <row r="57" spans="5:12">
      <c r="J57" s="172"/>
      <c r="L57" s="172"/>
    </row>
    <row r="58" spans="5:12">
      <c r="J58" s="172"/>
      <c r="L58" s="172"/>
    </row>
    <row r="59" spans="5:12">
      <c r="J59" s="172"/>
      <c r="L59" s="172"/>
    </row>
    <row r="60" spans="5:12">
      <c r="J60" s="172"/>
      <c r="L60" s="172"/>
    </row>
    <row r="61" spans="5:12">
      <c r="J61" s="172"/>
      <c r="L61" s="172"/>
    </row>
    <row r="62" spans="5:12">
      <c r="J62" s="172"/>
      <c r="L62" s="172"/>
    </row>
    <row r="63" spans="5:12">
      <c r="J63" s="172"/>
      <c r="L63" s="172"/>
    </row>
  </sheetData>
  <conditionalFormatting sqref="I3:I29">
    <cfRule type="cellIs" dxfId="23" priority="9" operator="equal">
      <formula>0</formula>
    </cfRule>
  </conditionalFormatting>
  <conditionalFormatting sqref="N4 M3:M29 O3:Q29">
    <cfRule type="cellIs" dxfId="22" priority="7" operator="equal">
      <formula>0</formula>
    </cfRule>
  </conditionalFormatting>
  <conditionalFormatting sqref="R3:R29">
    <cfRule type="cellIs" dxfId="21" priority="6" operator="equal">
      <formula>0</formula>
    </cfRule>
  </conditionalFormatting>
  <conditionalFormatting sqref="H3:H29">
    <cfRule type="cellIs" dxfId="20"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10" r:id="rId4" name="Button 2">
              <controlPr defaultSize="0" print="0" autoFill="0" autoPict="0" macro="[0]!UserInputSelect">
                <anchor moveWithCells="1" sizeWithCells="1">
                  <from>
                    <xdr:col>9</xdr:col>
                    <xdr:colOff>647700</xdr:colOff>
                    <xdr:row>3</xdr:row>
                    <xdr:rowOff>38100</xdr:rowOff>
                  </from>
                  <to>
                    <xdr:col>10</xdr:col>
                    <xdr:colOff>714375</xdr:colOff>
                    <xdr:row>7</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0E1D46D8-C9BA-4C5D-A87A-C27C986A72BC}">
            <xm:f>'User Inputs'!$D$4="PS"</xm:f>
            <x14:dxf>
              <font>
                <color theme="0" tint="-0.14996795556505021"/>
              </font>
              <fill>
                <patternFill patternType="none">
                  <bgColor auto="1"/>
                </patternFill>
              </fill>
            </x14:dxf>
          </x14:cfRule>
          <xm:sqref>E3:G29</xm:sqref>
        </x14:conditionalFormatting>
        <x14:conditionalFormatting xmlns:xm="http://schemas.microsoft.com/office/excel/2006/main">
          <x14:cfRule type="expression" priority="2" id="{BE7D65BB-0348-4231-84AC-15F2BB53BA46}">
            <xm:f>'User Inputs'!$D$4="PS"</xm:f>
            <x14:dxf>
              <font>
                <color theme="0" tint="-0.14996795556505021"/>
              </font>
              <fill>
                <patternFill>
                  <bgColor theme="7" tint="0.79998168889431442"/>
                </patternFill>
              </fill>
            </x14:dxf>
          </x14:cfRule>
          <xm:sqref>E2:G2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tabColor theme="7" tint="0.59999389629810485"/>
  </sheetPr>
  <dimension ref="A1:Q233"/>
  <sheetViews>
    <sheetView workbookViewId="0">
      <pane xSplit="1" topLeftCell="B1" activePane="topRight" state="frozen"/>
      <selection activeCell="Z35" sqref="Z35"/>
      <selection pane="topRight" activeCell="L17" sqref="L17"/>
    </sheetView>
  </sheetViews>
  <sheetFormatPr defaultColWidth="8.85546875" defaultRowHeight="15"/>
  <cols>
    <col min="1" max="1" width="57" bestFit="1" customWidth="1"/>
    <col min="2" max="2" width="57" style="13" customWidth="1"/>
    <col min="3" max="3" width="32" customWidth="1"/>
    <col min="4" max="4" width="30.42578125" style="6" customWidth="1"/>
    <col min="5" max="5" width="34.42578125" style="149" bestFit="1" customWidth="1"/>
    <col min="6" max="6" width="32.42578125" style="6" customWidth="1"/>
    <col min="7" max="8" width="32.42578125" customWidth="1"/>
    <col min="9" max="9" width="16.7109375" customWidth="1"/>
    <col min="10" max="10" width="13.85546875" customWidth="1"/>
    <col min="11" max="11" width="16.7109375" customWidth="1"/>
    <col min="12" max="12" width="18.42578125" customWidth="1"/>
    <col min="13" max="13" width="18" customWidth="1"/>
    <col min="14" max="14" width="22.85546875" customWidth="1"/>
    <col min="15" max="15" width="19.42578125" customWidth="1"/>
    <col min="16" max="16" width="17.42578125" customWidth="1"/>
    <col min="17" max="17" width="20" customWidth="1"/>
  </cols>
  <sheetData>
    <row r="1" spans="1:17">
      <c r="L1" s="177" t="s">
        <v>433</v>
      </c>
      <c r="M1" s="177" t="s">
        <v>428</v>
      </c>
      <c r="N1" s="177" t="s">
        <v>428</v>
      </c>
      <c r="O1" s="177" t="s">
        <v>434</v>
      </c>
      <c r="P1" s="177" t="s">
        <v>428</v>
      </c>
      <c r="Q1" s="177" t="s">
        <v>435</v>
      </c>
    </row>
    <row r="2" spans="1:17" s="34" customFormat="1" ht="63.75">
      <c r="A2" s="328" t="s">
        <v>244</v>
      </c>
      <c r="B2" s="328" t="s">
        <v>329</v>
      </c>
      <c r="C2" s="329" t="s">
        <v>248</v>
      </c>
      <c r="D2" s="330" t="s">
        <v>245</v>
      </c>
      <c r="E2" s="331" t="s">
        <v>247</v>
      </c>
      <c r="F2" s="330" t="s">
        <v>256</v>
      </c>
      <c r="G2" s="329" t="s">
        <v>254</v>
      </c>
      <c r="H2" s="329" t="s">
        <v>388</v>
      </c>
      <c r="J2" s="329" t="s">
        <v>330</v>
      </c>
      <c r="L2" s="36" t="s">
        <v>324</v>
      </c>
      <c r="M2" s="36" t="s">
        <v>325</v>
      </c>
      <c r="N2" s="36" t="s">
        <v>326</v>
      </c>
      <c r="O2" s="36" t="s">
        <v>328</v>
      </c>
      <c r="P2" s="36" t="s">
        <v>327</v>
      </c>
      <c r="Q2" s="70" t="s">
        <v>374</v>
      </c>
    </row>
    <row r="3" spans="1:17">
      <c r="A3" s="2" t="s">
        <v>26</v>
      </c>
      <c r="B3" s="12" t="str">
        <f>VLOOKUP(A3,'Locations &amp; Types'!$E:$I,5,FALSE)</f>
        <v>DNO</v>
      </c>
      <c r="C3" s="39">
        <f ca="1">(VLOOKUP(A3, INDIRECT("'"&amp;'Drop Down Inputs'!$B$10&amp;"'!"&amp;" $A:$H"),MATCH('User Inputs'!$D$19, INDIRECT("'"&amp;'Drop Down Inputs'!$B$10&amp;"'!"&amp;"$A$1:$H$1"),0), FALSE))*'User Inputs'!$D$20/100</f>
        <v>21639348</v>
      </c>
      <c r="D3" s="146">
        <f t="array" aca="1" ref="D3" ca="1">SUMPRODUCT('Entry Prices'!$C$3:$C$29, TRANSPOSE(INDEX('Distance Matrix'!$C$3:$AC$231,MATCH(A3,'Distance Matrix'!$B$3:$B$231,0),0)) /SUM('Entry Prices'!$C$3:$C$29))</f>
        <v>611.69258898715725</v>
      </c>
      <c r="E3" s="145">
        <f t="shared" ref="E3:E66" ca="1" si="0">(C3*D3)/SUMPRODUCT($C$3:$C$231,$D$3:$D$231)</f>
        <v>5.0694401047336694E-3</v>
      </c>
      <c r="F3" s="39">
        <f ca="1">E3*'Revenue Input'!$B$6</f>
        <v>238200494.66733453</v>
      </c>
      <c r="G3" s="148">
        <f ca="1">IF('User Inputs'!$D$4="PS",('Revenue Input'!$B$6/SUM($C$3:$C$231)),IF(ISERR(F3/C3),0,(F3/C3)))</f>
        <v>7.2344179438402385</v>
      </c>
      <c r="H3" s="148">
        <f ca="1">((IF(G3&gt;0,G3,VLOOKUP(A3,'Nearest Location Prices'!$M$1:$O$231,3,FALSE))))</f>
        <v>7.2344179438402385</v>
      </c>
      <c r="I3" s="171"/>
      <c r="K3" s="171"/>
      <c r="L3" s="145">
        <f ca="1">(IF(B3="STORAGE SITE",((100-'User Inputs'!$D$37)/100)*H3/'User Inputs'!$D$7,(IF(B3="INTERCONNECTOR",((100-'User Inputs'!$D$39)/100)*H3/'User Inputs'!$D$7,H3/'User Inputs'!$D$7))))</f>
        <v>1.9820323133808871E-2</v>
      </c>
      <c r="M3" s="147" t="s">
        <v>428</v>
      </c>
      <c r="N3" s="147" t="s">
        <v>428</v>
      </c>
      <c r="O3" s="145">
        <f ca="1">(IF(B3="STORAGE SITE",((100-'User Inputs'!$D$37)/100)* 'User Inputs'!$D$27*'Exit Prices'!H3/'User Inputs'!$D$7, IF(B3="INTERCONNECTOR", ((100-'User Inputs'!$D$39)/100)*'User Inputs'!$D$33*'Exit Prices'!H3/'User Inputs'!$D$7,  'User Inputs'!$D$27*'Exit Prices'!H3/'User Inputs'!$D$7)))</f>
        <v>1.9820323133808871E-2</v>
      </c>
      <c r="P3" s="147" t="s">
        <v>428</v>
      </c>
      <c r="Q3" s="145">
        <f ca="1">(100-(VLOOKUP(A3,'Exit Interruption Prob''s'!$A:$E,5,FALSE)))*O3/100</f>
        <v>1.7838290820427986E-2</v>
      </c>
    </row>
    <row r="4" spans="1:17">
      <c r="A4" s="2" t="s">
        <v>27</v>
      </c>
      <c r="B4" s="12" t="str">
        <f>VLOOKUP(A4,'Locations &amp; Types'!$E:$I,5,FALSE)</f>
        <v>POWER STATION</v>
      </c>
      <c r="C4" s="39">
        <f ca="1">(VLOOKUP(A4, INDIRECT("'"&amp;'Drop Down Inputs'!$B$10&amp;"'!"&amp;" $A:$H"),MATCH('User Inputs'!$D$19, INDIRECT("'"&amp;'Drop Down Inputs'!$B$10&amp;"'!"&amp;"$A$1:$H$1"),0), FALSE))*'User Inputs'!$D$20/100</f>
        <v>27992295.175342463</v>
      </c>
      <c r="D4" s="146">
        <f t="array" aca="1" ref="D4" ca="1">SUMPRODUCT('Entry Prices'!$C$3:$C$29, TRANSPOSE(INDEX('Distance Matrix'!$C$3:$AC$231,MATCH(A4,'Distance Matrix'!$B$3:$B$231,0),0)) /SUM('Entry Prices'!$C$3:$C$29))</f>
        <v>443.75833355055681</v>
      </c>
      <c r="E4" s="145">
        <f t="shared" ca="1" si="0"/>
        <v>4.7573777523635388E-3</v>
      </c>
      <c r="F4" s="39">
        <f ca="1">E4*'Revenue Input'!$B$6</f>
        <v>223537453.94372341</v>
      </c>
      <c r="G4" s="148">
        <f ca="1">IF('User Inputs'!$D$4="PS",('Revenue Input'!$B$6/SUM($C$3:$C$231)),IF(ISERR(F4/C4),0,(F4/C4)))</f>
        <v>7.2344179438402385</v>
      </c>
      <c r="H4" s="148">
        <f ca="1">((IF(G4&gt;0,G4,VLOOKUP(A4,'Nearest Location Prices'!$M$1:$O$231,3,FALSE))))</f>
        <v>7.2344179438402385</v>
      </c>
      <c r="I4" s="171"/>
      <c r="K4" s="171"/>
      <c r="L4" s="145">
        <f ca="1">(IF(B4="STORAGE SITE",((100-'User Inputs'!$D$37)/100)*H4/'User Inputs'!$D$7,(IF(B4="INTERCONNECTOR",((100-'User Inputs'!$D$39)/100)*H4/'User Inputs'!$D$7,H4/'User Inputs'!$D$7))))</f>
        <v>1.9820323133808871E-2</v>
      </c>
      <c r="M4" s="147" t="s">
        <v>428</v>
      </c>
      <c r="N4" s="147" t="s">
        <v>428</v>
      </c>
      <c r="O4" s="145">
        <f ca="1">(IF(B4="STORAGE SITE",((100-'User Inputs'!$D$37)/100)* 'User Inputs'!$D$27*'Exit Prices'!H4/'User Inputs'!$D$7, IF(B4="INTERCONNECTOR", ((100-'User Inputs'!$D$39)/100)*'User Inputs'!$D$33*'Exit Prices'!H4/'User Inputs'!$D$7,  'User Inputs'!$D$27*'Exit Prices'!H4/'User Inputs'!$D$7)))</f>
        <v>1.9820323133808871E-2</v>
      </c>
      <c r="P4" s="147" t="s">
        <v>428</v>
      </c>
      <c r="Q4" s="145">
        <f ca="1">(100-(VLOOKUP(A4,'Exit Interruption Prob''s'!$A:$E,5,FALSE)))*O4/100</f>
        <v>1.7838290820427986E-2</v>
      </c>
    </row>
    <row r="5" spans="1:17">
      <c r="A5" s="2" t="s">
        <v>28</v>
      </c>
      <c r="B5" s="12" t="str">
        <f>VLOOKUP(A5,'Locations &amp; Types'!$E:$I,5,FALSE)</f>
        <v>DNO</v>
      </c>
      <c r="C5" s="39">
        <f ca="1">(VLOOKUP(A5, INDIRECT("'"&amp;'Drop Down Inputs'!$B$10&amp;"'!"&amp;" $A:$H"),MATCH('User Inputs'!$D$19, INDIRECT("'"&amp;'Drop Down Inputs'!$B$10&amp;"'!"&amp;"$A$1:$H$1"),0), FALSE))*'User Inputs'!$D$20/100</f>
        <v>64721087</v>
      </c>
      <c r="D5" s="146">
        <f t="array" aca="1" ref="D5" ca="1">SUMPRODUCT('Entry Prices'!$C$3:$C$29, TRANSPOSE(INDEX('Distance Matrix'!$C$3:$AC$231,MATCH(A5,'Distance Matrix'!$B$3:$B$231,0),0)) /SUM('Entry Prices'!$C$3:$C$29))</f>
        <v>334.46836097999909</v>
      </c>
      <c r="E5" s="145">
        <f t="shared" ca="1" si="0"/>
        <v>8.2905520628720874E-3</v>
      </c>
      <c r="F5" s="39">
        <f ca="1">E5*'Revenue Input'!$B$6</f>
        <v>389552605.7399137</v>
      </c>
      <c r="G5" s="148">
        <f ca="1">IF('User Inputs'!$D$4="PS",('Revenue Input'!$B$6/SUM($C$3:$C$231)),IF(ISERR(F5/C5),0,(F5/C5)))</f>
        <v>7.2344179438402385</v>
      </c>
      <c r="H5" s="148">
        <f ca="1">((IF(G5&gt;0,G5,VLOOKUP(A5,'Nearest Location Prices'!$M$1:$O$231,3,FALSE))))</f>
        <v>7.2344179438402385</v>
      </c>
      <c r="I5" s="171"/>
      <c r="K5" s="171"/>
      <c r="L5" s="145">
        <f ca="1">(IF(B5="STORAGE SITE",((100-'User Inputs'!$D$37)/100)*H5/'User Inputs'!$D$7,(IF(B5="INTERCONNECTOR",((100-'User Inputs'!$D$39)/100)*H5/'User Inputs'!$D$7,H5/'User Inputs'!$D$7))))</f>
        <v>1.9820323133808871E-2</v>
      </c>
      <c r="M5" s="147" t="s">
        <v>428</v>
      </c>
      <c r="N5" s="147" t="s">
        <v>428</v>
      </c>
      <c r="O5" s="145">
        <f ca="1">(IF(B5="STORAGE SITE",((100-'User Inputs'!$D$37)/100)* 'User Inputs'!$D$27*'Exit Prices'!H5/'User Inputs'!$D$7, IF(B5="INTERCONNECTOR", ((100-'User Inputs'!$D$39)/100)*'User Inputs'!$D$33*'Exit Prices'!H5/'User Inputs'!$D$7,  'User Inputs'!$D$27*'Exit Prices'!H5/'User Inputs'!$D$7)))</f>
        <v>1.9820323133808871E-2</v>
      </c>
      <c r="P5" s="147" t="s">
        <v>428</v>
      </c>
      <c r="Q5" s="145">
        <f ca="1">(100-(VLOOKUP(A5,'Exit Interruption Prob''s'!$A:$E,5,FALSE)))*O5/100</f>
        <v>1.7838290820427986E-2</v>
      </c>
    </row>
    <row r="6" spans="1:17">
      <c r="A6" s="2" t="s">
        <v>29</v>
      </c>
      <c r="B6" s="12" t="str">
        <f>VLOOKUP(A6,'Locations &amp; Types'!$E:$I,5,FALSE)</f>
        <v>DNO</v>
      </c>
      <c r="C6" s="39">
        <f ca="1">(VLOOKUP(A6, INDIRECT("'"&amp;'Drop Down Inputs'!$B$10&amp;"'!"&amp;" $A:$H"),MATCH('User Inputs'!$D$19, INDIRECT("'"&amp;'Drop Down Inputs'!$B$10&amp;"'!"&amp;"$A$1:$H$1"),0), FALSE))*'User Inputs'!$D$20/100</f>
        <v>72462290</v>
      </c>
      <c r="D6" s="146">
        <f t="array" aca="1" ref="D6" ca="1">SUMPRODUCT('Entry Prices'!$C$3:$C$29, TRANSPOSE(INDEX('Distance Matrix'!$C$3:$AC$231,MATCH(A6,'Distance Matrix'!$B$3:$B$231,0),0)) /SUM('Entry Prices'!$C$3:$C$29))</f>
        <v>334.46836097999909</v>
      </c>
      <c r="E6" s="145">
        <f t="shared" ca="1" si="0"/>
        <v>9.2821739511256274E-3</v>
      </c>
      <c r="F6" s="39">
        <f ca="1">E6*'Revenue Input'!$B$6</f>
        <v>436146473.98275763</v>
      </c>
      <c r="G6" s="148">
        <f ca="1">IF('User Inputs'!$D$4="PS",('Revenue Input'!$B$6/SUM($C$3:$C$231)),IF(ISERR(F6/C6),0,(F6/C6)))</f>
        <v>7.2344179438402385</v>
      </c>
      <c r="H6" s="148">
        <f ca="1">((IF(G6&gt;0,G6,VLOOKUP(A6,'Nearest Location Prices'!$M$1:$O$231,3,FALSE))))</f>
        <v>7.2344179438402385</v>
      </c>
      <c r="I6" s="171"/>
      <c r="K6" s="171"/>
      <c r="L6" s="145">
        <f ca="1">(IF(B6="STORAGE SITE",((100-'User Inputs'!$D$37)/100)*H6/'User Inputs'!$D$7,(IF(B6="INTERCONNECTOR",((100-'User Inputs'!$D$39)/100)*H6/'User Inputs'!$D$7,H6/'User Inputs'!$D$7))))</f>
        <v>1.9820323133808871E-2</v>
      </c>
      <c r="M6" s="147" t="s">
        <v>428</v>
      </c>
      <c r="N6" s="147" t="s">
        <v>428</v>
      </c>
      <c r="O6" s="145">
        <f ca="1">(IF(B6="STORAGE SITE",((100-'User Inputs'!$D$37)/100)* 'User Inputs'!$D$27*'Exit Prices'!H6/'User Inputs'!$D$7, IF(B6="INTERCONNECTOR", ((100-'User Inputs'!$D$39)/100)*'User Inputs'!$D$33*'Exit Prices'!H6/'User Inputs'!$D$7,  'User Inputs'!$D$27*'Exit Prices'!H6/'User Inputs'!$D$7)))</f>
        <v>1.9820323133808871E-2</v>
      </c>
      <c r="P6" s="147" t="s">
        <v>428</v>
      </c>
      <c r="Q6" s="145">
        <f ca="1">(100-(VLOOKUP(A6,'Exit Interruption Prob''s'!$A:$E,5,FALSE)))*O6/100</f>
        <v>1.7838290820427986E-2</v>
      </c>
    </row>
    <row r="7" spans="1:17">
      <c r="A7" s="2" t="s">
        <v>240</v>
      </c>
      <c r="B7" s="12" t="str">
        <f>VLOOKUP(A7,'Locations &amp; Types'!$E:$I,5,FALSE)</f>
        <v>INDUSTRIAL</v>
      </c>
      <c r="C7" s="39">
        <f ca="1">(VLOOKUP(A7, INDIRECT("'"&amp;'Drop Down Inputs'!$B$10&amp;"'!"&amp;" $A:$H"),MATCH('User Inputs'!$D$19, INDIRECT("'"&amp;'Drop Down Inputs'!$B$10&amp;"'!"&amp;"$A$1:$H$1"),0), FALSE))*'User Inputs'!$D$20/100</f>
        <v>0</v>
      </c>
      <c r="D7" s="146">
        <f t="array" aca="1" ref="D7" ca="1">SUMPRODUCT('Entry Prices'!$C$3:$C$29, TRANSPOSE(INDEX('Distance Matrix'!$C$3:$AC$231,MATCH(A7,'Distance Matrix'!$B$3:$B$231,0),0)) /SUM('Entry Prices'!$C$3:$C$29))</f>
        <v>657.75857619711337</v>
      </c>
      <c r="E7" s="145">
        <f t="shared" ca="1" si="0"/>
        <v>0</v>
      </c>
      <c r="F7" s="39">
        <f ca="1">E7*'Revenue Input'!$B$6</f>
        <v>0</v>
      </c>
      <c r="G7" s="148">
        <f ca="1">IF('User Inputs'!$D$4="PS",('Revenue Input'!$B$6/SUM($C$3:$C$231)),IF(ISERR(F7/C7),0,(F7/C7)))</f>
        <v>7.2344179438402385</v>
      </c>
      <c r="H7" s="148">
        <f ca="1">((IF(G7&gt;0,G7,VLOOKUP(A7,'Nearest Location Prices'!$M$1:$O$231,3,FALSE))))</f>
        <v>7.2344179438402385</v>
      </c>
      <c r="I7" s="171"/>
      <c r="K7" s="171"/>
      <c r="L7" s="145">
        <f ca="1">(IF(B7="STORAGE SITE",((100-'User Inputs'!$D$37)/100)*H7/'User Inputs'!$D$7,(IF(B7="INTERCONNECTOR",((100-'User Inputs'!$D$39)/100)*H7/'User Inputs'!$D$7,H7/'User Inputs'!$D$7))))</f>
        <v>1.9820323133808871E-2</v>
      </c>
      <c r="M7" s="147" t="s">
        <v>428</v>
      </c>
      <c r="N7" s="147" t="s">
        <v>428</v>
      </c>
      <c r="O7" s="145">
        <f ca="1">(IF(B7="STORAGE SITE",((100-'User Inputs'!$D$37)/100)* 'User Inputs'!$D$27*'Exit Prices'!H7/'User Inputs'!$D$7, IF(B7="INTERCONNECTOR", ((100-'User Inputs'!$D$39)/100)*'User Inputs'!$D$33*'Exit Prices'!H7/'User Inputs'!$D$7,  'User Inputs'!$D$27*'Exit Prices'!H7/'User Inputs'!$D$7)))</f>
        <v>1.9820323133808871E-2</v>
      </c>
      <c r="P7" s="147" t="s">
        <v>428</v>
      </c>
      <c r="Q7" s="145">
        <f ca="1">(100-(VLOOKUP(A7,'Exit Interruption Prob''s'!$A:$E,5,FALSE)))*O7/100</f>
        <v>1.7838290820427986E-2</v>
      </c>
    </row>
    <row r="8" spans="1:17">
      <c r="A8" s="2" t="s">
        <v>30</v>
      </c>
      <c r="B8" s="12" t="str">
        <f>VLOOKUP(A8,'Locations &amp; Types'!$E:$I,5,FALSE)</f>
        <v>DNO</v>
      </c>
      <c r="C8" s="39">
        <f ca="1">(VLOOKUP(A8, INDIRECT("'"&amp;'Drop Down Inputs'!$B$10&amp;"'!"&amp;" $A:$H"),MATCH('User Inputs'!$D$19, INDIRECT("'"&amp;'Drop Down Inputs'!$B$10&amp;"'!"&amp;"$A$1:$H$1"),0), FALSE))*'User Inputs'!$D$20/100</f>
        <v>7519525</v>
      </c>
      <c r="D8" s="146">
        <f t="array" aca="1" ref="D8" ca="1">SUMPRODUCT('Entry Prices'!$C$3:$C$29, TRANSPOSE(INDEX('Distance Matrix'!$C$3:$AC$231,MATCH(A8,'Distance Matrix'!$B$3:$B$231,0),0)) /SUM('Entry Prices'!$C$3:$C$29))</f>
        <v>510.84217352939862</v>
      </c>
      <c r="E8" s="145">
        <f t="shared" ca="1" si="0"/>
        <v>1.4711594908298734E-3</v>
      </c>
      <c r="F8" s="39">
        <f ca="1">E8*'Revenue Input'!$B$6</f>
        <v>69126158.15758419</v>
      </c>
      <c r="G8" s="148">
        <f ca="1">IF('User Inputs'!$D$4="PS",('Revenue Input'!$B$6/SUM($C$3:$C$231)),IF(ISERR(F8/C8),0,(F8/C8)))</f>
        <v>7.2344179438402385</v>
      </c>
      <c r="H8" s="148">
        <f ca="1">((IF(G8&gt;0,G8,VLOOKUP(A8,'Nearest Location Prices'!$M$1:$O$231,3,FALSE))))</f>
        <v>7.2344179438402385</v>
      </c>
      <c r="I8" s="171"/>
      <c r="K8" s="171"/>
      <c r="L8" s="145">
        <f ca="1">(IF(B8="STORAGE SITE",((100-'User Inputs'!$D$37)/100)*H8/'User Inputs'!$D$7,(IF(B8="INTERCONNECTOR",((100-'User Inputs'!$D$39)/100)*H8/'User Inputs'!$D$7,H8/'User Inputs'!$D$7))))</f>
        <v>1.9820323133808871E-2</v>
      </c>
      <c r="M8" s="147" t="s">
        <v>428</v>
      </c>
      <c r="N8" s="147" t="s">
        <v>428</v>
      </c>
      <c r="O8" s="145">
        <f ca="1">(IF(B8="STORAGE SITE",((100-'User Inputs'!$D$37)/100)* 'User Inputs'!$D$27*'Exit Prices'!H8/'User Inputs'!$D$7, IF(B8="INTERCONNECTOR", ((100-'User Inputs'!$D$39)/100)*'User Inputs'!$D$33*'Exit Prices'!H8/'User Inputs'!$D$7,  'User Inputs'!$D$27*'Exit Prices'!H8/'User Inputs'!$D$7)))</f>
        <v>1.9820323133808871E-2</v>
      </c>
      <c r="P8" s="147" t="s">
        <v>428</v>
      </c>
      <c r="Q8" s="145">
        <f ca="1">(100-(VLOOKUP(A8,'Exit Interruption Prob''s'!$A:$E,5,FALSE)))*O8/100</f>
        <v>1.7838290820427986E-2</v>
      </c>
    </row>
    <row r="9" spans="1:17">
      <c r="A9" s="2" t="s">
        <v>31</v>
      </c>
      <c r="B9" s="12" t="str">
        <f>VLOOKUP(A9,'Locations &amp; Types'!$E:$I,5,FALSE)</f>
        <v>DNO</v>
      </c>
      <c r="C9" s="39">
        <f ca="1">(VLOOKUP(A9, INDIRECT("'"&amp;'Drop Down Inputs'!$B$10&amp;"'!"&amp;" $A:$H"),MATCH('User Inputs'!$D$19, INDIRECT("'"&amp;'Drop Down Inputs'!$B$10&amp;"'!"&amp;"$A$1:$H$1"),0), FALSE))*'User Inputs'!$D$20/100</f>
        <v>50894176</v>
      </c>
      <c r="D9" s="146">
        <f t="array" aca="1" ref="D9" ca="1">SUMPRODUCT('Entry Prices'!$C$3:$C$29, TRANSPOSE(INDEX('Distance Matrix'!$C$3:$AC$231,MATCH(A9,'Distance Matrix'!$B$3:$B$231,0),0)) /SUM('Entry Prices'!$C$3:$C$29))</f>
        <v>347.20102068688624</v>
      </c>
      <c r="E9" s="145">
        <f t="shared" ca="1" si="0"/>
        <v>6.7675533298748505E-3</v>
      </c>
      <c r="F9" s="39">
        <f ca="1">E9*'Revenue Input'!$B$6</f>
        <v>317990649.37338811</v>
      </c>
      <c r="G9" s="148">
        <f ca="1">IF('User Inputs'!$D$4="PS",('Revenue Input'!$B$6/SUM($C$3:$C$231)),IF(ISERR(F9/C9),0,(F9/C9)))</f>
        <v>7.2344179438402385</v>
      </c>
      <c r="H9" s="148">
        <f ca="1">((IF(G9&gt;0,G9,VLOOKUP(A9,'Nearest Location Prices'!$M$1:$O$231,3,FALSE))))</f>
        <v>7.2344179438402385</v>
      </c>
      <c r="I9" s="171"/>
      <c r="K9" s="171"/>
      <c r="L9" s="145">
        <f ca="1">(IF(B9="STORAGE SITE",((100-'User Inputs'!$D$37)/100)*H9/'User Inputs'!$D$7,(IF(B9="INTERCONNECTOR",((100-'User Inputs'!$D$39)/100)*H9/'User Inputs'!$D$7,H9/'User Inputs'!$D$7))))</f>
        <v>1.9820323133808871E-2</v>
      </c>
      <c r="M9" s="147" t="s">
        <v>428</v>
      </c>
      <c r="N9" s="147" t="s">
        <v>428</v>
      </c>
      <c r="O9" s="145">
        <f ca="1">(IF(B9="STORAGE SITE",((100-'User Inputs'!$D$37)/100)* 'User Inputs'!$D$27*'Exit Prices'!H9/'User Inputs'!$D$7, IF(B9="INTERCONNECTOR", ((100-'User Inputs'!$D$39)/100)*'User Inputs'!$D$33*'Exit Prices'!H9/'User Inputs'!$D$7,  'User Inputs'!$D$27*'Exit Prices'!H9/'User Inputs'!$D$7)))</f>
        <v>1.9820323133808871E-2</v>
      </c>
      <c r="P9" s="147" t="s">
        <v>428</v>
      </c>
      <c r="Q9" s="145">
        <f ca="1">(100-(VLOOKUP(A9,'Exit Interruption Prob''s'!$A:$E,5,FALSE)))*O9/100</f>
        <v>1.7838290820427986E-2</v>
      </c>
    </row>
    <row r="10" spans="1:17">
      <c r="A10" s="2" t="s">
        <v>32</v>
      </c>
      <c r="B10" s="12" t="str">
        <f>VLOOKUP(A10,'Locations &amp; Types'!$E:$I,5,FALSE)</f>
        <v>DNO</v>
      </c>
      <c r="C10" s="39">
        <f ca="1">(VLOOKUP(A10, INDIRECT("'"&amp;'Drop Down Inputs'!$B$10&amp;"'!"&amp;" $A:$H"),MATCH('User Inputs'!$D$19, INDIRECT("'"&amp;'Drop Down Inputs'!$B$10&amp;"'!"&amp;"$A$1:$H$1"),0), FALSE))*'User Inputs'!$D$20/100</f>
        <v>3586201</v>
      </c>
      <c r="D10" s="146">
        <f t="array" aca="1" ref="D10" ca="1">SUMPRODUCT('Entry Prices'!$C$3:$C$29, TRANSPOSE(INDEX('Distance Matrix'!$C$3:$AC$231,MATCH(A10,'Distance Matrix'!$B$3:$B$231,0),0)) /SUM('Entry Prices'!$C$3:$C$29))</f>
        <v>303.2858038127394</v>
      </c>
      <c r="E10" s="145">
        <f t="shared" ca="1" si="0"/>
        <v>4.1655208815512469E-4</v>
      </c>
      <c r="F10" s="39">
        <f ca="1">E10*'Revenue Input'!$B$6</f>
        <v>19572755.847457569</v>
      </c>
      <c r="G10" s="148">
        <f ca="1">IF('User Inputs'!$D$4="PS",('Revenue Input'!$B$6/SUM($C$3:$C$231)),IF(ISERR(F10/C10),0,(F10/C10)))</f>
        <v>7.2344179438402385</v>
      </c>
      <c r="H10" s="148">
        <f ca="1">((IF(G10&gt;0,G10,VLOOKUP(A10,'Nearest Location Prices'!$M$1:$O$231,3,FALSE))))</f>
        <v>7.2344179438402385</v>
      </c>
      <c r="I10" s="171"/>
      <c r="K10" s="171"/>
      <c r="L10" s="145">
        <f ca="1">(IF(B10="STORAGE SITE",((100-'User Inputs'!$D$37)/100)*H10/'User Inputs'!$D$7,(IF(B10="INTERCONNECTOR",((100-'User Inputs'!$D$39)/100)*H10/'User Inputs'!$D$7,H10/'User Inputs'!$D$7))))</f>
        <v>1.9820323133808871E-2</v>
      </c>
      <c r="M10" s="147" t="s">
        <v>428</v>
      </c>
      <c r="N10" s="147" t="s">
        <v>428</v>
      </c>
      <c r="O10" s="145">
        <f ca="1">(IF(B10="STORAGE SITE",((100-'User Inputs'!$D$37)/100)* 'User Inputs'!$D$27*'Exit Prices'!H10/'User Inputs'!$D$7, IF(B10="INTERCONNECTOR", ((100-'User Inputs'!$D$39)/100)*'User Inputs'!$D$33*'Exit Prices'!H10/'User Inputs'!$D$7,  'User Inputs'!$D$27*'Exit Prices'!H10/'User Inputs'!$D$7)))</f>
        <v>1.9820323133808871E-2</v>
      </c>
      <c r="P10" s="147" t="s">
        <v>428</v>
      </c>
      <c r="Q10" s="145">
        <f ca="1">(100-(VLOOKUP(A10,'Exit Interruption Prob''s'!$A:$E,5,FALSE)))*O10/100</f>
        <v>1.7838290820427986E-2</v>
      </c>
    </row>
    <row r="11" spans="1:17">
      <c r="A11" s="2" t="s">
        <v>33</v>
      </c>
      <c r="B11" s="12" t="str">
        <f>VLOOKUP(A11,'Locations &amp; Types'!$E:$I,5,FALSE)</f>
        <v>DNO</v>
      </c>
      <c r="C11" s="39">
        <f ca="1">(VLOOKUP(A11, INDIRECT("'"&amp;'Drop Down Inputs'!$B$10&amp;"'!"&amp;" $A:$H"),MATCH('User Inputs'!$D$19, INDIRECT("'"&amp;'Drop Down Inputs'!$B$10&amp;"'!"&amp;"$A$1:$H$1"),0), FALSE))*'User Inputs'!$D$20/100</f>
        <v>8037574</v>
      </c>
      <c r="D11" s="146">
        <f t="array" aca="1" ref="D11" ca="1">SUMPRODUCT('Entry Prices'!$C$3:$C$29, TRANSPOSE(INDEX('Distance Matrix'!$C$3:$AC$231,MATCH(A11,'Distance Matrix'!$B$3:$B$231,0),0)) /SUM('Entry Prices'!$C$3:$C$29))</f>
        <v>354.14239271416216</v>
      </c>
      <c r="E11" s="145">
        <f t="shared" ca="1" si="0"/>
        <v>1.090148114168835E-3</v>
      </c>
      <c r="F11" s="39">
        <f ca="1">E11*'Revenue Input'!$B$6</f>
        <v>51223372.737593614</v>
      </c>
      <c r="G11" s="148">
        <f ca="1">IF('User Inputs'!$D$4="PS",('Revenue Input'!$B$6/SUM($C$3:$C$231)),IF(ISERR(F11/C11),0,(F11/C11)))</f>
        <v>7.2344179438402385</v>
      </c>
      <c r="H11" s="148">
        <f ca="1">((IF(G11&gt;0,G11,VLOOKUP(A11,'Nearest Location Prices'!$M$1:$O$231,3,FALSE))))</f>
        <v>7.2344179438402385</v>
      </c>
      <c r="I11" s="171"/>
      <c r="K11" s="171"/>
      <c r="L11" s="145">
        <f ca="1">(IF(B11="STORAGE SITE",((100-'User Inputs'!$D$37)/100)*H11/'User Inputs'!$D$7,(IF(B11="INTERCONNECTOR",((100-'User Inputs'!$D$39)/100)*H11/'User Inputs'!$D$7,H11/'User Inputs'!$D$7))))</f>
        <v>1.9820323133808871E-2</v>
      </c>
      <c r="M11" s="147" t="s">
        <v>428</v>
      </c>
      <c r="N11" s="147" t="s">
        <v>428</v>
      </c>
      <c r="O11" s="145">
        <f ca="1">(IF(B11="STORAGE SITE",((100-'User Inputs'!$D$37)/100)* 'User Inputs'!$D$27*'Exit Prices'!H11/'User Inputs'!$D$7, IF(B11="INTERCONNECTOR", ((100-'User Inputs'!$D$39)/100)*'User Inputs'!$D$33*'Exit Prices'!H11/'User Inputs'!$D$7,  'User Inputs'!$D$27*'Exit Prices'!H11/'User Inputs'!$D$7)))</f>
        <v>1.9820323133808871E-2</v>
      </c>
      <c r="P11" s="147" t="s">
        <v>428</v>
      </c>
      <c r="Q11" s="145">
        <f ca="1">(100-(VLOOKUP(A11,'Exit Interruption Prob''s'!$A:$E,5,FALSE)))*O11/100</f>
        <v>1.7838290820427986E-2</v>
      </c>
    </row>
    <row r="12" spans="1:17">
      <c r="A12" s="2" t="s">
        <v>34</v>
      </c>
      <c r="B12" s="12" t="str">
        <f>VLOOKUP(A12,'Locations &amp; Types'!$E:$I,5,FALSE)</f>
        <v>DNO</v>
      </c>
      <c r="C12" s="39">
        <f ca="1">(VLOOKUP(A12, INDIRECT("'"&amp;'Drop Down Inputs'!$B$10&amp;"'!"&amp;" $A:$H"),MATCH('User Inputs'!$D$19, INDIRECT("'"&amp;'Drop Down Inputs'!$B$10&amp;"'!"&amp;"$A$1:$H$1"),0), FALSE))*'User Inputs'!$D$20/100</f>
        <v>13572412</v>
      </c>
      <c r="D12" s="146">
        <f t="array" aca="1" ref="D12" ca="1">SUMPRODUCT('Entry Prices'!$C$3:$C$29, TRANSPOSE(INDEX('Distance Matrix'!$C$3:$AC$231,MATCH(A12,'Distance Matrix'!$B$3:$B$231,0),0)) /SUM('Entry Prices'!$C$3:$C$29))</f>
        <v>354.14239271416216</v>
      </c>
      <c r="E12" s="145">
        <f t="shared" ca="1" si="0"/>
        <v>1.8408464228786528E-3</v>
      </c>
      <c r="F12" s="39">
        <f ca="1">E12*'Revenue Input'!$B$6</f>
        <v>86496835.839295343</v>
      </c>
      <c r="G12" s="148">
        <f ca="1">IF('User Inputs'!$D$4="PS",('Revenue Input'!$B$6/SUM($C$3:$C$231)),IF(ISERR(F12/C12),0,(F12/C12)))</f>
        <v>7.2344179438402385</v>
      </c>
      <c r="H12" s="148">
        <f ca="1">((IF(G12&gt;0,G12,VLOOKUP(A12,'Nearest Location Prices'!$M$1:$O$231,3,FALSE))))</f>
        <v>7.2344179438402385</v>
      </c>
      <c r="I12" s="171"/>
      <c r="K12" s="171"/>
      <c r="L12" s="145">
        <f ca="1">(IF(B12="STORAGE SITE",((100-'User Inputs'!$D$37)/100)*H12/'User Inputs'!$D$7,(IF(B12="INTERCONNECTOR",((100-'User Inputs'!$D$39)/100)*H12/'User Inputs'!$D$7,H12/'User Inputs'!$D$7))))</f>
        <v>1.9820323133808871E-2</v>
      </c>
      <c r="M12" s="147" t="s">
        <v>428</v>
      </c>
      <c r="N12" s="147" t="s">
        <v>428</v>
      </c>
      <c r="O12" s="145">
        <f ca="1">(IF(B12="STORAGE SITE",((100-'User Inputs'!$D$37)/100)* 'User Inputs'!$D$27*'Exit Prices'!H12/'User Inputs'!$D$7, IF(B12="INTERCONNECTOR", ((100-'User Inputs'!$D$39)/100)*'User Inputs'!$D$33*'Exit Prices'!H12/'User Inputs'!$D$7,  'User Inputs'!$D$27*'Exit Prices'!H12/'User Inputs'!$D$7)))</f>
        <v>1.9820323133808871E-2</v>
      </c>
      <c r="P12" s="147" t="s">
        <v>428</v>
      </c>
      <c r="Q12" s="145">
        <f ca="1">(100-(VLOOKUP(A12,'Exit Interruption Prob''s'!$A:$E,5,FALSE)))*O12/100</f>
        <v>1.7838290820427986E-2</v>
      </c>
    </row>
    <row r="13" spans="1:17">
      <c r="A13" s="2" t="s">
        <v>35</v>
      </c>
      <c r="B13" s="12" t="str">
        <f>VLOOKUP(A13,'Locations &amp; Types'!$E:$I,5,FALSE)</f>
        <v>DNO</v>
      </c>
      <c r="C13" s="39">
        <f ca="1">(VLOOKUP(A13, INDIRECT("'"&amp;'Drop Down Inputs'!$B$10&amp;"'!"&amp;" $A:$H"),MATCH('User Inputs'!$D$19, INDIRECT("'"&amp;'Drop Down Inputs'!$B$10&amp;"'!"&amp;"$A$1:$H$1"),0), FALSE))*'User Inputs'!$D$20/100</f>
        <v>59601211</v>
      </c>
      <c r="D13" s="146">
        <f t="array" aca="1" ref="D13" ca="1">SUMPRODUCT('Entry Prices'!$C$3:$C$29, TRANSPOSE(INDEX('Distance Matrix'!$C$3:$AC$231,MATCH(A13,'Distance Matrix'!$B$3:$B$231,0),0)) /SUM('Entry Prices'!$C$3:$C$29))</f>
        <v>332.6616909856711</v>
      </c>
      <c r="E13" s="145">
        <f t="shared" ca="1" si="0"/>
        <v>7.5934734887407292E-3</v>
      </c>
      <c r="F13" s="39">
        <f ca="1">E13*'Revenue Input'!$B$6</f>
        <v>356798601.7967478</v>
      </c>
      <c r="G13" s="148">
        <f ca="1">IF('User Inputs'!$D$4="PS",('Revenue Input'!$B$6/SUM($C$3:$C$231)),IF(ISERR(F13/C13),0,(F13/C13)))</f>
        <v>7.2344179438402385</v>
      </c>
      <c r="H13" s="148">
        <f ca="1">((IF(G13&gt;0,G13,VLOOKUP(A13,'Nearest Location Prices'!$M$1:$O$231,3,FALSE))))</f>
        <v>7.2344179438402385</v>
      </c>
      <c r="I13" s="171"/>
      <c r="K13" s="171"/>
      <c r="L13" s="145">
        <f ca="1">(IF(B13="STORAGE SITE",((100-'User Inputs'!$D$37)/100)*H13/'User Inputs'!$D$7,(IF(B13="INTERCONNECTOR",((100-'User Inputs'!$D$39)/100)*H13/'User Inputs'!$D$7,H13/'User Inputs'!$D$7))))</f>
        <v>1.9820323133808871E-2</v>
      </c>
      <c r="M13" s="147" t="s">
        <v>428</v>
      </c>
      <c r="N13" s="147" t="s">
        <v>428</v>
      </c>
      <c r="O13" s="145">
        <f ca="1">(IF(B13="STORAGE SITE",((100-'User Inputs'!$D$37)/100)* 'User Inputs'!$D$27*'Exit Prices'!H13/'User Inputs'!$D$7, IF(B13="INTERCONNECTOR", ((100-'User Inputs'!$D$39)/100)*'User Inputs'!$D$33*'Exit Prices'!H13/'User Inputs'!$D$7,  'User Inputs'!$D$27*'Exit Prices'!H13/'User Inputs'!$D$7)))</f>
        <v>1.9820323133808871E-2</v>
      </c>
      <c r="P13" s="147" t="s">
        <v>428</v>
      </c>
      <c r="Q13" s="145">
        <f ca="1">(100-(VLOOKUP(A13,'Exit Interruption Prob''s'!$A:$E,5,FALSE)))*O13/100</f>
        <v>1.7838290820427986E-2</v>
      </c>
    </row>
    <row r="14" spans="1:17">
      <c r="A14" s="2" t="s">
        <v>36</v>
      </c>
      <c r="B14" s="12" t="str">
        <f>VLOOKUP(A14,'Locations &amp; Types'!$E:$I,5,FALSE)</f>
        <v>STORAGE SITE</v>
      </c>
      <c r="C14" s="39">
        <f ca="1">(VLOOKUP(A14, INDIRECT("'"&amp;'Drop Down Inputs'!$B$10&amp;"'!"&amp;" $A:$H"),MATCH('User Inputs'!$D$19, INDIRECT("'"&amp;'Drop Down Inputs'!$B$10&amp;"'!"&amp;"$A$1:$H$1"),0), FALSE))*'User Inputs'!$D$20/100</f>
        <v>0</v>
      </c>
      <c r="D14" s="146">
        <f t="array" aca="1" ref="D14" ca="1">SUMPRODUCT('Entry Prices'!$C$3:$C$29, TRANSPOSE(INDEX('Distance Matrix'!$C$3:$AC$231,MATCH(A14,'Distance Matrix'!$B$3:$B$231,0),0)) /SUM('Entry Prices'!$C$3:$C$29))</f>
        <v>469.18120868795552</v>
      </c>
      <c r="E14" s="145">
        <f t="shared" ca="1" si="0"/>
        <v>0</v>
      </c>
      <c r="F14" s="39">
        <f ca="1">E14*'Revenue Input'!$B$6</f>
        <v>0</v>
      </c>
      <c r="G14" s="148">
        <f ca="1">IF('User Inputs'!$D$4="PS",('Revenue Input'!$B$6/SUM($C$3:$C$231)),IF(ISERR(F14/C14),0,(F14/C14)))</f>
        <v>7.2344179438402385</v>
      </c>
      <c r="H14" s="148">
        <f ca="1">((IF(G14&gt;0,G14,VLOOKUP(A14,'Nearest Location Prices'!$M$1:$O$231,3,FALSE))))</f>
        <v>7.2344179438402385</v>
      </c>
      <c r="I14" s="171"/>
      <c r="K14" s="171"/>
      <c r="L14" s="145">
        <f ca="1">(IF(B14="STORAGE SITE",((100-'User Inputs'!$D$37)/100)*H14/'User Inputs'!$D$7,(IF(B14="INTERCONNECTOR",((100-'User Inputs'!$D$39)/100)*H14/'User Inputs'!$D$7,H14/'User Inputs'!$D$7))))</f>
        <v>9.9101615669044355E-3</v>
      </c>
      <c r="M14" s="147" t="s">
        <v>428</v>
      </c>
      <c r="N14" s="147" t="s">
        <v>428</v>
      </c>
      <c r="O14" s="145">
        <f ca="1">(IF(B14="STORAGE SITE",((100-'User Inputs'!$D$37)/100)* 'User Inputs'!$D$27*'Exit Prices'!H14/'User Inputs'!$D$7, IF(B14="INTERCONNECTOR", ((100-'User Inputs'!$D$39)/100)*'User Inputs'!$D$33*'Exit Prices'!H14/'User Inputs'!$D$7,  'User Inputs'!$D$27*'Exit Prices'!H14/'User Inputs'!$D$7)))</f>
        <v>9.9101615669044355E-3</v>
      </c>
      <c r="P14" s="147" t="s">
        <v>428</v>
      </c>
      <c r="Q14" s="145">
        <f ca="1">(100-(VLOOKUP(A14,'Exit Interruption Prob''s'!$A:$E,5,FALSE)))*O14/100</f>
        <v>8.9191454102139928E-3</v>
      </c>
    </row>
    <row r="15" spans="1:17">
      <c r="A15" s="2" t="s">
        <v>37</v>
      </c>
      <c r="B15" s="12" t="str">
        <f>VLOOKUP(A15,'Locations &amp; Types'!$E:$I,5,FALSE)</f>
        <v>DNO</v>
      </c>
      <c r="C15" s="39">
        <f ca="1">(VLOOKUP(A15, INDIRECT("'"&amp;'Drop Down Inputs'!$B$10&amp;"'!"&amp;" $A:$H"),MATCH('User Inputs'!$D$19, INDIRECT("'"&amp;'Drop Down Inputs'!$B$10&amp;"'!"&amp;"$A$1:$H$1"),0), FALSE))*'User Inputs'!$D$20/100</f>
        <v>19275940</v>
      </c>
      <c r="D15" s="146">
        <f t="array" aca="1" ref="D15" ca="1">SUMPRODUCT('Entry Prices'!$C$3:$C$29, TRANSPOSE(INDEX('Distance Matrix'!$C$3:$AC$231,MATCH(A15,'Distance Matrix'!$B$3:$B$231,0),0)) /SUM('Entry Prices'!$C$3:$C$29))</f>
        <v>559.01935032669144</v>
      </c>
      <c r="E15" s="145">
        <f t="shared" ca="1" si="0"/>
        <v>4.1269101458291093E-3</v>
      </c>
      <c r="F15" s="39">
        <f ca="1">E15*'Revenue Input'!$B$6</f>
        <v>193913335.17605108</v>
      </c>
      <c r="G15" s="148">
        <f ca="1">IF('User Inputs'!$D$4="PS",('Revenue Input'!$B$6/SUM($C$3:$C$231)),IF(ISERR(F15/C15),0,(F15/C15)))</f>
        <v>7.2344179438402385</v>
      </c>
      <c r="H15" s="148">
        <f ca="1">((IF(G15&gt;0,G15,VLOOKUP(A15,'Nearest Location Prices'!$M$1:$O$231,3,FALSE))))</f>
        <v>7.2344179438402385</v>
      </c>
      <c r="I15" s="171"/>
      <c r="K15" s="171"/>
      <c r="L15" s="145">
        <f ca="1">(IF(B15="STORAGE SITE",((100-'User Inputs'!$D$37)/100)*H15/'User Inputs'!$D$7,(IF(B15="INTERCONNECTOR",((100-'User Inputs'!$D$39)/100)*H15/'User Inputs'!$D$7,H15/'User Inputs'!$D$7))))</f>
        <v>1.9820323133808871E-2</v>
      </c>
      <c r="M15" s="147" t="s">
        <v>428</v>
      </c>
      <c r="N15" s="147" t="s">
        <v>428</v>
      </c>
      <c r="O15" s="145">
        <f ca="1">(IF(B15="STORAGE SITE",((100-'User Inputs'!$D$37)/100)* 'User Inputs'!$D$27*'Exit Prices'!H15/'User Inputs'!$D$7, IF(B15="INTERCONNECTOR", ((100-'User Inputs'!$D$39)/100)*'User Inputs'!$D$33*'Exit Prices'!H15/'User Inputs'!$D$7,  'User Inputs'!$D$27*'Exit Prices'!H15/'User Inputs'!$D$7)))</f>
        <v>1.9820323133808871E-2</v>
      </c>
      <c r="P15" s="147" t="s">
        <v>428</v>
      </c>
      <c r="Q15" s="145">
        <f ca="1">(100-(VLOOKUP(A15,'Exit Interruption Prob''s'!$A:$E,5,FALSE)))*O15/100</f>
        <v>1.7838290820427986E-2</v>
      </c>
    </row>
    <row r="16" spans="1:17">
      <c r="A16" s="2" t="s">
        <v>38</v>
      </c>
      <c r="B16" s="12" t="str">
        <f>VLOOKUP(A16,'Locations &amp; Types'!$E:$I,5,FALSE)</f>
        <v>DNO</v>
      </c>
      <c r="C16" s="39">
        <f ca="1">(VLOOKUP(A16, INDIRECT("'"&amp;'Drop Down Inputs'!$B$10&amp;"'!"&amp;" $A:$H"),MATCH('User Inputs'!$D$19, INDIRECT("'"&amp;'Drop Down Inputs'!$B$10&amp;"'!"&amp;"$A$1:$H$1"),0), FALSE))*'User Inputs'!$D$20/100</f>
        <v>2844268</v>
      </c>
      <c r="D16" s="146">
        <f t="array" aca="1" ref="D16" ca="1">SUMPRODUCT('Entry Prices'!$C$3:$C$29, TRANSPOSE(INDEX('Distance Matrix'!$C$3:$AC$231,MATCH(A16,'Distance Matrix'!$B$3:$B$231,0),0)) /SUM('Entry Prices'!$C$3:$C$29))</f>
        <v>346.57550308134751</v>
      </c>
      <c r="E16" s="145">
        <f t="shared" ca="1" si="0"/>
        <v>3.7752957900586862E-4</v>
      </c>
      <c r="F16" s="39">
        <f ca="1">E16*'Revenue Input'!$B$6</f>
        <v>17739184.330588505</v>
      </c>
      <c r="G16" s="148">
        <f ca="1">IF('User Inputs'!$D$4="PS",('Revenue Input'!$B$6/SUM($C$3:$C$231)),IF(ISERR(F16/C16),0,(F16/C16)))</f>
        <v>7.2344179438402385</v>
      </c>
      <c r="H16" s="148">
        <f ca="1">((IF(G16&gt;0,G16,VLOOKUP(A16,'Nearest Location Prices'!$M$1:$O$231,3,FALSE))))</f>
        <v>7.2344179438402385</v>
      </c>
      <c r="I16" s="171"/>
      <c r="K16" s="171"/>
      <c r="L16" s="145">
        <f ca="1">(IF(B16="STORAGE SITE",((100-'User Inputs'!$D$37)/100)*H16/'User Inputs'!$D$7,(IF(B16="INTERCONNECTOR",((100-'User Inputs'!$D$39)/100)*H16/'User Inputs'!$D$7,H16/'User Inputs'!$D$7))))</f>
        <v>1.9820323133808871E-2</v>
      </c>
      <c r="M16" s="147" t="s">
        <v>428</v>
      </c>
      <c r="N16" s="147" t="s">
        <v>428</v>
      </c>
      <c r="O16" s="145">
        <f ca="1">(IF(B16="STORAGE SITE",((100-'User Inputs'!$D$37)/100)* 'User Inputs'!$D$27*'Exit Prices'!H16/'User Inputs'!$D$7, IF(B16="INTERCONNECTOR", ((100-'User Inputs'!$D$39)/100)*'User Inputs'!$D$33*'Exit Prices'!H16/'User Inputs'!$D$7,  'User Inputs'!$D$27*'Exit Prices'!H16/'User Inputs'!$D$7)))</f>
        <v>1.9820323133808871E-2</v>
      </c>
      <c r="P16" s="147" t="s">
        <v>428</v>
      </c>
      <c r="Q16" s="145">
        <f ca="1">(100-(VLOOKUP(A16,'Exit Interruption Prob''s'!$A:$E,5,FALSE)))*O16/100</f>
        <v>1.7838290820427986E-2</v>
      </c>
    </row>
    <row r="17" spans="1:17">
      <c r="A17" s="2" t="s">
        <v>39</v>
      </c>
      <c r="B17" s="12" t="str">
        <f>VLOOKUP(A17,'Locations &amp; Types'!$E:$I,5,FALSE)</f>
        <v>STORAGE SITE</v>
      </c>
      <c r="C17" s="39">
        <f ca="1">(VLOOKUP(A17, INDIRECT("'"&amp;'Drop Down Inputs'!$B$10&amp;"'!"&amp;" $A:$H"),MATCH('User Inputs'!$D$19, INDIRECT("'"&amp;'Drop Down Inputs'!$B$10&amp;"'!"&amp;"$A$1:$H$1"),0), FALSE))*'User Inputs'!$D$20/100</f>
        <v>0</v>
      </c>
      <c r="D17" s="146">
        <f t="array" aca="1" ref="D17" ca="1">SUMPRODUCT('Entry Prices'!$C$3:$C$29, TRANSPOSE(INDEX('Distance Matrix'!$C$3:$AC$231,MATCH(A17,'Distance Matrix'!$B$3:$B$231,0),0)) /SUM('Entry Prices'!$C$3:$C$29))</f>
        <v>346.57550308134751</v>
      </c>
      <c r="E17" s="145">
        <f t="shared" ca="1" si="0"/>
        <v>0</v>
      </c>
      <c r="F17" s="39">
        <f ca="1">E17*'Revenue Input'!$B$6</f>
        <v>0</v>
      </c>
      <c r="G17" s="148">
        <f ca="1">IF('User Inputs'!$D$4="PS",('Revenue Input'!$B$6/SUM($C$3:$C$231)),IF(ISERR(F17/C17),0,(F17/C17)))</f>
        <v>7.2344179438402385</v>
      </c>
      <c r="H17" s="148">
        <f ca="1">((IF(G17&gt;0,G17,VLOOKUP(A17,'Nearest Location Prices'!$M$1:$O$231,3,FALSE))))</f>
        <v>7.2344179438402385</v>
      </c>
      <c r="I17" s="171"/>
      <c r="K17" s="171"/>
      <c r="L17" s="145">
        <f ca="1">(IF(B17="STORAGE SITE",((100-'User Inputs'!$D$37)/100)*H17/'User Inputs'!$D$7,(IF(B17="INTERCONNECTOR",((100-'User Inputs'!$D$39)/100)*H17/'User Inputs'!$D$7,H17/'User Inputs'!$D$7))))</f>
        <v>9.9101615669044355E-3</v>
      </c>
      <c r="M17" s="147" t="s">
        <v>428</v>
      </c>
      <c r="N17" s="147" t="s">
        <v>428</v>
      </c>
      <c r="O17" s="145">
        <f ca="1">(IF(B17="STORAGE SITE",((100-'User Inputs'!$D$37)/100)* 'User Inputs'!$D$27*'Exit Prices'!H17/'User Inputs'!$D$7, IF(B17="INTERCONNECTOR", ((100-'User Inputs'!$D$39)/100)*'User Inputs'!$D$33*'Exit Prices'!H17/'User Inputs'!$D$7,  'User Inputs'!$D$27*'Exit Prices'!H17/'User Inputs'!$D$7)))</f>
        <v>9.9101615669044355E-3</v>
      </c>
      <c r="P17" s="147" t="s">
        <v>428</v>
      </c>
      <c r="Q17" s="145">
        <f ca="1">(100-(VLOOKUP(A17,'Exit Interruption Prob''s'!$A:$E,5,FALSE)))*O17/100</f>
        <v>8.9191454102139928E-3</v>
      </c>
    </row>
    <row r="18" spans="1:17">
      <c r="A18" s="2" t="s">
        <v>40</v>
      </c>
      <c r="B18" s="12" t="str">
        <f>VLOOKUP(A18,'Locations &amp; Types'!$E:$I,5,FALSE)</f>
        <v>INTERCONNECTOR</v>
      </c>
      <c r="C18" s="39">
        <f ca="1">(VLOOKUP(A18, INDIRECT("'"&amp;'Drop Down Inputs'!$B$10&amp;"'!"&amp;" $A:$H"),MATCH('User Inputs'!$D$19, INDIRECT("'"&amp;'Drop Down Inputs'!$B$10&amp;"'!"&amp;"$A$1:$H$1"),0), FALSE))*'User Inputs'!$D$20/100</f>
        <v>281930.30136986304</v>
      </c>
      <c r="D18" s="146">
        <f t="array" aca="1" ref="D18" ca="1">SUMPRODUCT('Entry Prices'!$C$3:$C$29, TRANSPOSE(INDEX('Distance Matrix'!$C$3:$AC$231,MATCH(A18,'Distance Matrix'!$B$3:$B$231,0),0)) /SUM('Entry Prices'!$C$3:$C$29))</f>
        <v>346.57550308134751</v>
      </c>
      <c r="E18" s="145">
        <f t="shared" ca="1" si="0"/>
        <v>3.7421588958973645E-5</v>
      </c>
      <c r="F18" s="39">
        <f ca="1">E18*'Revenue Input'!$B$6</f>
        <v>1758348.2232962467</v>
      </c>
      <c r="G18" s="148">
        <f ca="1">IF('User Inputs'!$D$4="PS",('Revenue Input'!$B$6/SUM($C$3:$C$231)),IF(ISERR(F18/C18),0,(F18/C18)))</f>
        <v>7.2344179438402385</v>
      </c>
      <c r="H18" s="148">
        <f ca="1">((IF(G18&gt;0,G18,VLOOKUP(A18,'Nearest Location Prices'!$M$1:$O$231,3,FALSE))))</f>
        <v>7.2344179438402385</v>
      </c>
      <c r="I18" s="171"/>
      <c r="K18" s="171"/>
      <c r="L18" s="145">
        <f ca="1">(IF(B18="STORAGE SITE",((100-'User Inputs'!$D$37)/100)*H18/'User Inputs'!$D$7,(IF(B18="INTERCONNECTOR",((100-'User Inputs'!$D$39)/100)*H18/'User Inputs'!$D$7,H18/'User Inputs'!$D$7))))</f>
        <v>1.9820323133808871E-2</v>
      </c>
      <c r="M18" s="145">
        <f ca="1">(IF(B18="STORAGE SITE",((100-'User Inputs'!$D$37)/100)* 'User Inputs'!$D$26*'Exit Prices'!H18/'User Inputs'!D$7, IF(B18="INTERCONNECTOR", ((100-'User Inputs'!$D$39)/100)*'User Inputs'!$D$31*'Exit Prices'!H18/'User Inputs'!$D$7,  'User Inputs'!$D$26*'Exit Prices'!H18/'User Inputs'!$D$7)))</f>
        <v>1.9820323133808871E-2</v>
      </c>
      <c r="N18" s="145">
        <f ca="1">(IF(B18="STORAGE SITE",((100-'User Inputs'!$D$37)/100)* 'User Inputs'!$D$26*'Exit Prices'!H18/'User Inputs'!$D$7, IF(B18="INTERCONNECTOR", ((100-'User Inputs'!$D$39)/100)*'User Inputs'!$D$32*'Exit Prices'!H18/'User Inputs'!$D$7,  'User Inputs'!$D$26*'Exit Prices'!H18/'User Inputs'!$D$7)))</f>
        <v>1.9820323133808871E-2</v>
      </c>
      <c r="O18" s="145">
        <f ca="1">(IF(B18="STORAGE SITE",((100-'User Inputs'!$D$37)/100)* 'User Inputs'!$D$27*'Exit Prices'!H18/'User Inputs'!$D$7, IF(B18="INTERCONNECTOR", ((100-'User Inputs'!$D$39)/100)*'User Inputs'!$D$33*'Exit Prices'!H18/'User Inputs'!$D$7,  'User Inputs'!$D$27*'Exit Prices'!H18/'User Inputs'!$D$7)))</f>
        <v>1.9820323133808871E-2</v>
      </c>
      <c r="P18" s="145">
        <f ca="1">(IF(B18="STORAGE SITE",((100-'User Inputs'!$D$37)/100)* 'User Inputs'!$D$28*'Exit Prices'!H18/'User Inputs'!$D$7, IF(B18="INTERCONNECTOR", ((100-'User Inputs'!$D$39)/100)*'User Inputs'!$D$34*'Exit Prices'!H18/'User Inputs'!$D$7,  'User Inputs'!$D$28*'Exit Prices'!H18/'User Inputs'!$D$7)))</f>
        <v>1.9820323133808871E-2</v>
      </c>
      <c r="Q18" s="145">
        <f ca="1">(100-(VLOOKUP(A18,'Exit Interruption Prob''s'!$A:$E,5,FALSE)))*O18/100</f>
        <v>1.7838290820427986E-2</v>
      </c>
    </row>
    <row r="19" spans="1:17">
      <c r="A19" s="2" t="s">
        <v>41</v>
      </c>
      <c r="B19" s="12" t="str">
        <f>VLOOKUP(A19,'Locations &amp; Types'!$E:$I,5,FALSE)</f>
        <v>POWER STATION</v>
      </c>
      <c r="C19" s="39">
        <f ca="1">(VLOOKUP(A19, INDIRECT("'"&amp;'Drop Down Inputs'!$B$10&amp;"'!"&amp;" $A:$H"),MATCH('User Inputs'!$D$19, INDIRECT("'"&amp;'Drop Down Inputs'!$B$10&amp;"'!"&amp;"$A$1:$H$1"),0), FALSE))*'User Inputs'!$D$20/100</f>
        <v>20000000</v>
      </c>
      <c r="D19" s="146">
        <f t="array" aca="1" ref="D19" ca="1">SUMPRODUCT('Entry Prices'!$C$3:$C$29, TRANSPOSE(INDEX('Distance Matrix'!$C$3:$AC$231,MATCH(A19,'Distance Matrix'!$B$3:$B$231,0),0)) /SUM('Entry Prices'!$C$3:$C$29))</f>
        <v>346.57550308134751</v>
      </c>
      <c r="E19" s="145">
        <f t="shared" ca="1" si="0"/>
        <v>2.6546695248539772E-3</v>
      </c>
      <c r="F19" s="39">
        <f ca="1">E19*'Revenue Input'!$B$6</f>
        <v>124736377.37785964</v>
      </c>
      <c r="G19" s="148">
        <f ca="1">IF('User Inputs'!$D$4="PS",('Revenue Input'!$B$6/SUM($C$3:$C$231)),IF(ISERR(F19/C19),0,(F19/C19)))</f>
        <v>7.2344179438402385</v>
      </c>
      <c r="H19" s="148">
        <f ca="1">((IF(G19&gt;0,G19,VLOOKUP(A19,'Nearest Location Prices'!$M$1:$O$231,3,FALSE))))</f>
        <v>7.2344179438402385</v>
      </c>
      <c r="I19" s="171"/>
      <c r="K19" s="171"/>
      <c r="L19" s="145">
        <f ca="1">(IF(B19="STORAGE SITE",((100-'User Inputs'!$D$37)/100)*H19/'User Inputs'!$D$7,(IF(B19="INTERCONNECTOR",((100-'User Inputs'!$D$39)/100)*H19/'User Inputs'!$D$7,H19/'User Inputs'!$D$7))))</f>
        <v>1.9820323133808871E-2</v>
      </c>
      <c r="M19" s="147" t="s">
        <v>428</v>
      </c>
      <c r="N19" s="147" t="s">
        <v>428</v>
      </c>
      <c r="O19" s="145">
        <f ca="1">(IF(B19="STORAGE SITE",((100-'User Inputs'!$D$37)/100)* 'User Inputs'!$D$27*'Exit Prices'!H19/'User Inputs'!$D$7, IF(B19="INTERCONNECTOR", ((100-'User Inputs'!$D$39)/100)*'User Inputs'!$D$33*'Exit Prices'!H19/'User Inputs'!$D$7,  'User Inputs'!$D$27*'Exit Prices'!H19/'User Inputs'!$D$7)))</f>
        <v>1.9820323133808871E-2</v>
      </c>
      <c r="P19" s="147" t="s">
        <v>428</v>
      </c>
      <c r="Q19" s="145">
        <f ca="1">(100-(VLOOKUP(A19,'Exit Interruption Prob''s'!$A:$E,5,FALSE)))*O19/100</f>
        <v>1.7838290820427986E-2</v>
      </c>
    </row>
    <row r="20" spans="1:17">
      <c r="A20" s="2" t="s">
        <v>42</v>
      </c>
      <c r="B20" s="12" t="str">
        <f>VLOOKUP(A20,'Locations &amp; Types'!$E:$I,5,FALSE)</f>
        <v>INTERCONNECTOR</v>
      </c>
      <c r="C20" s="39">
        <f ca="1">(VLOOKUP(A20, INDIRECT("'"&amp;'Drop Down Inputs'!$B$10&amp;"'!"&amp;" $A:$H"),MATCH('User Inputs'!$D$19, INDIRECT("'"&amp;'Drop Down Inputs'!$B$10&amp;"'!"&amp;"$A$1:$H$1"),0), FALSE))*'User Inputs'!$D$20/100</f>
        <v>174391001.25205481</v>
      </c>
      <c r="D20" s="146">
        <f t="array" aca="1" ref="D20" ca="1">SUMPRODUCT('Entry Prices'!$C$3:$C$29, TRANSPOSE(INDEX('Distance Matrix'!$C$3:$AC$231,MATCH(A20,'Distance Matrix'!$B$3:$B$231,0),0)) /SUM('Entry Prices'!$C$3:$C$29))</f>
        <v>346.57550308134751</v>
      </c>
      <c r="E20" s="145">
        <f t="shared" ca="1" si="0"/>
        <v>2.3147523821630087E-2</v>
      </c>
      <c r="F20" s="39">
        <f ca="1">E20*'Revenue Input'!$B$6</f>
        <v>1087645087.1739552</v>
      </c>
      <c r="G20" s="148">
        <f ca="1">IF('User Inputs'!$D$4="PS",('Revenue Input'!$B$6/SUM($C$3:$C$231)),IF(ISERR(F20/C20),0,(F20/C20)))</f>
        <v>7.2344179438402385</v>
      </c>
      <c r="H20" s="148">
        <f ca="1">((IF(G20&gt;0,G20,VLOOKUP(A20,'Nearest Location Prices'!$M$1:$O$231,3,FALSE))))</f>
        <v>7.2344179438402385</v>
      </c>
      <c r="I20" s="171"/>
      <c r="K20" s="171"/>
      <c r="L20" s="145">
        <f ca="1">(IF(B20="STORAGE SITE",((100-'User Inputs'!$D$37)/100)*H20/'User Inputs'!$D$7,(IF(B20="INTERCONNECTOR",((100-'User Inputs'!$D$39)/100)*H20/'User Inputs'!$D$7,H20/'User Inputs'!$D$7))))</f>
        <v>1.9820323133808871E-2</v>
      </c>
      <c r="M20" s="145">
        <f ca="1">(IF(B20="STORAGE SITE",((100-'User Inputs'!$D$37)/100)* 'User Inputs'!$D$26*'Exit Prices'!H20/'User Inputs'!D$7, IF(B20="INTERCONNECTOR", ((100-'User Inputs'!$D$39)/100)*'User Inputs'!$D$31*'Exit Prices'!H20/'User Inputs'!$D$7,  'User Inputs'!$D$26*'Exit Prices'!H20/'User Inputs'!$D$7)))</f>
        <v>1.9820323133808871E-2</v>
      </c>
      <c r="N20" s="145">
        <f ca="1">(IF(B20="STORAGE SITE",((100-'User Inputs'!$D$37)/100)* 'User Inputs'!$D$26*'Exit Prices'!H20/'User Inputs'!$D$7, IF(B20="INTERCONNECTOR", ((100-'User Inputs'!$D$39)/100)*'User Inputs'!$D$32*'Exit Prices'!H20/'User Inputs'!$D$7,  'User Inputs'!$D$26*'Exit Prices'!H20/'User Inputs'!$D$7)))</f>
        <v>1.9820323133808871E-2</v>
      </c>
      <c r="O20" s="145">
        <f ca="1">(IF(B20="STORAGE SITE",((100-'User Inputs'!$D$37)/100)* 'User Inputs'!$D$27*'Exit Prices'!H20/'User Inputs'!$D$7, IF(B20="INTERCONNECTOR", ((100-'User Inputs'!$D$39)/100)*'User Inputs'!$D$33*'Exit Prices'!H20/'User Inputs'!$D$7,  'User Inputs'!$D$27*'Exit Prices'!H20/'User Inputs'!$D$7)))</f>
        <v>1.9820323133808871E-2</v>
      </c>
      <c r="P20" s="145">
        <f ca="1">(IF(B20="STORAGE SITE",((100-'User Inputs'!$D$37)/100)* 'User Inputs'!$D$28*'Exit Prices'!H20/'User Inputs'!$D$7, IF(B20="INTERCONNECTOR", ((100-'User Inputs'!$D$39)/100)*'User Inputs'!$D$34*'Exit Prices'!H20/'User Inputs'!$D$7,  'User Inputs'!$D$28*'Exit Prices'!H20/'User Inputs'!$D$7)))</f>
        <v>1.9820323133808871E-2</v>
      </c>
      <c r="Q20" s="145">
        <f ca="1">(100-(VLOOKUP(A20,'Exit Interruption Prob''s'!$A:$E,5,FALSE)))*O20/100</f>
        <v>1.7838290820427986E-2</v>
      </c>
    </row>
    <row r="21" spans="1:17">
      <c r="A21" s="2" t="s">
        <v>43</v>
      </c>
      <c r="B21" s="12" t="str">
        <f>VLOOKUP(A21,'Locations &amp; Types'!$E:$I,5,FALSE)</f>
        <v>DNO</v>
      </c>
      <c r="C21" s="39">
        <f ca="1">(VLOOKUP(A21, INDIRECT("'"&amp;'Drop Down Inputs'!$B$10&amp;"'!"&amp;" $A:$H"),MATCH('User Inputs'!$D$19, INDIRECT("'"&amp;'Drop Down Inputs'!$B$10&amp;"'!"&amp;"$A$1:$H$1"),0), FALSE))*'User Inputs'!$D$20/100</f>
        <v>1126642</v>
      </c>
      <c r="D21" s="146">
        <f t="array" aca="1" ref="D21" ca="1">SUMPRODUCT('Entry Prices'!$C$3:$C$29, TRANSPOSE(INDEX('Distance Matrix'!$C$3:$AC$231,MATCH(A21,'Distance Matrix'!$B$3:$B$231,0),0)) /SUM('Entry Prices'!$C$3:$C$29))</f>
        <v>338.72248156506731</v>
      </c>
      <c r="E21" s="145">
        <f t="shared" ca="1" si="0"/>
        <v>1.4615462598726998E-4</v>
      </c>
      <c r="F21" s="39">
        <f ca="1">E21*'Revenue Input'!$B$6</f>
        <v>6867445.6130922139</v>
      </c>
      <c r="G21" s="148">
        <f ca="1">IF('User Inputs'!$D$4="PS",('Revenue Input'!$B$6/SUM($C$3:$C$231)),IF(ISERR(F21/C21),0,(F21/C21)))</f>
        <v>7.2344179438402385</v>
      </c>
      <c r="H21" s="148">
        <f ca="1">((IF(G21&gt;0,G21,VLOOKUP(A21,'Nearest Location Prices'!$M$1:$O$231,3,FALSE))))</f>
        <v>7.2344179438402385</v>
      </c>
      <c r="I21" s="171"/>
      <c r="K21" s="171"/>
      <c r="L21" s="145">
        <f ca="1">(IF(B21="STORAGE SITE",((100-'User Inputs'!$D$37)/100)*H21/'User Inputs'!$D$7,(IF(B21="INTERCONNECTOR",((100-'User Inputs'!$D$39)/100)*H21/'User Inputs'!$D$7,H21/'User Inputs'!$D$7))))</f>
        <v>1.9820323133808871E-2</v>
      </c>
      <c r="M21" s="147" t="s">
        <v>428</v>
      </c>
      <c r="N21" s="147" t="s">
        <v>428</v>
      </c>
      <c r="O21" s="145">
        <f ca="1">(IF(B21="STORAGE SITE",((100-'User Inputs'!$D$37)/100)* 'User Inputs'!$D$27*'Exit Prices'!H21/'User Inputs'!$D$7, IF(B21="INTERCONNECTOR", ((100-'User Inputs'!$D$39)/100)*'User Inputs'!$D$33*'Exit Prices'!H21/'User Inputs'!$D$7,  'User Inputs'!$D$27*'Exit Prices'!H21/'User Inputs'!$D$7)))</f>
        <v>1.9820323133808871E-2</v>
      </c>
      <c r="P21" s="147" t="s">
        <v>428</v>
      </c>
      <c r="Q21" s="145">
        <f ca="1">(100-(VLOOKUP(A21,'Exit Interruption Prob''s'!$A:$E,5,FALSE)))*O21/100</f>
        <v>1.7838290820427986E-2</v>
      </c>
    </row>
    <row r="22" spans="1:17">
      <c r="A22" s="2" t="s">
        <v>44</v>
      </c>
      <c r="B22" s="12" t="str">
        <f>VLOOKUP(A22,'Locations &amp; Types'!$E:$I,5,FALSE)</f>
        <v>DNO</v>
      </c>
      <c r="C22" s="39">
        <f ca="1">(VLOOKUP(A22, INDIRECT("'"&amp;'Drop Down Inputs'!$B$10&amp;"'!"&amp;" $A:$H"),MATCH('User Inputs'!$D$19, INDIRECT("'"&amp;'Drop Down Inputs'!$B$10&amp;"'!"&amp;"$A$1:$H$1"),0), FALSE))*'User Inputs'!$D$20/100</f>
        <v>14957981</v>
      </c>
      <c r="D22" s="146">
        <f t="array" aca="1" ref="D22" ca="1">SUMPRODUCT('Entry Prices'!$C$3:$C$29, TRANSPOSE(INDEX('Distance Matrix'!$C$3:$AC$231,MATCH(A22,'Distance Matrix'!$B$3:$B$231,0),0)) /SUM('Entry Prices'!$C$3:$C$29))</f>
        <v>587.10190691903438</v>
      </c>
      <c r="E22" s="145">
        <f t="shared" ca="1" si="0"/>
        <v>3.3633268508004147E-3</v>
      </c>
      <c r="F22" s="39">
        <f ca="1">E22*'Revenue Input'!$B$6</f>
        <v>158034438.32791403</v>
      </c>
      <c r="G22" s="148">
        <f ca="1">IF('User Inputs'!$D$4="PS",('Revenue Input'!$B$6/SUM($C$3:$C$231)),IF(ISERR(F22/C22),0,(F22/C22)))</f>
        <v>7.2344179438402385</v>
      </c>
      <c r="H22" s="148">
        <f ca="1">((IF(G22&gt;0,G22,VLOOKUP(A22,'Nearest Location Prices'!$M$1:$O$231,3,FALSE))))</f>
        <v>7.2344179438402385</v>
      </c>
      <c r="I22" s="171"/>
      <c r="K22" s="171"/>
      <c r="L22" s="145">
        <f ca="1">(IF(B22="STORAGE SITE",((100-'User Inputs'!$D$37)/100)*H22/'User Inputs'!$D$7,(IF(B22="INTERCONNECTOR",((100-'User Inputs'!$D$39)/100)*H22/'User Inputs'!$D$7,H22/'User Inputs'!$D$7))))</f>
        <v>1.9820323133808871E-2</v>
      </c>
      <c r="M22" s="147" t="s">
        <v>428</v>
      </c>
      <c r="N22" s="147" t="s">
        <v>428</v>
      </c>
      <c r="O22" s="145">
        <f ca="1">(IF(B22="STORAGE SITE",((100-'User Inputs'!$D$37)/100)* 'User Inputs'!$D$27*'Exit Prices'!H22/'User Inputs'!$D$7, IF(B22="INTERCONNECTOR", ((100-'User Inputs'!$D$39)/100)*'User Inputs'!$D$33*'Exit Prices'!H22/'User Inputs'!$D$7,  'User Inputs'!$D$27*'Exit Prices'!H22/'User Inputs'!$D$7)))</f>
        <v>1.9820323133808871E-2</v>
      </c>
      <c r="P22" s="147" t="s">
        <v>428</v>
      </c>
      <c r="Q22" s="145">
        <f ca="1">(100-(VLOOKUP(A22,'Exit Interruption Prob''s'!$A:$E,5,FALSE)))*O22/100</f>
        <v>1.7838290820427986E-2</v>
      </c>
    </row>
    <row r="23" spans="1:17">
      <c r="A23" s="2" t="s">
        <v>45</v>
      </c>
      <c r="B23" s="12" t="str">
        <f>VLOOKUP(A23,'Locations &amp; Types'!$E:$I,5,FALSE)</f>
        <v>POWER STATION</v>
      </c>
      <c r="C23" s="39">
        <f ca="1">(VLOOKUP(A23, INDIRECT("'"&amp;'Drop Down Inputs'!$B$10&amp;"'!"&amp;" $A:$H"),MATCH('User Inputs'!$D$19, INDIRECT("'"&amp;'Drop Down Inputs'!$B$10&amp;"'!"&amp;"$A$1:$H$1"),0), FALSE))*'User Inputs'!$D$20/100</f>
        <v>0</v>
      </c>
      <c r="D23" s="146">
        <f t="array" aca="1" ref="D23" ca="1">SUMPRODUCT('Entry Prices'!$C$3:$C$29, TRANSPOSE(INDEX('Distance Matrix'!$C$3:$AC$231,MATCH(A23,'Distance Matrix'!$B$3:$B$231,0),0)) /SUM('Entry Prices'!$C$3:$C$29))</f>
        <v>407.56457048701776</v>
      </c>
      <c r="E23" s="145">
        <f t="shared" ca="1" si="0"/>
        <v>0</v>
      </c>
      <c r="F23" s="39">
        <f ca="1">E23*'Revenue Input'!$B$6</f>
        <v>0</v>
      </c>
      <c r="G23" s="148">
        <f ca="1">IF('User Inputs'!$D$4="PS",('Revenue Input'!$B$6/SUM($C$3:$C$231)),IF(ISERR(F23/C23),0,(F23/C23)))</f>
        <v>7.2344179438402385</v>
      </c>
      <c r="H23" s="148">
        <f ca="1">((IF(G23&gt;0,G23,VLOOKUP(A23,'Nearest Location Prices'!$M$1:$O$231,3,FALSE))))</f>
        <v>7.2344179438402385</v>
      </c>
      <c r="I23" s="171"/>
      <c r="K23" s="171"/>
      <c r="L23" s="145">
        <f ca="1">(IF(B23="STORAGE SITE",((100-'User Inputs'!$D$37)/100)*H23/'User Inputs'!$D$7,(IF(B23="INTERCONNECTOR",((100-'User Inputs'!$D$39)/100)*H23/'User Inputs'!$D$7,H23/'User Inputs'!$D$7))))</f>
        <v>1.9820323133808871E-2</v>
      </c>
      <c r="M23" s="147" t="s">
        <v>428</v>
      </c>
      <c r="N23" s="147" t="s">
        <v>428</v>
      </c>
      <c r="O23" s="145">
        <f ca="1">(IF(B23="STORAGE SITE",((100-'User Inputs'!$D$37)/100)* 'User Inputs'!$D$27*'Exit Prices'!H23/'User Inputs'!$D$7, IF(B23="INTERCONNECTOR", ((100-'User Inputs'!$D$39)/100)*'User Inputs'!$D$33*'Exit Prices'!H23/'User Inputs'!$D$7,  'User Inputs'!$D$27*'Exit Prices'!H23/'User Inputs'!$D$7)))</f>
        <v>1.9820323133808871E-2</v>
      </c>
      <c r="P23" s="147" t="s">
        <v>428</v>
      </c>
      <c r="Q23" s="145">
        <f ca="1">(100-(VLOOKUP(A23,'Exit Interruption Prob''s'!$A:$E,5,FALSE)))*O23/100</f>
        <v>1.7838290820427986E-2</v>
      </c>
    </row>
    <row r="24" spans="1:17">
      <c r="A24" s="2" t="s">
        <v>46</v>
      </c>
      <c r="B24" s="12" t="str">
        <f>VLOOKUP(A24,'Locations &amp; Types'!$E:$I,5,FALSE)</f>
        <v>STORAGE SITE</v>
      </c>
      <c r="C24" s="39">
        <f ca="1">(VLOOKUP(A24, INDIRECT("'"&amp;'Drop Down Inputs'!$B$10&amp;"'!"&amp;" $A:$H"),MATCH('User Inputs'!$D$19, INDIRECT("'"&amp;'Drop Down Inputs'!$B$10&amp;"'!"&amp;"$A$1:$H$1"),0), FALSE))*'User Inputs'!$D$20/100</f>
        <v>0</v>
      </c>
      <c r="D24" s="146">
        <f t="array" aca="1" ref="D24" ca="1">SUMPRODUCT('Entry Prices'!$C$3:$C$29, TRANSPOSE(INDEX('Distance Matrix'!$C$3:$AC$231,MATCH(A24,'Distance Matrix'!$B$3:$B$231,0),0)) /SUM('Entry Prices'!$C$3:$C$29))</f>
        <v>418.72693730714326</v>
      </c>
      <c r="E24" s="145">
        <f t="shared" ca="1" si="0"/>
        <v>0</v>
      </c>
      <c r="F24" s="39">
        <f ca="1">E24*'Revenue Input'!$B$6</f>
        <v>0</v>
      </c>
      <c r="G24" s="148">
        <f ca="1">IF('User Inputs'!$D$4="PS",('Revenue Input'!$B$6/SUM($C$3:$C$231)),IF(ISERR(F24/C24),0,(F24/C24)))</f>
        <v>7.2344179438402385</v>
      </c>
      <c r="H24" s="148">
        <f ca="1">((IF(G24&gt;0,G24,VLOOKUP(A24,'Nearest Location Prices'!$M$1:$O$231,3,FALSE))))</f>
        <v>7.2344179438402385</v>
      </c>
      <c r="I24" s="171"/>
      <c r="K24" s="171"/>
      <c r="L24" s="145">
        <f ca="1">(IF(B24="STORAGE SITE",((100-'User Inputs'!$D$37)/100)*H24/'User Inputs'!$D$7,(IF(B24="INTERCONNECTOR",((100-'User Inputs'!$D$39)/100)*H24/'User Inputs'!$D$7,H24/'User Inputs'!$D$7))))</f>
        <v>9.9101615669044355E-3</v>
      </c>
      <c r="M24" s="147" t="s">
        <v>428</v>
      </c>
      <c r="N24" s="147" t="s">
        <v>428</v>
      </c>
      <c r="O24" s="145">
        <f ca="1">(IF(B24="STORAGE SITE",((100-'User Inputs'!$D$37)/100)* 'User Inputs'!$D$27*'Exit Prices'!H24/'User Inputs'!$D$7, IF(B24="INTERCONNECTOR", ((100-'User Inputs'!$D$39)/100)*'User Inputs'!$D$33*'Exit Prices'!H24/'User Inputs'!$D$7,  'User Inputs'!$D$27*'Exit Prices'!H24/'User Inputs'!$D$7)))</f>
        <v>9.9101615669044355E-3</v>
      </c>
      <c r="P24" s="147" t="s">
        <v>428</v>
      </c>
      <c r="Q24" s="145">
        <f ca="1">(100-(VLOOKUP(A24,'Exit Interruption Prob''s'!$A:$E,5,FALSE)))*O24/100</f>
        <v>8.9191454102139928E-3</v>
      </c>
    </row>
    <row r="25" spans="1:17">
      <c r="A25" s="2" t="s">
        <v>47</v>
      </c>
      <c r="B25" s="12" t="str">
        <f>VLOOKUP(A25,'Locations &amp; Types'!$E:$I,5,FALSE)</f>
        <v>INDUSTRIAL</v>
      </c>
      <c r="C25" s="39">
        <f ca="1">(VLOOKUP(A25, INDIRECT("'"&amp;'Drop Down Inputs'!$B$10&amp;"'!"&amp;" $A:$H"),MATCH('User Inputs'!$D$19, INDIRECT("'"&amp;'Drop Down Inputs'!$B$10&amp;"'!"&amp;"$A$1:$H$1"),0), FALSE))*'User Inputs'!$D$20/100</f>
        <v>1000000</v>
      </c>
      <c r="D25" s="146">
        <f t="array" aca="1" ref="D25" ca="1">SUMPRODUCT('Entry Prices'!$C$3:$C$29, TRANSPOSE(INDEX('Distance Matrix'!$C$3:$AC$231,MATCH(A25,'Distance Matrix'!$B$3:$B$231,0),0)) /SUM('Entry Prices'!$C$3:$C$29))</f>
        <v>418.72693730714326</v>
      </c>
      <c r="E25" s="145">
        <f t="shared" ca="1" si="0"/>
        <v>1.6036644682353775E-4</v>
      </c>
      <c r="F25" s="39">
        <f ca="1">E25*'Revenue Input'!$B$6</f>
        <v>7535224.0429352801</v>
      </c>
      <c r="G25" s="148">
        <f ca="1">IF('User Inputs'!$D$4="PS",('Revenue Input'!$B$6/SUM($C$3:$C$231)),IF(ISERR(F25/C25),0,(F25/C25)))</f>
        <v>7.2344179438402385</v>
      </c>
      <c r="H25" s="148">
        <f ca="1">((IF(G25&gt;0,G25,VLOOKUP(A25,'Nearest Location Prices'!$M$1:$O$231,3,FALSE))))</f>
        <v>7.2344179438402385</v>
      </c>
      <c r="I25" s="171"/>
      <c r="K25" s="171"/>
      <c r="L25" s="145">
        <f ca="1">(IF(B25="STORAGE SITE",((100-'User Inputs'!$D$37)/100)*H25/'User Inputs'!$D$7,(IF(B25="INTERCONNECTOR",((100-'User Inputs'!$D$39)/100)*H25/'User Inputs'!$D$7,H25/'User Inputs'!$D$7))))</f>
        <v>1.9820323133808871E-2</v>
      </c>
      <c r="M25" s="147" t="s">
        <v>428</v>
      </c>
      <c r="N25" s="147" t="s">
        <v>428</v>
      </c>
      <c r="O25" s="145">
        <f ca="1">(IF(B25="STORAGE SITE",((100-'User Inputs'!$D$37)/100)* 'User Inputs'!$D$27*'Exit Prices'!H25/'User Inputs'!$D$7, IF(B25="INTERCONNECTOR", ((100-'User Inputs'!$D$39)/100)*'User Inputs'!$D$33*'Exit Prices'!H25/'User Inputs'!$D$7,  'User Inputs'!$D$27*'Exit Prices'!H25/'User Inputs'!$D$7)))</f>
        <v>1.9820323133808871E-2</v>
      </c>
      <c r="P25" s="147" t="s">
        <v>428</v>
      </c>
      <c r="Q25" s="145">
        <f ca="1">(100-(VLOOKUP(A25,'Exit Interruption Prob''s'!$A:$E,5,FALSE)))*O25/100</f>
        <v>1.7838290820427986E-2</v>
      </c>
    </row>
    <row r="26" spans="1:17">
      <c r="A26" s="2" t="s">
        <v>48</v>
      </c>
      <c r="B26" s="12" t="str">
        <f>VLOOKUP(A26,'Locations &amp; Types'!$E:$I,5,FALSE)</f>
        <v>STORAGE SITE</v>
      </c>
      <c r="C26" s="39">
        <f ca="1">(VLOOKUP(A26, INDIRECT("'"&amp;'Drop Down Inputs'!$B$10&amp;"'!"&amp;" $A:$H"),MATCH('User Inputs'!$D$19, INDIRECT("'"&amp;'Drop Down Inputs'!$B$10&amp;"'!"&amp;"$A$1:$H$1"),0), FALSE))*'User Inputs'!$D$20/100</f>
        <v>0</v>
      </c>
      <c r="D26" s="146">
        <f t="array" aca="1" ref="D26" ca="1">SUMPRODUCT('Entry Prices'!$C$3:$C$29, TRANSPOSE(INDEX('Distance Matrix'!$C$3:$AC$231,MATCH(A26,'Distance Matrix'!$B$3:$B$231,0),0)) /SUM('Entry Prices'!$C$3:$C$29))</f>
        <v>418.72693730714326</v>
      </c>
      <c r="E26" s="145">
        <f t="shared" ca="1" si="0"/>
        <v>0</v>
      </c>
      <c r="F26" s="39">
        <f ca="1">E26*'Revenue Input'!$B$6</f>
        <v>0</v>
      </c>
      <c r="G26" s="148">
        <f ca="1">IF('User Inputs'!$D$4="PS",('Revenue Input'!$B$6/SUM($C$3:$C$231)),IF(ISERR(F26/C26),0,(F26/C26)))</f>
        <v>7.2344179438402385</v>
      </c>
      <c r="H26" s="148">
        <f ca="1">((IF(G26&gt;0,G26,VLOOKUP(A26,'Nearest Location Prices'!$M$1:$O$231,3,FALSE))))</f>
        <v>7.2344179438402385</v>
      </c>
      <c r="I26" s="171"/>
      <c r="K26" s="171"/>
      <c r="L26" s="145">
        <f ca="1">(IF(B26="STORAGE SITE",((100-'User Inputs'!$D$37)/100)*H26/'User Inputs'!$D$7,(IF(B26="INTERCONNECTOR",((100-'User Inputs'!$D$39)/100)*H26/'User Inputs'!$D$7,H26/'User Inputs'!$D$7))))</f>
        <v>9.9101615669044355E-3</v>
      </c>
      <c r="M26" s="147" t="s">
        <v>428</v>
      </c>
      <c r="N26" s="147" t="s">
        <v>428</v>
      </c>
      <c r="O26" s="145">
        <f ca="1">(IF(B26="STORAGE SITE",((100-'User Inputs'!$D$37)/100)* 'User Inputs'!$D$27*'Exit Prices'!H26/'User Inputs'!$D$7, IF(B26="INTERCONNECTOR", ((100-'User Inputs'!$D$39)/100)*'User Inputs'!$D$33*'Exit Prices'!H26/'User Inputs'!$D$7,  'User Inputs'!$D$27*'Exit Prices'!H26/'User Inputs'!$D$7)))</f>
        <v>9.9101615669044355E-3</v>
      </c>
      <c r="P26" s="147" t="s">
        <v>428</v>
      </c>
      <c r="Q26" s="145">
        <f ca="1">(100-(VLOOKUP(A26,'Exit Interruption Prob''s'!$A:$E,5,FALSE)))*O26/100</f>
        <v>8.9191454102139928E-3</v>
      </c>
    </row>
    <row r="27" spans="1:17">
      <c r="A27" s="2" t="s">
        <v>49</v>
      </c>
      <c r="B27" s="12" t="str">
        <f>VLOOKUP(A27,'Locations &amp; Types'!$E:$I,5,FALSE)</f>
        <v>STORAGE SITE</v>
      </c>
      <c r="C27" s="39">
        <f ca="1">(VLOOKUP(A27, INDIRECT("'"&amp;'Drop Down Inputs'!$B$10&amp;"'!"&amp;" $A:$H"),MATCH('User Inputs'!$D$19, INDIRECT("'"&amp;'Drop Down Inputs'!$B$10&amp;"'!"&amp;"$A$1:$H$1"),0), FALSE))*'User Inputs'!$D$20/100</f>
        <v>6270352.3013698645</v>
      </c>
      <c r="D27" s="146">
        <f t="array" aca="1" ref="D27" ca="1">SUMPRODUCT('Entry Prices'!$C$3:$C$29, TRANSPOSE(INDEX('Distance Matrix'!$C$3:$AC$231,MATCH(A27,'Distance Matrix'!$B$3:$B$231,0),0)) /SUM('Entry Prices'!$C$3:$C$29))</f>
        <v>474.76959772304997</v>
      </c>
      <c r="E27" s="145">
        <f t="shared" ca="1" si="0"/>
        <v>1.1401380756402106E-3</v>
      </c>
      <c r="F27" s="39">
        <f ca="1">E27*'Revenue Input'!$B$6</f>
        <v>53572277.804992229</v>
      </c>
      <c r="G27" s="148">
        <f ca="1">IF('User Inputs'!$D$4="PS",('Revenue Input'!$B$6/SUM($C$3:$C$231)),IF(ISERR(F27/C27),0,(F27/C27)))</f>
        <v>7.2344179438402385</v>
      </c>
      <c r="H27" s="148">
        <f ca="1">((IF(G27&gt;0,G27,VLOOKUP(A27,'Nearest Location Prices'!$M$1:$O$231,3,FALSE))))</f>
        <v>7.2344179438402385</v>
      </c>
      <c r="I27" s="171"/>
      <c r="K27" s="171"/>
      <c r="L27" s="145">
        <f ca="1">(IF(B27="STORAGE SITE",((100-'User Inputs'!$D$37)/100)*H27/'User Inputs'!$D$7,(IF(B27="INTERCONNECTOR",((100-'User Inputs'!$D$39)/100)*H27/'User Inputs'!$D$7,H27/'User Inputs'!$D$7))))</f>
        <v>9.9101615669044355E-3</v>
      </c>
      <c r="M27" s="147" t="s">
        <v>428</v>
      </c>
      <c r="N27" s="147" t="s">
        <v>428</v>
      </c>
      <c r="O27" s="145">
        <f ca="1">(IF(B27="STORAGE SITE",((100-'User Inputs'!$D$37)/100)* 'User Inputs'!$D$27*'Exit Prices'!H27/'User Inputs'!$D$7, IF(B27="INTERCONNECTOR", ((100-'User Inputs'!$D$39)/100)*'User Inputs'!$D$33*'Exit Prices'!H27/'User Inputs'!$D$7,  'User Inputs'!$D$27*'Exit Prices'!H27/'User Inputs'!$D$7)))</f>
        <v>9.9101615669044355E-3</v>
      </c>
      <c r="P27" s="147" t="s">
        <v>428</v>
      </c>
      <c r="Q27" s="145">
        <f ca="1">(100-(VLOOKUP(A27,'Exit Interruption Prob''s'!$A:$E,5,FALSE)))*O27/100</f>
        <v>8.9191454102139928E-3</v>
      </c>
    </row>
    <row r="28" spans="1:17">
      <c r="A28" s="2" t="s">
        <v>50</v>
      </c>
      <c r="B28" s="12" t="str">
        <f>VLOOKUP(A28,'Locations &amp; Types'!$E:$I,5,FALSE)</f>
        <v>DNO</v>
      </c>
      <c r="C28" s="39">
        <f ca="1">(VLOOKUP(A28, INDIRECT("'"&amp;'Drop Down Inputs'!$B$10&amp;"'!"&amp;" $A:$H"),MATCH('User Inputs'!$D$19, INDIRECT("'"&amp;'Drop Down Inputs'!$B$10&amp;"'!"&amp;"$A$1:$H$1"),0), FALSE))*'User Inputs'!$D$20/100</f>
        <v>24494907</v>
      </c>
      <c r="D28" s="146">
        <f t="array" aca="1" ref="D28" ca="1">SUMPRODUCT('Entry Prices'!$C$3:$C$29, TRANSPOSE(INDEX('Distance Matrix'!$C$3:$AC$231,MATCH(A28,'Distance Matrix'!$B$3:$B$231,0),0)) /SUM('Entry Prices'!$C$3:$C$29))</f>
        <v>505.01217352939864</v>
      </c>
      <c r="E28" s="145">
        <f t="shared" ca="1" si="0"/>
        <v>4.7376202705739692E-3</v>
      </c>
      <c r="F28" s="39">
        <f ca="1">E28*'Revenue Input'!$B$6</f>
        <v>222609098.57539353</v>
      </c>
      <c r="G28" s="148">
        <f ca="1">IF('User Inputs'!$D$4="PS",('Revenue Input'!$B$6/SUM($C$3:$C$231)),IF(ISERR(F28/C28),0,(F28/C28)))</f>
        <v>7.2344179438402385</v>
      </c>
      <c r="H28" s="148">
        <f ca="1">((IF(G28&gt;0,G28,VLOOKUP(A28,'Nearest Location Prices'!$M$1:$O$231,3,FALSE))))</f>
        <v>7.2344179438402385</v>
      </c>
      <c r="I28" s="171"/>
      <c r="K28" s="171"/>
      <c r="L28" s="145">
        <f ca="1">(IF(B28="STORAGE SITE",((100-'User Inputs'!$D$37)/100)*H28/'User Inputs'!$D$7,(IF(B28="INTERCONNECTOR",((100-'User Inputs'!$D$39)/100)*H28/'User Inputs'!$D$7,H28/'User Inputs'!$D$7))))</f>
        <v>1.9820323133808871E-2</v>
      </c>
      <c r="M28" s="147" t="s">
        <v>428</v>
      </c>
      <c r="N28" s="147" t="s">
        <v>428</v>
      </c>
      <c r="O28" s="145">
        <f ca="1">(IF(B28="STORAGE SITE",((100-'User Inputs'!$D$37)/100)* 'User Inputs'!$D$27*'Exit Prices'!H28/'User Inputs'!$D$7, IF(B28="INTERCONNECTOR", ((100-'User Inputs'!$D$39)/100)*'User Inputs'!$D$33*'Exit Prices'!H28/'User Inputs'!$D$7,  'User Inputs'!$D$27*'Exit Prices'!H28/'User Inputs'!$D$7)))</f>
        <v>1.9820323133808871E-2</v>
      </c>
      <c r="P28" s="147" t="s">
        <v>428</v>
      </c>
      <c r="Q28" s="145">
        <f ca="1">(100-(VLOOKUP(A28,'Exit Interruption Prob''s'!$A:$E,5,FALSE)))*O28/100</f>
        <v>1.7838290820427986E-2</v>
      </c>
    </row>
    <row r="29" spans="1:17">
      <c r="A29" s="2" t="s">
        <v>51</v>
      </c>
      <c r="B29" s="12" t="str">
        <f>VLOOKUP(A29,'Locations &amp; Types'!$E:$I,5,FALSE)</f>
        <v>INDUSTRIAL</v>
      </c>
      <c r="C29" s="39">
        <f ca="1">(VLOOKUP(A29, INDIRECT("'"&amp;'Drop Down Inputs'!$B$10&amp;"'!"&amp;" $A:$H"),MATCH('User Inputs'!$D$19, INDIRECT("'"&amp;'Drop Down Inputs'!$B$10&amp;"'!"&amp;"$A$1:$H$1"),0), FALSE))*'User Inputs'!$D$20/100</f>
        <v>43231850</v>
      </c>
      <c r="D29" s="146">
        <f t="array" aca="1" ref="D29" ca="1">SUMPRODUCT('Entry Prices'!$C$3:$C$29, TRANSPOSE(INDEX('Distance Matrix'!$C$3:$AC$231,MATCH(A29,'Distance Matrix'!$B$3:$B$231,0),0)) /SUM('Entry Prices'!$C$3:$C$29))</f>
        <v>364.51490367235488</v>
      </c>
      <c r="E29" s="145">
        <f t="shared" ca="1" si="0"/>
        <v>6.0353396582358259E-3</v>
      </c>
      <c r="F29" s="39">
        <f ca="1">E29*'Revenue Input'!$B$6</f>
        <v>283585733.80416393</v>
      </c>
      <c r="G29" s="148">
        <f ca="1">IF('User Inputs'!$D$4="PS",('Revenue Input'!$B$6/SUM($C$3:$C$231)),IF(ISERR(F29/C29),0,(F29/C29)))</f>
        <v>7.2344179438402385</v>
      </c>
      <c r="H29" s="148">
        <f ca="1">((IF(G29&gt;0,G29,VLOOKUP(A29,'Nearest Location Prices'!$M$1:$O$231,3,FALSE))))</f>
        <v>7.2344179438402385</v>
      </c>
      <c r="I29" s="171"/>
      <c r="K29" s="171"/>
      <c r="L29" s="145">
        <f ca="1">(IF(B29="STORAGE SITE",((100-'User Inputs'!$D$37)/100)*H29/'User Inputs'!$D$7,(IF(B29="INTERCONNECTOR",((100-'User Inputs'!$D$39)/100)*H29/'User Inputs'!$D$7,H29/'User Inputs'!$D$7))))</f>
        <v>1.9820323133808871E-2</v>
      </c>
      <c r="M29" s="147" t="s">
        <v>428</v>
      </c>
      <c r="N29" s="147" t="s">
        <v>428</v>
      </c>
      <c r="O29" s="145">
        <f ca="1">(IF(B29="STORAGE SITE",((100-'User Inputs'!$D$37)/100)* 'User Inputs'!$D$27*'Exit Prices'!H29/'User Inputs'!$D$7, IF(B29="INTERCONNECTOR", ((100-'User Inputs'!$D$39)/100)*'User Inputs'!$D$33*'Exit Prices'!H29/'User Inputs'!$D$7,  'User Inputs'!$D$27*'Exit Prices'!H29/'User Inputs'!$D$7)))</f>
        <v>1.9820323133808871E-2</v>
      </c>
      <c r="P29" s="147" t="s">
        <v>428</v>
      </c>
      <c r="Q29" s="145">
        <f ca="1">(100-(VLOOKUP(A29,'Exit Interruption Prob''s'!$A:$E,5,FALSE)))*O29/100</f>
        <v>1.7838290820427986E-2</v>
      </c>
    </row>
    <row r="30" spans="1:17">
      <c r="A30" s="2" t="s">
        <v>52</v>
      </c>
      <c r="B30" s="12" t="str">
        <f>VLOOKUP(A30,'Locations &amp; Types'!$E:$I,5,FALSE)</f>
        <v>DNO</v>
      </c>
      <c r="C30" s="39">
        <f ca="1">(VLOOKUP(A30, INDIRECT("'"&amp;'Drop Down Inputs'!$B$10&amp;"'!"&amp;" $A:$H"),MATCH('User Inputs'!$D$19, INDIRECT("'"&amp;'Drop Down Inputs'!$B$10&amp;"'!"&amp;"$A$1:$H$1"),0), FALSE))*'User Inputs'!$D$20/100</f>
        <v>55604210</v>
      </c>
      <c r="D30" s="146">
        <f t="array" aca="1" ref="D30" ca="1">SUMPRODUCT('Entry Prices'!$C$3:$C$29, TRANSPOSE(INDEX('Distance Matrix'!$C$3:$AC$231,MATCH(A30,'Distance Matrix'!$B$3:$B$231,0),0)) /SUM('Entry Prices'!$C$3:$C$29))</f>
        <v>361.75038995899263</v>
      </c>
      <c r="E30" s="145">
        <f t="shared" ca="1" si="0"/>
        <v>7.7036987059182181E-3</v>
      </c>
      <c r="F30" s="39">
        <f ca="1">E30*'Revenue Input'!$B$6</f>
        <v>361977813.0536232</v>
      </c>
      <c r="G30" s="148">
        <f ca="1">IF('User Inputs'!$D$4="PS",('Revenue Input'!$B$6/SUM($C$3:$C$231)),IF(ISERR(F30/C30),0,(F30/C30)))</f>
        <v>7.2344179438402385</v>
      </c>
      <c r="H30" s="148">
        <f ca="1">((IF(G30&gt;0,G30,VLOOKUP(A30,'Nearest Location Prices'!$M$1:$O$231,3,FALSE))))</f>
        <v>7.2344179438402385</v>
      </c>
      <c r="I30" s="171"/>
      <c r="K30" s="171"/>
      <c r="L30" s="145">
        <f ca="1">(IF(B30="STORAGE SITE",((100-'User Inputs'!$D$37)/100)*H30/'User Inputs'!$D$7,(IF(B30="INTERCONNECTOR",((100-'User Inputs'!$D$39)/100)*H30/'User Inputs'!$D$7,H30/'User Inputs'!$D$7))))</f>
        <v>1.9820323133808871E-2</v>
      </c>
      <c r="M30" s="147" t="s">
        <v>428</v>
      </c>
      <c r="N30" s="147" t="s">
        <v>428</v>
      </c>
      <c r="O30" s="145">
        <f ca="1">(IF(B30="STORAGE SITE",((100-'User Inputs'!$D$37)/100)* 'User Inputs'!$D$27*'Exit Prices'!H30/'User Inputs'!$D$7, IF(B30="INTERCONNECTOR", ((100-'User Inputs'!$D$39)/100)*'User Inputs'!$D$33*'Exit Prices'!H30/'User Inputs'!$D$7,  'User Inputs'!$D$27*'Exit Prices'!H30/'User Inputs'!$D$7)))</f>
        <v>1.9820323133808871E-2</v>
      </c>
      <c r="P30" s="147" t="s">
        <v>428</v>
      </c>
      <c r="Q30" s="145">
        <f ca="1">(100-(VLOOKUP(A30,'Exit Interruption Prob''s'!$A:$E,5,FALSE)))*O30/100</f>
        <v>1.7838290820427986E-2</v>
      </c>
    </row>
    <row r="31" spans="1:17">
      <c r="A31" s="2" t="s">
        <v>53</v>
      </c>
      <c r="B31" s="12" t="str">
        <f>VLOOKUP(A31,'Locations &amp; Types'!$E:$I,5,FALSE)</f>
        <v>INDUSTRIAL</v>
      </c>
      <c r="C31" s="39">
        <f ca="1">(VLOOKUP(A31, INDIRECT("'"&amp;'Drop Down Inputs'!$B$10&amp;"'!"&amp;" $A:$H"),MATCH('User Inputs'!$D$19, INDIRECT("'"&amp;'Drop Down Inputs'!$B$10&amp;"'!"&amp;"$A$1:$H$1"),0), FALSE))*'User Inputs'!$D$20/100</f>
        <v>1151040</v>
      </c>
      <c r="D31" s="146">
        <f t="array" aca="1" ref="D31" ca="1">SUMPRODUCT('Entry Prices'!$C$3:$C$29, TRANSPOSE(INDEX('Distance Matrix'!$C$3:$AC$231,MATCH(A31,'Distance Matrix'!$B$3:$B$231,0),0)) /SUM('Entry Prices'!$C$3:$C$29))</f>
        <v>361.75038995899263</v>
      </c>
      <c r="E31" s="145">
        <f t="shared" ca="1" si="0"/>
        <v>1.5947111483932791E-4</v>
      </c>
      <c r="F31" s="39">
        <f ca="1">E31*'Revenue Input'!$B$6</f>
        <v>7493154.5999348331</v>
      </c>
      <c r="G31" s="148">
        <f ca="1">IF('User Inputs'!$D$4="PS",('Revenue Input'!$B$6/SUM($C$3:$C$231)),IF(ISERR(F31/C31),0,(F31/C31)))</f>
        <v>7.2344179438402385</v>
      </c>
      <c r="H31" s="148">
        <f ca="1">((IF(G31&gt;0,G31,VLOOKUP(A31,'Nearest Location Prices'!$M$1:$O$231,3,FALSE))))</f>
        <v>7.2344179438402385</v>
      </c>
      <c r="I31" s="171"/>
      <c r="K31" s="171"/>
      <c r="L31" s="145">
        <f ca="1">(IF(B31="STORAGE SITE",((100-'User Inputs'!$D$37)/100)*H31/'User Inputs'!$D$7,(IF(B31="INTERCONNECTOR",((100-'User Inputs'!$D$39)/100)*H31/'User Inputs'!$D$7,H31/'User Inputs'!$D$7))))</f>
        <v>1.9820323133808871E-2</v>
      </c>
      <c r="M31" s="147" t="s">
        <v>428</v>
      </c>
      <c r="N31" s="147" t="s">
        <v>428</v>
      </c>
      <c r="O31" s="145">
        <f ca="1">(IF(B31="STORAGE SITE",((100-'User Inputs'!$D$37)/100)* 'User Inputs'!$D$27*'Exit Prices'!H31/'User Inputs'!$D$7, IF(B31="INTERCONNECTOR", ((100-'User Inputs'!$D$39)/100)*'User Inputs'!$D$33*'Exit Prices'!H31/'User Inputs'!$D$7,  'User Inputs'!$D$27*'Exit Prices'!H31/'User Inputs'!$D$7)))</f>
        <v>1.9820323133808871E-2</v>
      </c>
      <c r="P31" s="147" t="s">
        <v>428</v>
      </c>
      <c r="Q31" s="145">
        <f ca="1">(100-(VLOOKUP(A31,'Exit Interruption Prob''s'!$A:$E,5,FALSE)))*O31/100</f>
        <v>1.7838290820427986E-2</v>
      </c>
    </row>
    <row r="32" spans="1:17">
      <c r="A32" s="2" t="s">
        <v>54</v>
      </c>
      <c r="B32" s="12" t="str">
        <f>VLOOKUP(A32,'Locations &amp; Types'!$E:$I,5,FALSE)</f>
        <v>DNO</v>
      </c>
      <c r="C32" s="39">
        <f ca="1">(VLOOKUP(A32, INDIRECT("'"&amp;'Drop Down Inputs'!$B$10&amp;"'!"&amp;" $A:$H"),MATCH('User Inputs'!$D$19, INDIRECT("'"&amp;'Drop Down Inputs'!$B$10&amp;"'!"&amp;"$A$1:$H$1"),0), FALSE))*'User Inputs'!$D$20/100</f>
        <v>9867513</v>
      </c>
      <c r="D32" s="146">
        <f t="array" aca="1" ref="D32" ca="1">SUMPRODUCT('Entry Prices'!$C$3:$C$29, TRANSPOSE(INDEX('Distance Matrix'!$C$3:$AC$231,MATCH(A32,'Distance Matrix'!$B$3:$B$231,0),0)) /SUM('Entry Prices'!$C$3:$C$29))</f>
        <v>326.36696529909761</v>
      </c>
      <c r="E32" s="145">
        <f t="shared" ca="1" si="0"/>
        <v>1.2333788779454455E-3</v>
      </c>
      <c r="F32" s="39">
        <f ca="1">E32*'Revenue Input'!$B$6</f>
        <v>57953433.272545174</v>
      </c>
      <c r="G32" s="148">
        <f ca="1">IF('User Inputs'!$D$4="PS",('Revenue Input'!$B$6/SUM($C$3:$C$231)),IF(ISERR(F32/C32),0,(F32/C32)))</f>
        <v>7.2344179438402385</v>
      </c>
      <c r="H32" s="148">
        <f ca="1">((IF(G32&gt;0,G32,VLOOKUP(A32,'Nearest Location Prices'!$M$1:$O$231,3,FALSE))))</f>
        <v>7.2344179438402385</v>
      </c>
      <c r="I32" s="171"/>
      <c r="K32" s="171"/>
      <c r="L32" s="145">
        <f ca="1">(IF(B32="STORAGE SITE",((100-'User Inputs'!$D$37)/100)*H32/'User Inputs'!$D$7,(IF(B32="INTERCONNECTOR",((100-'User Inputs'!$D$39)/100)*H32/'User Inputs'!$D$7,H32/'User Inputs'!$D$7))))</f>
        <v>1.9820323133808871E-2</v>
      </c>
      <c r="M32" s="147" t="s">
        <v>428</v>
      </c>
      <c r="N32" s="147" t="s">
        <v>428</v>
      </c>
      <c r="O32" s="145">
        <f ca="1">(IF(B32="STORAGE SITE",((100-'User Inputs'!$D$37)/100)* 'User Inputs'!$D$27*'Exit Prices'!H32/'User Inputs'!$D$7, IF(B32="INTERCONNECTOR", ((100-'User Inputs'!$D$39)/100)*'User Inputs'!$D$33*'Exit Prices'!H32/'User Inputs'!$D$7,  'User Inputs'!$D$27*'Exit Prices'!H32/'User Inputs'!$D$7)))</f>
        <v>1.9820323133808871E-2</v>
      </c>
      <c r="P32" s="147" t="s">
        <v>428</v>
      </c>
      <c r="Q32" s="145">
        <f ca="1">(100-(VLOOKUP(A32,'Exit Interruption Prob''s'!$A:$E,5,FALSE)))*O32/100</f>
        <v>1.7838290820427986E-2</v>
      </c>
    </row>
    <row r="33" spans="1:17">
      <c r="A33" s="2" t="s">
        <v>55</v>
      </c>
      <c r="B33" s="12" t="str">
        <f>VLOOKUP(A33,'Locations &amp; Types'!$E:$I,5,FALSE)</f>
        <v>INDUSTRIAL</v>
      </c>
      <c r="C33" s="39">
        <f ca="1">(VLOOKUP(A33, INDIRECT("'"&amp;'Drop Down Inputs'!$B$10&amp;"'!"&amp;" $A:$H"),MATCH('User Inputs'!$D$19, INDIRECT("'"&amp;'Drop Down Inputs'!$B$10&amp;"'!"&amp;"$A$1:$H$1"),0), FALSE))*'User Inputs'!$D$20/100</f>
        <v>27291369.8630137</v>
      </c>
      <c r="D33" s="146">
        <f t="array" aca="1" ref="D33" ca="1">SUMPRODUCT('Entry Prices'!$C$3:$C$29, TRANSPOSE(INDEX('Distance Matrix'!$C$3:$AC$231,MATCH(A33,'Distance Matrix'!$B$3:$B$231,0),0)) /SUM('Entry Prices'!$C$3:$C$29))</f>
        <v>519.12033267961522</v>
      </c>
      <c r="E33" s="145">
        <f t="shared" ca="1" si="0"/>
        <v>5.4259524171723344E-3</v>
      </c>
      <c r="F33" s="39">
        <f ca="1">E33*'Revenue Input'!$B$6</f>
        <v>254952129.44818312</v>
      </c>
      <c r="G33" s="148">
        <f ca="1">IF('User Inputs'!$D$4="PS",('Revenue Input'!$B$6/SUM($C$3:$C$231)),IF(ISERR(F33/C33),0,(F33/C33)))</f>
        <v>7.2344179438402385</v>
      </c>
      <c r="H33" s="148">
        <f ca="1">((IF(G33&gt;0,G33,VLOOKUP(A33,'Nearest Location Prices'!$M$1:$O$231,3,FALSE))))</f>
        <v>7.2344179438402385</v>
      </c>
      <c r="I33" s="171"/>
      <c r="K33" s="171"/>
      <c r="L33" s="145">
        <f ca="1">(IF(B33="STORAGE SITE",((100-'User Inputs'!$D$37)/100)*H33/'User Inputs'!$D$7,(IF(B33="INTERCONNECTOR",((100-'User Inputs'!$D$39)/100)*H33/'User Inputs'!$D$7,H33/'User Inputs'!$D$7))))</f>
        <v>1.9820323133808871E-2</v>
      </c>
      <c r="M33" s="147" t="s">
        <v>428</v>
      </c>
      <c r="N33" s="147" t="s">
        <v>428</v>
      </c>
      <c r="O33" s="145">
        <f ca="1">(IF(B33="STORAGE SITE",((100-'User Inputs'!$D$37)/100)* 'User Inputs'!$D$27*'Exit Prices'!H33/'User Inputs'!$D$7, IF(B33="INTERCONNECTOR", ((100-'User Inputs'!$D$39)/100)*'User Inputs'!$D$33*'Exit Prices'!H33/'User Inputs'!$D$7,  'User Inputs'!$D$27*'Exit Prices'!H33/'User Inputs'!$D$7)))</f>
        <v>1.9820323133808871E-2</v>
      </c>
      <c r="P33" s="147" t="s">
        <v>428</v>
      </c>
      <c r="Q33" s="145">
        <f ca="1">(100-(VLOOKUP(A33,'Exit Interruption Prob''s'!$A:$E,5,FALSE)))*O33/100</f>
        <v>1.7838290820427986E-2</v>
      </c>
    </row>
    <row r="34" spans="1:17">
      <c r="A34" s="2" t="s">
        <v>56</v>
      </c>
      <c r="B34" s="12" t="str">
        <f>VLOOKUP(A34,'Locations &amp; Types'!$E:$I,5,FALSE)</f>
        <v>DNO</v>
      </c>
      <c r="C34" s="39">
        <f ca="1">(VLOOKUP(A34, INDIRECT("'"&amp;'Drop Down Inputs'!$B$10&amp;"'!"&amp;" $A:$H"),MATCH('User Inputs'!$D$19, INDIRECT("'"&amp;'Drop Down Inputs'!$B$10&amp;"'!"&amp;"$A$1:$H$1"),0), FALSE))*'User Inputs'!$D$20/100</f>
        <v>126130731</v>
      </c>
      <c r="D34" s="146">
        <f t="array" aca="1" ref="D34" ca="1">SUMPRODUCT('Entry Prices'!$C$3:$C$29, TRANSPOSE(INDEX('Distance Matrix'!$C$3:$AC$231,MATCH(A34,'Distance Matrix'!$B$3:$B$231,0),0)) /SUM('Entry Prices'!$C$3:$C$29))</f>
        <v>426.20787187789057</v>
      </c>
      <c r="E34" s="145">
        <f t="shared" ca="1" si="0"/>
        <v>2.0588513223027745E-2</v>
      </c>
      <c r="F34" s="39">
        <f ca="1">E34*'Revenue Input'!$B$6</f>
        <v>967403486.94736493</v>
      </c>
      <c r="G34" s="148">
        <f ca="1">IF('User Inputs'!$D$4="PS",('Revenue Input'!$B$6/SUM($C$3:$C$231)),IF(ISERR(F34/C34),0,(F34/C34)))</f>
        <v>7.2344179438402385</v>
      </c>
      <c r="H34" s="148">
        <f ca="1">((IF(G34&gt;0,G34,VLOOKUP(A34,'Nearest Location Prices'!$M$1:$O$231,3,FALSE))))</f>
        <v>7.2344179438402385</v>
      </c>
      <c r="I34" s="171"/>
      <c r="K34" s="171"/>
      <c r="L34" s="145">
        <f ca="1">(IF(B34="STORAGE SITE",((100-'User Inputs'!$D$37)/100)*H34/'User Inputs'!$D$7,(IF(B34="INTERCONNECTOR",((100-'User Inputs'!$D$39)/100)*H34/'User Inputs'!$D$7,H34/'User Inputs'!$D$7))))</f>
        <v>1.9820323133808871E-2</v>
      </c>
      <c r="M34" s="147" t="s">
        <v>428</v>
      </c>
      <c r="N34" s="147" t="s">
        <v>428</v>
      </c>
      <c r="O34" s="145">
        <f ca="1">(IF(B34="STORAGE SITE",((100-'User Inputs'!$D$37)/100)* 'User Inputs'!$D$27*'Exit Prices'!H34/'User Inputs'!$D$7, IF(B34="INTERCONNECTOR", ((100-'User Inputs'!$D$39)/100)*'User Inputs'!$D$33*'Exit Prices'!H34/'User Inputs'!$D$7,  'User Inputs'!$D$27*'Exit Prices'!H34/'User Inputs'!$D$7)))</f>
        <v>1.9820323133808871E-2</v>
      </c>
      <c r="P34" s="147" t="s">
        <v>428</v>
      </c>
      <c r="Q34" s="145">
        <f ca="1">(100-(VLOOKUP(A34,'Exit Interruption Prob''s'!$A:$E,5,FALSE)))*O34/100</f>
        <v>1.7838290820427986E-2</v>
      </c>
    </row>
    <row r="35" spans="1:17">
      <c r="A35" s="2" t="s">
        <v>57</v>
      </c>
      <c r="B35" s="12" t="str">
        <f>VLOOKUP(A35,'Locations &amp; Types'!$E:$I,5,FALSE)</f>
        <v>DNO</v>
      </c>
      <c r="C35" s="39">
        <f ca="1">(VLOOKUP(A35, INDIRECT("'"&amp;'Drop Down Inputs'!$B$10&amp;"'!"&amp;" $A:$H"),MATCH('User Inputs'!$D$19, INDIRECT("'"&amp;'Drop Down Inputs'!$B$10&amp;"'!"&amp;"$A$1:$H$1"),0), FALSE))*'User Inputs'!$D$20/100</f>
        <v>63346076</v>
      </c>
      <c r="D35" s="146">
        <f t="array" aca="1" ref="D35" ca="1">SUMPRODUCT('Entry Prices'!$C$3:$C$29, TRANSPOSE(INDEX('Distance Matrix'!$C$3:$AC$231,MATCH(A35,'Distance Matrix'!$B$3:$B$231,0),0)) /SUM('Entry Prices'!$C$3:$C$29))</f>
        <v>307.9695728468115</v>
      </c>
      <c r="E35" s="145">
        <f t="shared" ca="1" si="0"/>
        <v>7.471540146952841E-3</v>
      </c>
      <c r="F35" s="39">
        <f ca="1">E35*'Revenue Input'!$B$6</f>
        <v>351069254.62422764</v>
      </c>
      <c r="G35" s="148">
        <f ca="1">IF('User Inputs'!$D$4="PS",('Revenue Input'!$B$6/SUM($C$3:$C$231)),IF(ISERR(F35/C35),0,(F35/C35)))</f>
        <v>7.2344179438402385</v>
      </c>
      <c r="H35" s="148">
        <f ca="1">((IF(G35&gt;0,G35,VLOOKUP(A35,'Nearest Location Prices'!$M$1:$O$231,3,FALSE))))</f>
        <v>7.2344179438402385</v>
      </c>
      <c r="I35" s="171"/>
      <c r="K35" s="171"/>
      <c r="L35" s="145">
        <f ca="1">(IF(B35="STORAGE SITE",((100-'User Inputs'!$D$37)/100)*H35/'User Inputs'!$D$7,(IF(B35="INTERCONNECTOR",((100-'User Inputs'!$D$39)/100)*H35/'User Inputs'!$D$7,H35/'User Inputs'!$D$7))))</f>
        <v>1.9820323133808871E-2</v>
      </c>
      <c r="M35" s="147" t="s">
        <v>428</v>
      </c>
      <c r="N35" s="147" t="s">
        <v>428</v>
      </c>
      <c r="O35" s="145">
        <f ca="1">(IF(B35="STORAGE SITE",((100-'User Inputs'!$D$37)/100)* 'User Inputs'!$D$27*'Exit Prices'!H35/'User Inputs'!$D$7, IF(B35="INTERCONNECTOR", ((100-'User Inputs'!$D$39)/100)*'User Inputs'!$D$33*'Exit Prices'!H35/'User Inputs'!$D$7,  'User Inputs'!$D$27*'Exit Prices'!H35/'User Inputs'!$D$7)))</f>
        <v>1.9820323133808871E-2</v>
      </c>
      <c r="P35" s="147" t="s">
        <v>428</v>
      </c>
      <c r="Q35" s="145">
        <f ca="1">(100-(VLOOKUP(A35,'Exit Interruption Prob''s'!$A:$E,5,FALSE)))*O35/100</f>
        <v>1.7838290820427986E-2</v>
      </c>
    </row>
    <row r="36" spans="1:17">
      <c r="A36" s="2" t="s">
        <v>58</v>
      </c>
      <c r="B36" s="12" t="str">
        <f>VLOOKUP(A36,'Locations &amp; Types'!$E:$I,5,FALSE)</f>
        <v>POWER STATION</v>
      </c>
      <c r="C36" s="39">
        <f ca="1">(VLOOKUP(A36, INDIRECT("'"&amp;'Drop Down Inputs'!$B$10&amp;"'!"&amp;" $A:$H"),MATCH('User Inputs'!$D$19, INDIRECT("'"&amp;'Drop Down Inputs'!$B$10&amp;"'!"&amp;"$A$1:$H$1"),0), FALSE))*'User Inputs'!$D$20/100</f>
        <v>1605479.4520547944</v>
      </c>
      <c r="D36" s="146">
        <f t="array" aca="1" ref="D36" ca="1">SUMPRODUCT('Entry Prices'!$C$3:$C$29, TRANSPOSE(INDEX('Distance Matrix'!$C$3:$AC$231,MATCH(A36,'Distance Matrix'!$B$3:$B$231,0),0)) /SUM('Entry Prices'!$C$3:$C$29))</f>
        <v>307.9695728468115</v>
      </c>
      <c r="E36" s="145">
        <f t="shared" ca="1" si="0"/>
        <v>1.893630188101193E-4</v>
      </c>
      <c r="F36" s="39">
        <f ca="1">E36*'Revenue Input'!$B$6</f>
        <v>8897701.4858408943</v>
      </c>
      <c r="G36" s="148">
        <f ca="1">IF('User Inputs'!$D$4="PS",('Revenue Input'!$B$6/SUM($C$3:$C$231)),IF(ISERR(F36/C36),0,(F36/C36)))</f>
        <v>7.2344179438402385</v>
      </c>
      <c r="H36" s="148">
        <f ca="1">((IF(G36&gt;0,G36,VLOOKUP(A36,'Nearest Location Prices'!$M$1:$O$231,3,FALSE))))</f>
        <v>7.2344179438402385</v>
      </c>
      <c r="I36" s="171"/>
      <c r="K36" s="171"/>
      <c r="L36" s="145">
        <f ca="1">(IF(B36="STORAGE SITE",((100-'User Inputs'!$D$37)/100)*H36/'User Inputs'!$D$7,(IF(B36="INTERCONNECTOR",((100-'User Inputs'!$D$39)/100)*H36/'User Inputs'!$D$7,H36/'User Inputs'!$D$7))))</f>
        <v>1.9820323133808871E-2</v>
      </c>
      <c r="M36" s="147" t="s">
        <v>428</v>
      </c>
      <c r="N36" s="147" t="s">
        <v>428</v>
      </c>
      <c r="O36" s="145">
        <f ca="1">(IF(B36="STORAGE SITE",((100-'User Inputs'!$D$37)/100)* 'User Inputs'!$D$27*'Exit Prices'!H36/'User Inputs'!$D$7, IF(B36="INTERCONNECTOR", ((100-'User Inputs'!$D$39)/100)*'User Inputs'!$D$33*'Exit Prices'!H36/'User Inputs'!$D$7,  'User Inputs'!$D$27*'Exit Prices'!H36/'User Inputs'!$D$7)))</f>
        <v>1.9820323133808871E-2</v>
      </c>
      <c r="P36" s="147" t="s">
        <v>428</v>
      </c>
      <c r="Q36" s="145">
        <f ca="1">(100-(VLOOKUP(A36,'Exit Interruption Prob''s'!$A:$E,5,FALSE)))*O36/100</f>
        <v>1.7838290820427986E-2</v>
      </c>
    </row>
    <row r="37" spans="1:17">
      <c r="A37" s="2" t="s">
        <v>59</v>
      </c>
      <c r="B37" s="12" t="str">
        <f>VLOOKUP(A37,'Locations &amp; Types'!$E:$I,5,FALSE)</f>
        <v>POWER STATION</v>
      </c>
      <c r="C37" s="39">
        <f ca="1">(VLOOKUP(A37, INDIRECT("'"&amp;'Drop Down Inputs'!$B$10&amp;"'!"&amp;" $A:$H"),MATCH('User Inputs'!$D$19, INDIRECT("'"&amp;'Drop Down Inputs'!$B$10&amp;"'!"&amp;"$A$1:$H$1"),0), FALSE))*'User Inputs'!$D$20/100</f>
        <v>13982362.493150689</v>
      </c>
      <c r="D37" s="146">
        <f t="array" aca="1" ref="D37" ca="1">SUMPRODUCT('Entry Prices'!$C$3:$C$29, TRANSPOSE(INDEX('Distance Matrix'!$C$3:$AC$231,MATCH(A37,'Distance Matrix'!$B$3:$B$231,0),0)) /SUM('Entry Prices'!$C$3:$C$29))</f>
        <v>307.9695728468115</v>
      </c>
      <c r="E37" s="145">
        <f t="shared" ca="1" si="0"/>
        <v>1.6491910677596351E-3</v>
      </c>
      <c r="F37" s="39">
        <f ca="1">E37*'Revenue Input'!$B$6</f>
        <v>77491423.120765522</v>
      </c>
      <c r="G37" s="148">
        <f ca="1">IF('User Inputs'!$D$4="PS",('Revenue Input'!$B$6/SUM($C$3:$C$231)),IF(ISERR(F37/C37),0,(F37/C37)))</f>
        <v>7.2344179438402385</v>
      </c>
      <c r="H37" s="148">
        <f ca="1">((IF(G37&gt;0,G37,VLOOKUP(A37,'Nearest Location Prices'!$M$1:$O$231,3,FALSE))))</f>
        <v>7.2344179438402385</v>
      </c>
      <c r="I37" s="171"/>
      <c r="K37" s="171"/>
      <c r="L37" s="145">
        <f ca="1">(IF(B37="STORAGE SITE",((100-'User Inputs'!$D$37)/100)*H37/'User Inputs'!$D$7,(IF(B37="INTERCONNECTOR",((100-'User Inputs'!$D$39)/100)*H37/'User Inputs'!$D$7,H37/'User Inputs'!$D$7))))</f>
        <v>1.9820323133808871E-2</v>
      </c>
      <c r="M37" s="147" t="s">
        <v>428</v>
      </c>
      <c r="N37" s="147" t="s">
        <v>428</v>
      </c>
      <c r="O37" s="145">
        <f ca="1">(IF(B37="STORAGE SITE",((100-'User Inputs'!$D$37)/100)* 'User Inputs'!$D$27*'Exit Prices'!H37/'User Inputs'!$D$7, IF(B37="INTERCONNECTOR", ((100-'User Inputs'!$D$39)/100)*'User Inputs'!$D$33*'Exit Prices'!H37/'User Inputs'!$D$7,  'User Inputs'!$D$27*'Exit Prices'!H37/'User Inputs'!$D$7)))</f>
        <v>1.9820323133808871E-2</v>
      </c>
      <c r="P37" s="147" t="s">
        <v>428</v>
      </c>
      <c r="Q37" s="145">
        <f ca="1">(100-(VLOOKUP(A37,'Exit Interruption Prob''s'!$A:$E,5,FALSE)))*O37/100</f>
        <v>1.7838290820427986E-2</v>
      </c>
    </row>
    <row r="38" spans="1:17">
      <c r="A38" s="2" t="s">
        <v>60</v>
      </c>
      <c r="B38" s="12" t="str">
        <f>VLOOKUP(A38,'Locations &amp; Types'!$E:$I,5,FALSE)</f>
        <v>DNO</v>
      </c>
      <c r="C38" s="39">
        <f ca="1">(VLOOKUP(A38, INDIRECT("'"&amp;'Drop Down Inputs'!$B$10&amp;"'!"&amp;" $A:$H"),MATCH('User Inputs'!$D$19, INDIRECT("'"&amp;'Drop Down Inputs'!$B$10&amp;"'!"&amp;"$A$1:$H$1"),0), FALSE))*'User Inputs'!$D$20/100</f>
        <v>94132349</v>
      </c>
      <c r="D38" s="146">
        <f t="array" aca="1" ref="D38" ca="1">SUMPRODUCT('Entry Prices'!$C$3:$C$29, TRANSPOSE(INDEX('Distance Matrix'!$C$3:$AC$231,MATCH(A38,'Distance Matrix'!$B$3:$B$231,0),0)) /SUM('Entry Prices'!$C$3:$C$29))</f>
        <v>492.42415102298685</v>
      </c>
      <c r="E38" s="145">
        <f t="shared" ca="1" si="0"/>
        <v>1.7752554204517917E-2</v>
      </c>
      <c r="F38" s="39">
        <f ca="1">E38*'Revenue Input'!$B$6</f>
        <v>834148763.1299268</v>
      </c>
      <c r="G38" s="148">
        <f ca="1">IF('User Inputs'!$D$4="PS",('Revenue Input'!$B$6/SUM($C$3:$C$231)),IF(ISERR(F38/C38),0,(F38/C38)))</f>
        <v>7.2344179438402385</v>
      </c>
      <c r="H38" s="148">
        <f ca="1">((IF(G38&gt;0,G38,VLOOKUP(A38,'Nearest Location Prices'!$M$1:$O$231,3,FALSE))))</f>
        <v>7.2344179438402385</v>
      </c>
      <c r="I38" s="171"/>
      <c r="K38" s="171"/>
      <c r="L38" s="145">
        <f ca="1">(IF(B38="STORAGE SITE",((100-'User Inputs'!$D$37)/100)*H38/'User Inputs'!$D$7,(IF(B38="INTERCONNECTOR",((100-'User Inputs'!$D$39)/100)*H38/'User Inputs'!$D$7,H38/'User Inputs'!$D$7))))</f>
        <v>1.9820323133808871E-2</v>
      </c>
      <c r="M38" s="147" t="s">
        <v>428</v>
      </c>
      <c r="N38" s="147" t="s">
        <v>428</v>
      </c>
      <c r="O38" s="145">
        <f ca="1">(IF(B38="STORAGE SITE",((100-'User Inputs'!$D$37)/100)* 'User Inputs'!$D$27*'Exit Prices'!H38/'User Inputs'!$D$7, IF(B38="INTERCONNECTOR", ((100-'User Inputs'!$D$39)/100)*'User Inputs'!$D$33*'Exit Prices'!H38/'User Inputs'!$D$7,  'User Inputs'!$D$27*'Exit Prices'!H38/'User Inputs'!$D$7)))</f>
        <v>1.9820323133808871E-2</v>
      </c>
      <c r="P38" s="147" t="s">
        <v>428</v>
      </c>
      <c r="Q38" s="145">
        <f ca="1">(100-(VLOOKUP(A38,'Exit Interruption Prob''s'!$A:$E,5,FALSE)))*O38/100</f>
        <v>1.7838290820427986E-2</v>
      </c>
    </row>
    <row r="39" spans="1:17">
      <c r="A39" s="2" t="s">
        <v>61</v>
      </c>
      <c r="B39" s="12" t="str">
        <f>VLOOKUP(A39,'Locations &amp; Types'!$E:$I,5,FALSE)</f>
        <v>DNO</v>
      </c>
      <c r="C39" s="39">
        <f ca="1">(VLOOKUP(A39, INDIRECT("'"&amp;'Drop Down Inputs'!$B$10&amp;"'!"&amp;" $A:$H"),MATCH('User Inputs'!$D$19, INDIRECT("'"&amp;'Drop Down Inputs'!$B$10&amp;"'!"&amp;"$A$1:$H$1"),0), FALSE))*'User Inputs'!$D$20/100</f>
        <v>65767083</v>
      </c>
      <c r="D39" s="146">
        <f t="array" aca="1" ref="D39" ca="1">SUMPRODUCT('Entry Prices'!$C$3:$C$29, TRANSPOSE(INDEX('Distance Matrix'!$C$3:$AC$231,MATCH(A39,'Distance Matrix'!$B$3:$B$231,0),0)) /SUM('Entry Prices'!$C$3:$C$29))</f>
        <v>492.42415102298685</v>
      </c>
      <c r="E39" s="145">
        <f t="shared" ca="1" si="0"/>
        <v>1.2403108158179807E-2</v>
      </c>
      <c r="F39" s="39">
        <f ca="1">E39*'Revenue Input'!$B$6</f>
        <v>582791479.46380508</v>
      </c>
      <c r="G39" s="148">
        <f ca="1">IF('User Inputs'!$D$4="PS",('Revenue Input'!$B$6/SUM($C$3:$C$231)),IF(ISERR(F39/C39),0,(F39/C39)))</f>
        <v>7.2344179438402385</v>
      </c>
      <c r="H39" s="148">
        <f ca="1">((IF(G39&gt;0,G39,VLOOKUP(A39,'Nearest Location Prices'!$M$1:$O$231,3,FALSE))))</f>
        <v>7.2344179438402385</v>
      </c>
      <c r="I39" s="171"/>
      <c r="K39" s="171"/>
      <c r="L39" s="145">
        <f ca="1">(IF(B39="STORAGE SITE",((100-'User Inputs'!$D$37)/100)*H39/'User Inputs'!$D$7,(IF(B39="INTERCONNECTOR",((100-'User Inputs'!$D$39)/100)*H39/'User Inputs'!$D$7,H39/'User Inputs'!$D$7))))</f>
        <v>1.9820323133808871E-2</v>
      </c>
      <c r="M39" s="147" t="s">
        <v>428</v>
      </c>
      <c r="N39" s="147" t="s">
        <v>428</v>
      </c>
      <c r="O39" s="145">
        <f ca="1">(IF(B39="STORAGE SITE",((100-'User Inputs'!$D$37)/100)* 'User Inputs'!$D$27*'Exit Prices'!H39/'User Inputs'!$D$7, IF(B39="INTERCONNECTOR", ((100-'User Inputs'!$D$39)/100)*'User Inputs'!$D$33*'Exit Prices'!H39/'User Inputs'!$D$7,  'User Inputs'!$D$27*'Exit Prices'!H39/'User Inputs'!$D$7)))</f>
        <v>1.9820323133808871E-2</v>
      </c>
      <c r="P39" s="147" t="s">
        <v>428</v>
      </c>
      <c r="Q39" s="145">
        <f ca="1">(100-(VLOOKUP(A39,'Exit Interruption Prob''s'!$A:$E,5,FALSE)))*O39/100</f>
        <v>1.7838290820427986E-2</v>
      </c>
    </row>
    <row r="40" spans="1:17">
      <c r="A40" s="2" t="s">
        <v>62</v>
      </c>
      <c r="B40" s="12" t="str">
        <f>VLOOKUP(A40,'Locations &amp; Types'!$E:$I,5,FALSE)</f>
        <v>POWER STATION</v>
      </c>
      <c r="C40" s="39">
        <f ca="1">(VLOOKUP(A40, INDIRECT("'"&amp;'Drop Down Inputs'!$B$10&amp;"'!"&amp;" $A:$H"),MATCH('User Inputs'!$D$19, INDIRECT("'"&amp;'Drop Down Inputs'!$B$10&amp;"'!"&amp;"$A$1:$H$1"),0), FALSE))*'User Inputs'!$D$20/100</f>
        <v>105652.43835616432</v>
      </c>
      <c r="D40" s="146">
        <f t="array" aca="1" ref="D40" ca="1">SUMPRODUCT('Entry Prices'!$C$3:$C$29, TRANSPOSE(INDEX('Distance Matrix'!$C$3:$AC$231,MATCH(A40,'Distance Matrix'!$B$3:$B$231,0),0)) /SUM('Entry Prices'!$C$3:$C$29))</f>
        <v>366.63662441434838</v>
      </c>
      <c r="E40" s="145">
        <f t="shared" ca="1" si="0"/>
        <v>1.4835356142280995E-5</v>
      </c>
      <c r="F40" s="39">
        <f ca="1">E40*'Revenue Input'!$B$6</f>
        <v>697076.81689693523</v>
      </c>
      <c r="G40" s="148">
        <f ca="1">IF('User Inputs'!$D$4="PS",('Revenue Input'!$B$6/SUM($C$3:$C$231)),IF(ISERR(F40/C40),0,(F40/C40)))</f>
        <v>7.2344179438402385</v>
      </c>
      <c r="H40" s="148">
        <f ca="1">((IF(G40&gt;0,G40,VLOOKUP(A40,'Nearest Location Prices'!$M$1:$O$231,3,FALSE))))</f>
        <v>7.2344179438402385</v>
      </c>
      <c r="I40" s="171"/>
      <c r="K40" s="171"/>
      <c r="L40" s="145">
        <f ca="1">(IF(B40="STORAGE SITE",((100-'User Inputs'!$D$37)/100)*H40/'User Inputs'!$D$7,(IF(B40="INTERCONNECTOR",((100-'User Inputs'!$D$39)/100)*H40/'User Inputs'!$D$7,H40/'User Inputs'!$D$7))))</f>
        <v>1.9820323133808871E-2</v>
      </c>
      <c r="M40" s="147" t="s">
        <v>428</v>
      </c>
      <c r="N40" s="147" t="s">
        <v>428</v>
      </c>
      <c r="O40" s="145">
        <f ca="1">(IF(B40="STORAGE SITE",((100-'User Inputs'!$D$37)/100)* 'User Inputs'!$D$27*'Exit Prices'!H40/'User Inputs'!$D$7, IF(B40="INTERCONNECTOR", ((100-'User Inputs'!$D$39)/100)*'User Inputs'!$D$33*'Exit Prices'!H40/'User Inputs'!$D$7,  'User Inputs'!$D$27*'Exit Prices'!H40/'User Inputs'!$D$7)))</f>
        <v>1.9820323133808871E-2</v>
      </c>
      <c r="P40" s="147" t="s">
        <v>428</v>
      </c>
      <c r="Q40" s="145">
        <f ca="1">(100-(VLOOKUP(A40,'Exit Interruption Prob''s'!$A:$E,5,FALSE)))*O40/100</f>
        <v>1.7838290820427986E-2</v>
      </c>
    </row>
    <row r="41" spans="1:17">
      <c r="A41" s="2" t="s">
        <v>63</v>
      </c>
      <c r="B41" s="12" t="str">
        <f>VLOOKUP(A41,'Locations &amp; Types'!$E:$I,5,FALSE)</f>
        <v>DNO</v>
      </c>
      <c r="C41" s="39">
        <f ca="1">(VLOOKUP(A41, INDIRECT("'"&amp;'Drop Down Inputs'!$B$10&amp;"'!"&amp;" $A:$H"),MATCH('User Inputs'!$D$19, INDIRECT("'"&amp;'Drop Down Inputs'!$B$10&amp;"'!"&amp;"$A$1:$H$1"),0), FALSE))*'User Inputs'!$D$20/100</f>
        <v>2077837</v>
      </c>
      <c r="D41" s="146">
        <f t="array" aca="1" ref="D41" ca="1">SUMPRODUCT('Entry Prices'!$C$3:$C$29, TRANSPOSE(INDEX('Distance Matrix'!$C$3:$AC$231,MATCH(A41,'Distance Matrix'!$B$3:$B$231,0),0)) /SUM('Entry Prices'!$C$3:$C$29))</f>
        <v>327.12813754913401</v>
      </c>
      <c r="E41" s="145">
        <f t="shared" ca="1" si="0"/>
        <v>2.603226656992543E-4</v>
      </c>
      <c r="F41" s="39">
        <f ca="1">E41*'Revenue Input'!$B$6</f>
        <v>12231920.382051593</v>
      </c>
      <c r="G41" s="148">
        <f ca="1">IF('User Inputs'!$D$4="PS",('Revenue Input'!$B$6/SUM($C$3:$C$231)),IF(ISERR(F41/C41),0,(F41/C41)))</f>
        <v>7.2344179438402385</v>
      </c>
      <c r="H41" s="148">
        <f ca="1">((IF(G41&gt;0,G41,VLOOKUP(A41,'Nearest Location Prices'!$M$1:$O$231,3,FALSE))))</f>
        <v>7.2344179438402385</v>
      </c>
      <c r="I41" s="171"/>
      <c r="K41" s="171"/>
      <c r="L41" s="145">
        <f ca="1">(IF(B41="STORAGE SITE",((100-'User Inputs'!$D$37)/100)*H41/'User Inputs'!$D$7,(IF(B41="INTERCONNECTOR",((100-'User Inputs'!$D$39)/100)*H41/'User Inputs'!$D$7,H41/'User Inputs'!$D$7))))</f>
        <v>1.9820323133808871E-2</v>
      </c>
      <c r="M41" s="147" t="s">
        <v>428</v>
      </c>
      <c r="N41" s="147" t="s">
        <v>428</v>
      </c>
      <c r="O41" s="145">
        <f ca="1">(IF(B41="STORAGE SITE",((100-'User Inputs'!$D$37)/100)* 'User Inputs'!$D$27*'Exit Prices'!H41/'User Inputs'!$D$7, IF(B41="INTERCONNECTOR", ((100-'User Inputs'!$D$39)/100)*'User Inputs'!$D$33*'Exit Prices'!H41/'User Inputs'!$D$7,  'User Inputs'!$D$27*'Exit Prices'!H41/'User Inputs'!$D$7)))</f>
        <v>1.9820323133808871E-2</v>
      </c>
      <c r="P41" s="147" t="s">
        <v>428</v>
      </c>
      <c r="Q41" s="145">
        <f ca="1">(100-(VLOOKUP(A41,'Exit Interruption Prob''s'!$A:$E,5,FALSE)))*O41/100</f>
        <v>1.7838290820427986E-2</v>
      </c>
    </row>
    <row r="42" spans="1:17">
      <c r="A42" s="2" t="s">
        <v>64</v>
      </c>
      <c r="B42" s="12" t="str">
        <f>VLOOKUP(A42,'Locations &amp; Types'!$E:$I,5,FALSE)</f>
        <v>DNO</v>
      </c>
      <c r="C42" s="39">
        <f ca="1">(VLOOKUP(A42, INDIRECT("'"&amp;'Drop Down Inputs'!$B$10&amp;"'!"&amp;" $A:$H"),MATCH('User Inputs'!$D$19, INDIRECT("'"&amp;'Drop Down Inputs'!$B$10&amp;"'!"&amp;"$A$1:$H$1"),0), FALSE))*'User Inputs'!$D$20/100</f>
        <v>56250554</v>
      </c>
      <c r="D42" s="146">
        <f t="array" aca="1" ref="D42" ca="1">SUMPRODUCT('Entry Prices'!$C$3:$C$29, TRANSPOSE(INDEX('Distance Matrix'!$C$3:$AC$231,MATCH(A42,'Distance Matrix'!$B$3:$B$231,0),0)) /SUM('Entry Prices'!$C$3:$C$29))</f>
        <v>521.92211887055373</v>
      </c>
      <c r="E42" s="145">
        <f t="shared" ca="1" si="0"/>
        <v>1.1243851801765656E-2</v>
      </c>
      <c r="F42" s="39">
        <f ca="1">E42*'Revenue Input'!$B$6</f>
        <v>528320880.77061677</v>
      </c>
      <c r="G42" s="148">
        <f ca="1">IF('User Inputs'!$D$4="PS",('Revenue Input'!$B$6/SUM($C$3:$C$231)),IF(ISERR(F42/C42),0,(F42/C42)))</f>
        <v>7.2344179438402385</v>
      </c>
      <c r="H42" s="148">
        <f ca="1">((IF(G42&gt;0,G42,VLOOKUP(A42,'Nearest Location Prices'!$M$1:$O$231,3,FALSE))))</f>
        <v>7.2344179438402385</v>
      </c>
      <c r="I42" s="171"/>
      <c r="K42" s="171"/>
      <c r="L42" s="145">
        <f ca="1">(IF(B42="STORAGE SITE",((100-'User Inputs'!$D$37)/100)*H42/'User Inputs'!$D$7,(IF(B42="INTERCONNECTOR",((100-'User Inputs'!$D$39)/100)*H42/'User Inputs'!$D$7,H42/'User Inputs'!$D$7))))</f>
        <v>1.9820323133808871E-2</v>
      </c>
      <c r="M42" s="147" t="s">
        <v>428</v>
      </c>
      <c r="N42" s="147" t="s">
        <v>428</v>
      </c>
      <c r="O42" s="145">
        <f ca="1">(IF(B42="STORAGE SITE",((100-'User Inputs'!$D$37)/100)* 'User Inputs'!$D$27*'Exit Prices'!H42/'User Inputs'!$D$7, IF(B42="INTERCONNECTOR", ((100-'User Inputs'!$D$39)/100)*'User Inputs'!$D$33*'Exit Prices'!H42/'User Inputs'!$D$7,  'User Inputs'!$D$27*'Exit Prices'!H42/'User Inputs'!$D$7)))</f>
        <v>1.9820323133808871E-2</v>
      </c>
      <c r="P42" s="147" t="s">
        <v>428</v>
      </c>
      <c r="Q42" s="145">
        <f ca="1">(100-(VLOOKUP(A42,'Exit Interruption Prob''s'!$A:$E,5,FALSE)))*O42/100</f>
        <v>1.7838290820427986E-2</v>
      </c>
    </row>
    <row r="43" spans="1:17">
      <c r="A43" s="2" t="s">
        <v>65</v>
      </c>
      <c r="B43" s="12" t="str">
        <f>VLOOKUP(A43,'Locations &amp; Types'!$E:$I,5,FALSE)</f>
        <v>DNO</v>
      </c>
      <c r="C43" s="39">
        <f ca="1">(VLOOKUP(A43, INDIRECT("'"&amp;'Drop Down Inputs'!$B$10&amp;"'!"&amp;" $A:$H"),MATCH('User Inputs'!$D$19, INDIRECT("'"&amp;'Drop Down Inputs'!$B$10&amp;"'!"&amp;"$A$1:$H$1"),0), FALSE))*'User Inputs'!$D$20/100</f>
        <v>13868151</v>
      </c>
      <c r="D43" s="146">
        <f t="array" aca="1" ref="D43" ca="1">SUMPRODUCT('Entry Prices'!$C$3:$C$29, TRANSPOSE(INDEX('Distance Matrix'!$C$3:$AC$231,MATCH(A43,'Distance Matrix'!$B$3:$B$231,0),0)) /SUM('Entry Prices'!$C$3:$C$29))</f>
        <v>325.81976378755536</v>
      </c>
      <c r="E43" s="145">
        <f t="shared" ca="1" si="0"/>
        <v>1.7305278480303139E-3</v>
      </c>
      <c r="F43" s="39">
        <f ca="1">E43*'Revenue Input'!$B$6</f>
        <v>81313237.93558754</v>
      </c>
      <c r="G43" s="148">
        <f ca="1">IF('User Inputs'!$D$4="PS",('Revenue Input'!$B$6/SUM($C$3:$C$231)),IF(ISERR(F43/C43),0,(F43/C43)))</f>
        <v>7.2344179438402385</v>
      </c>
      <c r="H43" s="148">
        <f ca="1">((IF(G43&gt;0,G43,VLOOKUP(A43,'Nearest Location Prices'!$M$1:$O$231,3,FALSE))))</f>
        <v>7.2344179438402385</v>
      </c>
      <c r="I43" s="171"/>
      <c r="K43" s="171"/>
      <c r="L43" s="145">
        <f ca="1">(IF(B43="STORAGE SITE",((100-'User Inputs'!$D$37)/100)*H43/'User Inputs'!$D$7,(IF(B43="INTERCONNECTOR",((100-'User Inputs'!$D$39)/100)*H43/'User Inputs'!$D$7,H43/'User Inputs'!$D$7))))</f>
        <v>1.9820323133808871E-2</v>
      </c>
      <c r="M43" s="147" t="s">
        <v>428</v>
      </c>
      <c r="N43" s="147" t="s">
        <v>428</v>
      </c>
      <c r="O43" s="145">
        <f ca="1">(IF(B43="STORAGE SITE",((100-'User Inputs'!$D$37)/100)* 'User Inputs'!$D$27*'Exit Prices'!H43/'User Inputs'!$D$7, IF(B43="INTERCONNECTOR", ((100-'User Inputs'!$D$39)/100)*'User Inputs'!$D$33*'Exit Prices'!H43/'User Inputs'!$D$7,  'User Inputs'!$D$27*'Exit Prices'!H43/'User Inputs'!$D$7)))</f>
        <v>1.9820323133808871E-2</v>
      </c>
      <c r="P43" s="147" t="s">
        <v>428</v>
      </c>
      <c r="Q43" s="145">
        <f ca="1">(100-(VLOOKUP(A43,'Exit Interruption Prob''s'!$A:$E,5,FALSE)))*O43/100</f>
        <v>1.7838290820427986E-2</v>
      </c>
    </row>
    <row r="44" spans="1:17">
      <c r="A44" s="2" t="s">
        <v>66</v>
      </c>
      <c r="B44" s="12" t="str">
        <f>VLOOKUP(A44,'Locations &amp; Types'!$E:$I,5,FALSE)</f>
        <v>DNO</v>
      </c>
      <c r="C44" s="39">
        <f ca="1">(VLOOKUP(A44, INDIRECT("'"&amp;'Drop Down Inputs'!$B$10&amp;"'!"&amp;" $A:$H"),MATCH('User Inputs'!$D$19, INDIRECT("'"&amp;'Drop Down Inputs'!$B$10&amp;"'!"&amp;"$A$1:$H$1"),0), FALSE))*'User Inputs'!$D$20/100</f>
        <v>20624435</v>
      </c>
      <c r="D44" s="146">
        <f t="array" aca="1" ref="D44" ca="1">SUMPRODUCT('Entry Prices'!$C$3:$C$29, TRANSPOSE(INDEX('Distance Matrix'!$C$3:$AC$231,MATCH(A44,'Distance Matrix'!$B$3:$B$231,0),0)) /SUM('Entry Prices'!$C$3:$C$29))</f>
        <v>628.44717210308011</v>
      </c>
      <c r="E44" s="145">
        <f t="shared" ca="1" si="0"/>
        <v>4.9640190854719273E-3</v>
      </c>
      <c r="F44" s="39">
        <f ca="1">E44*'Revenue Input'!$B$6</f>
        <v>233247020.82847142</v>
      </c>
      <c r="G44" s="148">
        <f ca="1">IF('User Inputs'!$D$4="PS",('Revenue Input'!$B$6/SUM($C$3:$C$231)),IF(ISERR(F44/C44),0,(F44/C44)))</f>
        <v>7.2344179438402385</v>
      </c>
      <c r="H44" s="148">
        <f ca="1">((IF(G44&gt;0,G44,VLOOKUP(A44,'Nearest Location Prices'!$M$1:$O$231,3,FALSE))))</f>
        <v>7.2344179438402385</v>
      </c>
      <c r="I44" s="171"/>
      <c r="K44" s="171"/>
      <c r="L44" s="145">
        <f ca="1">(IF(B44="STORAGE SITE",((100-'User Inputs'!$D$37)/100)*H44/'User Inputs'!$D$7,(IF(B44="INTERCONNECTOR",((100-'User Inputs'!$D$39)/100)*H44/'User Inputs'!$D$7,H44/'User Inputs'!$D$7))))</f>
        <v>1.9820323133808871E-2</v>
      </c>
      <c r="M44" s="147" t="s">
        <v>428</v>
      </c>
      <c r="N44" s="147" t="s">
        <v>428</v>
      </c>
      <c r="O44" s="145">
        <f ca="1">(IF(B44="STORAGE SITE",((100-'User Inputs'!$D$37)/100)* 'User Inputs'!$D$27*'Exit Prices'!H44/'User Inputs'!$D$7, IF(B44="INTERCONNECTOR", ((100-'User Inputs'!$D$39)/100)*'User Inputs'!$D$33*'Exit Prices'!H44/'User Inputs'!$D$7,  'User Inputs'!$D$27*'Exit Prices'!H44/'User Inputs'!$D$7)))</f>
        <v>1.9820323133808871E-2</v>
      </c>
      <c r="P44" s="147" t="s">
        <v>428</v>
      </c>
      <c r="Q44" s="145">
        <f ca="1">(100-(VLOOKUP(A44,'Exit Interruption Prob''s'!$A:$E,5,FALSE)))*O44/100</f>
        <v>1.7838290820427986E-2</v>
      </c>
    </row>
    <row r="45" spans="1:17">
      <c r="A45" s="2" t="s">
        <v>67</v>
      </c>
      <c r="B45" s="12" t="str">
        <f>VLOOKUP(A45,'Locations &amp; Types'!$E:$I,5,FALSE)</f>
        <v>POWER STATION</v>
      </c>
      <c r="C45" s="39">
        <f ca="1">(VLOOKUP(A45, INDIRECT("'"&amp;'Drop Down Inputs'!$B$10&amp;"'!"&amp;" $A:$H"),MATCH('User Inputs'!$D$19, INDIRECT("'"&amp;'Drop Down Inputs'!$B$10&amp;"'!"&amp;"$A$1:$H$1"),0), FALSE))*'User Inputs'!$D$20/100</f>
        <v>13827622.451506848</v>
      </c>
      <c r="D45" s="146">
        <f t="array" aca="1" ref="D45" ca="1">SUMPRODUCT('Entry Prices'!$C$3:$C$29, TRANSPOSE(INDEX('Distance Matrix'!$C$3:$AC$231,MATCH(A45,'Distance Matrix'!$B$3:$B$231,0),0)) /SUM('Entry Prices'!$C$3:$C$29))</f>
        <v>407.84002550079106</v>
      </c>
      <c r="E45" s="145">
        <f t="shared" ca="1" si="0"/>
        <v>2.1598319663063193E-3</v>
      </c>
      <c r="F45" s="39">
        <f ca="1">E45*'Revenue Input'!$B$6</f>
        <v>101485180.24546532</v>
      </c>
      <c r="G45" s="148">
        <f ca="1">IF('User Inputs'!$D$4="PS",('Revenue Input'!$B$6/SUM($C$3:$C$231)),IF(ISERR(F45/C45),0,(F45/C45)))</f>
        <v>7.2344179438402385</v>
      </c>
      <c r="H45" s="148">
        <f ca="1">((IF(G45&gt;0,G45,VLOOKUP(A45,'Nearest Location Prices'!$M$1:$O$231,3,FALSE))))</f>
        <v>7.2344179438402385</v>
      </c>
      <c r="I45" s="171"/>
      <c r="K45" s="171"/>
      <c r="L45" s="145">
        <f ca="1">(IF(B45="STORAGE SITE",((100-'User Inputs'!$D$37)/100)*H45/'User Inputs'!$D$7,(IF(B45="INTERCONNECTOR",((100-'User Inputs'!$D$39)/100)*H45/'User Inputs'!$D$7,H45/'User Inputs'!$D$7))))</f>
        <v>1.9820323133808871E-2</v>
      </c>
      <c r="M45" s="147" t="s">
        <v>428</v>
      </c>
      <c r="N45" s="147" t="s">
        <v>428</v>
      </c>
      <c r="O45" s="145">
        <f ca="1">(IF(B45="STORAGE SITE",((100-'User Inputs'!$D$37)/100)* 'User Inputs'!$D$27*'Exit Prices'!H45/'User Inputs'!$D$7, IF(B45="INTERCONNECTOR", ((100-'User Inputs'!$D$39)/100)*'User Inputs'!$D$33*'Exit Prices'!H45/'User Inputs'!$D$7,  'User Inputs'!$D$27*'Exit Prices'!H45/'User Inputs'!$D$7)))</f>
        <v>1.9820323133808871E-2</v>
      </c>
      <c r="P45" s="147" t="s">
        <v>428</v>
      </c>
      <c r="Q45" s="145">
        <f ca="1">(100-(VLOOKUP(A45,'Exit Interruption Prob''s'!$A:$E,5,FALSE)))*O45/100</f>
        <v>1.7838290820427986E-2</v>
      </c>
    </row>
    <row r="46" spans="1:17">
      <c r="A46" s="2" t="s">
        <v>68</v>
      </c>
      <c r="B46" s="12" t="str">
        <f>VLOOKUP(A46,'Locations &amp; Types'!$E:$I,5,FALSE)</f>
        <v>DNO</v>
      </c>
      <c r="C46" s="39">
        <f ca="1">(VLOOKUP(A46, INDIRECT("'"&amp;'Drop Down Inputs'!$B$10&amp;"'!"&amp;" $A:$H"),MATCH('User Inputs'!$D$19, INDIRECT("'"&amp;'Drop Down Inputs'!$B$10&amp;"'!"&amp;"$A$1:$H$1"),0), FALSE))*'User Inputs'!$D$20/100</f>
        <v>8977861</v>
      </c>
      <c r="D46" s="146">
        <f t="array" aca="1" ref="D46" ca="1">SUMPRODUCT('Entry Prices'!$C$3:$C$29, TRANSPOSE(INDEX('Distance Matrix'!$C$3:$AC$231,MATCH(A46,'Distance Matrix'!$B$3:$B$231,0),0)) /SUM('Entry Prices'!$C$3:$C$29))</f>
        <v>303.49180134305823</v>
      </c>
      <c r="E46" s="145">
        <f t="shared" ca="1" si="0"/>
        <v>1.0435240117265595E-3</v>
      </c>
      <c r="F46" s="39">
        <f ca="1">E46*'Revenue Input'!$B$6</f>
        <v>49032621.089339562</v>
      </c>
      <c r="G46" s="148">
        <f ca="1">IF('User Inputs'!$D$4="PS",('Revenue Input'!$B$6/SUM($C$3:$C$231)),IF(ISERR(F46/C46),0,(F46/C46)))</f>
        <v>7.2344179438402385</v>
      </c>
      <c r="H46" s="148">
        <f ca="1">((IF(G46&gt;0,G46,VLOOKUP(A46,'Nearest Location Prices'!$M$1:$O$231,3,FALSE))))</f>
        <v>7.2344179438402385</v>
      </c>
      <c r="I46" s="171"/>
      <c r="K46" s="171"/>
      <c r="L46" s="145">
        <f ca="1">(IF(B46="STORAGE SITE",((100-'User Inputs'!$D$37)/100)*H46/'User Inputs'!$D$7,(IF(B46="INTERCONNECTOR",((100-'User Inputs'!$D$39)/100)*H46/'User Inputs'!$D$7,H46/'User Inputs'!$D$7))))</f>
        <v>1.9820323133808871E-2</v>
      </c>
      <c r="M46" s="147" t="s">
        <v>428</v>
      </c>
      <c r="N46" s="147" t="s">
        <v>428</v>
      </c>
      <c r="O46" s="145">
        <f ca="1">(IF(B46="STORAGE SITE",((100-'User Inputs'!$D$37)/100)* 'User Inputs'!$D$27*'Exit Prices'!H46/'User Inputs'!$D$7, IF(B46="INTERCONNECTOR", ((100-'User Inputs'!$D$39)/100)*'User Inputs'!$D$33*'Exit Prices'!H46/'User Inputs'!$D$7,  'User Inputs'!$D$27*'Exit Prices'!H46/'User Inputs'!$D$7)))</f>
        <v>1.9820323133808871E-2</v>
      </c>
      <c r="P46" s="147" t="s">
        <v>428</v>
      </c>
      <c r="Q46" s="145">
        <f ca="1">(100-(VLOOKUP(A46,'Exit Interruption Prob''s'!$A:$E,5,FALSE)))*O46/100</f>
        <v>1.7838290820427986E-2</v>
      </c>
    </row>
    <row r="47" spans="1:17">
      <c r="A47" s="2" t="s">
        <v>69</v>
      </c>
      <c r="B47" s="12" t="str">
        <f>VLOOKUP(A47,'Locations &amp; Types'!$E:$I,5,FALSE)</f>
        <v>POWER STATION</v>
      </c>
      <c r="C47" s="39">
        <f ca="1">(VLOOKUP(A47, INDIRECT("'"&amp;'Drop Down Inputs'!$B$10&amp;"'!"&amp;" $A:$H"),MATCH('User Inputs'!$D$19, INDIRECT("'"&amp;'Drop Down Inputs'!$B$10&amp;"'!"&amp;"$A$1:$H$1"),0), FALSE))*'User Inputs'!$D$20/100</f>
        <v>343312.71232876705</v>
      </c>
      <c r="D47" s="146">
        <f t="array" aca="1" ref="D47" ca="1">SUMPRODUCT('Entry Prices'!$C$3:$C$29, TRANSPOSE(INDEX('Distance Matrix'!$C$3:$AC$231,MATCH(A47,'Distance Matrix'!$B$3:$B$231,0),0)) /SUM('Entry Prices'!$C$3:$C$29))</f>
        <v>303.49180134305823</v>
      </c>
      <c r="E47" s="145">
        <f t="shared" ca="1" si="0"/>
        <v>3.9904277738989416E-5</v>
      </c>
      <c r="F47" s="39">
        <f ca="1">E47*'Revenue Input'!$B$6</f>
        <v>1875003.649395983</v>
      </c>
      <c r="G47" s="148">
        <f ca="1">IF('User Inputs'!$D$4="PS",('Revenue Input'!$B$6/SUM($C$3:$C$231)),IF(ISERR(F47/C47),0,(F47/C47)))</f>
        <v>7.2344179438402385</v>
      </c>
      <c r="H47" s="148">
        <f ca="1">((IF(G47&gt;0,G47,VLOOKUP(A47,'Nearest Location Prices'!$M$1:$O$231,3,FALSE))))</f>
        <v>7.2344179438402385</v>
      </c>
      <c r="I47" s="171"/>
      <c r="K47" s="171"/>
      <c r="L47" s="145">
        <f ca="1">(IF(B47="STORAGE SITE",((100-'User Inputs'!$D$37)/100)*H47/'User Inputs'!$D$7,(IF(B47="INTERCONNECTOR",((100-'User Inputs'!$D$39)/100)*H47/'User Inputs'!$D$7,H47/'User Inputs'!$D$7))))</f>
        <v>1.9820323133808871E-2</v>
      </c>
      <c r="M47" s="147" t="s">
        <v>428</v>
      </c>
      <c r="N47" s="147" t="s">
        <v>428</v>
      </c>
      <c r="O47" s="145">
        <f ca="1">(IF(B47="STORAGE SITE",((100-'User Inputs'!$D$37)/100)* 'User Inputs'!$D$27*'Exit Prices'!H47/'User Inputs'!$D$7, IF(B47="INTERCONNECTOR", ((100-'User Inputs'!$D$39)/100)*'User Inputs'!$D$33*'Exit Prices'!H47/'User Inputs'!$D$7,  'User Inputs'!$D$27*'Exit Prices'!H47/'User Inputs'!$D$7)))</f>
        <v>1.9820323133808871E-2</v>
      </c>
      <c r="P47" s="147" t="s">
        <v>428</v>
      </c>
      <c r="Q47" s="145">
        <f ca="1">(100-(VLOOKUP(A47,'Exit Interruption Prob''s'!$A:$E,5,FALSE)))*O47/100</f>
        <v>1.7838290820427986E-2</v>
      </c>
    </row>
    <row r="48" spans="1:17">
      <c r="A48" s="2" t="s">
        <v>70</v>
      </c>
      <c r="B48" s="12" t="str">
        <f>VLOOKUP(A48,'Locations &amp; Types'!$E:$I,5,FALSE)</f>
        <v>DNO</v>
      </c>
      <c r="C48" s="39">
        <f ca="1">(VLOOKUP(A48, INDIRECT("'"&amp;'Drop Down Inputs'!$B$10&amp;"'!"&amp;" $A:$H"),MATCH('User Inputs'!$D$19, INDIRECT("'"&amp;'Drop Down Inputs'!$B$10&amp;"'!"&amp;"$A$1:$H$1"),0), FALSE))*'User Inputs'!$D$20/100</f>
        <v>0</v>
      </c>
      <c r="D48" s="146">
        <f t="array" aca="1" ref="D48" ca="1">SUMPRODUCT('Entry Prices'!$C$3:$C$29, TRANSPOSE(INDEX('Distance Matrix'!$C$3:$AC$231,MATCH(A48,'Distance Matrix'!$B$3:$B$231,0),0)) /SUM('Entry Prices'!$C$3:$C$29))</f>
        <v>346.71057080096108</v>
      </c>
      <c r="E48" s="145">
        <f t="shared" ca="1" si="0"/>
        <v>0</v>
      </c>
      <c r="F48" s="39">
        <f ca="1">E48*'Revenue Input'!$B$6</f>
        <v>0</v>
      </c>
      <c r="G48" s="148">
        <f ca="1">IF('User Inputs'!$D$4="PS",('Revenue Input'!$B$6/SUM($C$3:$C$231)),IF(ISERR(F48/C48),0,(F48/C48)))</f>
        <v>7.2344179438402385</v>
      </c>
      <c r="H48" s="148">
        <f ca="1">((IF(G48&gt;0,G48,VLOOKUP(A48,'Nearest Location Prices'!$M$1:$O$231,3,FALSE))))</f>
        <v>7.2344179438402385</v>
      </c>
      <c r="I48" s="171"/>
      <c r="K48" s="171"/>
      <c r="L48" s="145">
        <f ca="1">(IF(B48="STORAGE SITE",((100-'User Inputs'!$D$37)/100)*H48/'User Inputs'!$D$7,(IF(B48="INTERCONNECTOR",((100-'User Inputs'!$D$39)/100)*H48/'User Inputs'!$D$7,H48/'User Inputs'!$D$7))))</f>
        <v>1.9820323133808871E-2</v>
      </c>
      <c r="M48" s="147" t="s">
        <v>428</v>
      </c>
      <c r="N48" s="147" t="s">
        <v>428</v>
      </c>
      <c r="O48" s="145">
        <f ca="1">(IF(B48="STORAGE SITE",((100-'User Inputs'!$D$37)/100)* 'User Inputs'!$D$27*'Exit Prices'!H48/'User Inputs'!$D$7, IF(B48="INTERCONNECTOR", ((100-'User Inputs'!$D$39)/100)*'User Inputs'!$D$33*'Exit Prices'!H48/'User Inputs'!$D$7,  'User Inputs'!$D$27*'Exit Prices'!H48/'User Inputs'!$D$7)))</f>
        <v>1.9820323133808871E-2</v>
      </c>
      <c r="P48" s="147" t="s">
        <v>428</v>
      </c>
      <c r="Q48" s="145">
        <f ca="1">(100-(VLOOKUP(A48,'Exit Interruption Prob''s'!$A:$E,5,FALSE)))*O48/100</f>
        <v>1.7838290820427986E-2</v>
      </c>
    </row>
    <row r="49" spans="1:17">
      <c r="A49" s="2" t="s">
        <v>71</v>
      </c>
      <c r="B49" s="12" t="str">
        <f>VLOOKUP(A49,'Locations &amp; Types'!$E:$I,5,FALSE)</f>
        <v>DNO</v>
      </c>
      <c r="C49" s="39">
        <f ca="1">(VLOOKUP(A49, INDIRECT("'"&amp;'Drop Down Inputs'!$B$10&amp;"'!"&amp;" $A:$H"),MATCH('User Inputs'!$D$19, INDIRECT("'"&amp;'Drop Down Inputs'!$B$10&amp;"'!"&amp;"$A$1:$H$1"),0), FALSE))*'User Inputs'!$D$20/100</f>
        <v>4137186</v>
      </c>
      <c r="D49" s="146">
        <f t="array" aca="1" ref="D49" ca="1">SUMPRODUCT('Entry Prices'!$C$3:$C$29, TRANSPOSE(INDEX('Distance Matrix'!$C$3:$AC$231,MATCH(A49,'Distance Matrix'!$B$3:$B$231,0),0)) /SUM('Entry Prices'!$C$3:$C$29))</f>
        <v>609.67586672445475</v>
      </c>
      <c r="E49" s="145">
        <f t="shared" ca="1" si="0"/>
        <v>9.6602119901784036E-4</v>
      </c>
      <c r="F49" s="39">
        <f ca="1">E49*'Revenue Input'!$B$6</f>
        <v>45390954.959762797</v>
      </c>
      <c r="G49" s="148">
        <f ca="1">IF('User Inputs'!$D$4="PS",('Revenue Input'!$B$6/SUM($C$3:$C$231)),IF(ISERR(F49/C49),0,(F49/C49)))</f>
        <v>7.2344179438402385</v>
      </c>
      <c r="H49" s="148">
        <f ca="1">((IF(G49&gt;0,G49,VLOOKUP(A49,'Nearest Location Prices'!$M$1:$O$231,3,FALSE))))</f>
        <v>7.2344179438402385</v>
      </c>
      <c r="I49" s="171"/>
      <c r="K49" s="171"/>
      <c r="L49" s="145">
        <f ca="1">(IF(B49="STORAGE SITE",((100-'User Inputs'!$D$37)/100)*H49/'User Inputs'!$D$7,(IF(B49="INTERCONNECTOR",((100-'User Inputs'!$D$39)/100)*H49/'User Inputs'!$D$7,H49/'User Inputs'!$D$7))))</f>
        <v>1.9820323133808871E-2</v>
      </c>
      <c r="M49" s="147" t="s">
        <v>428</v>
      </c>
      <c r="N49" s="147" t="s">
        <v>428</v>
      </c>
      <c r="O49" s="145">
        <f ca="1">(IF(B49="STORAGE SITE",((100-'User Inputs'!$D$37)/100)* 'User Inputs'!$D$27*'Exit Prices'!H49/'User Inputs'!$D$7, IF(B49="INTERCONNECTOR", ((100-'User Inputs'!$D$39)/100)*'User Inputs'!$D$33*'Exit Prices'!H49/'User Inputs'!$D$7,  'User Inputs'!$D$27*'Exit Prices'!H49/'User Inputs'!$D$7)))</f>
        <v>1.9820323133808871E-2</v>
      </c>
      <c r="P49" s="147" t="s">
        <v>428</v>
      </c>
      <c r="Q49" s="145">
        <f ca="1">(100-(VLOOKUP(A49,'Exit Interruption Prob''s'!$A:$E,5,FALSE)))*O49/100</f>
        <v>1.7838290820427986E-2</v>
      </c>
    </row>
    <row r="50" spans="1:17">
      <c r="A50" s="2" t="s">
        <v>72</v>
      </c>
      <c r="B50" s="12" t="str">
        <f>VLOOKUP(A50,'Locations &amp; Types'!$E:$I,5,FALSE)</f>
        <v>POWER STATION</v>
      </c>
      <c r="C50" s="39">
        <f ca="1">(VLOOKUP(A50, INDIRECT("'"&amp;'Drop Down Inputs'!$B$10&amp;"'!"&amp;" $A:$H"),MATCH('User Inputs'!$D$19, INDIRECT("'"&amp;'Drop Down Inputs'!$B$10&amp;"'!"&amp;"$A$1:$H$1"),0), FALSE))*'User Inputs'!$D$20/100</f>
        <v>22847239.890410975</v>
      </c>
      <c r="D50" s="146">
        <f t="array" aca="1" ref="D50" ca="1">SUMPRODUCT('Entry Prices'!$C$3:$C$29, TRANSPOSE(INDEX('Distance Matrix'!$C$3:$AC$231,MATCH(A50,'Distance Matrix'!$B$3:$B$231,0),0)) /SUM('Entry Prices'!$C$3:$C$29))</f>
        <v>363.66747461697662</v>
      </c>
      <c r="E50" s="145">
        <f t="shared" ca="1" si="0"/>
        <v>3.1821511806283511E-3</v>
      </c>
      <c r="F50" s="39">
        <f ca="1">E50*'Revenue Input'!$B$6</f>
        <v>149521440.17327094</v>
      </c>
      <c r="G50" s="148">
        <f ca="1">IF('User Inputs'!$D$4="PS",('Revenue Input'!$B$6/SUM($C$3:$C$231)),IF(ISERR(F50/C50),0,(F50/C50)))</f>
        <v>7.2344179438402385</v>
      </c>
      <c r="H50" s="148">
        <f ca="1">((IF(G50&gt;0,G50,VLOOKUP(A50,'Nearest Location Prices'!$M$1:$O$231,3,FALSE))))</f>
        <v>7.2344179438402385</v>
      </c>
      <c r="I50" s="171"/>
      <c r="K50" s="171"/>
      <c r="L50" s="145">
        <f ca="1">(IF(B50="STORAGE SITE",((100-'User Inputs'!$D$37)/100)*H50/'User Inputs'!$D$7,(IF(B50="INTERCONNECTOR",((100-'User Inputs'!$D$39)/100)*H50/'User Inputs'!$D$7,H50/'User Inputs'!$D$7))))</f>
        <v>1.9820323133808871E-2</v>
      </c>
      <c r="M50" s="147" t="s">
        <v>428</v>
      </c>
      <c r="N50" s="147" t="s">
        <v>428</v>
      </c>
      <c r="O50" s="145">
        <f ca="1">(IF(B50="STORAGE SITE",((100-'User Inputs'!$D$37)/100)* 'User Inputs'!$D$27*'Exit Prices'!H50/'User Inputs'!$D$7, IF(B50="INTERCONNECTOR", ((100-'User Inputs'!$D$39)/100)*'User Inputs'!$D$33*'Exit Prices'!H50/'User Inputs'!$D$7,  'User Inputs'!$D$27*'Exit Prices'!H50/'User Inputs'!$D$7)))</f>
        <v>1.9820323133808871E-2</v>
      </c>
      <c r="P50" s="147" t="s">
        <v>428</v>
      </c>
      <c r="Q50" s="145">
        <f ca="1">(100-(VLOOKUP(A50,'Exit Interruption Prob''s'!$A:$E,5,FALSE)))*O50/100</f>
        <v>1.7838290820427986E-2</v>
      </c>
    </row>
    <row r="51" spans="1:17">
      <c r="A51" s="2" t="s">
        <v>9</v>
      </c>
      <c r="B51" s="12" t="str">
        <f>VLOOKUP(A51,'Locations &amp; Types'!$E:$I,5,FALSE)</f>
        <v>STORAGE SITE</v>
      </c>
      <c r="C51" s="39">
        <f ca="1">(VLOOKUP(A51, INDIRECT("'"&amp;'Drop Down Inputs'!$B$10&amp;"'!"&amp;" $A:$H"),MATCH('User Inputs'!$D$19, INDIRECT("'"&amp;'Drop Down Inputs'!$B$10&amp;"'!"&amp;"$A$1:$H$1"),0), FALSE))*'User Inputs'!$D$20/100</f>
        <v>0</v>
      </c>
      <c r="D51" s="146">
        <f t="array" aca="1" ref="D51" ca="1">SUMPRODUCT('Entry Prices'!$C$3:$C$29, TRANSPOSE(INDEX('Distance Matrix'!$C$3:$AC$231,MATCH(A51,'Distance Matrix'!$B$3:$B$231,0),0)) /SUM('Entry Prices'!$C$3:$C$29))</f>
        <v>314.99424318331211</v>
      </c>
      <c r="E51" s="145">
        <f t="shared" ca="1" si="0"/>
        <v>0</v>
      </c>
      <c r="F51" s="39">
        <f ca="1">E51*'Revenue Input'!$B$6</f>
        <v>0</v>
      </c>
      <c r="G51" s="148">
        <f ca="1">IF('User Inputs'!$D$4="PS",('Revenue Input'!$B$6/SUM($C$3:$C$231)),IF(ISERR(F51/C51),0,(F51/C51)))</f>
        <v>7.2344179438402385</v>
      </c>
      <c r="H51" s="148">
        <f ca="1">((IF(G51&gt;0,G51,VLOOKUP(A51,'Nearest Location Prices'!$M$1:$O$231,3,FALSE))))</f>
        <v>7.2344179438402385</v>
      </c>
      <c r="I51" s="171"/>
      <c r="K51" s="171"/>
      <c r="L51" s="145">
        <f ca="1">(IF(B51="STORAGE SITE",((100-'User Inputs'!$D$37)/100)*H51/'User Inputs'!$D$7,(IF(B51="INTERCONNECTOR",((100-'User Inputs'!$D$39)/100)*H51/'User Inputs'!$D$7,H51/'User Inputs'!$D$7))))</f>
        <v>9.9101615669044355E-3</v>
      </c>
      <c r="M51" s="147" t="s">
        <v>428</v>
      </c>
      <c r="N51" s="147" t="s">
        <v>428</v>
      </c>
      <c r="O51" s="145">
        <f ca="1">(IF(B51="STORAGE SITE",((100-'User Inputs'!$D$37)/100)* 'User Inputs'!$D$27*'Exit Prices'!H51/'User Inputs'!$D$7, IF(B51="INTERCONNECTOR", ((100-'User Inputs'!$D$39)/100)*'User Inputs'!$D$33*'Exit Prices'!H51/'User Inputs'!$D$7,  'User Inputs'!$D$27*'Exit Prices'!H51/'User Inputs'!$D$7)))</f>
        <v>9.9101615669044355E-3</v>
      </c>
      <c r="P51" s="147" t="s">
        <v>428</v>
      </c>
      <c r="Q51" s="145">
        <f ca="1">(100-(VLOOKUP(A51,'Exit Interruption Prob''s'!$A:$E,5,FALSE)))*O51/100</f>
        <v>8.9191454102139928E-3</v>
      </c>
    </row>
    <row r="52" spans="1:17">
      <c r="A52" s="2" t="s">
        <v>73</v>
      </c>
      <c r="B52" s="12" t="str">
        <f>VLOOKUP(A52,'Locations &amp; Types'!$E:$I,5,FALSE)</f>
        <v>INDUSTRIAL</v>
      </c>
      <c r="C52" s="39">
        <f ca="1">(VLOOKUP(A52, INDIRECT("'"&amp;'Drop Down Inputs'!$B$10&amp;"'!"&amp;" $A:$H"),MATCH('User Inputs'!$D$19, INDIRECT("'"&amp;'Drop Down Inputs'!$B$10&amp;"'!"&amp;"$A$1:$H$1"),0), FALSE))*'User Inputs'!$D$20/100</f>
        <v>85000</v>
      </c>
      <c r="D52" s="146">
        <f t="array" aca="1" ref="D52" ca="1">SUMPRODUCT('Entry Prices'!$C$3:$C$29, TRANSPOSE(INDEX('Distance Matrix'!$C$3:$AC$231,MATCH(A52,'Distance Matrix'!$B$3:$B$231,0),0)) /SUM('Entry Prices'!$C$3:$C$29))</f>
        <v>594.72935032669159</v>
      </c>
      <c r="E52" s="145">
        <f t="shared" ca="1" si="0"/>
        <v>1.9360693234804499E-5</v>
      </c>
      <c r="F52" s="39">
        <f ca="1">E52*'Revenue Input'!$B$6</f>
        <v>909711.252200549</v>
      </c>
      <c r="G52" s="148">
        <f ca="1">IF('User Inputs'!$D$4="PS",('Revenue Input'!$B$6/SUM($C$3:$C$231)),IF(ISERR(F52/C52),0,(F52/C52)))</f>
        <v>7.2344179438402385</v>
      </c>
      <c r="H52" s="148">
        <f ca="1">((IF(G52&gt;0,G52,VLOOKUP(A52,'Nearest Location Prices'!$M$1:$O$231,3,FALSE))))</f>
        <v>7.2344179438402385</v>
      </c>
      <c r="I52" s="171"/>
      <c r="K52" s="171"/>
      <c r="L52" s="145">
        <f ca="1">(IF(B52="STORAGE SITE",((100-'User Inputs'!$D$37)/100)*H52/'User Inputs'!$D$7,(IF(B52="INTERCONNECTOR",((100-'User Inputs'!$D$39)/100)*H52/'User Inputs'!$D$7,H52/'User Inputs'!$D$7))))</f>
        <v>1.9820323133808871E-2</v>
      </c>
      <c r="M52" s="147" t="s">
        <v>428</v>
      </c>
      <c r="N52" s="147" t="s">
        <v>428</v>
      </c>
      <c r="O52" s="145">
        <f ca="1">(IF(B52="STORAGE SITE",((100-'User Inputs'!$D$37)/100)* 'User Inputs'!$D$27*'Exit Prices'!H52/'User Inputs'!$D$7, IF(B52="INTERCONNECTOR", ((100-'User Inputs'!$D$39)/100)*'User Inputs'!$D$33*'Exit Prices'!H52/'User Inputs'!$D$7,  'User Inputs'!$D$27*'Exit Prices'!H52/'User Inputs'!$D$7)))</f>
        <v>1.9820323133808871E-2</v>
      </c>
      <c r="P52" s="147" t="s">
        <v>428</v>
      </c>
      <c r="Q52" s="145">
        <f ca="1">(100-(VLOOKUP(A52,'Exit Interruption Prob''s'!$A:$E,5,FALSE)))*O52/100</f>
        <v>1.7838290820427986E-2</v>
      </c>
    </row>
    <row r="53" spans="1:17">
      <c r="A53" s="2" t="s">
        <v>74</v>
      </c>
      <c r="B53" s="12" t="str">
        <f>VLOOKUP(A53,'Locations &amp; Types'!$E:$I,5,FALSE)</f>
        <v>DNO</v>
      </c>
      <c r="C53" s="39">
        <f ca="1">(VLOOKUP(A53, INDIRECT("'"&amp;'Drop Down Inputs'!$B$10&amp;"'!"&amp;" $A:$H"),MATCH('User Inputs'!$D$19, INDIRECT("'"&amp;'Drop Down Inputs'!$B$10&amp;"'!"&amp;"$A$1:$H$1"),0), FALSE))*'User Inputs'!$D$20/100</f>
        <v>7417140</v>
      </c>
      <c r="D53" s="146">
        <f t="array" aca="1" ref="D53" ca="1">SUMPRODUCT('Entry Prices'!$C$3:$C$29, TRANSPOSE(INDEX('Distance Matrix'!$C$3:$AC$231,MATCH(A53,'Distance Matrix'!$B$3:$B$231,0),0)) /SUM('Entry Prices'!$C$3:$C$29))</f>
        <v>413.53643889476365</v>
      </c>
      <c r="E53" s="145">
        <f t="shared" ca="1" si="0"/>
        <v>1.1747159520524744E-3</v>
      </c>
      <c r="F53" s="39">
        <f ca="1">E53*'Revenue Input'!$B$6</f>
        <v>55197006.985292882</v>
      </c>
      <c r="G53" s="148">
        <f ca="1">IF('User Inputs'!$D$4="PS",('Revenue Input'!$B$6/SUM($C$3:$C$231)),IF(ISERR(F53/C53),0,(F53/C53)))</f>
        <v>7.2344179438402385</v>
      </c>
      <c r="H53" s="148">
        <f ca="1">((IF(G53&gt;0,G53,VLOOKUP(A53,'Nearest Location Prices'!$M$1:$O$231,3,FALSE))))</f>
        <v>7.2344179438402385</v>
      </c>
      <c r="I53" s="171"/>
      <c r="K53" s="171"/>
      <c r="L53" s="145">
        <f ca="1">(IF(B53="STORAGE SITE",((100-'User Inputs'!$D$37)/100)*H53/'User Inputs'!$D$7,(IF(B53="INTERCONNECTOR",((100-'User Inputs'!$D$39)/100)*H53/'User Inputs'!$D$7,H53/'User Inputs'!$D$7))))</f>
        <v>1.9820323133808871E-2</v>
      </c>
      <c r="M53" s="147" t="s">
        <v>428</v>
      </c>
      <c r="N53" s="147" t="s">
        <v>428</v>
      </c>
      <c r="O53" s="145">
        <f ca="1">(IF(B53="STORAGE SITE",((100-'User Inputs'!$D$37)/100)* 'User Inputs'!$D$27*'Exit Prices'!H53/'User Inputs'!$D$7, IF(B53="INTERCONNECTOR", ((100-'User Inputs'!$D$39)/100)*'User Inputs'!$D$33*'Exit Prices'!H53/'User Inputs'!$D$7,  'User Inputs'!$D$27*'Exit Prices'!H53/'User Inputs'!$D$7)))</f>
        <v>1.9820323133808871E-2</v>
      </c>
      <c r="P53" s="147" t="s">
        <v>428</v>
      </c>
      <c r="Q53" s="145">
        <f ca="1">(100-(VLOOKUP(A53,'Exit Interruption Prob''s'!$A:$E,5,FALSE)))*O53/100</f>
        <v>1.7838290820427986E-2</v>
      </c>
    </row>
    <row r="54" spans="1:17">
      <c r="A54" s="2" t="s">
        <v>75</v>
      </c>
      <c r="B54" s="12" t="str">
        <f>VLOOKUP(A54,'Locations &amp; Types'!$E:$I,5,FALSE)</f>
        <v>POWER STATION</v>
      </c>
      <c r="C54" s="39">
        <f ca="1">(VLOOKUP(A54, INDIRECT("'"&amp;'Drop Down Inputs'!$B$10&amp;"'!"&amp;" $A:$H"),MATCH('User Inputs'!$D$19, INDIRECT("'"&amp;'Drop Down Inputs'!$B$10&amp;"'!"&amp;"$A$1:$H$1"),0), FALSE))*'User Inputs'!$D$20/100</f>
        <v>0</v>
      </c>
      <c r="D54" s="146">
        <f t="array" aca="1" ref="D54" ca="1">SUMPRODUCT('Entry Prices'!$C$3:$C$29, TRANSPOSE(INDEX('Distance Matrix'!$C$3:$AC$231,MATCH(A54,'Distance Matrix'!$B$3:$B$231,0),0)) /SUM('Entry Prices'!$C$3:$C$29))</f>
        <v>515.73622513969144</v>
      </c>
      <c r="E54" s="145">
        <f t="shared" ca="1" si="0"/>
        <v>0</v>
      </c>
      <c r="F54" s="39">
        <f ca="1">E54*'Revenue Input'!$B$6</f>
        <v>0</v>
      </c>
      <c r="G54" s="148">
        <f ca="1">IF('User Inputs'!$D$4="PS",('Revenue Input'!$B$6/SUM($C$3:$C$231)),IF(ISERR(F54/C54),0,(F54/C54)))</f>
        <v>7.2344179438402385</v>
      </c>
      <c r="H54" s="148">
        <f ca="1">((IF(G54&gt;0,G54,VLOOKUP(A54,'Nearest Location Prices'!$M$1:$O$231,3,FALSE))))</f>
        <v>7.2344179438402385</v>
      </c>
      <c r="I54" s="171"/>
      <c r="K54" s="171"/>
      <c r="L54" s="145">
        <f ca="1">(IF(B54="STORAGE SITE",((100-'User Inputs'!$D$37)/100)*H54/'User Inputs'!$D$7,(IF(B54="INTERCONNECTOR",((100-'User Inputs'!$D$39)/100)*H54/'User Inputs'!$D$7,H54/'User Inputs'!$D$7))))</f>
        <v>1.9820323133808871E-2</v>
      </c>
      <c r="M54" s="147" t="s">
        <v>428</v>
      </c>
      <c r="N54" s="147" t="s">
        <v>428</v>
      </c>
      <c r="O54" s="145">
        <f ca="1">(IF(B54="STORAGE SITE",((100-'User Inputs'!$D$37)/100)* 'User Inputs'!$D$27*'Exit Prices'!H54/'User Inputs'!$D$7, IF(B54="INTERCONNECTOR", ((100-'User Inputs'!$D$39)/100)*'User Inputs'!$D$33*'Exit Prices'!H54/'User Inputs'!$D$7,  'User Inputs'!$D$27*'Exit Prices'!H54/'User Inputs'!$D$7)))</f>
        <v>1.9820323133808871E-2</v>
      </c>
      <c r="P54" s="147" t="s">
        <v>428</v>
      </c>
      <c r="Q54" s="145">
        <f ca="1">(100-(VLOOKUP(A54,'Exit Interruption Prob''s'!$A:$E,5,FALSE)))*O54/100</f>
        <v>1.7838290820427986E-2</v>
      </c>
    </row>
    <row r="55" spans="1:17">
      <c r="A55" s="2" t="s">
        <v>76</v>
      </c>
      <c r="B55" s="12" t="str">
        <f>VLOOKUP(A55,'Locations &amp; Types'!$E:$I,5,FALSE)</f>
        <v>DNO</v>
      </c>
      <c r="C55" s="39">
        <f ca="1">(VLOOKUP(A55, INDIRECT("'"&amp;'Drop Down Inputs'!$B$10&amp;"'!"&amp;" $A:$H"),MATCH('User Inputs'!$D$19, INDIRECT("'"&amp;'Drop Down Inputs'!$B$10&amp;"'!"&amp;"$A$1:$H$1"),0), FALSE))*'User Inputs'!$D$20/100</f>
        <v>5150000</v>
      </c>
      <c r="D55" s="146">
        <f t="array" aca="1" ref="D55" ca="1">SUMPRODUCT('Entry Prices'!$C$3:$C$29, TRANSPOSE(INDEX('Distance Matrix'!$C$3:$AC$231,MATCH(A55,'Distance Matrix'!$B$3:$B$231,0),0)) /SUM('Entry Prices'!$C$3:$C$29))</f>
        <v>597.61935032669146</v>
      </c>
      <c r="E55" s="145">
        <f t="shared" ca="1" si="0"/>
        <v>1.1787304054601722E-3</v>
      </c>
      <c r="F55" s="39">
        <f ca="1">E55*'Revenue Input'!$B$6</f>
        <v>55385636.255542994</v>
      </c>
      <c r="G55" s="148">
        <f ca="1">IF('User Inputs'!$D$4="PS",('Revenue Input'!$B$6/SUM($C$3:$C$231)),IF(ISERR(F55/C55),0,(F55/C55)))</f>
        <v>7.2344179438402385</v>
      </c>
      <c r="H55" s="148">
        <f ca="1">((IF(G55&gt;0,G55,VLOOKUP(A55,'Nearest Location Prices'!$M$1:$O$231,3,FALSE))))</f>
        <v>7.2344179438402385</v>
      </c>
      <c r="I55" s="171"/>
      <c r="K55" s="171"/>
      <c r="L55" s="145">
        <f ca="1">(IF(B55="STORAGE SITE",((100-'User Inputs'!$D$37)/100)*H55/'User Inputs'!$D$7,(IF(B55="INTERCONNECTOR",((100-'User Inputs'!$D$39)/100)*H55/'User Inputs'!$D$7,H55/'User Inputs'!$D$7))))</f>
        <v>1.9820323133808871E-2</v>
      </c>
      <c r="M55" s="147" t="s">
        <v>428</v>
      </c>
      <c r="N55" s="147" t="s">
        <v>428</v>
      </c>
      <c r="O55" s="145">
        <f ca="1">(IF(B55="STORAGE SITE",((100-'User Inputs'!$D$37)/100)* 'User Inputs'!$D$27*'Exit Prices'!H55/'User Inputs'!$D$7, IF(B55="INTERCONNECTOR", ((100-'User Inputs'!$D$39)/100)*'User Inputs'!$D$33*'Exit Prices'!H55/'User Inputs'!$D$7,  'User Inputs'!$D$27*'Exit Prices'!H55/'User Inputs'!$D$7)))</f>
        <v>1.9820323133808871E-2</v>
      </c>
      <c r="P55" s="147" t="s">
        <v>428</v>
      </c>
      <c r="Q55" s="145">
        <f ca="1">(100-(VLOOKUP(A55,'Exit Interruption Prob''s'!$A:$E,5,FALSE)))*O55/100</f>
        <v>1.7838290820427986E-2</v>
      </c>
    </row>
    <row r="56" spans="1:17">
      <c r="A56" s="2" t="s">
        <v>77</v>
      </c>
      <c r="B56" s="12" t="str">
        <f>VLOOKUP(A56,'Locations &amp; Types'!$E:$I,5,FALSE)</f>
        <v>DNO</v>
      </c>
      <c r="C56" s="39">
        <f ca="1">(VLOOKUP(A56, INDIRECT("'"&amp;'Drop Down Inputs'!$B$10&amp;"'!"&amp;" $A:$H"),MATCH('User Inputs'!$D$19, INDIRECT("'"&amp;'Drop Down Inputs'!$B$10&amp;"'!"&amp;"$A$1:$H$1"),0), FALSE))*'User Inputs'!$D$20/100</f>
        <v>2848927</v>
      </c>
      <c r="D56" s="146">
        <f t="array" aca="1" ref="D56" ca="1">SUMPRODUCT('Entry Prices'!$C$3:$C$29, TRANSPOSE(INDEX('Distance Matrix'!$C$3:$AC$231,MATCH(A56,'Distance Matrix'!$B$3:$B$231,0),0)) /SUM('Entry Prices'!$C$3:$C$29))</f>
        <v>477.17082870596431</v>
      </c>
      <c r="E56" s="145">
        <f t="shared" ca="1" si="0"/>
        <v>5.2064033788924865E-4</v>
      </c>
      <c r="F56" s="39">
        <f ca="1">E56*'Revenue Input'!$B$6</f>
        <v>24463606.13141175</v>
      </c>
      <c r="G56" s="148">
        <f ca="1">IF('User Inputs'!$D$4="PS",('Revenue Input'!$B$6/SUM($C$3:$C$231)),IF(ISERR(F56/C56),0,(F56/C56)))</f>
        <v>7.2344179438402385</v>
      </c>
      <c r="H56" s="148">
        <f ca="1">((IF(G56&gt;0,G56,VLOOKUP(A56,'Nearest Location Prices'!$M$1:$O$231,3,FALSE))))</f>
        <v>7.2344179438402385</v>
      </c>
      <c r="I56" s="171"/>
      <c r="K56" s="171"/>
      <c r="L56" s="145">
        <f ca="1">(IF(B56="STORAGE SITE",((100-'User Inputs'!$D$37)/100)*H56/'User Inputs'!$D$7,(IF(B56="INTERCONNECTOR",((100-'User Inputs'!$D$39)/100)*H56/'User Inputs'!$D$7,H56/'User Inputs'!$D$7))))</f>
        <v>1.9820323133808871E-2</v>
      </c>
      <c r="M56" s="147" t="s">
        <v>428</v>
      </c>
      <c r="N56" s="147" t="s">
        <v>428</v>
      </c>
      <c r="O56" s="145">
        <f ca="1">(IF(B56="STORAGE SITE",((100-'User Inputs'!$D$37)/100)* 'User Inputs'!$D$27*'Exit Prices'!H56/'User Inputs'!$D$7, IF(B56="INTERCONNECTOR", ((100-'User Inputs'!$D$39)/100)*'User Inputs'!$D$33*'Exit Prices'!H56/'User Inputs'!$D$7,  'User Inputs'!$D$27*'Exit Prices'!H56/'User Inputs'!$D$7)))</f>
        <v>1.9820323133808871E-2</v>
      </c>
      <c r="P56" s="147" t="s">
        <v>428</v>
      </c>
      <c r="Q56" s="145">
        <f ca="1">(100-(VLOOKUP(A56,'Exit Interruption Prob''s'!$A:$E,5,FALSE)))*O56/100</f>
        <v>1.7838290820427986E-2</v>
      </c>
    </row>
    <row r="57" spans="1:17">
      <c r="A57" s="2" t="s">
        <v>78</v>
      </c>
      <c r="B57" s="12" t="str">
        <f>VLOOKUP(A57,'Locations &amp; Types'!$E:$I,5,FALSE)</f>
        <v>DNO</v>
      </c>
      <c r="C57" s="39">
        <f ca="1">(VLOOKUP(A57, INDIRECT("'"&amp;'Drop Down Inputs'!$B$10&amp;"'!"&amp;" $A:$H"),MATCH('User Inputs'!$D$19, INDIRECT("'"&amp;'Drop Down Inputs'!$B$10&amp;"'!"&amp;"$A$1:$H$1"),0), FALSE))*'User Inputs'!$D$20/100</f>
        <v>57846</v>
      </c>
      <c r="D57" s="146">
        <f t="array" aca="1" ref="D57" ca="1">SUMPRODUCT('Entry Prices'!$C$3:$C$29, TRANSPOSE(INDEX('Distance Matrix'!$C$3:$AC$231,MATCH(A57,'Distance Matrix'!$B$3:$B$231,0),0)) /SUM('Entry Prices'!$C$3:$C$29))</f>
        <v>408.91936559510259</v>
      </c>
      <c r="E57" s="145">
        <f t="shared" ca="1" si="0"/>
        <v>9.059278644052709E-6</v>
      </c>
      <c r="F57" s="39">
        <f ca="1">E57*'Revenue Input'!$B$6</f>
        <v>425673.17292644974</v>
      </c>
      <c r="G57" s="148">
        <f ca="1">IF('User Inputs'!$D$4="PS",('Revenue Input'!$B$6/SUM($C$3:$C$231)),IF(ISERR(F57/C57),0,(F57/C57)))</f>
        <v>7.2344179438402385</v>
      </c>
      <c r="H57" s="148">
        <f ca="1">((IF(G57&gt;0,G57,VLOOKUP(A57,'Nearest Location Prices'!$M$1:$O$231,3,FALSE))))</f>
        <v>7.2344179438402385</v>
      </c>
      <c r="I57" s="171"/>
      <c r="K57" s="171"/>
      <c r="L57" s="145">
        <f ca="1">(IF(B57="STORAGE SITE",((100-'User Inputs'!$D$37)/100)*H57/'User Inputs'!$D$7,(IF(B57="INTERCONNECTOR",((100-'User Inputs'!$D$39)/100)*H57/'User Inputs'!$D$7,H57/'User Inputs'!$D$7))))</f>
        <v>1.9820323133808871E-2</v>
      </c>
      <c r="M57" s="147" t="s">
        <v>428</v>
      </c>
      <c r="N57" s="147" t="s">
        <v>428</v>
      </c>
      <c r="O57" s="145">
        <f ca="1">(IF(B57="STORAGE SITE",((100-'User Inputs'!$D$37)/100)* 'User Inputs'!$D$27*'Exit Prices'!H57/'User Inputs'!$D$7, IF(B57="INTERCONNECTOR", ((100-'User Inputs'!$D$39)/100)*'User Inputs'!$D$33*'Exit Prices'!H57/'User Inputs'!$D$7,  'User Inputs'!$D$27*'Exit Prices'!H57/'User Inputs'!$D$7)))</f>
        <v>1.9820323133808871E-2</v>
      </c>
      <c r="P57" s="147" t="s">
        <v>428</v>
      </c>
      <c r="Q57" s="145">
        <f ca="1">(100-(VLOOKUP(A57,'Exit Interruption Prob''s'!$A:$E,5,FALSE)))*O57/100</f>
        <v>1.7838290820427986E-2</v>
      </c>
    </row>
    <row r="58" spans="1:17">
      <c r="A58" s="2" t="s">
        <v>79</v>
      </c>
      <c r="B58" s="12" t="str">
        <f>VLOOKUP(A58,'Locations &amp; Types'!$E:$I,5,FALSE)</f>
        <v>POWER STATION</v>
      </c>
      <c r="C58" s="39">
        <f ca="1">(VLOOKUP(A58, INDIRECT("'"&amp;'Drop Down Inputs'!$B$10&amp;"'!"&amp;" $A:$H"),MATCH('User Inputs'!$D$19, INDIRECT("'"&amp;'Drop Down Inputs'!$B$10&amp;"'!"&amp;"$A$1:$H$1"),0), FALSE))*'User Inputs'!$D$20/100</f>
        <v>0</v>
      </c>
      <c r="D58" s="146">
        <f t="array" aca="1" ref="D58" ca="1">SUMPRODUCT('Entry Prices'!$C$3:$C$29, TRANSPOSE(INDEX('Distance Matrix'!$C$3:$AC$231,MATCH(A58,'Distance Matrix'!$B$3:$B$231,0),0)) /SUM('Entry Prices'!$C$3:$C$29))</f>
        <v>410.69679856722411</v>
      </c>
      <c r="E58" s="145">
        <f t="shared" ca="1" si="0"/>
        <v>0</v>
      </c>
      <c r="F58" s="39">
        <f ca="1">E58*'Revenue Input'!$B$6</f>
        <v>0</v>
      </c>
      <c r="G58" s="148">
        <f ca="1">IF('User Inputs'!$D$4="PS",('Revenue Input'!$B$6/SUM($C$3:$C$231)),IF(ISERR(F58/C58),0,(F58/C58)))</f>
        <v>7.2344179438402385</v>
      </c>
      <c r="H58" s="148">
        <f ca="1">((IF(G58&gt;0,G58,VLOOKUP(A58,'Nearest Location Prices'!$M$1:$O$231,3,FALSE))))</f>
        <v>7.2344179438402385</v>
      </c>
      <c r="I58" s="171"/>
      <c r="K58" s="171"/>
      <c r="L58" s="145">
        <f ca="1">(IF(B58="STORAGE SITE",((100-'User Inputs'!$D$37)/100)*H58/'User Inputs'!$D$7,(IF(B58="INTERCONNECTOR",((100-'User Inputs'!$D$39)/100)*H58/'User Inputs'!$D$7,H58/'User Inputs'!$D$7))))</f>
        <v>1.9820323133808871E-2</v>
      </c>
      <c r="M58" s="147" t="s">
        <v>428</v>
      </c>
      <c r="N58" s="147" t="s">
        <v>428</v>
      </c>
      <c r="O58" s="145">
        <f ca="1">(IF(B58="STORAGE SITE",((100-'User Inputs'!$D$37)/100)* 'User Inputs'!$D$27*'Exit Prices'!H58/'User Inputs'!$D$7, IF(B58="INTERCONNECTOR", ((100-'User Inputs'!$D$39)/100)*'User Inputs'!$D$33*'Exit Prices'!H58/'User Inputs'!$D$7,  'User Inputs'!$D$27*'Exit Prices'!H58/'User Inputs'!$D$7)))</f>
        <v>1.9820323133808871E-2</v>
      </c>
      <c r="P58" s="147" t="s">
        <v>428</v>
      </c>
      <c r="Q58" s="145">
        <f ca="1">(100-(VLOOKUP(A58,'Exit Interruption Prob''s'!$A:$E,5,FALSE)))*O58/100</f>
        <v>1.7838290820427986E-2</v>
      </c>
    </row>
    <row r="59" spans="1:17">
      <c r="A59" s="2" t="s">
        <v>80</v>
      </c>
      <c r="B59" s="12" t="str">
        <f>VLOOKUP(A59,'Locations &amp; Types'!$E:$I,5,FALSE)</f>
        <v>DNO</v>
      </c>
      <c r="C59" s="39">
        <f ca="1">(VLOOKUP(A59, INDIRECT("'"&amp;'Drop Down Inputs'!$B$10&amp;"'!"&amp;" $A:$H"),MATCH('User Inputs'!$D$19, INDIRECT("'"&amp;'Drop Down Inputs'!$B$10&amp;"'!"&amp;"$A$1:$H$1"),0), FALSE))*'User Inputs'!$D$20/100</f>
        <v>40002877</v>
      </c>
      <c r="D59" s="146">
        <f t="array" aca="1" ref="D59" ca="1">SUMPRODUCT('Entry Prices'!$C$3:$C$29, TRANSPOSE(INDEX('Distance Matrix'!$C$3:$AC$231,MATCH(A59,'Distance Matrix'!$B$3:$B$231,0),0)) /SUM('Entry Prices'!$C$3:$C$29))</f>
        <v>361.4849036723549</v>
      </c>
      <c r="E59" s="145">
        <f t="shared" ca="1" si="0"/>
        <v>5.5381408658287971E-3</v>
      </c>
      <c r="F59" s="39">
        <f ca="1">E59*'Revenue Input'!$B$6</f>
        <v>260223588.11301219</v>
      </c>
      <c r="G59" s="148">
        <f ca="1">IF('User Inputs'!$D$4="PS",('Revenue Input'!$B$6/SUM($C$3:$C$231)),IF(ISERR(F59/C59),0,(F59/C59)))</f>
        <v>7.2344179438402385</v>
      </c>
      <c r="H59" s="148">
        <f ca="1">((IF(G59&gt;0,G59,VLOOKUP(A59,'Nearest Location Prices'!$M$1:$O$231,3,FALSE))))</f>
        <v>7.2344179438402385</v>
      </c>
      <c r="I59" s="171"/>
      <c r="K59" s="171"/>
      <c r="L59" s="145">
        <f ca="1">(IF(B59="STORAGE SITE",((100-'User Inputs'!$D$37)/100)*H59/'User Inputs'!$D$7,(IF(B59="INTERCONNECTOR",((100-'User Inputs'!$D$39)/100)*H59/'User Inputs'!$D$7,H59/'User Inputs'!$D$7))))</f>
        <v>1.9820323133808871E-2</v>
      </c>
      <c r="M59" s="147" t="s">
        <v>428</v>
      </c>
      <c r="N59" s="147" t="s">
        <v>428</v>
      </c>
      <c r="O59" s="145">
        <f ca="1">(IF(B59="STORAGE SITE",((100-'User Inputs'!$D$37)/100)* 'User Inputs'!$D$27*'Exit Prices'!H59/'User Inputs'!$D$7, IF(B59="INTERCONNECTOR", ((100-'User Inputs'!$D$39)/100)*'User Inputs'!$D$33*'Exit Prices'!H59/'User Inputs'!$D$7,  'User Inputs'!$D$27*'Exit Prices'!H59/'User Inputs'!$D$7)))</f>
        <v>1.9820323133808871E-2</v>
      </c>
      <c r="P59" s="147" t="s">
        <v>428</v>
      </c>
      <c r="Q59" s="145">
        <f ca="1">(100-(VLOOKUP(A59,'Exit Interruption Prob''s'!$A:$E,5,FALSE)))*O59/100</f>
        <v>1.7838290820427986E-2</v>
      </c>
    </row>
    <row r="60" spans="1:17">
      <c r="A60" s="2" t="s">
        <v>81</v>
      </c>
      <c r="B60" s="12" t="str">
        <f>VLOOKUP(A60,'Locations &amp; Types'!$E:$I,5,FALSE)</f>
        <v>DNO</v>
      </c>
      <c r="C60" s="39">
        <f ca="1">(VLOOKUP(A60, INDIRECT("'"&amp;'Drop Down Inputs'!$B$10&amp;"'!"&amp;" $A:$H"),MATCH('User Inputs'!$D$19, INDIRECT("'"&amp;'Drop Down Inputs'!$B$10&amp;"'!"&amp;"$A$1:$H$1"),0), FALSE))*'User Inputs'!$D$20/100</f>
        <v>0</v>
      </c>
      <c r="D60" s="146">
        <f t="array" aca="1" ref="D60" ca="1">SUMPRODUCT('Entry Prices'!$C$3:$C$29, TRANSPOSE(INDEX('Distance Matrix'!$C$3:$AC$231,MATCH(A60,'Distance Matrix'!$B$3:$B$231,0),0)) /SUM('Entry Prices'!$C$3:$C$29))</f>
        <v>481.04839394258101</v>
      </c>
      <c r="E60" s="145">
        <f t="shared" ca="1" si="0"/>
        <v>0</v>
      </c>
      <c r="F60" s="39">
        <f ca="1">E60*'Revenue Input'!$B$6</f>
        <v>0</v>
      </c>
      <c r="G60" s="148">
        <f ca="1">IF('User Inputs'!$D$4="PS",('Revenue Input'!$B$6/SUM($C$3:$C$231)),IF(ISERR(F60/C60),0,(F60/C60)))</f>
        <v>7.2344179438402385</v>
      </c>
      <c r="H60" s="148">
        <f ca="1">((IF(G60&gt;0,G60,VLOOKUP(A60,'Nearest Location Prices'!$M$1:$O$231,3,FALSE))))</f>
        <v>7.2344179438402385</v>
      </c>
      <c r="I60" s="171"/>
      <c r="K60" s="171"/>
      <c r="L60" s="145">
        <f ca="1">(IF(B60="STORAGE SITE",((100-'User Inputs'!$D$37)/100)*H60/'User Inputs'!$D$7,(IF(B60="INTERCONNECTOR",((100-'User Inputs'!$D$39)/100)*H60/'User Inputs'!$D$7,H60/'User Inputs'!$D$7))))</f>
        <v>1.9820323133808871E-2</v>
      </c>
      <c r="M60" s="147" t="s">
        <v>428</v>
      </c>
      <c r="N60" s="147" t="s">
        <v>428</v>
      </c>
      <c r="O60" s="145">
        <f ca="1">(IF(B60="STORAGE SITE",((100-'User Inputs'!$D$37)/100)* 'User Inputs'!$D$27*'Exit Prices'!H60/'User Inputs'!$D$7, IF(B60="INTERCONNECTOR", ((100-'User Inputs'!$D$39)/100)*'User Inputs'!$D$33*'Exit Prices'!H60/'User Inputs'!$D$7,  'User Inputs'!$D$27*'Exit Prices'!H60/'User Inputs'!$D$7)))</f>
        <v>1.9820323133808871E-2</v>
      </c>
      <c r="P60" s="147" t="s">
        <v>428</v>
      </c>
      <c r="Q60" s="145">
        <f ca="1">(100-(VLOOKUP(A60,'Exit Interruption Prob''s'!$A:$E,5,FALSE)))*O60/100</f>
        <v>1.7838290820427986E-2</v>
      </c>
    </row>
    <row r="61" spans="1:17">
      <c r="A61" s="2" t="s">
        <v>82</v>
      </c>
      <c r="B61" s="12" t="str">
        <f>VLOOKUP(A61,'Locations &amp; Types'!$E:$I,5,FALSE)</f>
        <v>STORAGE SITE</v>
      </c>
      <c r="C61" s="39">
        <f ca="1">(VLOOKUP(A61, INDIRECT("'"&amp;'Drop Down Inputs'!$B$10&amp;"'!"&amp;" $A:$H"),MATCH('User Inputs'!$D$19, INDIRECT("'"&amp;'Drop Down Inputs'!$B$10&amp;"'!"&amp;"$A$1:$H$1"),0), FALSE))*'User Inputs'!$D$20/100</f>
        <v>0</v>
      </c>
      <c r="D61" s="146">
        <f t="array" aca="1" ref="D61" ca="1">SUMPRODUCT('Entry Prices'!$C$3:$C$29, TRANSPOSE(INDEX('Distance Matrix'!$C$3:$AC$231,MATCH(A61,'Distance Matrix'!$B$3:$B$231,0),0)) /SUM('Entry Prices'!$C$3:$C$29))</f>
        <v>346.57550308134751</v>
      </c>
      <c r="E61" s="145">
        <f t="shared" ca="1" si="0"/>
        <v>0</v>
      </c>
      <c r="F61" s="39">
        <f ca="1">E61*'Revenue Input'!$B$6</f>
        <v>0</v>
      </c>
      <c r="G61" s="148">
        <f ca="1">IF('User Inputs'!$D$4="PS",('Revenue Input'!$B$6/SUM($C$3:$C$231)),IF(ISERR(F61/C61),0,(F61/C61)))</f>
        <v>7.2344179438402385</v>
      </c>
      <c r="H61" s="148">
        <f ca="1">((IF(G61&gt;0,G61,VLOOKUP(A61,'Nearest Location Prices'!$M$1:$O$231,3,FALSE))))</f>
        <v>7.2344179438402385</v>
      </c>
      <c r="I61" s="171"/>
      <c r="K61" s="171"/>
      <c r="L61" s="145">
        <f ca="1">(IF(B61="STORAGE SITE",((100-'User Inputs'!$D$37)/100)*H61/'User Inputs'!$D$7,(IF(B61="INTERCONNECTOR",((100-'User Inputs'!$D$39)/100)*H61/'User Inputs'!$D$7,H61/'User Inputs'!$D$7))))</f>
        <v>9.9101615669044355E-3</v>
      </c>
      <c r="M61" s="147" t="s">
        <v>428</v>
      </c>
      <c r="N61" s="147" t="s">
        <v>428</v>
      </c>
      <c r="O61" s="145">
        <f ca="1">(IF(B61="STORAGE SITE",((100-'User Inputs'!$D$37)/100)* 'User Inputs'!$D$27*'Exit Prices'!H61/'User Inputs'!$D$7, IF(B61="INTERCONNECTOR", ((100-'User Inputs'!$D$39)/100)*'User Inputs'!$D$33*'Exit Prices'!H61/'User Inputs'!$D$7,  'User Inputs'!$D$27*'Exit Prices'!H61/'User Inputs'!$D$7)))</f>
        <v>9.9101615669044355E-3</v>
      </c>
      <c r="P61" s="147" t="s">
        <v>428</v>
      </c>
      <c r="Q61" s="145">
        <f ca="1">(100-(VLOOKUP(A61,'Exit Interruption Prob''s'!$A:$E,5,FALSE)))*O61/100</f>
        <v>8.9191454102139928E-3</v>
      </c>
    </row>
    <row r="62" spans="1:17">
      <c r="A62" s="2" t="s">
        <v>83</v>
      </c>
      <c r="B62" s="12" t="str">
        <f>VLOOKUP(A62,'Locations &amp; Types'!$E:$I,5,FALSE)</f>
        <v>POWER STATION</v>
      </c>
      <c r="C62" s="39">
        <f ca="1">(VLOOKUP(A62, INDIRECT("'"&amp;'Drop Down Inputs'!$B$10&amp;"'!"&amp;" $A:$H"),MATCH('User Inputs'!$D$19, INDIRECT("'"&amp;'Drop Down Inputs'!$B$10&amp;"'!"&amp;"$A$1:$H$1"),0), FALSE))*'User Inputs'!$D$20/100</f>
        <v>0</v>
      </c>
      <c r="D62" s="146">
        <f t="array" aca="1" ref="D62" ca="1">SUMPRODUCT('Entry Prices'!$C$3:$C$29, TRANSPOSE(INDEX('Distance Matrix'!$C$3:$AC$231,MATCH(A62,'Distance Matrix'!$B$3:$B$231,0),0)) /SUM('Entry Prices'!$C$3:$C$29))</f>
        <v>407.87145746481411</v>
      </c>
      <c r="E62" s="145">
        <f t="shared" ca="1" si="0"/>
        <v>0</v>
      </c>
      <c r="F62" s="39">
        <f ca="1">E62*'Revenue Input'!$B$6</f>
        <v>0</v>
      </c>
      <c r="G62" s="148">
        <f ca="1">IF('User Inputs'!$D$4="PS",('Revenue Input'!$B$6/SUM($C$3:$C$231)),IF(ISERR(F62/C62),0,(F62/C62)))</f>
        <v>7.2344179438402385</v>
      </c>
      <c r="H62" s="148">
        <f ca="1">((IF(G62&gt;0,G62,VLOOKUP(A62,'Nearest Location Prices'!$M$1:$O$231,3,FALSE))))</f>
        <v>7.2344179438402385</v>
      </c>
      <c r="I62" s="171"/>
      <c r="K62" s="171"/>
      <c r="L62" s="145">
        <f ca="1">(IF(B62="STORAGE SITE",((100-'User Inputs'!$D$37)/100)*H62/'User Inputs'!$D$7,(IF(B62="INTERCONNECTOR",((100-'User Inputs'!$D$39)/100)*H62/'User Inputs'!$D$7,H62/'User Inputs'!$D$7))))</f>
        <v>1.9820323133808871E-2</v>
      </c>
      <c r="M62" s="147" t="s">
        <v>428</v>
      </c>
      <c r="N62" s="147" t="s">
        <v>428</v>
      </c>
      <c r="O62" s="145">
        <f ca="1">(IF(B62="STORAGE SITE",((100-'User Inputs'!$D$37)/100)* 'User Inputs'!$D$27*'Exit Prices'!H62/'User Inputs'!$D$7, IF(B62="INTERCONNECTOR", ((100-'User Inputs'!$D$39)/100)*'User Inputs'!$D$33*'Exit Prices'!H62/'User Inputs'!$D$7,  'User Inputs'!$D$27*'Exit Prices'!H62/'User Inputs'!$D$7)))</f>
        <v>1.9820323133808871E-2</v>
      </c>
      <c r="P62" s="147" t="s">
        <v>428</v>
      </c>
      <c r="Q62" s="145">
        <f ca="1">(100-(VLOOKUP(A62,'Exit Interruption Prob''s'!$A:$E,5,FALSE)))*O62/100</f>
        <v>1.7838290820427986E-2</v>
      </c>
    </row>
    <row r="63" spans="1:17">
      <c r="A63" s="2" t="s">
        <v>84</v>
      </c>
      <c r="B63" s="12" t="str">
        <f>VLOOKUP(A63,'Locations &amp; Types'!$E:$I,5,FALSE)</f>
        <v>POWER STATION</v>
      </c>
      <c r="C63" s="39">
        <f ca="1">(VLOOKUP(A63, INDIRECT("'"&amp;'Drop Down Inputs'!$B$10&amp;"'!"&amp;" $A:$H"),MATCH('User Inputs'!$D$19, INDIRECT("'"&amp;'Drop Down Inputs'!$B$10&amp;"'!"&amp;"$A$1:$H$1"),0), FALSE))*'User Inputs'!$D$20/100</f>
        <v>37798322.958904102</v>
      </c>
      <c r="D63" s="146">
        <f t="array" aca="1" ref="D63" ca="1">SUMPRODUCT('Entry Prices'!$C$3:$C$29, TRANSPOSE(INDEX('Distance Matrix'!$C$3:$AC$231,MATCH(A63,'Distance Matrix'!$B$3:$B$231,0),0)) /SUM('Entry Prices'!$C$3:$C$29))</f>
        <v>433.24780745347391</v>
      </c>
      <c r="E63" s="145">
        <f t="shared" ca="1" si="0"/>
        <v>6.2717900417582394E-3</v>
      </c>
      <c r="F63" s="39">
        <f ca="1">E63*'Revenue Input'!$B$6</f>
        <v>294695954.49041444</v>
      </c>
      <c r="G63" s="148">
        <f ca="1">IF('User Inputs'!$D$4="PS",('Revenue Input'!$B$6/SUM($C$3:$C$231)),IF(ISERR(F63/C63),0,(F63/C63)))</f>
        <v>7.2344179438402385</v>
      </c>
      <c r="H63" s="148">
        <f ca="1">((IF(G63&gt;0,G63,VLOOKUP(A63,'Nearest Location Prices'!$M$1:$O$231,3,FALSE))))</f>
        <v>7.2344179438402385</v>
      </c>
      <c r="I63" s="171"/>
      <c r="K63" s="171"/>
      <c r="L63" s="145">
        <f ca="1">(IF(B63="STORAGE SITE",((100-'User Inputs'!$D$37)/100)*H63/'User Inputs'!$D$7,(IF(B63="INTERCONNECTOR",((100-'User Inputs'!$D$39)/100)*H63/'User Inputs'!$D$7,H63/'User Inputs'!$D$7))))</f>
        <v>1.9820323133808871E-2</v>
      </c>
      <c r="M63" s="147" t="s">
        <v>428</v>
      </c>
      <c r="N63" s="147" t="s">
        <v>428</v>
      </c>
      <c r="O63" s="145">
        <f ca="1">(IF(B63="STORAGE SITE",((100-'User Inputs'!$D$37)/100)* 'User Inputs'!$D$27*'Exit Prices'!H63/'User Inputs'!$D$7, IF(B63="INTERCONNECTOR", ((100-'User Inputs'!$D$39)/100)*'User Inputs'!$D$33*'Exit Prices'!H63/'User Inputs'!$D$7,  'User Inputs'!$D$27*'Exit Prices'!H63/'User Inputs'!$D$7)))</f>
        <v>1.9820323133808871E-2</v>
      </c>
      <c r="P63" s="147" t="s">
        <v>428</v>
      </c>
      <c r="Q63" s="145">
        <f ca="1">(100-(VLOOKUP(A63,'Exit Interruption Prob''s'!$A:$E,5,FALSE)))*O63/100</f>
        <v>1.7838290820427986E-2</v>
      </c>
    </row>
    <row r="64" spans="1:17">
      <c r="A64" s="2" t="s">
        <v>85</v>
      </c>
      <c r="B64" s="12" t="str">
        <f>VLOOKUP(A64,'Locations &amp; Types'!$E:$I,5,FALSE)</f>
        <v>DNO</v>
      </c>
      <c r="C64" s="39">
        <f ca="1">(VLOOKUP(A64, INDIRECT("'"&amp;'Drop Down Inputs'!$B$10&amp;"'!"&amp;" $A:$H"),MATCH('User Inputs'!$D$19, INDIRECT("'"&amp;'Drop Down Inputs'!$B$10&amp;"'!"&amp;"$A$1:$H$1"),0), FALSE))*'User Inputs'!$D$20/100</f>
        <v>91369207</v>
      </c>
      <c r="D64" s="146">
        <f t="array" aca="1" ref="D64" ca="1">SUMPRODUCT('Entry Prices'!$C$3:$C$29, TRANSPOSE(INDEX('Distance Matrix'!$C$3:$AC$231,MATCH(A64,'Distance Matrix'!$B$3:$B$231,0),0)) /SUM('Entry Prices'!$C$3:$C$29))</f>
        <v>455.90673414740752</v>
      </c>
      <c r="E64" s="145">
        <f t="shared" ca="1" si="0"/>
        <v>1.5953591556412471E-2</v>
      </c>
      <c r="F64" s="39">
        <f ca="1">E64*'Revenue Input'!$B$6</f>
        <v>749619942.62632847</v>
      </c>
      <c r="G64" s="148">
        <f ca="1">IF('User Inputs'!$D$4="PS",('Revenue Input'!$B$6/SUM($C$3:$C$231)),IF(ISERR(F64/C64),0,(F64/C64)))</f>
        <v>7.2344179438402385</v>
      </c>
      <c r="H64" s="148">
        <f ca="1">((IF(G64&gt;0,G64,VLOOKUP(A64,'Nearest Location Prices'!$M$1:$O$231,3,FALSE))))</f>
        <v>7.2344179438402385</v>
      </c>
      <c r="I64" s="171"/>
      <c r="K64" s="171"/>
      <c r="L64" s="145">
        <f ca="1">(IF(B64="STORAGE SITE",((100-'User Inputs'!$D$37)/100)*H64/'User Inputs'!$D$7,(IF(B64="INTERCONNECTOR",((100-'User Inputs'!$D$39)/100)*H64/'User Inputs'!$D$7,H64/'User Inputs'!$D$7))))</f>
        <v>1.9820323133808871E-2</v>
      </c>
      <c r="M64" s="147" t="s">
        <v>428</v>
      </c>
      <c r="N64" s="147" t="s">
        <v>428</v>
      </c>
      <c r="O64" s="145">
        <f ca="1">(IF(B64="STORAGE SITE",((100-'User Inputs'!$D$37)/100)* 'User Inputs'!$D$27*'Exit Prices'!H64/'User Inputs'!$D$7, IF(B64="INTERCONNECTOR", ((100-'User Inputs'!$D$39)/100)*'User Inputs'!$D$33*'Exit Prices'!H64/'User Inputs'!$D$7,  'User Inputs'!$D$27*'Exit Prices'!H64/'User Inputs'!$D$7)))</f>
        <v>1.9820323133808871E-2</v>
      </c>
      <c r="P64" s="147" t="s">
        <v>428</v>
      </c>
      <c r="Q64" s="145">
        <f ca="1">(100-(VLOOKUP(A64,'Exit Interruption Prob''s'!$A:$E,5,FALSE)))*O64/100</f>
        <v>1.7838290820427986E-2</v>
      </c>
    </row>
    <row r="65" spans="1:17">
      <c r="A65" s="2" t="s">
        <v>86</v>
      </c>
      <c r="B65" s="12" t="str">
        <f>VLOOKUP(A65,'Locations &amp; Types'!$E:$I,5,FALSE)</f>
        <v>POWER STATION</v>
      </c>
      <c r="C65" s="39">
        <f ca="1">(VLOOKUP(A65, INDIRECT("'"&amp;'Drop Down Inputs'!$B$10&amp;"'!"&amp;" $A:$H"),MATCH('User Inputs'!$D$19, INDIRECT("'"&amp;'Drop Down Inputs'!$B$10&amp;"'!"&amp;"$A$1:$H$1"),0), FALSE))*'User Inputs'!$D$20/100</f>
        <v>0</v>
      </c>
      <c r="D65" s="146">
        <f t="array" aca="1" ref="D65" ca="1">SUMPRODUCT('Entry Prices'!$C$3:$C$29, TRANSPOSE(INDEX('Distance Matrix'!$C$3:$AC$231,MATCH(A65,'Distance Matrix'!$B$3:$B$231,0),0)) /SUM('Entry Prices'!$C$3:$C$29))</f>
        <v>333.63016857060359</v>
      </c>
      <c r="E65" s="145">
        <f t="shared" ca="1" si="0"/>
        <v>0</v>
      </c>
      <c r="F65" s="39">
        <f ca="1">E65*'Revenue Input'!$B$6</f>
        <v>0</v>
      </c>
      <c r="G65" s="148">
        <f ca="1">IF('User Inputs'!$D$4="PS",('Revenue Input'!$B$6/SUM($C$3:$C$231)),IF(ISERR(F65/C65),0,(F65/C65)))</f>
        <v>7.2344179438402385</v>
      </c>
      <c r="H65" s="148">
        <f ca="1">((IF(G65&gt;0,G65,VLOOKUP(A65,'Nearest Location Prices'!$M$1:$O$231,3,FALSE))))</f>
        <v>7.2344179438402385</v>
      </c>
      <c r="I65" s="171"/>
      <c r="K65" s="171"/>
      <c r="L65" s="145">
        <f ca="1">(IF(B65="STORAGE SITE",((100-'User Inputs'!$D$37)/100)*H65/'User Inputs'!$D$7,(IF(B65="INTERCONNECTOR",((100-'User Inputs'!$D$39)/100)*H65/'User Inputs'!$D$7,H65/'User Inputs'!$D$7))))</f>
        <v>1.9820323133808871E-2</v>
      </c>
      <c r="M65" s="147" t="s">
        <v>428</v>
      </c>
      <c r="N65" s="147" t="s">
        <v>428</v>
      </c>
      <c r="O65" s="145">
        <f ca="1">(IF(B65="STORAGE SITE",((100-'User Inputs'!$D$37)/100)* 'User Inputs'!$D$27*'Exit Prices'!H65/'User Inputs'!$D$7, IF(B65="INTERCONNECTOR", ((100-'User Inputs'!$D$39)/100)*'User Inputs'!$D$33*'Exit Prices'!H65/'User Inputs'!$D$7,  'User Inputs'!$D$27*'Exit Prices'!H65/'User Inputs'!$D$7)))</f>
        <v>1.9820323133808871E-2</v>
      </c>
      <c r="P65" s="147" t="s">
        <v>428</v>
      </c>
      <c r="Q65" s="145">
        <f ca="1">(100-(VLOOKUP(A65,'Exit Interruption Prob''s'!$A:$E,5,FALSE)))*O65/100</f>
        <v>1.7838290820427986E-2</v>
      </c>
    </row>
    <row r="66" spans="1:17">
      <c r="A66" s="2" t="s">
        <v>87</v>
      </c>
      <c r="B66" s="12" t="str">
        <f>VLOOKUP(A66,'Locations &amp; Types'!$E:$I,5,FALSE)</f>
        <v>DNO</v>
      </c>
      <c r="C66" s="39">
        <f ca="1">(VLOOKUP(A66, INDIRECT("'"&amp;'Drop Down Inputs'!$B$10&amp;"'!"&amp;" $A:$H"),MATCH('User Inputs'!$D$19, INDIRECT("'"&amp;'Drop Down Inputs'!$B$10&amp;"'!"&amp;"$A$1:$H$1"),0), FALSE))*'User Inputs'!$D$20/100</f>
        <v>54670979</v>
      </c>
      <c r="D66" s="146">
        <f t="array" aca="1" ref="D66" ca="1">SUMPRODUCT('Entry Prices'!$C$3:$C$29, TRANSPOSE(INDEX('Distance Matrix'!$C$3:$AC$231,MATCH(A66,'Distance Matrix'!$B$3:$B$231,0),0)) /SUM('Entry Prices'!$C$3:$C$29))</f>
        <v>339.20005318193955</v>
      </c>
      <c r="E66" s="145">
        <f t="shared" ca="1" si="0"/>
        <v>7.1022404068793012E-3</v>
      </c>
      <c r="F66" s="39">
        <f ca="1">E66*'Revenue Input'!$B$6</f>
        <v>333716770.13902891</v>
      </c>
      <c r="G66" s="148">
        <f ca="1">IF('User Inputs'!$D$4="PS",('Revenue Input'!$B$6/SUM($C$3:$C$231)),IF(ISERR(F66/C66),0,(F66/C66)))</f>
        <v>7.2344179438402385</v>
      </c>
      <c r="H66" s="148">
        <f ca="1">((IF(G66&gt;0,G66,VLOOKUP(A66,'Nearest Location Prices'!$M$1:$O$231,3,FALSE))))</f>
        <v>7.2344179438402385</v>
      </c>
      <c r="I66" s="171"/>
      <c r="K66" s="171"/>
      <c r="L66" s="145">
        <f ca="1">(IF(B66="STORAGE SITE",((100-'User Inputs'!$D$37)/100)*H66/'User Inputs'!$D$7,(IF(B66="INTERCONNECTOR",((100-'User Inputs'!$D$39)/100)*H66/'User Inputs'!$D$7,H66/'User Inputs'!$D$7))))</f>
        <v>1.9820323133808871E-2</v>
      </c>
      <c r="M66" s="147" t="s">
        <v>428</v>
      </c>
      <c r="N66" s="147" t="s">
        <v>428</v>
      </c>
      <c r="O66" s="145">
        <f ca="1">(IF(B66="STORAGE SITE",((100-'User Inputs'!$D$37)/100)* 'User Inputs'!$D$27*'Exit Prices'!H66/'User Inputs'!$D$7, IF(B66="INTERCONNECTOR", ((100-'User Inputs'!$D$39)/100)*'User Inputs'!$D$33*'Exit Prices'!H66/'User Inputs'!$D$7,  'User Inputs'!$D$27*'Exit Prices'!H66/'User Inputs'!$D$7)))</f>
        <v>1.9820323133808871E-2</v>
      </c>
      <c r="P66" s="147" t="s">
        <v>428</v>
      </c>
      <c r="Q66" s="145">
        <f ca="1">(100-(VLOOKUP(A66,'Exit Interruption Prob''s'!$A:$E,5,FALSE)))*O66/100</f>
        <v>1.7838290820427986E-2</v>
      </c>
    </row>
    <row r="67" spans="1:17">
      <c r="A67" s="2" t="s">
        <v>88</v>
      </c>
      <c r="B67" s="12" t="str">
        <f>VLOOKUP(A67,'Locations &amp; Types'!$E:$I,5,FALSE)</f>
        <v>DNO</v>
      </c>
      <c r="C67" s="39">
        <f ca="1">(VLOOKUP(A67, INDIRECT("'"&amp;'Drop Down Inputs'!$B$10&amp;"'!"&amp;" $A:$H"),MATCH('User Inputs'!$D$19, INDIRECT("'"&amp;'Drop Down Inputs'!$B$10&amp;"'!"&amp;"$A$1:$H$1"),0), FALSE))*'User Inputs'!$D$20/100</f>
        <v>66956781</v>
      </c>
      <c r="D67" s="146">
        <f t="array" aca="1" ref="D67" ca="1">SUMPRODUCT('Entry Prices'!$C$3:$C$29, TRANSPOSE(INDEX('Distance Matrix'!$C$3:$AC$231,MATCH(A67,'Distance Matrix'!$B$3:$B$231,0),0)) /SUM('Entry Prices'!$C$3:$C$29))</f>
        <v>533.98544467131001</v>
      </c>
      <c r="E67" s="145">
        <f t="shared" ref="E67:E130" ca="1" si="1">(C67*D67)/SUMPRODUCT($C$3:$C$231,$D$3:$D$231)</f>
        <v>1.3693251724276859E-2</v>
      </c>
      <c r="F67" s="39">
        <f ca="1">E67*'Revenue Input'!$B$6</f>
        <v>643412145.51117361</v>
      </c>
      <c r="G67" s="148">
        <f ca="1">IF('User Inputs'!$D$4="PS",('Revenue Input'!$B$6/SUM($C$3:$C$231)),IF(ISERR(F67/C67),0,(F67/C67)))</f>
        <v>7.2344179438402385</v>
      </c>
      <c r="H67" s="148">
        <f ca="1">((IF(G67&gt;0,G67,VLOOKUP(A67,'Nearest Location Prices'!$M$1:$O$231,3,FALSE))))</f>
        <v>7.2344179438402385</v>
      </c>
      <c r="I67" s="171"/>
      <c r="K67" s="171"/>
      <c r="L67" s="145">
        <f ca="1">(IF(B67="STORAGE SITE",((100-'User Inputs'!$D$37)/100)*H67/'User Inputs'!$D$7,(IF(B67="INTERCONNECTOR",((100-'User Inputs'!$D$39)/100)*H67/'User Inputs'!$D$7,H67/'User Inputs'!$D$7))))</f>
        <v>1.9820323133808871E-2</v>
      </c>
      <c r="M67" s="147" t="s">
        <v>428</v>
      </c>
      <c r="N67" s="147" t="s">
        <v>428</v>
      </c>
      <c r="O67" s="145">
        <f ca="1">(IF(B67="STORAGE SITE",((100-'User Inputs'!$D$37)/100)* 'User Inputs'!$D$27*'Exit Prices'!H67/'User Inputs'!$D$7, IF(B67="INTERCONNECTOR", ((100-'User Inputs'!$D$39)/100)*'User Inputs'!$D$33*'Exit Prices'!H67/'User Inputs'!$D$7,  'User Inputs'!$D$27*'Exit Prices'!H67/'User Inputs'!$D$7)))</f>
        <v>1.9820323133808871E-2</v>
      </c>
      <c r="P67" s="147" t="s">
        <v>428</v>
      </c>
      <c r="Q67" s="145">
        <f ca="1">(100-(VLOOKUP(A67,'Exit Interruption Prob''s'!$A:$E,5,FALSE)))*O67/100</f>
        <v>1.7838290820427986E-2</v>
      </c>
    </row>
    <row r="68" spans="1:17">
      <c r="A68" s="2" t="s">
        <v>89</v>
      </c>
      <c r="B68" s="12" t="str">
        <f>VLOOKUP(A68,'Locations &amp; Types'!$E:$I,5,FALSE)</f>
        <v>DNO</v>
      </c>
      <c r="C68" s="39">
        <f ca="1">(VLOOKUP(A68, INDIRECT("'"&amp;'Drop Down Inputs'!$B$10&amp;"'!"&amp;" $A:$H"),MATCH('User Inputs'!$D$19, INDIRECT("'"&amp;'Drop Down Inputs'!$B$10&amp;"'!"&amp;"$A$1:$H$1"),0), FALSE))*'User Inputs'!$D$20/100</f>
        <v>40231974</v>
      </c>
      <c r="D68" s="146">
        <f t="array" aca="1" ref="D68" ca="1">SUMPRODUCT('Entry Prices'!$C$3:$C$29, TRANSPOSE(INDEX('Distance Matrix'!$C$3:$AC$231,MATCH(A68,'Distance Matrix'!$B$3:$B$231,0),0)) /SUM('Entry Prices'!$C$3:$C$29))</f>
        <v>489.31779486376621</v>
      </c>
      <c r="E68" s="145">
        <f t="shared" ca="1" si="1"/>
        <v>7.5395418825791446E-3</v>
      </c>
      <c r="F68" s="39">
        <f ca="1">E68*'Revenue Input'!$B$6</f>
        <v>354264488.56126493</v>
      </c>
      <c r="G68" s="148">
        <f ca="1">IF('User Inputs'!$D$4="PS",('Revenue Input'!$B$6/SUM($C$3:$C$231)),IF(ISERR(F68/C68),0,(F68/C68)))</f>
        <v>7.2344179438402385</v>
      </c>
      <c r="H68" s="148">
        <f ca="1">((IF(G68&gt;0,G68,VLOOKUP(A68,'Nearest Location Prices'!$M$1:$O$231,3,FALSE))))</f>
        <v>7.2344179438402385</v>
      </c>
      <c r="I68" s="171"/>
      <c r="K68" s="171"/>
      <c r="L68" s="145">
        <f ca="1">(IF(B68="STORAGE SITE",((100-'User Inputs'!$D$37)/100)*H68/'User Inputs'!$D$7,(IF(B68="INTERCONNECTOR",((100-'User Inputs'!$D$39)/100)*H68/'User Inputs'!$D$7,H68/'User Inputs'!$D$7))))</f>
        <v>1.9820323133808871E-2</v>
      </c>
      <c r="M68" s="147" t="s">
        <v>428</v>
      </c>
      <c r="N68" s="147" t="s">
        <v>428</v>
      </c>
      <c r="O68" s="145">
        <f ca="1">(IF(B68="STORAGE SITE",((100-'User Inputs'!$D$37)/100)* 'User Inputs'!$D$27*'Exit Prices'!H68/'User Inputs'!$D$7, IF(B68="INTERCONNECTOR", ((100-'User Inputs'!$D$39)/100)*'User Inputs'!$D$33*'Exit Prices'!H68/'User Inputs'!$D$7,  'User Inputs'!$D$27*'Exit Prices'!H68/'User Inputs'!$D$7)))</f>
        <v>1.9820323133808871E-2</v>
      </c>
      <c r="P68" s="147" t="s">
        <v>428</v>
      </c>
      <c r="Q68" s="145">
        <f ca="1">(100-(VLOOKUP(A68,'Exit Interruption Prob''s'!$A:$E,5,FALSE)))*O68/100</f>
        <v>1.7838290820427986E-2</v>
      </c>
    </row>
    <row r="69" spans="1:17">
      <c r="A69" s="2" t="s">
        <v>90</v>
      </c>
      <c r="B69" s="12" t="str">
        <f>VLOOKUP(A69,'Locations &amp; Types'!$E:$I,5,FALSE)</f>
        <v>STORAGE SITE</v>
      </c>
      <c r="C69" s="39">
        <f ca="1">(VLOOKUP(A69, INDIRECT("'"&amp;'Drop Down Inputs'!$B$10&amp;"'!"&amp;" $A:$H"),MATCH('User Inputs'!$D$19, INDIRECT("'"&amp;'Drop Down Inputs'!$B$10&amp;"'!"&amp;"$A$1:$H$1"),0), FALSE))*'User Inputs'!$D$20/100</f>
        <v>23931</v>
      </c>
      <c r="D69" s="146">
        <f t="array" aca="1" ref="D69" ca="1">SUMPRODUCT('Entry Prices'!$C$3:$C$29, TRANSPOSE(INDEX('Distance Matrix'!$C$3:$AC$231,MATCH(A69,'Distance Matrix'!$B$3:$B$231,0),0)) /SUM('Entry Prices'!$C$3:$C$29))</f>
        <v>462.10890958338581</v>
      </c>
      <c r="E69" s="145">
        <f t="shared" ca="1" si="1"/>
        <v>4.2353352705394085E-6</v>
      </c>
      <c r="F69" s="39">
        <f ca="1">E69*'Revenue Input'!$B$6</f>
        <v>199007.96452500904</v>
      </c>
      <c r="G69" s="148">
        <f ca="1">IF('User Inputs'!$D$4="PS",('Revenue Input'!$B$6/SUM($C$3:$C$231)),IF(ISERR(F69/C69),0,(F69/C69)))</f>
        <v>7.2344179438402385</v>
      </c>
      <c r="H69" s="148">
        <f ca="1">((IF(G69&gt;0,G69,VLOOKUP(A69,'Nearest Location Prices'!$M$1:$O$231,3,FALSE))))</f>
        <v>7.2344179438402385</v>
      </c>
      <c r="I69" s="171"/>
      <c r="K69" s="171"/>
      <c r="L69" s="145">
        <f ca="1">(IF(B69="STORAGE SITE",((100-'User Inputs'!$D$37)/100)*H69/'User Inputs'!$D$7,(IF(B69="INTERCONNECTOR",((100-'User Inputs'!$D$39)/100)*H69/'User Inputs'!$D$7,H69/'User Inputs'!$D$7))))</f>
        <v>9.9101615669044355E-3</v>
      </c>
      <c r="M69" s="147" t="s">
        <v>428</v>
      </c>
      <c r="N69" s="147" t="s">
        <v>428</v>
      </c>
      <c r="O69" s="145">
        <f ca="1">(IF(B69="STORAGE SITE",((100-'User Inputs'!$D$37)/100)* 'User Inputs'!$D$27*'Exit Prices'!H69/'User Inputs'!$D$7, IF(B69="INTERCONNECTOR", ((100-'User Inputs'!$D$39)/100)*'User Inputs'!$D$33*'Exit Prices'!H69/'User Inputs'!$D$7,  'User Inputs'!$D$27*'Exit Prices'!H69/'User Inputs'!$D$7)))</f>
        <v>9.9101615669044355E-3</v>
      </c>
      <c r="P69" s="147" t="s">
        <v>428</v>
      </c>
      <c r="Q69" s="145">
        <f ca="1">(100-(VLOOKUP(A69,'Exit Interruption Prob''s'!$A:$E,5,FALSE)))*O69/100</f>
        <v>8.9191454102139928E-3</v>
      </c>
    </row>
    <row r="70" spans="1:17">
      <c r="A70" s="2" t="s">
        <v>91</v>
      </c>
      <c r="B70" s="12" t="str">
        <f>VLOOKUP(A70,'Locations &amp; Types'!$E:$I,5,FALSE)</f>
        <v>POWER STATION</v>
      </c>
      <c r="C70" s="39">
        <f ca="1">(VLOOKUP(A70, INDIRECT("'"&amp;'Drop Down Inputs'!$B$10&amp;"'!"&amp;" $A:$H"),MATCH('User Inputs'!$D$19, INDIRECT("'"&amp;'Drop Down Inputs'!$B$10&amp;"'!"&amp;"$A$1:$H$1"),0), FALSE))*'User Inputs'!$D$20/100</f>
        <v>1457215</v>
      </c>
      <c r="D70" s="146">
        <f t="array" aca="1" ref="D70" ca="1">SUMPRODUCT('Entry Prices'!$C$3:$C$29, TRANSPOSE(INDEX('Distance Matrix'!$C$3:$AC$231,MATCH(A70,'Distance Matrix'!$B$3:$B$231,0),0)) /SUM('Entry Prices'!$C$3:$C$29))</f>
        <v>307.68669844203555</v>
      </c>
      <c r="E70" s="145">
        <f t="shared" ca="1" si="1"/>
        <v>1.7171765972839385E-4</v>
      </c>
      <c r="F70" s="39">
        <f ca="1">E70*'Revenue Input'!$B$6</f>
        <v>8068589.5573016843</v>
      </c>
      <c r="G70" s="148">
        <f ca="1">IF('User Inputs'!$D$4="PS",('Revenue Input'!$B$6/SUM($C$3:$C$231)),IF(ISERR(F70/C70),0,(F70/C70)))</f>
        <v>7.2344179438402385</v>
      </c>
      <c r="H70" s="148">
        <f ca="1">((IF(G70&gt;0,G70,VLOOKUP(A70,'Nearest Location Prices'!$M$1:$O$231,3,FALSE))))</f>
        <v>7.2344179438402385</v>
      </c>
      <c r="I70" s="171"/>
      <c r="K70" s="171"/>
      <c r="L70" s="145">
        <f ca="1">(IF(B70="STORAGE SITE",((100-'User Inputs'!$D$37)/100)*H70/'User Inputs'!$D$7,(IF(B70="INTERCONNECTOR",((100-'User Inputs'!$D$39)/100)*H70/'User Inputs'!$D$7,H70/'User Inputs'!$D$7))))</f>
        <v>1.9820323133808871E-2</v>
      </c>
      <c r="M70" s="147" t="s">
        <v>428</v>
      </c>
      <c r="N70" s="147" t="s">
        <v>428</v>
      </c>
      <c r="O70" s="145">
        <f ca="1">(IF(B70="STORAGE SITE",((100-'User Inputs'!$D$37)/100)* 'User Inputs'!$D$27*'Exit Prices'!H70/'User Inputs'!$D$7, IF(B70="INTERCONNECTOR", ((100-'User Inputs'!$D$39)/100)*'User Inputs'!$D$33*'Exit Prices'!H70/'User Inputs'!$D$7,  'User Inputs'!$D$27*'Exit Prices'!H70/'User Inputs'!$D$7)))</f>
        <v>1.9820323133808871E-2</v>
      </c>
      <c r="P70" s="147" t="s">
        <v>428</v>
      </c>
      <c r="Q70" s="145">
        <f ca="1">(100-(VLOOKUP(A70,'Exit Interruption Prob''s'!$A:$E,5,FALSE)))*O70/100</f>
        <v>1.7838290820427986E-2</v>
      </c>
    </row>
    <row r="71" spans="1:17">
      <c r="A71" s="2" t="s">
        <v>92</v>
      </c>
      <c r="B71" s="12" t="str">
        <f>VLOOKUP(A71,'Locations &amp; Types'!$E:$I,5,FALSE)</f>
        <v>POWER STATION</v>
      </c>
      <c r="C71" s="39">
        <f ca="1">(VLOOKUP(A71, INDIRECT("'"&amp;'Drop Down Inputs'!$B$10&amp;"'!"&amp;" $A:$H"),MATCH('User Inputs'!$D$19, INDIRECT("'"&amp;'Drop Down Inputs'!$B$10&amp;"'!"&amp;"$A$1:$H$1"),0), FALSE))*'User Inputs'!$D$20/100</f>
        <v>36060000</v>
      </c>
      <c r="D71" s="146">
        <f t="array" aca="1" ref="D71" ca="1">SUMPRODUCT('Entry Prices'!$C$3:$C$29, TRANSPOSE(INDEX('Distance Matrix'!$C$3:$AC$231,MATCH(A71,'Distance Matrix'!$B$3:$B$231,0),0)) /SUM('Entry Prices'!$C$3:$C$29))</f>
        <v>307.68669844203555</v>
      </c>
      <c r="E71" s="145">
        <f t="shared" ca="1" si="1"/>
        <v>4.2492966444936959E-3</v>
      </c>
      <c r="F71" s="39">
        <f ca="1">E71*'Revenue Input'!$B$6</f>
        <v>199663975.0732038</v>
      </c>
      <c r="G71" s="148">
        <f ca="1">IF('User Inputs'!$D$4="PS",('Revenue Input'!$B$6/SUM($C$3:$C$231)),IF(ISERR(F71/C71),0,(F71/C71)))</f>
        <v>7.2344179438402385</v>
      </c>
      <c r="H71" s="148">
        <f ca="1">((IF(G71&gt;0,G71,VLOOKUP(A71,'Nearest Location Prices'!$M$1:$O$231,3,FALSE))))</f>
        <v>7.2344179438402385</v>
      </c>
      <c r="I71" s="171"/>
      <c r="K71" s="171"/>
      <c r="L71" s="145">
        <f ca="1">(IF(B71="STORAGE SITE",((100-'User Inputs'!$D$37)/100)*H71/'User Inputs'!$D$7,(IF(B71="INTERCONNECTOR",((100-'User Inputs'!$D$39)/100)*H71/'User Inputs'!$D$7,H71/'User Inputs'!$D$7))))</f>
        <v>1.9820323133808871E-2</v>
      </c>
      <c r="M71" s="147" t="s">
        <v>428</v>
      </c>
      <c r="N71" s="147" t="s">
        <v>428</v>
      </c>
      <c r="O71" s="145">
        <f ca="1">(IF(B71="STORAGE SITE",((100-'User Inputs'!$D$37)/100)* 'User Inputs'!$D$27*'Exit Prices'!H71/'User Inputs'!$D$7, IF(B71="INTERCONNECTOR", ((100-'User Inputs'!$D$39)/100)*'User Inputs'!$D$33*'Exit Prices'!H71/'User Inputs'!$D$7,  'User Inputs'!$D$27*'Exit Prices'!H71/'User Inputs'!$D$7)))</f>
        <v>1.9820323133808871E-2</v>
      </c>
      <c r="P71" s="147" t="s">
        <v>428</v>
      </c>
      <c r="Q71" s="145">
        <f ca="1">(100-(VLOOKUP(A71,'Exit Interruption Prob''s'!$A:$E,5,FALSE)))*O71/100</f>
        <v>1.7838290820427986E-2</v>
      </c>
    </row>
    <row r="72" spans="1:17">
      <c r="A72" s="2" t="s">
        <v>93</v>
      </c>
      <c r="B72" s="12" t="str">
        <f>VLOOKUP(A72,'Locations &amp; Types'!$E:$I,5,FALSE)</f>
        <v>DNO</v>
      </c>
      <c r="C72" s="39">
        <f ca="1">(VLOOKUP(A72, INDIRECT("'"&amp;'Drop Down Inputs'!$B$10&amp;"'!"&amp;" $A:$H"),MATCH('User Inputs'!$D$19, INDIRECT("'"&amp;'Drop Down Inputs'!$B$10&amp;"'!"&amp;"$A$1:$H$1"),0), FALSE))*'User Inputs'!$D$20/100</f>
        <v>27391725</v>
      </c>
      <c r="D72" s="146">
        <f t="array" aca="1" ref="D72" ca="1">SUMPRODUCT('Entry Prices'!$C$3:$C$29, TRANSPOSE(INDEX('Distance Matrix'!$C$3:$AC$231,MATCH(A72,'Distance Matrix'!$B$3:$B$231,0),0)) /SUM('Entry Prices'!$C$3:$C$29))</f>
        <v>420.63290376519336</v>
      </c>
      <c r="E72" s="145">
        <f t="shared" ca="1" si="1"/>
        <v>4.4127084188223115E-3</v>
      </c>
      <c r="F72" s="39">
        <f ca="1">E72*'Revenue Input'!$B$6</f>
        <v>207342291.54906008</v>
      </c>
      <c r="G72" s="148">
        <f ca="1">IF('User Inputs'!$D$4="PS",('Revenue Input'!$B$6/SUM($C$3:$C$231)),IF(ISERR(F72/C72),0,(F72/C72)))</f>
        <v>7.2344179438402385</v>
      </c>
      <c r="H72" s="148">
        <f ca="1">((IF(G72&gt;0,G72,VLOOKUP(A72,'Nearest Location Prices'!$M$1:$O$231,3,FALSE))))</f>
        <v>7.2344179438402385</v>
      </c>
      <c r="I72" s="171"/>
      <c r="K72" s="171"/>
      <c r="L72" s="145">
        <f ca="1">(IF(B72="STORAGE SITE",((100-'User Inputs'!$D$37)/100)*H72/'User Inputs'!$D$7,(IF(B72="INTERCONNECTOR",((100-'User Inputs'!$D$39)/100)*H72/'User Inputs'!$D$7,H72/'User Inputs'!$D$7))))</f>
        <v>1.9820323133808871E-2</v>
      </c>
      <c r="M72" s="147" t="s">
        <v>428</v>
      </c>
      <c r="N72" s="147" t="s">
        <v>428</v>
      </c>
      <c r="O72" s="145">
        <f ca="1">(IF(B72="STORAGE SITE",((100-'User Inputs'!$D$37)/100)* 'User Inputs'!$D$27*'Exit Prices'!H72/'User Inputs'!$D$7, IF(B72="INTERCONNECTOR", ((100-'User Inputs'!$D$39)/100)*'User Inputs'!$D$33*'Exit Prices'!H72/'User Inputs'!$D$7,  'User Inputs'!$D$27*'Exit Prices'!H72/'User Inputs'!$D$7)))</f>
        <v>1.9820323133808871E-2</v>
      </c>
      <c r="P72" s="147" t="s">
        <v>428</v>
      </c>
      <c r="Q72" s="145">
        <f ca="1">(100-(VLOOKUP(A72,'Exit Interruption Prob''s'!$A:$E,5,FALSE)))*O72/100</f>
        <v>1.7838290820427986E-2</v>
      </c>
    </row>
    <row r="73" spans="1:17">
      <c r="A73" s="2" t="s">
        <v>94</v>
      </c>
      <c r="B73" s="12" t="str">
        <f>VLOOKUP(A73,'Locations &amp; Types'!$E:$I,5,FALSE)</f>
        <v>DNO</v>
      </c>
      <c r="C73" s="39">
        <f ca="1">(VLOOKUP(A73, INDIRECT("'"&amp;'Drop Down Inputs'!$B$10&amp;"'!"&amp;" $A:$H"),MATCH('User Inputs'!$D$19, INDIRECT("'"&amp;'Drop Down Inputs'!$B$10&amp;"'!"&amp;"$A$1:$H$1"),0), FALSE))*'User Inputs'!$D$20/100</f>
        <v>16370887</v>
      </c>
      <c r="D73" s="146">
        <f t="array" aca="1" ref="D73" ca="1">SUMPRODUCT('Entry Prices'!$C$3:$C$29, TRANSPOSE(INDEX('Distance Matrix'!$C$3:$AC$231,MATCH(A73,'Distance Matrix'!$B$3:$B$231,0),0)) /SUM('Entry Prices'!$C$3:$C$29))</f>
        <v>395.27589789011779</v>
      </c>
      <c r="E73" s="145">
        <f t="shared" ca="1" si="1"/>
        <v>2.4783072701961358E-3</v>
      </c>
      <c r="F73" s="39">
        <f ca="1">E73*'Revenue Input'!$B$6</f>
        <v>116449549.75346041</v>
      </c>
      <c r="G73" s="148">
        <f ca="1">IF('User Inputs'!$D$4="PS",('Revenue Input'!$B$6/SUM($C$3:$C$231)),IF(ISERR(F73/C73),0,(F73/C73)))</f>
        <v>7.2344179438402385</v>
      </c>
      <c r="H73" s="148">
        <f ca="1">((IF(G73&gt;0,G73,VLOOKUP(A73,'Nearest Location Prices'!$M$1:$O$231,3,FALSE))))</f>
        <v>7.2344179438402385</v>
      </c>
      <c r="I73" s="171"/>
      <c r="K73" s="171"/>
      <c r="L73" s="145">
        <f ca="1">(IF(B73="STORAGE SITE",((100-'User Inputs'!$D$37)/100)*H73/'User Inputs'!$D$7,(IF(B73="INTERCONNECTOR",((100-'User Inputs'!$D$39)/100)*H73/'User Inputs'!$D$7,H73/'User Inputs'!$D$7))))</f>
        <v>1.9820323133808871E-2</v>
      </c>
      <c r="M73" s="147" t="s">
        <v>428</v>
      </c>
      <c r="N73" s="147" t="s">
        <v>428</v>
      </c>
      <c r="O73" s="145">
        <f ca="1">(IF(B73="STORAGE SITE",((100-'User Inputs'!$D$37)/100)* 'User Inputs'!$D$27*'Exit Prices'!H73/'User Inputs'!$D$7, IF(B73="INTERCONNECTOR", ((100-'User Inputs'!$D$39)/100)*'User Inputs'!$D$33*'Exit Prices'!H73/'User Inputs'!$D$7,  'User Inputs'!$D$27*'Exit Prices'!H73/'User Inputs'!$D$7)))</f>
        <v>1.9820323133808871E-2</v>
      </c>
      <c r="P73" s="147" t="s">
        <v>428</v>
      </c>
      <c r="Q73" s="145">
        <f ca="1">(100-(VLOOKUP(A73,'Exit Interruption Prob''s'!$A:$E,5,FALSE)))*O73/100</f>
        <v>1.7838290820427986E-2</v>
      </c>
    </row>
    <row r="74" spans="1:17">
      <c r="A74" s="2" t="s">
        <v>95</v>
      </c>
      <c r="B74" s="12" t="str">
        <f>VLOOKUP(A74,'Locations &amp; Types'!$E:$I,5,FALSE)</f>
        <v>DNO</v>
      </c>
      <c r="C74" s="39">
        <f ca="1">(VLOOKUP(A74, INDIRECT("'"&amp;'Drop Down Inputs'!$B$10&amp;"'!"&amp;" $A:$H"),MATCH('User Inputs'!$D$19, INDIRECT("'"&amp;'Drop Down Inputs'!$B$10&amp;"'!"&amp;"$A$1:$H$1"),0), FALSE))*'User Inputs'!$D$20/100</f>
        <v>56000000</v>
      </c>
      <c r="D74" s="146">
        <f t="array" aca="1" ref="D74" ca="1">SUMPRODUCT('Entry Prices'!$C$3:$C$29, TRANSPOSE(INDEX('Distance Matrix'!$C$3:$AC$231,MATCH(A74,'Distance Matrix'!$B$3:$B$231,0),0)) /SUM('Entry Prices'!$C$3:$C$29))</f>
        <v>348.11427798542945</v>
      </c>
      <c r="E74" s="145">
        <f t="shared" ca="1" si="1"/>
        <v>7.466077085111108E-3</v>
      </c>
      <c r="F74" s="39">
        <f ca="1">E74*'Revenue Input'!$B$6</f>
        <v>350812558.81439179</v>
      </c>
      <c r="G74" s="148">
        <f ca="1">IF('User Inputs'!$D$4="PS",('Revenue Input'!$B$6/SUM($C$3:$C$231)),IF(ISERR(F74/C74),0,(F74/C74)))</f>
        <v>7.2344179438402385</v>
      </c>
      <c r="H74" s="148">
        <f ca="1">((IF(G74&gt;0,G74,VLOOKUP(A74,'Nearest Location Prices'!$M$1:$O$231,3,FALSE))))</f>
        <v>7.2344179438402385</v>
      </c>
      <c r="I74" s="171"/>
      <c r="K74" s="171"/>
      <c r="L74" s="145">
        <f ca="1">(IF(B74="STORAGE SITE",((100-'User Inputs'!$D$37)/100)*H74/'User Inputs'!$D$7,(IF(B74="INTERCONNECTOR",((100-'User Inputs'!$D$39)/100)*H74/'User Inputs'!$D$7,H74/'User Inputs'!$D$7))))</f>
        <v>1.9820323133808871E-2</v>
      </c>
      <c r="M74" s="147" t="s">
        <v>428</v>
      </c>
      <c r="N74" s="147" t="s">
        <v>428</v>
      </c>
      <c r="O74" s="145">
        <f ca="1">(IF(B74="STORAGE SITE",((100-'User Inputs'!$D$37)/100)* 'User Inputs'!$D$27*'Exit Prices'!H74/'User Inputs'!$D$7, IF(B74="INTERCONNECTOR", ((100-'User Inputs'!$D$39)/100)*'User Inputs'!$D$33*'Exit Prices'!H74/'User Inputs'!$D$7,  'User Inputs'!$D$27*'Exit Prices'!H74/'User Inputs'!$D$7)))</f>
        <v>1.9820323133808871E-2</v>
      </c>
      <c r="P74" s="147" t="s">
        <v>428</v>
      </c>
      <c r="Q74" s="145">
        <f ca="1">(100-(VLOOKUP(A74,'Exit Interruption Prob''s'!$A:$E,5,FALSE)))*O74/100</f>
        <v>1.7838290820427986E-2</v>
      </c>
    </row>
    <row r="75" spans="1:17">
      <c r="A75" s="2" t="s">
        <v>96</v>
      </c>
      <c r="B75" s="12" t="str">
        <f>VLOOKUP(A75,'Locations &amp; Types'!$E:$I,5,FALSE)</f>
        <v>POWER STATION</v>
      </c>
      <c r="C75" s="39">
        <f ca="1">(VLOOKUP(A75, INDIRECT("'"&amp;'Drop Down Inputs'!$B$10&amp;"'!"&amp;" $A:$H"),MATCH('User Inputs'!$D$19, INDIRECT("'"&amp;'Drop Down Inputs'!$B$10&amp;"'!"&amp;"$A$1:$H$1"),0), FALSE))*'User Inputs'!$D$20/100</f>
        <v>0</v>
      </c>
      <c r="D75" s="146">
        <f t="array" aca="1" ref="D75" ca="1">SUMPRODUCT('Entry Prices'!$C$3:$C$29, TRANSPOSE(INDEX('Distance Matrix'!$C$3:$AC$231,MATCH(A75,'Distance Matrix'!$B$3:$B$231,0),0)) /SUM('Entry Prices'!$C$3:$C$29))</f>
        <v>364.63490367235494</v>
      </c>
      <c r="E75" s="145">
        <f t="shared" ca="1" si="1"/>
        <v>0</v>
      </c>
      <c r="F75" s="39">
        <f ca="1">E75*'Revenue Input'!$B$6</f>
        <v>0</v>
      </c>
      <c r="G75" s="148">
        <f ca="1">IF('User Inputs'!$D$4="PS",('Revenue Input'!$B$6/SUM($C$3:$C$231)),IF(ISERR(F75/C75),0,(F75/C75)))</f>
        <v>7.2344179438402385</v>
      </c>
      <c r="H75" s="148">
        <f ca="1">((IF(G75&gt;0,G75,VLOOKUP(A75,'Nearest Location Prices'!$M$1:$O$231,3,FALSE))))</f>
        <v>7.2344179438402385</v>
      </c>
      <c r="I75" s="171"/>
      <c r="K75" s="171"/>
      <c r="L75" s="145">
        <f ca="1">(IF(B75="STORAGE SITE",((100-'User Inputs'!$D$37)/100)*H75/'User Inputs'!$D$7,(IF(B75="INTERCONNECTOR",((100-'User Inputs'!$D$39)/100)*H75/'User Inputs'!$D$7,H75/'User Inputs'!$D$7))))</f>
        <v>1.9820323133808871E-2</v>
      </c>
      <c r="M75" s="147" t="s">
        <v>428</v>
      </c>
      <c r="N75" s="147" t="s">
        <v>428</v>
      </c>
      <c r="O75" s="145">
        <f ca="1">(IF(B75="STORAGE SITE",((100-'User Inputs'!$D$37)/100)* 'User Inputs'!$D$27*'Exit Prices'!H75/'User Inputs'!$D$7, IF(B75="INTERCONNECTOR", ((100-'User Inputs'!$D$39)/100)*'User Inputs'!$D$33*'Exit Prices'!H75/'User Inputs'!$D$7,  'User Inputs'!$D$27*'Exit Prices'!H75/'User Inputs'!$D$7)))</f>
        <v>1.9820323133808871E-2</v>
      </c>
      <c r="P75" s="147" t="s">
        <v>428</v>
      </c>
      <c r="Q75" s="145">
        <f ca="1">(100-(VLOOKUP(A75,'Exit Interruption Prob''s'!$A:$E,5,FALSE)))*O75/100</f>
        <v>1.7838290820427986E-2</v>
      </c>
    </row>
    <row r="76" spans="1:17">
      <c r="A76" s="2" t="s">
        <v>97</v>
      </c>
      <c r="B76" s="12" t="str">
        <f>VLOOKUP(A76,'Locations &amp; Types'!$E:$I,5,FALSE)</f>
        <v>POWER STATION</v>
      </c>
      <c r="C76" s="39">
        <f ca="1">(VLOOKUP(A76, INDIRECT("'"&amp;'Drop Down Inputs'!$B$10&amp;"'!"&amp;" $A:$H"),MATCH('User Inputs'!$D$19, INDIRECT("'"&amp;'Drop Down Inputs'!$B$10&amp;"'!"&amp;"$A$1:$H$1"),0), FALSE))*'User Inputs'!$D$20/100</f>
        <v>12313242.342465753</v>
      </c>
      <c r="D76" s="146">
        <f t="array" aca="1" ref="D76" ca="1">SUMPRODUCT('Entry Prices'!$C$3:$C$29, TRANSPOSE(INDEX('Distance Matrix'!$C$3:$AC$231,MATCH(A76,'Distance Matrix'!$B$3:$B$231,0),0)) /SUM('Entry Prices'!$C$3:$C$29))</f>
        <v>395.57799019460924</v>
      </c>
      <c r="E76" s="145">
        <f t="shared" ca="1" si="1"/>
        <v>1.8654652052092647E-3</v>
      </c>
      <c r="F76" s="39">
        <f ca="1">E76*'Revenue Input'!$B$6</f>
        <v>87653611.737245768</v>
      </c>
      <c r="G76" s="148">
        <f ca="1">IF('User Inputs'!$D$4="PS",('Revenue Input'!$B$6/SUM($C$3:$C$231)),IF(ISERR(F76/C76),0,(F76/C76)))</f>
        <v>7.2344179438402385</v>
      </c>
      <c r="H76" s="148">
        <f ca="1">((IF(G76&gt;0,G76,VLOOKUP(A76,'Nearest Location Prices'!$M$1:$O$231,3,FALSE))))</f>
        <v>7.2344179438402385</v>
      </c>
      <c r="I76" s="171"/>
      <c r="K76" s="171"/>
      <c r="L76" s="145">
        <f ca="1">(IF(B76="STORAGE SITE",((100-'User Inputs'!$D$37)/100)*H76/'User Inputs'!$D$7,(IF(B76="INTERCONNECTOR",((100-'User Inputs'!$D$39)/100)*H76/'User Inputs'!$D$7,H76/'User Inputs'!$D$7))))</f>
        <v>1.9820323133808871E-2</v>
      </c>
      <c r="M76" s="147" t="s">
        <v>428</v>
      </c>
      <c r="N76" s="147" t="s">
        <v>428</v>
      </c>
      <c r="O76" s="145">
        <f ca="1">(IF(B76="STORAGE SITE",((100-'User Inputs'!$D$37)/100)* 'User Inputs'!$D$27*'Exit Prices'!H76/'User Inputs'!$D$7, IF(B76="INTERCONNECTOR", ((100-'User Inputs'!$D$39)/100)*'User Inputs'!$D$33*'Exit Prices'!H76/'User Inputs'!$D$7,  'User Inputs'!$D$27*'Exit Prices'!H76/'User Inputs'!$D$7)))</f>
        <v>1.9820323133808871E-2</v>
      </c>
      <c r="P76" s="147" t="s">
        <v>428</v>
      </c>
      <c r="Q76" s="145">
        <f ca="1">(100-(VLOOKUP(A76,'Exit Interruption Prob''s'!$A:$E,5,FALSE)))*O76/100</f>
        <v>1.7838290820427986E-2</v>
      </c>
    </row>
    <row r="77" spans="1:17">
      <c r="A77" s="2" t="s">
        <v>98</v>
      </c>
      <c r="B77" s="12" t="str">
        <f>VLOOKUP(A77,'Locations &amp; Types'!$E:$I,5,FALSE)</f>
        <v>DNO</v>
      </c>
      <c r="C77" s="39">
        <f ca="1">(VLOOKUP(A77, INDIRECT("'"&amp;'Drop Down Inputs'!$B$10&amp;"'!"&amp;" $A:$H"),MATCH('User Inputs'!$D$19, INDIRECT("'"&amp;'Drop Down Inputs'!$B$10&amp;"'!"&amp;"$A$1:$H$1"),0), FALSE))*'User Inputs'!$D$20/100</f>
        <v>6523465</v>
      </c>
      <c r="D77" s="146">
        <f t="array" aca="1" ref="D77" ca="1">SUMPRODUCT('Entry Prices'!$C$3:$C$29, TRANSPOSE(INDEX('Distance Matrix'!$C$3:$AC$231,MATCH(A77,'Distance Matrix'!$B$3:$B$231,0),0)) /SUM('Entry Prices'!$C$3:$C$29))</f>
        <v>364.36169444158315</v>
      </c>
      <c r="E77" s="145">
        <f t="shared" ca="1" si="1"/>
        <v>9.1031910187092547E-4</v>
      </c>
      <c r="F77" s="39">
        <f ca="1">E77*'Revenue Input'!$B$6</f>
        <v>42773650.717029244</v>
      </c>
      <c r="G77" s="148">
        <f ca="1">IF('User Inputs'!$D$4="PS",('Revenue Input'!$B$6/SUM($C$3:$C$231)),IF(ISERR(F77/C77),0,(F77/C77)))</f>
        <v>7.2344179438402385</v>
      </c>
      <c r="H77" s="148">
        <f ca="1">((IF(G77&gt;0,G77,VLOOKUP(A77,'Nearest Location Prices'!$M$1:$O$231,3,FALSE))))</f>
        <v>7.2344179438402385</v>
      </c>
      <c r="I77" s="171"/>
      <c r="K77" s="171"/>
      <c r="L77" s="145">
        <f ca="1">(IF(B77="STORAGE SITE",((100-'User Inputs'!$D$37)/100)*H77/'User Inputs'!$D$7,(IF(B77="INTERCONNECTOR",((100-'User Inputs'!$D$39)/100)*H77/'User Inputs'!$D$7,H77/'User Inputs'!$D$7))))</f>
        <v>1.9820323133808871E-2</v>
      </c>
      <c r="M77" s="147" t="s">
        <v>428</v>
      </c>
      <c r="N77" s="147" t="s">
        <v>428</v>
      </c>
      <c r="O77" s="145">
        <f ca="1">(IF(B77="STORAGE SITE",((100-'User Inputs'!$D$37)/100)* 'User Inputs'!$D$27*'Exit Prices'!H77/'User Inputs'!$D$7, IF(B77="INTERCONNECTOR", ((100-'User Inputs'!$D$39)/100)*'User Inputs'!$D$33*'Exit Prices'!H77/'User Inputs'!$D$7,  'User Inputs'!$D$27*'Exit Prices'!H77/'User Inputs'!$D$7)))</f>
        <v>1.9820323133808871E-2</v>
      </c>
      <c r="P77" s="147" t="s">
        <v>428</v>
      </c>
      <c r="Q77" s="145">
        <f ca="1">(100-(VLOOKUP(A77,'Exit Interruption Prob''s'!$A:$E,5,FALSE)))*O77/100</f>
        <v>1.7838290820427986E-2</v>
      </c>
    </row>
    <row r="78" spans="1:17">
      <c r="A78" s="2" t="s">
        <v>99</v>
      </c>
      <c r="B78" s="12" t="str">
        <f>VLOOKUP(A78,'Locations &amp; Types'!$E:$I,5,FALSE)</f>
        <v>DNO</v>
      </c>
      <c r="C78" s="39">
        <f ca="1">(VLOOKUP(A78, INDIRECT("'"&amp;'Drop Down Inputs'!$B$10&amp;"'!"&amp;" $A:$H"),MATCH('User Inputs'!$D$19, INDIRECT("'"&amp;'Drop Down Inputs'!$B$10&amp;"'!"&amp;"$A$1:$H$1"),0), FALSE))*'User Inputs'!$D$20/100</f>
        <v>91587931</v>
      </c>
      <c r="D78" s="146">
        <f t="array" aca="1" ref="D78" ca="1">SUMPRODUCT('Entry Prices'!$C$3:$C$29, TRANSPOSE(INDEX('Distance Matrix'!$C$3:$AC$231,MATCH(A78,'Distance Matrix'!$B$3:$B$231,0),0)) /SUM('Entry Prices'!$C$3:$C$29))</f>
        <v>432.08301283171579</v>
      </c>
      <c r="E78" s="145">
        <f t="shared" ca="1" si="1"/>
        <v>1.5156120414271591E-2</v>
      </c>
      <c r="F78" s="39">
        <f ca="1">E78*'Revenue Input'!$B$6</f>
        <v>712148739.37382221</v>
      </c>
      <c r="G78" s="148">
        <f ca="1">IF('User Inputs'!$D$4="PS",('Revenue Input'!$B$6/SUM($C$3:$C$231)),IF(ISERR(F78/C78),0,(F78/C78)))</f>
        <v>7.2344179438402385</v>
      </c>
      <c r="H78" s="148">
        <f ca="1">((IF(G78&gt;0,G78,VLOOKUP(A78,'Nearest Location Prices'!$M$1:$O$231,3,FALSE))))</f>
        <v>7.2344179438402385</v>
      </c>
      <c r="I78" s="171"/>
      <c r="K78" s="171"/>
      <c r="L78" s="145">
        <f ca="1">(IF(B78="STORAGE SITE",((100-'User Inputs'!$D$37)/100)*H78/'User Inputs'!$D$7,(IF(B78="INTERCONNECTOR",((100-'User Inputs'!$D$39)/100)*H78/'User Inputs'!$D$7,H78/'User Inputs'!$D$7))))</f>
        <v>1.9820323133808871E-2</v>
      </c>
      <c r="M78" s="147" t="s">
        <v>428</v>
      </c>
      <c r="N78" s="147" t="s">
        <v>428</v>
      </c>
      <c r="O78" s="145">
        <f ca="1">(IF(B78="STORAGE SITE",((100-'User Inputs'!$D$37)/100)* 'User Inputs'!$D$27*'Exit Prices'!H78/'User Inputs'!$D$7, IF(B78="INTERCONNECTOR", ((100-'User Inputs'!$D$39)/100)*'User Inputs'!$D$33*'Exit Prices'!H78/'User Inputs'!$D$7,  'User Inputs'!$D$27*'Exit Prices'!H78/'User Inputs'!$D$7)))</f>
        <v>1.9820323133808871E-2</v>
      </c>
      <c r="P78" s="147" t="s">
        <v>428</v>
      </c>
      <c r="Q78" s="145">
        <f ca="1">(100-(VLOOKUP(A78,'Exit Interruption Prob''s'!$A:$E,5,FALSE)))*O78/100</f>
        <v>1.7838290820427986E-2</v>
      </c>
    </row>
    <row r="79" spans="1:17">
      <c r="A79" s="2" t="s">
        <v>100</v>
      </c>
      <c r="B79" s="12" t="str">
        <f>VLOOKUP(A79,'Locations &amp; Types'!$E:$I,5,FALSE)</f>
        <v>DNO</v>
      </c>
      <c r="C79" s="39">
        <f ca="1">(VLOOKUP(A79, INDIRECT("'"&amp;'Drop Down Inputs'!$B$10&amp;"'!"&amp;" $A:$H"),MATCH('User Inputs'!$D$19, INDIRECT("'"&amp;'Drop Down Inputs'!$B$10&amp;"'!"&amp;"$A$1:$H$1"),0), FALSE))*'User Inputs'!$D$20/100</f>
        <v>98294599</v>
      </c>
      <c r="D79" s="146">
        <f t="array" aca="1" ref="D79" ca="1">SUMPRODUCT('Entry Prices'!$C$3:$C$29, TRANSPOSE(INDEX('Distance Matrix'!$C$3:$AC$231,MATCH(A79,'Distance Matrix'!$B$3:$B$231,0),0)) /SUM('Entry Prices'!$C$3:$C$29))</f>
        <v>432.08301283171579</v>
      </c>
      <c r="E79" s="145">
        <f t="shared" ca="1" si="1"/>
        <v>1.6265950789045993E-2</v>
      </c>
      <c r="F79" s="39">
        <f ca="1">E79*'Revenue Input'!$B$6</f>
        <v>764296933.02172494</v>
      </c>
      <c r="G79" s="148">
        <f ca="1">IF('User Inputs'!$D$4="PS",('Revenue Input'!$B$6/SUM($C$3:$C$231)),IF(ISERR(F79/C79),0,(F79/C79)))</f>
        <v>7.2344179438402385</v>
      </c>
      <c r="H79" s="148">
        <f ca="1">((IF(G79&gt;0,G79,VLOOKUP(A79,'Nearest Location Prices'!$M$1:$O$231,3,FALSE))))</f>
        <v>7.2344179438402385</v>
      </c>
      <c r="I79" s="171"/>
      <c r="K79" s="171"/>
      <c r="L79" s="145">
        <f ca="1">(IF(B79="STORAGE SITE",((100-'User Inputs'!$D$37)/100)*H79/'User Inputs'!$D$7,(IF(B79="INTERCONNECTOR",((100-'User Inputs'!$D$39)/100)*H79/'User Inputs'!$D$7,H79/'User Inputs'!$D$7))))</f>
        <v>1.9820323133808871E-2</v>
      </c>
      <c r="M79" s="147" t="s">
        <v>428</v>
      </c>
      <c r="N79" s="147" t="s">
        <v>428</v>
      </c>
      <c r="O79" s="145">
        <f ca="1">(IF(B79="STORAGE SITE",((100-'User Inputs'!$D$37)/100)* 'User Inputs'!$D$27*'Exit Prices'!H79/'User Inputs'!$D$7, IF(B79="INTERCONNECTOR", ((100-'User Inputs'!$D$39)/100)*'User Inputs'!$D$33*'Exit Prices'!H79/'User Inputs'!$D$7,  'User Inputs'!$D$27*'Exit Prices'!H79/'User Inputs'!$D$7)))</f>
        <v>1.9820323133808871E-2</v>
      </c>
      <c r="P79" s="147" t="s">
        <v>428</v>
      </c>
      <c r="Q79" s="145">
        <f ca="1">(100-(VLOOKUP(A79,'Exit Interruption Prob''s'!$A:$E,5,FALSE)))*O79/100</f>
        <v>1.7838290820427986E-2</v>
      </c>
    </row>
    <row r="80" spans="1:17">
      <c r="A80" s="2" t="s">
        <v>101</v>
      </c>
      <c r="B80" s="12" t="str">
        <f>VLOOKUP(A80,'Locations &amp; Types'!$E:$I,5,FALSE)</f>
        <v>INDUSTRIAL</v>
      </c>
      <c r="C80" s="39">
        <f ca="1">(VLOOKUP(A80, INDIRECT("'"&amp;'Drop Down Inputs'!$B$10&amp;"'!"&amp;" $A:$H"),MATCH('User Inputs'!$D$19, INDIRECT("'"&amp;'Drop Down Inputs'!$B$10&amp;"'!"&amp;"$A$1:$H$1"),0), FALSE))*'User Inputs'!$D$20/100</f>
        <v>0</v>
      </c>
      <c r="D80" s="146">
        <f t="array" aca="1" ref="D80" ca="1">SUMPRODUCT('Entry Prices'!$C$3:$C$29, TRANSPOSE(INDEX('Distance Matrix'!$C$3:$AC$231,MATCH(A80,'Distance Matrix'!$B$3:$B$231,0),0)) /SUM('Entry Prices'!$C$3:$C$29))</f>
        <v>363.11423870515523</v>
      </c>
      <c r="E80" s="145">
        <f t="shared" ca="1" si="1"/>
        <v>0</v>
      </c>
      <c r="F80" s="39">
        <f ca="1">E80*'Revenue Input'!$B$6</f>
        <v>0</v>
      </c>
      <c r="G80" s="148">
        <f ca="1">IF('User Inputs'!$D$4="PS",('Revenue Input'!$B$6/SUM($C$3:$C$231)),IF(ISERR(F80/C80),0,(F80/C80)))</f>
        <v>7.2344179438402385</v>
      </c>
      <c r="H80" s="148">
        <f ca="1">((IF(G80&gt;0,G80,VLOOKUP(A80,'Nearest Location Prices'!$M$1:$O$231,3,FALSE))))</f>
        <v>7.2344179438402385</v>
      </c>
      <c r="I80" s="171"/>
      <c r="K80" s="171"/>
      <c r="L80" s="145">
        <f ca="1">(IF(B80="STORAGE SITE",((100-'User Inputs'!$D$37)/100)*H80/'User Inputs'!$D$7,(IF(B80="INTERCONNECTOR",((100-'User Inputs'!$D$39)/100)*H80/'User Inputs'!$D$7,H80/'User Inputs'!$D$7))))</f>
        <v>1.9820323133808871E-2</v>
      </c>
      <c r="M80" s="147" t="s">
        <v>428</v>
      </c>
      <c r="N80" s="147" t="s">
        <v>428</v>
      </c>
      <c r="O80" s="145">
        <f ca="1">(IF(B80="STORAGE SITE",((100-'User Inputs'!$D$37)/100)* 'User Inputs'!$D$27*'Exit Prices'!H80/'User Inputs'!$D$7, IF(B80="INTERCONNECTOR", ((100-'User Inputs'!$D$39)/100)*'User Inputs'!$D$33*'Exit Prices'!H80/'User Inputs'!$D$7,  'User Inputs'!$D$27*'Exit Prices'!H80/'User Inputs'!$D$7)))</f>
        <v>1.9820323133808871E-2</v>
      </c>
      <c r="P80" s="147" t="s">
        <v>428</v>
      </c>
      <c r="Q80" s="145">
        <f ca="1">(100-(VLOOKUP(A80,'Exit Interruption Prob''s'!$A:$E,5,FALSE)))*O80/100</f>
        <v>1.7838290820427986E-2</v>
      </c>
    </row>
    <row r="81" spans="1:17">
      <c r="A81" s="2" t="s">
        <v>102</v>
      </c>
      <c r="B81" s="12" t="str">
        <f>VLOOKUP(A81,'Locations &amp; Types'!$E:$I,5,FALSE)</f>
        <v>DNO</v>
      </c>
      <c r="C81" s="39">
        <f ca="1">(VLOOKUP(A81, INDIRECT("'"&amp;'Drop Down Inputs'!$B$10&amp;"'!"&amp;" $A:$H"),MATCH('User Inputs'!$D$19, INDIRECT("'"&amp;'Drop Down Inputs'!$B$10&amp;"'!"&amp;"$A$1:$H$1"),0), FALSE))*'User Inputs'!$D$20/100</f>
        <v>21741989</v>
      </c>
      <c r="D81" s="146">
        <f t="array" aca="1" ref="D81" ca="1">SUMPRODUCT('Entry Prices'!$C$3:$C$29, TRANSPOSE(INDEX('Distance Matrix'!$C$3:$AC$231,MATCH(A81,'Distance Matrix'!$B$3:$B$231,0),0)) /SUM('Entry Prices'!$C$3:$C$29))</f>
        <v>378.46259113023558</v>
      </c>
      <c r="E81" s="145">
        <f t="shared" ca="1" si="1"/>
        <v>3.1514094744032966E-3</v>
      </c>
      <c r="F81" s="39">
        <f ca="1">E81*'Revenue Input'!$B$6</f>
        <v>148076963.17414668</v>
      </c>
      <c r="G81" s="148">
        <f ca="1">IF('User Inputs'!$D$4="PS",('Revenue Input'!$B$6/SUM($C$3:$C$231)),IF(ISERR(F81/C81),0,(F81/C81)))</f>
        <v>7.2344179438402385</v>
      </c>
      <c r="H81" s="148">
        <f ca="1">((IF(G81&gt;0,G81,VLOOKUP(A81,'Nearest Location Prices'!$M$1:$O$231,3,FALSE))))</f>
        <v>7.2344179438402385</v>
      </c>
      <c r="I81" s="171"/>
      <c r="K81" s="171"/>
      <c r="L81" s="145">
        <f ca="1">(IF(B81="STORAGE SITE",((100-'User Inputs'!$D$37)/100)*H81/'User Inputs'!$D$7,(IF(B81="INTERCONNECTOR",((100-'User Inputs'!$D$39)/100)*H81/'User Inputs'!$D$7,H81/'User Inputs'!$D$7))))</f>
        <v>1.9820323133808871E-2</v>
      </c>
      <c r="M81" s="147" t="s">
        <v>428</v>
      </c>
      <c r="N81" s="147" t="s">
        <v>428</v>
      </c>
      <c r="O81" s="145">
        <f ca="1">(IF(B81="STORAGE SITE",((100-'User Inputs'!$D$37)/100)* 'User Inputs'!$D$27*'Exit Prices'!H81/'User Inputs'!$D$7, IF(B81="INTERCONNECTOR", ((100-'User Inputs'!$D$39)/100)*'User Inputs'!$D$33*'Exit Prices'!H81/'User Inputs'!$D$7,  'User Inputs'!$D$27*'Exit Prices'!H81/'User Inputs'!$D$7)))</f>
        <v>1.9820323133808871E-2</v>
      </c>
      <c r="P81" s="147" t="s">
        <v>428</v>
      </c>
      <c r="Q81" s="145">
        <f ca="1">(100-(VLOOKUP(A81,'Exit Interruption Prob''s'!$A:$E,5,FALSE)))*O81/100</f>
        <v>1.7838290820427986E-2</v>
      </c>
    </row>
    <row r="82" spans="1:17">
      <c r="A82" s="2" t="s">
        <v>103</v>
      </c>
      <c r="B82" s="12" t="str">
        <f>VLOOKUP(A82,'Locations &amp; Types'!$E:$I,5,FALSE)</f>
        <v>DNO</v>
      </c>
      <c r="C82" s="39">
        <f ca="1">(VLOOKUP(A82, INDIRECT("'"&amp;'Drop Down Inputs'!$B$10&amp;"'!"&amp;" $A:$H"),MATCH('User Inputs'!$D$19, INDIRECT("'"&amp;'Drop Down Inputs'!$B$10&amp;"'!"&amp;"$A$1:$H$1"),0), FALSE))*'User Inputs'!$D$20/100</f>
        <v>16610330</v>
      </c>
      <c r="D82" s="146">
        <f t="array" aca="1" ref="D82" ca="1">SUMPRODUCT('Entry Prices'!$C$3:$C$29, TRANSPOSE(INDEX('Distance Matrix'!$C$3:$AC$231,MATCH(A82,'Distance Matrix'!$B$3:$B$231,0),0)) /SUM('Entry Prices'!$C$3:$C$29))</f>
        <v>298.56344681340653</v>
      </c>
      <c r="E82" s="145">
        <f t="shared" ca="1" si="1"/>
        <v>1.8993172072951591E-3</v>
      </c>
      <c r="F82" s="39">
        <f ca="1">E82*'Revenue Input'!$B$6</f>
        <v>89244233.87218532</v>
      </c>
      <c r="G82" s="148">
        <f ca="1">IF('User Inputs'!$D$4="PS",('Revenue Input'!$B$6/SUM($C$3:$C$231)),IF(ISERR(F82/C82),0,(F82/C82)))</f>
        <v>7.2344179438402385</v>
      </c>
      <c r="H82" s="148">
        <f ca="1">((IF(G82&gt;0,G82,VLOOKUP(A82,'Nearest Location Prices'!$M$1:$O$231,3,FALSE))))</f>
        <v>7.2344179438402385</v>
      </c>
      <c r="I82" s="171"/>
      <c r="K82" s="171"/>
      <c r="L82" s="145">
        <f ca="1">(IF(B82="STORAGE SITE",((100-'User Inputs'!$D$37)/100)*H82/'User Inputs'!$D$7,(IF(B82="INTERCONNECTOR",((100-'User Inputs'!$D$39)/100)*H82/'User Inputs'!$D$7,H82/'User Inputs'!$D$7))))</f>
        <v>1.9820323133808871E-2</v>
      </c>
      <c r="M82" s="147" t="s">
        <v>428</v>
      </c>
      <c r="N82" s="147" t="s">
        <v>428</v>
      </c>
      <c r="O82" s="145">
        <f ca="1">(IF(B82="STORAGE SITE",((100-'User Inputs'!$D$37)/100)* 'User Inputs'!$D$27*'Exit Prices'!H82/'User Inputs'!$D$7, IF(B82="INTERCONNECTOR", ((100-'User Inputs'!$D$39)/100)*'User Inputs'!$D$33*'Exit Prices'!H82/'User Inputs'!$D$7,  'User Inputs'!$D$27*'Exit Prices'!H82/'User Inputs'!$D$7)))</f>
        <v>1.9820323133808871E-2</v>
      </c>
      <c r="P82" s="147" t="s">
        <v>428</v>
      </c>
      <c r="Q82" s="145">
        <f ca="1">(100-(VLOOKUP(A82,'Exit Interruption Prob''s'!$A:$E,5,FALSE)))*O82/100</f>
        <v>1.7838290820427986E-2</v>
      </c>
    </row>
    <row r="83" spans="1:17">
      <c r="A83" s="2" t="s">
        <v>104</v>
      </c>
      <c r="B83" s="12" t="str">
        <f>VLOOKUP(A83,'Locations &amp; Types'!$E:$I,5,FALSE)</f>
        <v>STORAGE SITE</v>
      </c>
      <c r="C83" s="39">
        <f ca="1">(VLOOKUP(A83, INDIRECT("'"&amp;'Drop Down Inputs'!$B$10&amp;"'!"&amp;" $A:$H"),MATCH('User Inputs'!$D$19, INDIRECT("'"&amp;'Drop Down Inputs'!$B$10&amp;"'!"&amp;"$A$1:$H$1"),0), FALSE))*'User Inputs'!$D$20/100</f>
        <v>326003150.68493152</v>
      </c>
      <c r="D83" s="146">
        <f t="array" aca="1" ref="D83" ca="1">SUMPRODUCT('Entry Prices'!$C$3:$C$29, TRANSPOSE(INDEX('Distance Matrix'!$C$3:$AC$231,MATCH(A83,'Distance Matrix'!$B$3:$B$231,0),0)) /SUM('Entry Prices'!$C$3:$C$29))</f>
        <v>304.66739103637786</v>
      </c>
      <c r="E83" s="145">
        <f t="shared" ca="1" si="1"/>
        <v>3.8039112625628785E-2</v>
      </c>
      <c r="F83" s="39">
        <f ca="1">E83*'Revenue Input'!$B$6</f>
        <v>1787364138.2349968</v>
      </c>
      <c r="G83" s="148">
        <f ca="1">IF('User Inputs'!$D$4="PS",('Revenue Input'!$B$6/SUM($C$3:$C$231)),IF(ISERR(F83/C83),0,(F83/C83)))</f>
        <v>7.2344179438402385</v>
      </c>
      <c r="H83" s="148">
        <f ca="1">((IF(G83&gt;0,G83,VLOOKUP(A83,'Nearest Location Prices'!$M$1:$O$231,3,FALSE))))</f>
        <v>7.2344179438402385</v>
      </c>
      <c r="I83" s="171"/>
      <c r="K83" s="171"/>
      <c r="L83" s="145">
        <f ca="1">(IF(B83="STORAGE SITE",((100-'User Inputs'!$D$37)/100)*H83/'User Inputs'!$D$7,(IF(B83="INTERCONNECTOR",((100-'User Inputs'!$D$39)/100)*H83/'User Inputs'!$D$7,H83/'User Inputs'!$D$7))))</f>
        <v>9.9101615669044355E-3</v>
      </c>
      <c r="M83" s="147" t="s">
        <v>428</v>
      </c>
      <c r="N83" s="147" t="s">
        <v>428</v>
      </c>
      <c r="O83" s="145">
        <f ca="1">(IF(B83="STORAGE SITE",((100-'User Inputs'!$D$37)/100)* 'User Inputs'!$D$27*'Exit Prices'!H83/'User Inputs'!$D$7, IF(B83="INTERCONNECTOR", ((100-'User Inputs'!$D$39)/100)*'User Inputs'!$D$33*'Exit Prices'!H83/'User Inputs'!$D$7,  'User Inputs'!$D$27*'Exit Prices'!H83/'User Inputs'!$D$7)))</f>
        <v>9.9101615669044355E-3</v>
      </c>
      <c r="P83" s="147" t="s">
        <v>428</v>
      </c>
      <c r="Q83" s="145">
        <f ca="1">(100-(VLOOKUP(A83,'Exit Interruption Prob''s'!$A:$E,5,FALSE)))*O83/100</f>
        <v>8.9191454102139928E-3</v>
      </c>
    </row>
    <row r="84" spans="1:17">
      <c r="A84" s="2" t="s">
        <v>105</v>
      </c>
      <c r="B84" s="12" t="str">
        <f>VLOOKUP(A84,'Locations &amp; Types'!$E:$I,5,FALSE)</f>
        <v>DNO</v>
      </c>
      <c r="C84" s="39">
        <f ca="1">(VLOOKUP(A84, INDIRECT("'"&amp;'Drop Down Inputs'!$B$10&amp;"'!"&amp;" $A:$H"),MATCH('User Inputs'!$D$19, INDIRECT("'"&amp;'Drop Down Inputs'!$B$10&amp;"'!"&amp;"$A$1:$H$1"),0), FALSE))*'User Inputs'!$D$20/100</f>
        <v>75404154</v>
      </c>
      <c r="D84" s="146">
        <f t="array" aca="1" ref="D84" ca="1">SUMPRODUCT('Entry Prices'!$C$3:$C$29, TRANSPOSE(INDEX('Distance Matrix'!$C$3:$AC$231,MATCH(A84,'Distance Matrix'!$B$3:$B$231,0),0)) /SUM('Entry Prices'!$C$3:$C$29))</f>
        <v>443.00220783706573</v>
      </c>
      <c r="E84" s="145">
        <f t="shared" ca="1" si="1"/>
        <v>1.2793334893195965E-2</v>
      </c>
      <c r="F84" s="39">
        <f ca="1">E84*'Revenue Input'!$B$6</f>
        <v>601127271.85761845</v>
      </c>
      <c r="G84" s="148">
        <f ca="1">IF('User Inputs'!$D$4="PS",('Revenue Input'!$B$6/SUM($C$3:$C$231)),IF(ISERR(F84/C84),0,(F84/C84)))</f>
        <v>7.2344179438402385</v>
      </c>
      <c r="H84" s="148">
        <f ca="1">((IF(G84&gt;0,G84,VLOOKUP(A84,'Nearest Location Prices'!$M$1:$O$231,3,FALSE))))</f>
        <v>7.2344179438402385</v>
      </c>
      <c r="I84" s="171"/>
      <c r="K84" s="171"/>
      <c r="L84" s="145">
        <f ca="1">(IF(B84="STORAGE SITE",((100-'User Inputs'!$D$37)/100)*H84/'User Inputs'!$D$7,(IF(B84="INTERCONNECTOR",((100-'User Inputs'!$D$39)/100)*H84/'User Inputs'!$D$7,H84/'User Inputs'!$D$7))))</f>
        <v>1.9820323133808871E-2</v>
      </c>
      <c r="M84" s="147" t="s">
        <v>428</v>
      </c>
      <c r="N84" s="147" t="s">
        <v>428</v>
      </c>
      <c r="O84" s="145">
        <f ca="1">(IF(B84="STORAGE SITE",((100-'User Inputs'!$D$37)/100)* 'User Inputs'!$D$27*'Exit Prices'!H84/'User Inputs'!$D$7, IF(B84="INTERCONNECTOR", ((100-'User Inputs'!$D$39)/100)*'User Inputs'!$D$33*'Exit Prices'!H84/'User Inputs'!$D$7,  'User Inputs'!$D$27*'Exit Prices'!H84/'User Inputs'!$D$7)))</f>
        <v>1.9820323133808871E-2</v>
      </c>
      <c r="P84" s="147" t="s">
        <v>428</v>
      </c>
      <c r="Q84" s="145">
        <f ca="1">(100-(VLOOKUP(A84,'Exit Interruption Prob''s'!$A:$E,5,FALSE)))*O84/100</f>
        <v>1.7838290820427986E-2</v>
      </c>
    </row>
    <row r="85" spans="1:17">
      <c r="A85" s="2" t="s">
        <v>12</v>
      </c>
      <c r="B85" s="12" t="str">
        <f>VLOOKUP(A85,'Locations &amp; Types'!$E:$I,5,FALSE)</f>
        <v>DNO</v>
      </c>
      <c r="C85" s="39">
        <f ca="1">(VLOOKUP(A85, INDIRECT("'"&amp;'Drop Down Inputs'!$B$10&amp;"'!"&amp;" $A:$H"),MATCH('User Inputs'!$D$19, INDIRECT("'"&amp;'Drop Down Inputs'!$B$10&amp;"'!"&amp;"$A$1:$H$1"),0), FALSE))*'User Inputs'!$D$20/100</f>
        <v>128262344</v>
      </c>
      <c r="D85" s="146">
        <f t="array" aca="1" ref="D85" ca="1">SUMPRODUCT('Entry Prices'!$C$3:$C$29, TRANSPOSE(INDEX('Distance Matrix'!$C$3:$AC$231,MATCH(A85,'Distance Matrix'!$B$3:$B$231,0),0)) /SUM('Entry Prices'!$C$3:$C$29))</f>
        <v>523.31217352939848</v>
      </c>
      <c r="E85" s="145">
        <f t="shared" ca="1" si="1"/>
        <v>2.5706480218154779E-2</v>
      </c>
      <c r="F85" s="39">
        <f ca="1">E85*'Revenue Input'!$B$6</f>
        <v>1207884140.5785215</v>
      </c>
      <c r="G85" s="148">
        <f ca="1">IF('User Inputs'!$D$4="PS",('Revenue Input'!$B$6/SUM($C$3:$C$231)),IF(ISERR(F85/C85),0,(F85/C85)))</f>
        <v>7.2344179438402385</v>
      </c>
      <c r="H85" s="148">
        <f ca="1">((IF(G85&gt;0,G85,VLOOKUP(A85,'Nearest Location Prices'!$M$1:$O$231,3,FALSE))))</f>
        <v>7.2344179438402385</v>
      </c>
      <c r="I85" s="171"/>
      <c r="K85" s="171"/>
      <c r="L85" s="145">
        <f ca="1">(IF(B85="STORAGE SITE",((100-'User Inputs'!$D$37)/100)*H85/'User Inputs'!$D$7,(IF(B85="INTERCONNECTOR",((100-'User Inputs'!$D$39)/100)*H85/'User Inputs'!$D$7,H85/'User Inputs'!$D$7))))</f>
        <v>1.9820323133808871E-2</v>
      </c>
      <c r="M85" s="147" t="s">
        <v>428</v>
      </c>
      <c r="N85" s="147" t="s">
        <v>428</v>
      </c>
      <c r="O85" s="145">
        <f ca="1">(IF(B85="STORAGE SITE",((100-'User Inputs'!$D$37)/100)* 'User Inputs'!$D$27*'Exit Prices'!H85/'User Inputs'!$D$7, IF(B85="INTERCONNECTOR", ((100-'User Inputs'!$D$39)/100)*'User Inputs'!$D$33*'Exit Prices'!H85/'User Inputs'!$D$7,  'User Inputs'!$D$27*'Exit Prices'!H85/'User Inputs'!$D$7)))</f>
        <v>1.9820323133808871E-2</v>
      </c>
      <c r="P85" s="147" t="s">
        <v>428</v>
      </c>
      <c r="Q85" s="145">
        <f ca="1">(100-(VLOOKUP(A85,'Exit Interruption Prob''s'!$A:$E,5,FALSE)))*O85/100</f>
        <v>1.7838290820427986E-2</v>
      </c>
    </row>
    <row r="86" spans="1:17">
      <c r="A86" s="2" t="s">
        <v>106</v>
      </c>
      <c r="B86" s="12" t="str">
        <f>VLOOKUP(A86,'Locations &amp; Types'!$E:$I,5,FALSE)</f>
        <v>STORAGE SITE</v>
      </c>
      <c r="C86" s="39">
        <f ca="1">(VLOOKUP(A86, INDIRECT("'"&amp;'Drop Down Inputs'!$B$10&amp;"'!"&amp;" $A:$H"),MATCH('User Inputs'!$D$19, INDIRECT("'"&amp;'Drop Down Inputs'!$B$10&amp;"'!"&amp;"$A$1:$H$1"),0), FALSE))*'User Inputs'!$D$20/100</f>
        <v>128720</v>
      </c>
      <c r="D86" s="146">
        <f t="array" aca="1" ref="D86" ca="1">SUMPRODUCT('Entry Prices'!$C$3:$C$29, TRANSPOSE(INDEX('Distance Matrix'!$C$3:$AC$231,MATCH(A86,'Distance Matrix'!$B$3:$B$231,0),0)) /SUM('Entry Prices'!$C$3:$C$29))</f>
        <v>523.31217352939848</v>
      </c>
      <c r="E86" s="145">
        <f t="shared" ca="1" si="1"/>
        <v>2.57982041376141E-5</v>
      </c>
      <c r="F86" s="39">
        <f ca="1">E86*'Revenue Input'!$B$6</f>
        <v>1212194.0214601664</v>
      </c>
      <c r="G86" s="148">
        <f ca="1">IF('User Inputs'!$D$4="PS",('Revenue Input'!$B$6/SUM($C$3:$C$231)),IF(ISERR(F86/C86),0,(F86/C86)))</f>
        <v>7.2344179438402385</v>
      </c>
      <c r="H86" s="148">
        <f ca="1">((IF(G86&gt;0,G86,VLOOKUP(A86,'Nearest Location Prices'!$M$1:$O$231,3,FALSE))))</f>
        <v>7.2344179438402385</v>
      </c>
      <c r="I86" s="171"/>
      <c r="K86" s="171"/>
      <c r="L86" s="145">
        <f ca="1">(IF(B86="STORAGE SITE",((100-'User Inputs'!$D$37)/100)*H86/'User Inputs'!$D$7,(IF(B86="INTERCONNECTOR",((100-'User Inputs'!$D$39)/100)*H86/'User Inputs'!$D$7,H86/'User Inputs'!$D$7))))</f>
        <v>9.9101615669044355E-3</v>
      </c>
      <c r="M86" s="147" t="s">
        <v>428</v>
      </c>
      <c r="N86" s="147" t="s">
        <v>428</v>
      </c>
      <c r="O86" s="145">
        <f ca="1">(IF(B86="STORAGE SITE",((100-'User Inputs'!$D$37)/100)* 'User Inputs'!$D$27*'Exit Prices'!H86/'User Inputs'!$D$7, IF(B86="INTERCONNECTOR", ((100-'User Inputs'!$D$39)/100)*'User Inputs'!$D$33*'Exit Prices'!H86/'User Inputs'!$D$7,  'User Inputs'!$D$27*'Exit Prices'!H86/'User Inputs'!$D$7)))</f>
        <v>9.9101615669044355E-3</v>
      </c>
      <c r="P86" s="147" t="s">
        <v>428</v>
      </c>
      <c r="Q86" s="145">
        <f ca="1">(100-(VLOOKUP(A86,'Exit Interruption Prob''s'!$A:$E,5,FALSE)))*O86/100</f>
        <v>8.9191454102139928E-3</v>
      </c>
    </row>
    <row r="87" spans="1:17">
      <c r="A87" s="2" t="s">
        <v>107</v>
      </c>
      <c r="B87" s="12" t="str">
        <f>VLOOKUP(A87,'Locations &amp; Types'!$E:$I,5,FALSE)</f>
        <v>INDUSTRIAL</v>
      </c>
      <c r="C87" s="39">
        <f ca="1">(VLOOKUP(A87, INDIRECT("'"&amp;'Drop Down Inputs'!$B$10&amp;"'!"&amp;" $A:$H"),MATCH('User Inputs'!$D$19, INDIRECT("'"&amp;'Drop Down Inputs'!$B$10&amp;"'!"&amp;"$A$1:$H$1"),0), FALSE))*'User Inputs'!$D$20/100</f>
        <v>1700273.9726027397</v>
      </c>
      <c r="D87" s="146">
        <f t="array" aca="1" ref="D87" ca="1">SUMPRODUCT('Entry Prices'!$C$3:$C$29, TRANSPOSE(INDEX('Distance Matrix'!$C$3:$AC$231,MATCH(A87,'Distance Matrix'!$B$3:$B$231,0),0)) /SUM('Entry Prices'!$C$3:$C$29))</f>
        <v>304.49764436283544</v>
      </c>
      <c r="E87" s="145">
        <f t="shared" ca="1" si="1"/>
        <v>1.9828298590911149E-4</v>
      </c>
      <c r="F87" s="39">
        <f ca="1">E87*'Revenue Input'!$B$6</f>
        <v>9316828.7526592314</v>
      </c>
      <c r="G87" s="148">
        <f ca="1">IF('User Inputs'!$D$4="PS",('Revenue Input'!$B$6/SUM($C$3:$C$231)),IF(ISERR(F87/C87),0,(F87/C87)))</f>
        <v>7.2344179438402385</v>
      </c>
      <c r="H87" s="148">
        <f ca="1">((IF(G87&gt;0,G87,VLOOKUP(A87,'Nearest Location Prices'!$M$1:$O$231,3,FALSE))))</f>
        <v>7.2344179438402385</v>
      </c>
      <c r="I87" s="171"/>
      <c r="K87" s="171"/>
      <c r="L87" s="145">
        <f ca="1">(IF(B87="STORAGE SITE",((100-'User Inputs'!$D$37)/100)*H87/'User Inputs'!$D$7,(IF(B87="INTERCONNECTOR",((100-'User Inputs'!$D$39)/100)*H87/'User Inputs'!$D$7,H87/'User Inputs'!$D$7))))</f>
        <v>1.9820323133808871E-2</v>
      </c>
      <c r="M87" s="147" t="s">
        <v>428</v>
      </c>
      <c r="N87" s="147" t="s">
        <v>428</v>
      </c>
      <c r="O87" s="145">
        <f ca="1">(IF(B87="STORAGE SITE",((100-'User Inputs'!$D$37)/100)* 'User Inputs'!$D$27*'Exit Prices'!H87/'User Inputs'!$D$7, IF(B87="INTERCONNECTOR", ((100-'User Inputs'!$D$39)/100)*'User Inputs'!$D$33*'Exit Prices'!H87/'User Inputs'!$D$7,  'User Inputs'!$D$27*'Exit Prices'!H87/'User Inputs'!$D$7)))</f>
        <v>1.9820323133808871E-2</v>
      </c>
      <c r="P87" s="147" t="s">
        <v>428</v>
      </c>
      <c r="Q87" s="145">
        <f ca="1">(100-(VLOOKUP(A87,'Exit Interruption Prob''s'!$A:$E,5,FALSE)))*O87/100</f>
        <v>1.7838290820427986E-2</v>
      </c>
    </row>
    <row r="88" spans="1:17">
      <c r="A88" s="2" t="s">
        <v>108</v>
      </c>
      <c r="B88" s="12" t="str">
        <f>VLOOKUP(A88,'Locations &amp; Types'!$E:$I,5,FALSE)</f>
        <v>DNO</v>
      </c>
      <c r="C88" s="39">
        <f ca="1">(VLOOKUP(A88, INDIRECT("'"&amp;'Drop Down Inputs'!$B$10&amp;"'!"&amp;" $A:$H"),MATCH('User Inputs'!$D$19, INDIRECT("'"&amp;'Drop Down Inputs'!$B$10&amp;"'!"&amp;"$A$1:$H$1"),0), FALSE))*'User Inputs'!$D$20/100</f>
        <v>12321120</v>
      </c>
      <c r="D88" s="146">
        <f t="array" aca="1" ref="D88" ca="1">SUMPRODUCT('Entry Prices'!$C$3:$C$29, TRANSPOSE(INDEX('Distance Matrix'!$C$3:$AC$231,MATCH(A88,'Distance Matrix'!$B$3:$B$231,0),0)) /SUM('Entry Prices'!$C$3:$C$29))</f>
        <v>297.10382440150852</v>
      </c>
      <c r="E88" s="145">
        <f t="shared" ca="1" si="1"/>
        <v>1.401977474131032E-3</v>
      </c>
      <c r="F88" s="39">
        <f ca="1">E88*'Revenue Input'!$B$6</f>
        <v>65875465.722267695</v>
      </c>
      <c r="G88" s="148">
        <f ca="1">IF('User Inputs'!$D$4="PS",('Revenue Input'!$B$6/SUM($C$3:$C$231)),IF(ISERR(F88/C88),0,(F88/C88)))</f>
        <v>7.2344179438402385</v>
      </c>
      <c r="H88" s="148">
        <f ca="1">((IF(G88&gt;0,G88,VLOOKUP(A88,'Nearest Location Prices'!$M$1:$O$231,3,FALSE))))</f>
        <v>7.2344179438402385</v>
      </c>
      <c r="I88" s="171"/>
      <c r="K88" s="171"/>
      <c r="L88" s="145">
        <f ca="1">(IF(B88="STORAGE SITE",((100-'User Inputs'!$D$37)/100)*H88/'User Inputs'!$D$7,(IF(B88="INTERCONNECTOR",((100-'User Inputs'!$D$39)/100)*H88/'User Inputs'!$D$7,H88/'User Inputs'!$D$7))))</f>
        <v>1.9820323133808871E-2</v>
      </c>
      <c r="M88" s="147" t="s">
        <v>428</v>
      </c>
      <c r="N88" s="147" t="s">
        <v>428</v>
      </c>
      <c r="O88" s="145">
        <f ca="1">(IF(B88="STORAGE SITE",((100-'User Inputs'!$D$37)/100)* 'User Inputs'!$D$27*'Exit Prices'!H88/'User Inputs'!$D$7, IF(B88="INTERCONNECTOR", ((100-'User Inputs'!$D$39)/100)*'User Inputs'!$D$33*'Exit Prices'!H88/'User Inputs'!$D$7,  'User Inputs'!$D$27*'Exit Prices'!H88/'User Inputs'!$D$7)))</f>
        <v>1.9820323133808871E-2</v>
      </c>
      <c r="P88" s="147" t="s">
        <v>428</v>
      </c>
      <c r="Q88" s="145">
        <f ca="1">(100-(VLOOKUP(A88,'Exit Interruption Prob''s'!$A:$E,5,FALSE)))*O88/100</f>
        <v>1.7838290820427986E-2</v>
      </c>
    </row>
    <row r="89" spans="1:17">
      <c r="A89" s="2" t="s">
        <v>109</v>
      </c>
      <c r="B89" s="12" t="str">
        <f>VLOOKUP(A89,'Locations &amp; Types'!$E:$I,5,FALSE)</f>
        <v>POWER STATION</v>
      </c>
      <c r="C89" s="39">
        <f ca="1">(VLOOKUP(A89, INDIRECT("'"&amp;'Drop Down Inputs'!$B$10&amp;"'!"&amp;" $A:$H"),MATCH('User Inputs'!$D$19, INDIRECT("'"&amp;'Drop Down Inputs'!$B$10&amp;"'!"&amp;"$A$1:$H$1"),0), FALSE))*'User Inputs'!$D$20/100</f>
        <v>43320000</v>
      </c>
      <c r="D89" s="146">
        <f t="array" aca="1" ref="D89" ca="1">SUMPRODUCT('Entry Prices'!$C$3:$C$29, TRANSPOSE(INDEX('Distance Matrix'!$C$3:$AC$231,MATCH(A89,'Distance Matrix'!$B$3:$B$231,0),0)) /SUM('Entry Prices'!$C$3:$C$29))</f>
        <v>526.1182534478105</v>
      </c>
      <c r="E89" s="145">
        <f t="shared" ca="1" si="1"/>
        <v>8.7287976111557232E-3</v>
      </c>
      <c r="F89" s="39">
        <f ca="1">E89*'Revenue Input'!$B$6</f>
        <v>410144683.80578196</v>
      </c>
      <c r="G89" s="148">
        <f ca="1">IF('User Inputs'!$D$4="PS",('Revenue Input'!$B$6/SUM($C$3:$C$231)),IF(ISERR(F89/C89),0,(F89/C89)))</f>
        <v>7.2344179438402385</v>
      </c>
      <c r="H89" s="148">
        <f ca="1">((IF(G89&gt;0,G89,VLOOKUP(A89,'Nearest Location Prices'!$M$1:$O$231,3,FALSE))))</f>
        <v>7.2344179438402385</v>
      </c>
      <c r="I89" s="171"/>
      <c r="K89" s="171"/>
      <c r="L89" s="145">
        <f ca="1">(IF(B89="STORAGE SITE",((100-'User Inputs'!$D$37)/100)*H89/'User Inputs'!$D$7,(IF(B89="INTERCONNECTOR",((100-'User Inputs'!$D$39)/100)*H89/'User Inputs'!$D$7,H89/'User Inputs'!$D$7))))</f>
        <v>1.9820323133808871E-2</v>
      </c>
      <c r="M89" s="147" t="s">
        <v>428</v>
      </c>
      <c r="N89" s="147" t="s">
        <v>428</v>
      </c>
      <c r="O89" s="145">
        <f ca="1">(IF(B89="STORAGE SITE",((100-'User Inputs'!$D$37)/100)* 'User Inputs'!$D$27*'Exit Prices'!H89/'User Inputs'!$D$7, IF(B89="INTERCONNECTOR", ((100-'User Inputs'!$D$39)/100)*'User Inputs'!$D$33*'Exit Prices'!H89/'User Inputs'!$D$7,  'User Inputs'!$D$27*'Exit Prices'!H89/'User Inputs'!$D$7)))</f>
        <v>1.9820323133808871E-2</v>
      </c>
      <c r="P89" s="147" t="s">
        <v>428</v>
      </c>
      <c r="Q89" s="145">
        <f ca="1">(100-(VLOOKUP(A89,'Exit Interruption Prob''s'!$A:$E,5,FALSE)))*O89/100</f>
        <v>1.7838290820427986E-2</v>
      </c>
    </row>
    <row r="90" spans="1:17">
      <c r="A90" s="2" t="s">
        <v>110</v>
      </c>
      <c r="B90" s="12" t="str">
        <f>VLOOKUP(A90,'Locations &amp; Types'!$E:$I,5,FALSE)</f>
        <v>POWER STATION</v>
      </c>
      <c r="C90" s="39">
        <f ca="1">(VLOOKUP(A90, INDIRECT("'"&amp;'Drop Down Inputs'!$B$10&amp;"'!"&amp;" $A:$H"),MATCH('User Inputs'!$D$19, INDIRECT("'"&amp;'Drop Down Inputs'!$B$10&amp;"'!"&amp;"$A$1:$H$1"),0), FALSE))*'User Inputs'!$D$20/100</f>
        <v>42000640.991780818</v>
      </c>
      <c r="D90" s="146">
        <f t="array" aca="1" ref="D90" ca="1">SUMPRODUCT('Entry Prices'!$C$3:$C$29, TRANSPOSE(INDEX('Distance Matrix'!$C$3:$AC$231,MATCH(A90,'Distance Matrix'!$B$3:$B$231,0),0)) /SUM('Entry Prices'!$C$3:$C$29))</f>
        <v>432.69182875606225</v>
      </c>
      <c r="E90" s="145">
        <f t="shared" ca="1" si="1"/>
        <v>6.9601278696426851E-3</v>
      </c>
      <c r="F90" s="39">
        <f ca="1">E90*'Revenue Input'!$B$6</f>
        <v>327039252.31283295</v>
      </c>
      <c r="G90" s="148">
        <f ca="1">IF('User Inputs'!$D$4="PS",('Revenue Input'!$B$6/SUM($C$3:$C$231)),IF(ISERR(F90/C90),0,(F90/C90)))</f>
        <v>7.2344179438402385</v>
      </c>
      <c r="H90" s="148">
        <f ca="1">((IF(G90&gt;0,G90,VLOOKUP(A90,'Nearest Location Prices'!$M$1:$O$231,3,FALSE))))</f>
        <v>7.2344179438402385</v>
      </c>
      <c r="I90" s="171"/>
      <c r="K90" s="171"/>
      <c r="L90" s="145">
        <f ca="1">(IF(B90="STORAGE SITE",((100-'User Inputs'!$D$37)/100)*H90/'User Inputs'!$D$7,(IF(B90="INTERCONNECTOR",((100-'User Inputs'!$D$39)/100)*H90/'User Inputs'!$D$7,H90/'User Inputs'!$D$7))))</f>
        <v>1.9820323133808871E-2</v>
      </c>
      <c r="M90" s="147" t="s">
        <v>428</v>
      </c>
      <c r="N90" s="147" t="s">
        <v>428</v>
      </c>
      <c r="O90" s="145">
        <f ca="1">(IF(B90="STORAGE SITE",((100-'User Inputs'!$D$37)/100)* 'User Inputs'!$D$27*'Exit Prices'!H90/'User Inputs'!$D$7, IF(B90="INTERCONNECTOR", ((100-'User Inputs'!$D$39)/100)*'User Inputs'!$D$33*'Exit Prices'!H90/'User Inputs'!$D$7,  'User Inputs'!$D$27*'Exit Prices'!H90/'User Inputs'!$D$7)))</f>
        <v>1.9820323133808871E-2</v>
      </c>
      <c r="P90" s="147" t="s">
        <v>428</v>
      </c>
      <c r="Q90" s="145">
        <f ca="1">(100-(VLOOKUP(A90,'Exit Interruption Prob''s'!$A:$E,5,FALSE)))*O90/100</f>
        <v>1.7838290820427986E-2</v>
      </c>
    </row>
    <row r="91" spans="1:17">
      <c r="A91" s="2" t="s">
        <v>111</v>
      </c>
      <c r="B91" s="12" t="str">
        <f>VLOOKUP(A91,'Locations &amp; Types'!$E:$I,5,FALSE)</f>
        <v>DNO</v>
      </c>
      <c r="C91" s="39">
        <f ca="1">(VLOOKUP(A91, INDIRECT("'"&amp;'Drop Down Inputs'!$B$10&amp;"'!"&amp;" $A:$H"),MATCH('User Inputs'!$D$19, INDIRECT("'"&amp;'Drop Down Inputs'!$B$10&amp;"'!"&amp;"$A$1:$H$1"),0), FALSE))*'User Inputs'!$D$20/100</f>
        <v>23677521</v>
      </c>
      <c r="D91" s="146">
        <f t="array" aca="1" ref="D91" ca="1">SUMPRODUCT('Entry Prices'!$C$3:$C$29, TRANSPOSE(INDEX('Distance Matrix'!$C$3:$AC$231,MATCH(A91,'Distance Matrix'!$B$3:$B$231,0),0)) /SUM('Entry Prices'!$C$3:$C$29))</f>
        <v>356.45018338144826</v>
      </c>
      <c r="E91" s="145">
        <f t="shared" ca="1" si="1"/>
        <v>3.2323447824466928E-3</v>
      </c>
      <c r="F91" s="39">
        <f ca="1">E91*'Revenue Input'!$B$6</f>
        <v>151879913.79861274</v>
      </c>
      <c r="G91" s="148">
        <f ca="1">IF('User Inputs'!$D$4="PS",('Revenue Input'!$B$6/SUM($C$3:$C$231)),IF(ISERR(F91/C91),0,(F91/C91)))</f>
        <v>7.2344179438402385</v>
      </c>
      <c r="H91" s="148">
        <f ca="1">((IF(G91&gt;0,G91,VLOOKUP(A91,'Nearest Location Prices'!$M$1:$O$231,3,FALSE))))</f>
        <v>7.2344179438402385</v>
      </c>
      <c r="I91" s="171"/>
      <c r="K91" s="171"/>
      <c r="L91" s="145">
        <f ca="1">(IF(B91="STORAGE SITE",((100-'User Inputs'!$D$37)/100)*H91/'User Inputs'!$D$7,(IF(B91="INTERCONNECTOR",((100-'User Inputs'!$D$39)/100)*H91/'User Inputs'!$D$7,H91/'User Inputs'!$D$7))))</f>
        <v>1.9820323133808871E-2</v>
      </c>
      <c r="M91" s="147" t="s">
        <v>428</v>
      </c>
      <c r="N91" s="147" t="s">
        <v>428</v>
      </c>
      <c r="O91" s="145">
        <f ca="1">(IF(B91="STORAGE SITE",((100-'User Inputs'!$D$37)/100)* 'User Inputs'!$D$27*'Exit Prices'!H91/'User Inputs'!$D$7, IF(B91="INTERCONNECTOR", ((100-'User Inputs'!$D$39)/100)*'User Inputs'!$D$33*'Exit Prices'!H91/'User Inputs'!$D$7,  'User Inputs'!$D$27*'Exit Prices'!H91/'User Inputs'!$D$7)))</f>
        <v>1.9820323133808871E-2</v>
      </c>
      <c r="P91" s="147" t="s">
        <v>428</v>
      </c>
      <c r="Q91" s="145">
        <f ca="1">(100-(VLOOKUP(A91,'Exit Interruption Prob''s'!$A:$E,5,FALSE)))*O91/100</f>
        <v>1.7838290820427986E-2</v>
      </c>
    </row>
    <row r="92" spans="1:17">
      <c r="A92" s="2" t="s">
        <v>112</v>
      </c>
      <c r="B92" s="12" t="str">
        <f>VLOOKUP(A92,'Locations &amp; Types'!$E:$I,5,FALSE)</f>
        <v>DNO</v>
      </c>
      <c r="C92" s="39">
        <f ca="1">(VLOOKUP(A92, INDIRECT("'"&amp;'Drop Down Inputs'!$B$10&amp;"'!"&amp;" $A:$H"),MATCH('User Inputs'!$D$19, INDIRECT("'"&amp;'Drop Down Inputs'!$B$10&amp;"'!"&amp;"$A$1:$H$1"),0), FALSE))*'User Inputs'!$D$20/100</f>
        <v>1806988</v>
      </c>
      <c r="D92" s="146">
        <f t="array" aca="1" ref="D92" ca="1">SUMPRODUCT('Entry Prices'!$C$3:$C$29, TRANSPOSE(INDEX('Distance Matrix'!$C$3:$AC$231,MATCH(A92,'Distance Matrix'!$B$3:$B$231,0),0)) /SUM('Entry Prices'!$C$3:$C$29))</f>
        <v>435.23969725450007</v>
      </c>
      <c r="E92" s="145">
        <f t="shared" ca="1" si="1"/>
        <v>3.012079111050342E-4</v>
      </c>
      <c r="F92" s="39">
        <f ca="1">E92*'Revenue Input'!$B$6</f>
        <v>14153017.284085862</v>
      </c>
      <c r="G92" s="148">
        <f ca="1">IF('User Inputs'!$D$4="PS",('Revenue Input'!$B$6/SUM($C$3:$C$231)),IF(ISERR(F92/C92),0,(F92/C92)))</f>
        <v>7.2344179438402385</v>
      </c>
      <c r="H92" s="148">
        <f ca="1">((IF(G92&gt;0,G92,VLOOKUP(A92,'Nearest Location Prices'!$M$1:$O$231,3,FALSE))))</f>
        <v>7.2344179438402385</v>
      </c>
      <c r="I92" s="171"/>
      <c r="K92" s="171"/>
      <c r="L92" s="145">
        <f ca="1">(IF(B92="STORAGE SITE",((100-'User Inputs'!$D$37)/100)*H92/'User Inputs'!$D$7,(IF(B92="INTERCONNECTOR",((100-'User Inputs'!$D$39)/100)*H92/'User Inputs'!$D$7,H92/'User Inputs'!$D$7))))</f>
        <v>1.9820323133808871E-2</v>
      </c>
      <c r="M92" s="147" t="s">
        <v>428</v>
      </c>
      <c r="N92" s="147" t="s">
        <v>428</v>
      </c>
      <c r="O92" s="145">
        <f ca="1">(IF(B92="STORAGE SITE",((100-'User Inputs'!$D$37)/100)* 'User Inputs'!$D$27*'Exit Prices'!H92/'User Inputs'!$D$7, IF(B92="INTERCONNECTOR", ((100-'User Inputs'!$D$39)/100)*'User Inputs'!$D$33*'Exit Prices'!H92/'User Inputs'!$D$7,  'User Inputs'!$D$27*'Exit Prices'!H92/'User Inputs'!$D$7)))</f>
        <v>1.9820323133808871E-2</v>
      </c>
      <c r="P92" s="147" t="s">
        <v>428</v>
      </c>
      <c r="Q92" s="145">
        <f ca="1">(100-(VLOOKUP(A92,'Exit Interruption Prob''s'!$A:$E,5,FALSE)))*O92/100</f>
        <v>1.7838290820427986E-2</v>
      </c>
    </row>
    <row r="93" spans="1:17">
      <c r="A93" s="2" t="s">
        <v>113</v>
      </c>
      <c r="B93" s="12" t="str">
        <f>VLOOKUP(A93,'Locations &amp; Types'!$E:$I,5,FALSE)</f>
        <v>DNO</v>
      </c>
      <c r="C93" s="39">
        <f ca="1">(VLOOKUP(A93, INDIRECT("'"&amp;'Drop Down Inputs'!$B$10&amp;"'!"&amp;" $A:$H"),MATCH('User Inputs'!$D$19, INDIRECT("'"&amp;'Drop Down Inputs'!$B$10&amp;"'!"&amp;"$A$1:$H$1"),0), FALSE))*'User Inputs'!$D$20/100</f>
        <v>106654165</v>
      </c>
      <c r="D93" s="146">
        <f t="array" aca="1" ref="D93" ca="1">SUMPRODUCT('Entry Prices'!$C$3:$C$29, TRANSPOSE(INDEX('Distance Matrix'!$C$3:$AC$231,MATCH(A93,'Distance Matrix'!$B$3:$B$231,0),0)) /SUM('Entry Prices'!$C$3:$C$29))</f>
        <v>383.57091550115155</v>
      </c>
      <c r="E93" s="145">
        <f t="shared" ca="1" si="1"/>
        <v>1.5667730594859108E-2</v>
      </c>
      <c r="F93" s="39">
        <f ca="1">E93*'Revenue Input'!$B$6</f>
        <v>736188040.67240083</v>
      </c>
      <c r="G93" s="148">
        <f ca="1">IF('User Inputs'!$D$4="PS",('Revenue Input'!$B$6/SUM($C$3:$C$231)),IF(ISERR(F93/C93),0,(F93/C93)))</f>
        <v>7.2344179438402385</v>
      </c>
      <c r="H93" s="148">
        <f ca="1">((IF(G93&gt;0,G93,VLOOKUP(A93,'Nearest Location Prices'!$M$1:$O$231,3,FALSE))))</f>
        <v>7.2344179438402385</v>
      </c>
      <c r="I93" s="171"/>
      <c r="K93" s="171"/>
      <c r="L93" s="145">
        <f ca="1">(IF(B93="STORAGE SITE",((100-'User Inputs'!$D$37)/100)*H93/'User Inputs'!$D$7,(IF(B93="INTERCONNECTOR",((100-'User Inputs'!$D$39)/100)*H93/'User Inputs'!$D$7,H93/'User Inputs'!$D$7))))</f>
        <v>1.9820323133808871E-2</v>
      </c>
      <c r="M93" s="147" t="s">
        <v>428</v>
      </c>
      <c r="N93" s="147" t="s">
        <v>428</v>
      </c>
      <c r="O93" s="145">
        <f ca="1">(IF(B93="STORAGE SITE",((100-'User Inputs'!$D$37)/100)* 'User Inputs'!$D$27*'Exit Prices'!H93/'User Inputs'!$D$7, IF(B93="INTERCONNECTOR", ((100-'User Inputs'!$D$39)/100)*'User Inputs'!$D$33*'Exit Prices'!H93/'User Inputs'!$D$7,  'User Inputs'!$D$27*'Exit Prices'!H93/'User Inputs'!$D$7)))</f>
        <v>1.9820323133808871E-2</v>
      </c>
      <c r="P93" s="147" t="s">
        <v>428</v>
      </c>
      <c r="Q93" s="145">
        <f ca="1">(100-(VLOOKUP(A93,'Exit Interruption Prob''s'!$A:$E,5,FALSE)))*O93/100</f>
        <v>1.7838290820427986E-2</v>
      </c>
    </row>
    <row r="94" spans="1:17">
      <c r="A94" s="2" t="s">
        <v>114</v>
      </c>
      <c r="B94" s="12" t="str">
        <f>VLOOKUP(A94,'Locations &amp; Types'!$E:$I,5,FALSE)</f>
        <v>INDUSTRIAL</v>
      </c>
      <c r="C94" s="39">
        <f ca="1">(VLOOKUP(A94, INDIRECT("'"&amp;'Drop Down Inputs'!$B$10&amp;"'!"&amp;" $A:$H"),MATCH('User Inputs'!$D$19, INDIRECT("'"&amp;'Drop Down Inputs'!$B$10&amp;"'!"&amp;"$A$1:$H$1"),0), FALSE))*'User Inputs'!$D$20/100</f>
        <v>0</v>
      </c>
      <c r="D94" s="146">
        <f t="array" aca="1" ref="D94" ca="1">SUMPRODUCT('Entry Prices'!$C$3:$C$29, TRANSPOSE(INDEX('Distance Matrix'!$C$3:$AC$231,MATCH(A94,'Distance Matrix'!$B$3:$B$231,0),0)) /SUM('Entry Prices'!$C$3:$C$29))</f>
        <v>406.45739746372465</v>
      </c>
      <c r="E94" s="145">
        <f t="shared" ca="1" si="1"/>
        <v>0</v>
      </c>
      <c r="F94" s="39">
        <f ca="1">E94*'Revenue Input'!$B$6</f>
        <v>0</v>
      </c>
      <c r="G94" s="148">
        <f ca="1">IF('User Inputs'!$D$4="PS",('Revenue Input'!$B$6/SUM($C$3:$C$231)),IF(ISERR(F94/C94),0,(F94/C94)))</f>
        <v>7.2344179438402385</v>
      </c>
      <c r="H94" s="148">
        <f ca="1">((IF(G94&gt;0,G94,VLOOKUP(A94,'Nearest Location Prices'!$M$1:$O$231,3,FALSE))))</f>
        <v>7.2344179438402385</v>
      </c>
      <c r="I94" s="171"/>
      <c r="K94" s="171"/>
      <c r="L94" s="145">
        <f ca="1">(IF(B94="STORAGE SITE",((100-'User Inputs'!$D$37)/100)*H94/'User Inputs'!$D$7,(IF(B94="INTERCONNECTOR",((100-'User Inputs'!$D$39)/100)*H94/'User Inputs'!$D$7,H94/'User Inputs'!$D$7))))</f>
        <v>1.9820323133808871E-2</v>
      </c>
      <c r="M94" s="147" t="s">
        <v>428</v>
      </c>
      <c r="N94" s="147" t="s">
        <v>428</v>
      </c>
      <c r="O94" s="145">
        <f ca="1">(IF(B94="STORAGE SITE",((100-'User Inputs'!$D$37)/100)* 'User Inputs'!$D$27*'Exit Prices'!H94/'User Inputs'!$D$7, IF(B94="INTERCONNECTOR", ((100-'User Inputs'!$D$39)/100)*'User Inputs'!$D$33*'Exit Prices'!H94/'User Inputs'!$D$7,  'User Inputs'!$D$27*'Exit Prices'!H94/'User Inputs'!$D$7)))</f>
        <v>1.9820323133808871E-2</v>
      </c>
      <c r="P94" s="147" t="s">
        <v>428</v>
      </c>
      <c r="Q94" s="145">
        <f ca="1">(100-(VLOOKUP(A94,'Exit Interruption Prob''s'!$A:$E,5,FALSE)))*O94/100</f>
        <v>1.7838290820427986E-2</v>
      </c>
    </row>
    <row r="95" spans="1:17">
      <c r="A95" s="2" t="s">
        <v>115</v>
      </c>
      <c r="B95" s="12" t="str">
        <f>VLOOKUP(A95,'Locations &amp; Types'!$E:$I,5,FALSE)</f>
        <v>STORAGE SITE</v>
      </c>
      <c r="C95" s="39">
        <f ca="1">(VLOOKUP(A95, INDIRECT("'"&amp;'Drop Down Inputs'!$B$10&amp;"'!"&amp;" $A:$H"),MATCH('User Inputs'!$D$19, INDIRECT("'"&amp;'Drop Down Inputs'!$B$10&amp;"'!"&amp;"$A$1:$H$1"),0), FALSE))*'User Inputs'!$D$20/100</f>
        <v>30210000</v>
      </c>
      <c r="D95" s="146">
        <f t="array" aca="1" ref="D95" ca="1">SUMPRODUCT('Entry Prices'!$C$3:$C$29, TRANSPOSE(INDEX('Distance Matrix'!$C$3:$AC$231,MATCH(A95,'Distance Matrix'!$B$3:$B$231,0),0)) /SUM('Entry Prices'!$C$3:$C$29))</f>
        <v>309.10901656135877</v>
      </c>
      <c r="E95" s="145">
        <f t="shared" ca="1" si="1"/>
        <v>3.5763910956450235E-3</v>
      </c>
      <c r="F95" s="39">
        <f ca="1">E95*'Revenue Input'!$B$6</f>
        <v>168045802.0030697</v>
      </c>
      <c r="G95" s="148">
        <f ca="1">IF('User Inputs'!$D$4="PS",('Revenue Input'!$B$6/SUM($C$3:$C$231)),IF(ISERR(F95/C95),0,(F95/C95)))</f>
        <v>7.2344179438402385</v>
      </c>
      <c r="H95" s="148">
        <f ca="1">((IF(G95&gt;0,G95,VLOOKUP(A95,'Nearest Location Prices'!$M$1:$O$231,3,FALSE))))</f>
        <v>7.2344179438402385</v>
      </c>
      <c r="I95" s="171"/>
      <c r="K95" s="171"/>
      <c r="L95" s="145">
        <f ca="1">(IF(B95="STORAGE SITE",((100-'User Inputs'!$D$37)/100)*H95/'User Inputs'!$D$7,(IF(B95="INTERCONNECTOR",((100-'User Inputs'!$D$39)/100)*H95/'User Inputs'!$D$7,H95/'User Inputs'!$D$7))))</f>
        <v>9.9101615669044355E-3</v>
      </c>
      <c r="M95" s="147" t="s">
        <v>428</v>
      </c>
      <c r="N95" s="147" t="s">
        <v>428</v>
      </c>
      <c r="O95" s="145">
        <f ca="1">(IF(B95="STORAGE SITE",((100-'User Inputs'!$D$37)/100)* 'User Inputs'!$D$27*'Exit Prices'!H95/'User Inputs'!$D$7, IF(B95="INTERCONNECTOR", ((100-'User Inputs'!$D$39)/100)*'User Inputs'!$D$33*'Exit Prices'!H95/'User Inputs'!$D$7,  'User Inputs'!$D$27*'Exit Prices'!H95/'User Inputs'!$D$7)))</f>
        <v>9.9101615669044355E-3</v>
      </c>
      <c r="P95" s="147" t="s">
        <v>428</v>
      </c>
      <c r="Q95" s="145">
        <f ca="1">(100-(VLOOKUP(A95,'Exit Interruption Prob''s'!$A:$E,5,FALSE)))*O95/100</f>
        <v>8.9191454102139928E-3</v>
      </c>
    </row>
    <row r="96" spans="1:17">
      <c r="A96" s="2" t="s">
        <v>116</v>
      </c>
      <c r="B96" s="12" t="str">
        <f>VLOOKUP(A96,'Locations &amp; Types'!$E:$I,5,FALSE)</f>
        <v>POWER STATION</v>
      </c>
      <c r="C96" s="39">
        <f ca="1">(VLOOKUP(A96, INDIRECT("'"&amp;'Drop Down Inputs'!$B$10&amp;"'!"&amp;" $A:$H"),MATCH('User Inputs'!$D$19, INDIRECT("'"&amp;'Drop Down Inputs'!$B$10&amp;"'!"&amp;"$A$1:$H$1"),0), FALSE))*'User Inputs'!$D$20/100</f>
        <v>0</v>
      </c>
      <c r="D96" s="146">
        <f t="array" aca="1" ref="D96" ca="1">SUMPRODUCT('Entry Prices'!$C$3:$C$29, TRANSPOSE(INDEX('Distance Matrix'!$C$3:$AC$231,MATCH(A96,'Distance Matrix'!$B$3:$B$231,0),0)) /SUM('Entry Prices'!$C$3:$C$29))</f>
        <v>309.10901656135877</v>
      </c>
      <c r="E96" s="145">
        <f t="shared" ca="1" si="1"/>
        <v>0</v>
      </c>
      <c r="F96" s="39">
        <f ca="1">E96*'Revenue Input'!$B$6</f>
        <v>0</v>
      </c>
      <c r="G96" s="148">
        <f ca="1">IF('User Inputs'!$D$4="PS",('Revenue Input'!$B$6/SUM($C$3:$C$231)),IF(ISERR(F96/C96),0,(F96/C96)))</f>
        <v>7.2344179438402385</v>
      </c>
      <c r="H96" s="148">
        <f ca="1">((IF(G96&gt;0,G96,VLOOKUP(A96,'Nearest Location Prices'!$M$1:$O$231,3,FALSE))))</f>
        <v>7.2344179438402385</v>
      </c>
      <c r="I96" s="171"/>
      <c r="K96" s="171"/>
      <c r="L96" s="145">
        <f ca="1">(IF(B96="STORAGE SITE",((100-'User Inputs'!$D$37)/100)*H96/'User Inputs'!$D$7,(IF(B96="INTERCONNECTOR",((100-'User Inputs'!$D$39)/100)*H96/'User Inputs'!$D$7,H96/'User Inputs'!$D$7))))</f>
        <v>1.9820323133808871E-2</v>
      </c>
      <c r="M96" s="147" t="s">
        <v>428</v>
      </c>
      <c r="N96" s="147" t="s">
        <v>428</v>
      </c>
      <c r="O96" s="145">
        <f ca="1">(IF(B96="STORAGE SITE",((100-'User Inputs'!$D$37)/100)* 'User Inputs'!$D$27*'Exit Prices'!H96/'User Inputs'!$D$7, IF(B96="INTERCONNECTOR", ((100-'User Inputs'!$D$39)/100)*'User Inputs'!$D$33*'Exit Prices'!H96/'User Inputs'!$D$7,  'User Inputs'!$D$27*'Exit Prices'!H96/'User Inputs'!$D$7)))</f>
        <v>1.9820323133808871E-2</v>
      </c>
      <c r="P96" s="147" t="s">
        <v>428</v>
      </c>
      <c r="Q96" s="145">
        <f ca="1">(100-(VLOOKUP(A96,'Exit Interruption Prob''s'!$A:$E,5,FALSE)))*O96/100</f>
        <v>1.7838290820427986E-2</v>
      </c>
    </row>
    <row r="97" spans="1:17">
      <c r="A97" s="2" t="s">
        <v>117</v>
      </c>
      <c r="B97" s="12" t="str">
        <f>VLOOKUP(A97,'Locations &amp; Types'!$E:$I,5,FALSE)</f>
        <v>STORAGE SITE</v>
      </c>
      <c r="C97" s="39">
        <f ca="1">(VLOOKUP(A97, INDIRECT("'"&amp;'Drop Down Inputs'!$B$10&amp;"'!"&amp;" $A:$H"),MATCH('User Inputs'!$D$19, INDIRECT("'"&amp;'Drop Down Inputs'!$B$10&amp;"'!"&amp;"$A$1:$H$1"),0), FALSE))*'User Inputs'!$D$20/100</f>
        <v>6017436.6849315045</v>
      </c>
      <c r="D97" s="146">
        <f t="array" aca="1" ref="D97" ca="1">SUMPRODUCT('Entry Prices'!$C$3:$C$29, TRANSPOSE(INDEX('Distance Matrix'!$C$3:$AC$231,MATCH(A97,'Distance Matrix'!$B$3:$B$231,0),0)) /SUM('Entry Prices'!$C$3:$C$29))</f>
        <v>358.60516970261233</v>
      </c>
      <c r="E97" s="145">
        <f t="shared" ca="1" si="1"/>
        <v>8.264387681849258E-4</v>
      </c>
      <c r="F97" s="39">
        <f ca="1">E97*'Revenue Input'!$B$6</f>
        <v>38832320.596922047</v>
      </c>
      <c r="G97" s="148">
        <f ca="1">IF('User Inputs'!$D$4="PS",('Revenue Input'!$B$6/SUM($C$3:$C$231)),IF(ISERR(F97/C97),0,(F97/C97)))</f>
        <v>7.2344179438402385</v>
      </c>
      <c r="H97" s="148">
        <f ca="1">((IF(G97&gt;0,G97,VLOOKUP(A97,'Nearest Location Prices'!$M$1:$O$231,3,FALSE))))</f>
        <v>7.2344179438402385</v>
      </c>
      <c r="I97" s="171"/>
      <c r="K97" s="171"/>
      <c r="L97" s="145">
        <f ca="1">(IF(B97="STORAGE SITE",((100-'User Inputs'!$D$37)/100)*H97/'User Inputs'!$D$7,(IF(B97="INTERCONNECTOR",((100-'User Inputs'!$D$39)/100)*H97/'User Inputs'!$D$7,H97/'User Inputs'!$D$7))))</f>
        <v>9.9101615669044355E-3</v>
      </c>
      <c r="M97" s="147" t="s">
        <v>428</v>
      </c>
      <c r="N97" s="147" t="s">
        <v>428</v>
      </c>
      <c r="O97" s="145">
        <f ca="1">(IF(B97="STORAGE SITE",((100-'User Inputs'!$D$37)/100)* 'User Inputs'!$D$27*'Exit Prices'!H97/'User Inputs'!$D$7, IF(B97="INTERCONNECTOR", ((100-'User Inputs'!$D$39)/100)*'User Inputs'!$D$33*'Exit Prices'!H97/'User Inputs'!$D$7,  'User Inputs'!$D$27*'Exit Prices'!H97/'User Inputs'!$D$7)))</f>
        <v>9.9101615669044355E-3</v>
      </c>
      <c r="P97" s="147" t="s">
        <v>428</v>
      </c>
      <c r="Q97" s="145">
        <f ca="1">(100-(VLOOKUP(A97,'Exit Interruption Prob''s'!$A:$E,5,FALSE)))*O97/100</f>
        <v>8.9191454102139928E-3</v>
      </c>
    </row>
    <row r="98" spans="1:17">
      <c r="A98" s="2" t="s">
        <v>118</v>
      </c>
      <c r="B98" s="12" t="str">
        <f>VLOOKUP(A98,'Locations &amp; Types'!$E:$I,5,FALSE)</f>
        <v>STORAGE SITE</v>
      </c>
      <c r="C98" s="39">
        <f ca="1">(VLOOKUP(A98, INDIRECT("'"&amp;'Drop Down Inputs'!$B$10&amp;"'!"&amp;" $A:$H"),MATCH('User Inputs'!$D$19, INDIRECT("'"&amp;'Drop Down Inputs'!$B$10&amp;"'!"&amp;"$A$1:$H$1"),0), FALSE))*'User Inputs'!$D$20/100</f>
        <v>584777.4794520546</v>
      </c>
      <c r="D98" s="146">
        <f t="array" aca="1" ref="D98" ca="1">SUMPRODUCT('Entry Prices'!$C$3:$C$29, TRANSPOSE(INDEX('Distance Matrix'!$C$3:$AC$231,MATCH(A98,'Distance Matrix'!$B$3:$B$231,0),0)) /SUM('Entry Prices'!$C$3:$C$29))</f>
        <v>358.60516970261233</v>
      </c>
      <c r="E98" s="145">
        <f t="shared" ca="1" si="1"/>
        <v>8.0313729098446319E-5</v>
      </c>
      <c r="F98" s="39">
        <f ca="1">E98*'Revenue Input'!$B$6</f>
        <v>3773744.161996224</v>
      </c>
      <c r="G98" s="148">
        <f ca="1">IF('User Inputs'!$D$4="PS",('Revenue Input'!$B$6/SUM($C$3:$C$231)),IF(ISERR(F98/C98),0,(F98/C98)))</f>
        <v>7.2344179438402385</v>
      </c>
      <c r="H98" s="148">
        <f ca="1">((IF(G98&gt;0,G98,VLOOKUP(A98,'Nearest Location Prices'!$M$1:$O$231,3,FALSE))))</f>
        <v>7.2344179438402385</v>
      </c>
      <c r="I98" s="171"/>
      <c r="K98" s="171"/>
      <c r="L98" s="145">
        <f ca="1">(IF(B98="STORAGE SITE",((100-'User Inputs'!$D$37)/100)*H98/'User Inputs'!$D$7,(IF(B98="INTERCONNECTOR",((100-'User Inputs'!$D$39)/100)*H98/'User Inputs'!$D$7,H98/'User Inputs'!$D$7))))</f>
        <v>9.9101615669044355E-3</v>
      </c>
      <c r="M98" s="147" t="s">
        <v>428</v>
      </c>
      <c r="N98" s="147" t="s">
        <v>428</v>
      </c>
      <c r="O98" s="145">
        <f ca="1">(IF(B98="STORAGE SITE",((100-'User Inputs'!$D$37)/100)* 'User Inputs'!$D$27*'Exit Prices'!H98/'User Inputs'!$D$7, IF(B98="INTERCONNECTOR", ((100-'User Inputs'!$D$39)/100)*'User Inputs'!$D$33*'Exit Prices'!H98/'User Inputs'!$D$7,  'User Inputs'!$D$27*'Exit Prices'!H98/'User Inputs'!$D$7)))</f>
        <v>9.9101615669044355E-3</v>
      </c>
      <c r="P98" s="147" t="s">
        <v>428</v>
      </c>
      <c r="Q98" s="145">
        <f ca="1">(100-(VLOOKUP(A98,'Exit Interruption Prob''s'!$A:$E,5,FALSE)))*O98/100</f>
        <v>8.9191454102139928E-3</v>
      </c>
    </row>
    <row r="99" spans="1:17">
      <c r="A99" s="2" t="s">
        <v>119</v>
      </c>
      <c r="B99" s="12" t="str">
        <f>VLOOKUP(A99,'Locations &amp; Types'!$E:$I,5,FALSE)</f>
        <v>STORAGE SITE</v>
      </c>
      <c r="C99" s="39">
        <f ca="1">(VLOOKUP(A99, INDIRECT("'"&amp;'Drop Down Inputs'!$B$10&amp;"'!"&amp;" $A:$H"),MATCH('User Inputs'!$D$19, INDIRECT("'"&amp;'Drop Down Inputs'!$B$10&amp;"'!"&amp;"$A$1:$H$1"),0), FALSE))*'User Inputs'!$D$20/100</f>
        <v>31829848.328767125</v>
      </c>
      <c r="D99" s="146">
        <f t="array" aca="1" ref="D99" ca="1">SUMPRODUCT('Entry Prices'!$C$3:$C$29, TRANSPOSE(INDEX('Distance Matrix'!$C$3:$AC$231,MATCH(A99,'Distance Matrix'!$B$3:$B$231,0),0)) /SUM('Entry Prices'!$C$3:$C$29))</f>
        <v>359.82705454256194</v>
      </c>
      <c r="E99" s="145">
        <f t="shared" ca="1" si="1"/>
        <v>4.3864278394570022E-3</v>
      </c>
      <c r="F99" s="39">
        <f ca="1">E99*'Revenue Input'!$B$6</f>
        <v>206107431.90467539</v>
      </c>
      <c r="G99" s="148">
        <f ca="1">IF('User Inputs'!$D$4="PS",('Revenue Input'!$B$6/SUM($C$3:$C$231)),IF(ISERR(F99/C99),0,(F99/C99)))</f>
        <v>7.2344179438402385</v>
      </c>
      <c r="H99" s="148">
        <f ca="1">((IF(G99&gt;0,G99,VLOOKUP(A99,'Nearest Location Prices'!$M$1:$O$231,3,FALSE))))</f>
        <v>7.2344179438402385</v>
      </c>
      <c r="I99" s="171"/>
      <c r="K99" s="171"/>
      <c r="L99" s="145">
        <f ca="1">(IF(B99="STORAGE SITE",((100-'User Inputs'!$D$37)/100)*H99/'User Inputs'!$D$7,(IF(B99="INTERCONNECTOR",((100-'User Inputs'!$D$39)/100)*H99/'User Inputs'!$D$7,H99/'User Inputs'!$D$7))))</f>
        <v>9.9101615669044355E-3</v>
      </c>
      <c r="M99" s="147" t="s">
        <v>428</v>
      </c>
      <c r="N99" s="147" t="s">
        <v>428</v>
      </c>
      <c r="O99" s="145">
        <f ca="1">(IF(B99="STORAGE SITE",((100-'User Inputs'!$D$37)/100)* 'User Inputs'!$D$27*'Exit Prices'!H99/'User Inputs'!$D$7, IF(B99="INTERCONNECTOR", ((100-'User Inputs'!$D$39)/100)*'User Inputs'!$D$33*'Exit Prices'!H99/'User Inputs'!$D$7,  'User Inputs'!$D$27*'Exit Prices'!H99/'User Inputs'!$D$7)))</f>
        <v>9.9101615669044355E-3</v>
      </c>
      <c r="P99" s="147" t="s">
        <v>428</v>
      </c>
      <c r="Q99" s="145">
        <f ca="1">(100-(VLOOKUP(A99,'Exit Interruption Prob''s'!$A:$E,5,FALSE)))*O99/100</f>
        <v>8.9191454102139928E-3</v>
      </c>
    </row>
    <row r="100" spans="1:17">
      <c r="A100" s="2" t="s">
        <v>120</v>
      </c>
      <c r="B100" s="12" t="str">
        <f>VLOOKUP(A100,'Locations &amp; Types'!$E:$I,5,FALSE)</f>
        <v>INDUSTRIAL</v>
      </c>
      <c r="C100" s="39">
        <f ca="1">(VLOOKUP(A100, INDIRECT("'"&amp;'Drop Down Inputs'!$B$10&amp;"'!"&amp;" $A:$H"),MATCH('User Inputs'!$D$19, INDIRECT("'"&amp;'Drop Down Inputs'!$B$10&amp;"'!"&amp;"$A$1:$H$1"),0), FALSE))*'User Inputs'!$D$20/100</f>
        <v>454343.19515068491</v>
      </c>
      <c r="D100" s="146">
        <f t="array" aca="1" ref="D100" ca="1">SUMPRODUCT('Entry Prices'!$C$3:$C$29, TRANSPOSE(INDEX('Distance Matrix'!$C$3:$AC$231,MATCH(A100,'Distance Matrix'!$B$3:$B$231,0),0)) /SUM('Entry Prices'!$C$3:$C$29))</f>
        <v>359.06617170935237</v>
      </c>
      <c r="E100" s="145">
        <f t="shared" ca="1" si="1"/>
        <v>6.2480015047896995E-5</v>
      </c>
      <c r="F100" s="39">
        <f ca="1">E100*'Revenue Input'!$B$6</f>
        <v>2935781.8977552466</v>
      </c>
      <c r="G100" s="148">
        <f ca="1">IF('User Inputs'!$D$4="PS",('Revenue Input'!$B$6/SUM($C$3:$C$231)),IF(ISERR(F100/C100),0,(F100/C100)))</f>
        <v>7.2344179438402385</v>
      </c>
      <c r="H100" s="148">
        <f ca="1">((IF(G100&gt;0,G100,VLOOKUP(A100,'Nearest Location Prices'!$M$1:$O$231,3,FALSE))))</f>
        <v>7.2344179438402385</v>
      </c>
      <c r="I100" s="171"/>
      <c r="K100" s="171"/>
      <c r="L100" s="145">
        <f ca="1">(IF(B100="STORAGE SITE",((100-'User Inputs'!$D$37)/100)*H100/'User Inputs'!$D$7,(IF(B100="INTERCONNECTOR",((100-'User Inputs'!$D$39)/100)*H100/'User Inputs'!$D$7,H100/'User Inputs'!$D$7))))</f>
        <v>1.9820323133808871E-2</v>
      </c>
      <c r="M100" s="147" t="s">
        <v>428</v>
      </c>
      <c r="N100" s="147" t="s">
        <v>428</v>
      </c>
      <c r="O100" s="145">
        <f ca="1">(IF(B100="STORAGE SITE",((100-'User Inputs'!$D$37)/100)* 'User Inputs'!$D$27*'Exit Prices'!H100/'User Inputs'!$D$7, IF(B100="INTERCONNECTOR", ((100-'User Inputs'!$D$39)/100)*'User Inputs'!$D$33*'Exit Prices'!H100/'User Inputs'!$D$7,  'User Inputs'!$D$27*'Exit Prices'!H100/'User Inputs'!$D$7)))</f>
        <v>1.9820323133808871E-2</v>
      </c>
      <c r="P100" s="147" t="s">
        <v>428</v>
      </c>
      <c r="Q100" s="145">
        <f ca="1">(100-(VLOOKUP(A100,'Exit Interruption Prob''s'!$A:$E,5,FALSE)))*O100/100</f>
        <v>1.7838290820427986E-2</v>
      </c>
    </row>
    <row r="101" spans="1:17">
      <c r="A101" s="2" t="s">
        <v>121</v>
      </c>
      <c r="B101" s="12" t="str">
        <f>VLOOKUP(A101,'Locations &amp; Types'!$E:$I,5,FALSE)</f>
        <v>DNO</v>
      </c>
      <c r="C101" s="39">
        <f ca="1">(VLOOKUP(A101, INDIRECT("'"&amp;'Drop Down Inputs'!$B$10&amp;"'!"&amp;" $A:$H"),MATCH('User Inputs'!$D$19, INDIRECT("'"&amp;'Drop Down Inputs'!$B$10&amp;"'!"&amp;"$A$1:$H$1"),0), FALSE))*'User Inputs'!$D$20/100</f>
        <v>21678773</v>
      </c>
      <c r="D101" s="146">
        <f t="array" aca="1" ref="D101" ca="1">SUMPRODUCT('Entry Prices'!$C$3:$C$29, TRANSPOSE(INDEX('Distance Matrix'!$C$3:$AC$231,MATCH(A101,'Distance Matrix'!$B$3:$B$231,0),0)) /SUM('Entry Prices'!$C$3:$C$29))</f>
        <v>363.38927480195468</v>
      </c>
      <c r="E101" s="145">
        <f t="shared" ca="1" si="1"/>
        <v>3.0170979471106888E-3</v>
      </c>
      <c r="F101" s="39">
        <f ca="1">E101*'Revenue Input'!$B$6</f>
        <v>141765995.57621604</v>
      </c>
      <c r="G101" s="148">
        <f ca="1">IF('User Inputs'!$D$4="PS",('Revenue Input'!$B$6/SUM($C$3:$C$231)),IF(ISERR(F101/C101),0,(F101/C101)))</f>
        <v>7.2344179438402385</v>
      </c>
      <c r="H101" s="148">
        <f ca="1">((IF(G101&gt;0,G101,VLOOKUP(A101,'Nearest Location Prices'!$M$1:$O$231,3,FALSE))))</f>
        <v>7.2344179438402385</v>
      </c>
      <c r="I101" s="171"/>
      <c r="K101" s="171"/>
      <c r="L101" s="145">
        <f ca="1">(IF(B101="STORAGE SITE",((100-'User Inputs'!$D$37)/100)*H101/'User Inputs'!$D$7,(IF(B101="INTERCONNECTOR",((100-'User Inputs'!$D$39)/100)*H101/'User Inputs'!$D$7,H101/'User Inputs'!$D$7))))</f>
        <v>1.9820323133808871E-2</v>
      </c>
      <c r="M101" s="147" t="s">
        <v>428</v>
      </c>
      <c r="N101" s="147" t="s">
        <v>428</v>
      </c>
      <c r="O101" s="145">
        <f ca="1">(IF(B101="STORAGE SITE",((100-'User Inputs'!$D$37)/100)* 'User Inputs'!$D$27*'Exit Prices'!H101/'User Inputs'!$D$7, IF(B101="INTERCONNECTOR", ((100-'User Inputs'!$D$39)/100)*'User Inputs'!$D$33*'Exit Prices'!H101/'User Inputs'!$D$7,  'User Inputs'!$D$27*'Exit Prices'!H101/'User Inputs'!$D$7)))</f>
        <v>1.9820323133808871E-2</v>
      </c>
      <c r="P101" s="147" t="s">
        <v>428</v>
      </c>
      <c r="Q101" s="145">
        <f ca="1">(100-(VLOOKUP(A101,'Exit Interruption Prob''s'!$A:$E,5,FALSE)))*O101/100</f>
        <v>1.7838290820427986E-2</v>
      </c>
    </row>
    <row r="102" spans="1:17">
      <c r="A102" s="2" t="s">
        <v>122</v>
      </c>
      <c r="B102" s="12" t="str">
        <f>VLOOKUP(A102,'Locations &amp; Types'!$E:$I,5,FALSE)</f>
        <v>DNO</v>
      </c>
      <c r="C102" s="39">
        <f ca="1">(VLOOKUP(A102, INDIRECT("'"&amp;'Drop Down Inputs'!$B$10&amp;"'!"&amp;" $A:$H"),MATCH('User Inputs'!$D$19, INDIRECT("'"&amp;'Drop Down Inputs'!$B$10&amp;"'!"&amp;"$A$1:$H$1"),0), FALSE))*'User Inputs'!$D$20/100</f>
        <v>33307669</v>
      </c>
      <c r="D102" s="146">
        <f t="array" aca="1" ref="D102" ca="1">SUMPRODUCT('Entry Prices'!$C$3:$C$29, TRANSPOSE(INDEX('Distance Matrix'!$C$3:$AC$231,MATCH(A102,'Distance Matrix'!$B$3:$B$231,0),0)) /SUM('Entry Prices'!$C$3:$C$29))</f>
        <v>407.56457048701776</v>
      </c>
      <c r="E102" s="145">
        <f t="shared" ca="1" si="1"/>
        <v>5.1990413338897142E-3</v>
      </c>
      <c r="F102" s="39">
        <f ca="1">E102*'Revenue Input'!$B$6</f>
        <v>244290136.96641961</v>
      </c>
      <c r="G102" s="148">
        <f ca="1">IF('User Inputs'!$D$4="PS",('Revenue Input'!$B$6/SUM($C$3:$C$231)),IF(ISERR(F102/C102),0,(F102/C102)))</f>
        <v>7.2344179438402385</v>
      </c>
      <c r="H102" s="148">
        <f ca="1">((IF(G102&gt;0,G102,VLOOKUP(A102,'Nearest Location Prices'!$M$1:$O$231,3,FALSE))))</f>
        <v>7.2344179438402385</v>
      </c>
      <c r="I102" s="171"/>
      <c r="K102" s="171"/>
      <c r="L102" s="145">
        <f ca="1">(IF(B102="STORAGE SITE",((100-'User Inputs'!$D$37)/100)*H102/'User Inputs'!$D$7,(IF(B102="INTERCONNECTOR",((100-'User Inputs'!$D$39)/100)*H102/'User Inputs'!$D$7,H102/'User Inputs'!$D$7))))</f>
        <v>1.9820323133808871E-2</v>
      </c>
      <c r="M102" s="147" t="s">
        <v>428</v>
      </c>
      <c r="N102" s="147" t="s">
        <v>428</v>
      </c>
      <c r="O102" s="145">
        <f ca="1">(IF(B102="STORAGE SITE",((100-'User Inputs'!$D$37)/100)* 'User Inputs'!$D$27*'Exit Prices'!H102/'User Inputs'!$D$7, IF(B102="INTERCONNECTOR", ((100-'User Inputs'!$D$39)/100)*'User Inputs'!$D$33*'Exit Prices'!H102/'User Inputs'!$D$7,  'User Inputs'!$D$27*'Exit Prices'!H102/'User Inputs'!$D$7)))</f>
        <v>1.9820323133808871E-2</v>
      </c>
      <c r="P102" s="147" t="s">
        <v>428</v>
      </c>
      <c r="Q102" s="145">
        <f ca="1">(100-(VLOOKUP(A102,'Exit Interruption Prob''s'!$A:$E,5,FALSE)))*O102/100</f>
        <v>1.7838290820427986E-2</v>
      </c>
    </row>
    <row r="103" spans="1:17">
      <c r="A103" s="2" t="s">
        <v>123</v>
      </c>
      <c r="B103" s="12" t="str">
        <f>VLOOKUP(A103,'Locations &amp; Types'!$E:$I,5,FALSE)</f>
        <v>STORAGE SITE</v>
      </c>
      <c r="C103" s="39">
        <f ca="1">(VLOOKUP(A103, INDIRECT("'"&amp;'Drop Down Inputs'!$B$10&amp;"'!"&amp;" $A:$H"),MATCH('User Inputs'!$D$19, INDIRECT("'"&amp;'Drop Down Inputs'!$B$10&amp;"'!"&amp;"$A$1:$H$1"),0), FALSE))*'User Inputs'!$D$20/100</f>
        <v>41511502.97260274</v>
      </c>
      <c r="D103" s="146">
        <f t="array" aca="1" ref="D103" ca="1">SUMPRODUCT('Entry Prices'!$C$3:$C$29, TRANSPOSE(INDEX('Distance Matrix'!$C$3:$AC$231,MATCH(A103,'Distance Matrix'!$B$3:$B$231,0),0)) /SUM('Entry Prices'!$C$3:$C$29))</f>
        <v>310.59937611761592</v>
      </c>
      <c r="E103" s="145">
        <f t="shared" ca="1" si="1"/>
        <v>4.9380063388485482E-3</v>
      </c>
      <c r="F103" s="39">
        <f ca="1">E103*'Revenue Input'!$B$6</f>
        <v>232024745.98443905</v>
      </c>
      <c r="G103" s="148">
        <f ca="1">IF('User Inputs'!$D$4="PS",('Revenue Input'!$B$6/SUM($C$3:$C$231)),IF(ISERR(F103/C103),0,(F103/C103)))</f>
        <v>7.2344179438402385</v>
      </c>
      <c r="H103" s="148">
        <f ca="1">((IF(G103&gt;0,G103,VLOOKUP(A103,'Nearest Location Prices'!$M$1:$O$231,3,FALSE))))</f>
        <v>7.2344179438402385</v>
      </c>
      <c r="I103" s="171"/>
      <c r="K103" s="171"/>
      <c r="L103" s="145">
        <f ca="1">(IF(B103="STORAGE SITE",((100-'User Inputs'!$D$37)/100)*H103/'User Inputs'!$D$7,(IF(B103="INTERCONNECTOR",((100-'User Inputs'!$D$39)/100)*H103/'User Inputs'!$D$7,H103/'User Inputs'!$D$7))))</f>
        <v>9.9101615669044355E-3</v>
      </c>
      <c r="M103" s="147" t="s">
        <v>428</v>
      </c>
      <c r="N103" s="147" t="s">
        <v>428</v>
      </c>
      <c r="O103" s="145">
        <f ca="1">(IF(B103="STORAGE SITE",((100-'User Inputs'!$D$37)/100)* 'User Inputs'!$D$27*'Exit Prices'!H103/'User Inputs'!$D$7, IF(B103="INTERCONNECTOR", ((100-'User Inputs'!$D$39)/100)*'User Inputs'!$D$33*'Exit Prices'!H103/'User Inputs'!$D$7,  'User Inputs'!$D$27*'Exit Prices'!H103/'User Inputs'!$D$7)))</f>
        <v>9.9101615669044355E-3</v>
      </c>
      <c r="P103" s="147" t="s">
        <v>428</v>
      </c>
      <c r="Q103" s="145">
        <f ca="1">(100-(VLOOKUP(A103,'Exit Interruption Prob''s'!$A:$E,5,FALSE)))*O103/100</f>
        <v>8.9191454102139928E-3</v>
      </c>
    </row>
    <row r="104" spans="1:17">
      <c r="A104" s="2" t="s">
        <v>124</v>
      </c>
      <c r="B104" s="12" t="str">
        <f>VLOOKUP(A104,'Locations &amp; Types'!$E:$I,5,FALSE)</f>
        <v>DNO</v>
      </c>
      <c r="C104" s="39">
        <f ca="1">(VLOOKUP(A104, INDIRECT("'"&amp;'Drop Down Inputs'!$B$10&amp;"'!"&amp;" $A:$H"),MATCH('User Inputs'!$D$19, INDIRECT("'"&amp;'Drop Down Inputs'!$B$10&amp;"'!"&amp;"$A$1:$H$1"),0), FALSE))*'User Inputs'!$D$20/100</f>
        <v>148471</v>
      </c>
      <c r="D104" s="146">
        <f t="array" aca="1" ref="D104" ca="1">SUMPRODUCT('Entry Prices'!$C$3:$C$29, TRANSPOSE(INDEX('Distance Matrix'!$C$3:$AC$231,MATCH(A104,'Distance Matrix'!$B$3:$B$231,0),0)) /SUM('Entry Prices'!$C$3:$C$29))</f>
        <v>469.87082870596413</v>
      </c>
      <c r="E104" s="145">
        <f t="shared" ca="1" si="1"/>
        <v>2.6717924800700482E-5</v>
      </c>
      <c r="F104" s="39">
        <f ca="1">E104*'Revenue Input'!$B$6</f>
        <v>1255409.4283644473</v>
      </c>
      <c r="G104" s="148">
        <f ca="1">IF('User Inputs'!$D$4="PS",('Revenue Input'!$B$6/SUM($C$3:$C$231)),IF(ISERR(F104/C104),0,(F104/C104)))</f>
        <v>7.2344179438402385</v>
      </c>
      <c r="H104" s="148">
        <f ca="1">((IF(G104&gt;0,G104,VLOOKUP(A104,'Nearest Location Prices'!$M$1:$O$231,3,FALSE))))</f>
        <v>7.2344179438402385</v>
      </c>
      <c r="I104" s="171"/>
      <c r="K104" s="171"/>
      <c r="L104" s="145">
        <f ca="1">(IF(B104="STORAGE SITE",((100-'User Inputs'!$D$37)/100)*H104/'User Inputs'!$D$7,(IF(B104="INTERCONNECTOR",((100-'User Inputs'!$D$39)/100)*H104/'User Inputs'!$D$7,H104/'User Inputs'!$D$7))))</f>
        <v>1.9820323133808871E-2</v>
      </c>
      <c r="M104" s="147" t="s">
        <v>428</v>
      </c>
      <c r="N104" s="147" t="s">
        <v>428</v>
      </c>
      <c r="O104" s="145">
        <f ca="1">(IF(B104="STORAGE SITE",((100-'User Inputs'!$D$37)/100)* 'User Inputs'!$D$27*'Exit Prices'!H104/'User Inputs'!$D$7, IF(B104="INTERCONNECTOR", ((100-'User Inputs'!$D$39)/100)*'User Inputs'!$D$33*'Exit Prices'!H104/'User Inputs'!$D$7,  'User Inputs'!$D$27*'Exit Prices'!H104/'User Inputs'!$D$7)))</f>
        <v>1.9820323133808871E-2</v>
      </c>
      <c r="P104" s="147" t="s">
        <v>428</v>
      </c>
      <c r="Q104" s="145">
        <f ca="1">(100-(VLOOKUP(A104,'Exit Interruption Prob''s'!$A:$E,5,FALSE)))*O104/100</f>
        <v>1.7838290820427986E-2</v>
      </c>
    </row>
    <row r="105" spans="1:17">
      <c r="A105" s="2" t="s">
        <v>125</v>
      </c>
      <c r="B105" s="12" t="str">
        <f>VLOOKUP(A105,'Locations &amp; Types'!$E:$I,5,FALSE)</f>
        <v>DNO</v>
      </c>
      <c r="C105" s="39">
        <f ca="1">(VLOOKUP(A105, INDIRECT("'"&amp;'Drop Down Inputs'!$B$10&amp;"'!"&amp;" $A:$H"),MATCH('User Inputs'!$D$19, INDIRECT("'"&amp;'Drop Down Inputs'!$B$10&amp;"'!"&amp;"$A$1:$H$1"),0), FALSE))*'User Inputs'!$D$20/100</f>
        <v>1684385</v>
      </c>
      <c r="D105" s="146">
        <f t="array" aca="1" ref="D105" ca="1">SUMPRODUCT('Entry Prices'!$C$3:$C$29, TRANSPOSE(INDEX('Distance Matrix'!$C$3:$AC$231,MATCH(A105,'Distance Matrix'!$B$3:$B$231,0),0)) /SUM('Entry Prices'!$C$3:$C$29))</f>
        <v>490.74036024891745</v>
      </c>
      <c r="E105" s="145">
        <f t="shared" ca="1" si="1"/>
        <v>3.1657436823478855E-4</v>
      </c>
      <c r="F105" s="39">
        <f ca="1">E105*'Revenue Input'!$B$6</f>
        <v>14875049.227253318</v>
      </c>
      <c r="G105" s="148">
        <f ca="1">IF('User Inputs'!$D$4="PS",('Revenue Input'!$B$6/SUM($C$3:$C$231)),IF(ISERR(F105/C105),0,(F105/C105)))</f>
        <v>7.2344179438402385</v>
      </c>
      <c r="H105" s="148">
        <f ca="1">((IF(G105&gt;0,G105,VLOOKUP(A105,'Nearest Location Prices'!$M$1:$O$231,3,FALSE))))</f>
        <v>7.2344179438402385</v>
      </c>
      <c r="I105" s="171"/>
      <c r="K105" s="171"/>
      <c r="L105" s="145">
        <f ca="1">(IF(B105="STORAGE SITE",((100-'User Inputs'!$D$37)/100)*H105/'User Inputs'!$D$7,(IF(B105="INTERCONNECTOR",((100-'User Inputs'!$D$39)/100)*H105/'User Inputs'!$D$7,H105/'User Inputs'!$D$7))))</f>
        <v>1.9820323133808871E-2</v>
      </c>
      <c r="M105" s="147" t="s">
        <v>428</v>
      </c>
      <c r="N105" s="147" t="s">
        <v>428</v>
      </c>
      <c r="O105" s="145">
        <f ca="1">(IF(B105="STORAGE SITE",((100-'User Inputs'!$D$37)/100)* 'User Inputs'!$D$27*'Exit Prices'!H105/'User Inputs'!$D$7, IF(B105="INTERCONNECTOR", ((100-'User Inputs'!$D$39)/100)*'User Inputs'!$D$33*'Exit Prices'!H105/'User Inputs'!$D$7,  'User Inputs'!$D$27*'Exit Prices'!H105/'User Inputs'!$D$7)))</f>
        <v>1.9820323133808871E-2</v>
      </c>
      <c r="P105" s="147" t="s">
        <v>428</v>
      </c>
      <c r="Q105" s="145">
        <f ca="1">(100-(VLOOKUP(A105,'Exit Interruption Prob''s'!$A:$E,5,FALSE)))*O105/100</f>
        <v>1.7838290820427986E-2</v>
      </c>
    </row>
    <row r="106" spans="1:17">
      <c r="A106" s="2" t="s">
        <v>126</v>
      </c>
      <c r="B106" s="12" t="str">
        <f>VLOOKUP(A106,'Locations &amp; Types'!$E:$I,5,FALSE)</f>
        <v>DNO</v>
      </c>
      <c r="C106" s="39">
        <f ca="1">(VLOOKUP(A106, INDIRECT("'"&amp;'Drop Down Inputs'!$B$10&amp;"'!"&amp;" $A:$H"),MATCH('User Inputs'!$D$19, INDIRECT("'"&amp;'Drop Down Inputs'!$B$10&amp;"'!"&amp;"$A$1:$H$1"),0), FALSE))*'User Inputs'!$D$20/100</f>
        <v>32494518</v>
      </c>
      <c r="D106" s="146">
        <f t="array" aca="1" ref="D106" ca="1">SUMPRODUCT('Entry Prices'!$C$3:$C$29, TRANSPOSE(INDEX('Distance Matrix'!$C$3:$AC$231,MATCH(A106,'Distance Matrix'!$B$3:$B$231,0),0)) /SUM('Entry Prices'!$C$3:$C$29))</f>
        <v>497.06935032669145</v>
      </c>
      <c r="E106" s="145">
        <f t="shared" ca="1" si="1"/>
        <v>6.1859967944531699E-3</v>
      </c>
      <c r="F106" s="39">
        <f ca="1">E106*'Revenue Input'!$B$6</f>
        <v>290664741.27456009</v>
      </c>
      <c r="G106" s="148">
        <f ca="1">IF('User Inputs'!$D$4="PS",('Revenue Input'!$B$6/SUM($C$3:$C$231)),IF(ISERR(F106/C106),0,(F106/C106)))</f>
        <v>7.2344179438402385</v>
      </c>
      <c r="H106" s="148">
        <f ca="1">((IF(G106&gt;0,G106,VLOOKUP(A106,'Nearest Location Prices'!$M$1:$O$231,3,FALSE))))</f>
        <v>7.2344179438402385</v>
      </c>
      <c r="I106" s="171"/>
      <c r="K106" s="171"/>
      <c r="L106" s="145">
        <f ca="1">(IF(B106="STORAGE SITE",((100-'User Inputs'!$D$37)/100)*H106/'User Inputs'!$D$7,(IF(B106="INTERCONNECTOR",((100-'User Inputs'!$D$39)/100)*H106/'User Inputs'!$D$7,H106/'User Inputs'!$D$7))))</f>
        <v>1.9820323133808871E-2</v>
      </c>
      <c r="M106" s="147" t="s">
        <v>428</v>
      </c>
      <c r="N106" s="147" t="s">
        <v>428</v>
      </c>
      <c r="O106" s="145">
        <f ca="1">(IF(B106="STORAGE SITE",((100-'User Inputs'!$D$37)/100)* 'User Inputs'!$D$27*'Exit Prices'!H106/'User Inputs'!$D$7, IF(B106="INTERCONNECTOR", ((100-'User Inputs'!$D$39)/100)*'User Inputs'!$D$33*'Exit Prices'!H106/'User Inputs'!$D$7,  'User Inputs'!$D$27*'Exit Prices'!H106/'User Inputs'!$D$7)))</f>
        <v>1.9820323133808871E-2</v>
      </c>
      <c r="P106" s="147" t="s">
        <v>428</v>
      </c>
      <c r="Q106" s="145">
        <f ca="1">(100-(VLOOKUP(A106,'Exit Interruption Prob''s'!$A:$E,5,FALSE)))*O106/100</f>
        <v>1.7838290820427986E-2</v>
      </c>
    </row>
    <row r="107" spans="1:17">
      <c r="A107" s="2" t="s">
        <v>127</v>
      </c>
      <c r="B107" s="12" t="str">
        <f>VLOOKUP(A107,'Locations &amp; Types'!$E:$I,5,FALSE)</f>
        <v>DNO</v>
      </c>
      <c r="C107" s="39">
        <f ca="1">(VLOOKUP(A107, INDIRECT("'"&amp;'Drop Down Inputs'!$B$10&amp;"'!"&amp;" $A:$H"),MATCH('User Inputs'!$D$19, INDIRECT("'"&amp;'Drop Down Inputs'!$B$10&amp;"'!"&amp;"$A$1:$H$1"),0), FALSE))*'User Inputs'!$D$20/100</f>
        <v>8915734</v>
      </c>
      <c r="D107" s="146">
        <f t="array" aca="1" ref="D107" ca="1">SUMPRODUCT('Entry Prices'!$C$3:$C$29, TRANSPOSE(INDEX('Distance Matrix'!$C$3:$AC$231,MATCH(A107,'Distance Matrix'!$B$3:$B$231,0),0)) /SUM('Entry Prices'!$C$3:$C$29))</f>
        <v>428.87718444769928</v>
      </c>
      <c r="E107" s="145">
        <f t="shared" ca="1" si="1"/>
        <v>1.4644436061639866E-3</v>
      </c>
      <c r="F107" s="39">
        <f ca="1">E107*'Revenue Input'!$B$6</f>
        <v>68810595.291371569</v>
      </c>
      <c r="G107" s="148">
        <f ca="1">IF('User Inputs'!$D$4="PS",('Revenue Input'!$B$6/SUM($C$3:$C$231)),IF(ISERR(F107/C107),0,(F107/C107)))</f>
        <v>7.2344179438402385</v>
      </c>
      <c r="H107" s="148">
        <f ca="1">((IF(G107&gt;0,G107,VLOOKUP(A107,'Nearest Location Prices'!$M$1:$O$231,3,FALSE))))</f>
        <v>7.2344179438402385</v>
      </c>
      <c r="I107" s="171"/>
      <c r="K107" s="171"/>
      <c r="L107" s="145">
        <f ca="1">(IF(B107="STORAGE SITE",((100-'User Inputs'!$D$37)/100)*H107/'User Inputs'!$D$7,(IF(B107="INTERCONNECTOR",((100-'User Inputs'!$D$39)/100)*H107/'User Inputs'!$D$7,H107/'User Inputs'!$D$7))))</f>
        <v>1.9820323133808871E-2</v>
      </c>
      <c r="M107" s="147" t="s">
        <v>428</v>
      </c>
      <c r="N107" s="147" t="s">
        <v>428</v>
      </c>
      <c r="O107" s="145">
        <f ca="1">(IF(B107="STORAGE SITE",((100-'User Inputs'!$D$37)/100)* 'User Inputs'!$D$27*'Exit Prices'!H107/'User Inputs'!$D$7, IF(B107="INTERCONNECTOR", ((100-'User Inputs'!$D$39)/100)*'User Inputs'!$D$33*'Exit Prices'!H107/'User Inputs'!$D$7,  'User Inputs'!$D$27*'Exit Prices'!H107/'User Inputs'!$D$7)))</f>
        <v>1.9820323133808871E-2</v>
      </c>
      <c r="P107" s="147" t="s">
        <v>428</v>
      </c>
      <c r="Q107" s="145">
        <f ca="1">(100-(VLOOKUP(A107,'Exit Interruption Prob''s'!$A:$E,5,FALSE)))*O107/100</f>
        <v>1.7838290820427986E-2</v>
      </c>
    </row>
    <row r="108" spans="1:17">
      <c r="A108" s="2" t="s">
        <v>128</v>
      </c>
      <c r="B108" s="12" t="str">
        <f>VLOOKUP(A108,'Locations &amp; Types'!$E:$I,5,FALSE)</f>
        <v>DNO</v>
      </c>
      <c r="C108" s="39">
        <f ca="1">(VLOOKUP(A108, INDIRECT("'"&amp;'Drop Down Inputs'!$B$10&amp;"'!"&amp;" $A:$H"),MATCH('User Inputs'!$D$19, INDIRECT("'"&amp;'Drop Down Inputs'!$B$10&amp;"'!"&amp;"$A$1:$H$1"),0), FALSE))*'User Inputs'!$D$20/100</f>
        <v>12083873</v>
      </c>
      <c r="D108" s="146">
        <f t="array" aca="1" ref="D108" ca="1">SUMPRODUCT('Entry Prices'!$C$3:$C$29, TRANSPOSE(INDEX('Distance Matrix'!$C$3:$AC$231,MATCH(A108,'Distance Matrix'!$B$3:$B$231,0),0)) /SUM('Entry Prices'!$C$3:$C$29))</f>
        <v>428.87718444769928</v>
      </c>
      <c r="E108" s="145">
        <f t="shared" ca="1" si="1"/>
        <v>1.984822623975506E-3</v>
      </c>
      <c r="F108" s="39">
        <f ca="1">E108*'Revenue Input'!$B$6</f>
        <v>93261922.63646853</v>
      </c>
      <c r="G108" s="148">
        <f ca="1">IF('User Inputs'!$D$4="PS",('Revenue Input'!$B$6/SUM($C$3:$C$231)),IF(ISERR(F108/C108),0,(F108/C108)))</f>
        <v>7.2344179438402385</v>
      </c>
      <c r="H108" s="148">
        <f ca="1">((IF(G108&gt;0,G108,VLOOKUP(A108,'Nearest Location Prices'!$M$1:$O$231,3,FALSE))))</f>
        <v>7.2344179438402385</v>
      </c>
      <c r="I108" s="171"/>
      <c r="K108" s="171"/>
      <c r="L108" s="145">
        <f ca="1">(IF(B108="STORAGE SITE",((100-'User Inputs'!$D$37)/100)*H108/'User Inputs'!$D$7,(IF(B108="INTERCONNECTOR",((100-'User Inputs'!$D$39)/100)*H108/'User Inputs'!$D$7,H108/'User Inputs'!$D$7))))</f>
        <v>1.9820323133808871E-2</v>
      </c>
      <c r="M108" s="147" t="s">
        <v>428</v>
      </c>
      <c r="N108" s="147" t="s">
        <v>428</v>
      </c>
      <c r="O108" s="145">
        <f ca="1">(IF(B108="STORAGE SITE",((100-'User Inputs'!$D$37)/100)* 'User Inputs'!$D$27*'Exit Prices'!H108/'User Inputs'!$D$7, IF(B108="INTERCONNECTOR", ((100-'User Inputs'!$D$39)/100)*'User Inputs'!$D$33*'Exit Prices'!H108/'User Inputs'!$D$7,  'User Inputs'!$D$27*'Exit Prices'!H108/'User Inputs'!$D$7)))</f>
        <v>1.9820323133808871E-2</v>
      </c>
      <c r="P108" s="147" t="s">
        <v>428</v>
      </c>
      <c r="Q108" s="145">
        <f ca="1">(100-(VLOOKUP(A108,'Exit Interruption Prob''s'!$A:$E,5,FALSE)))*O108/100</f>
        <v>1.7838290820427986E-2</v>
      </c>
    </row>
    <row r="109" spans="1:17">
      <c r="A109" s="2" t="s">
        <v>129</v>
      </c>
      <c r="B109" s="12" t="str">
        <f>VLOOKUP(A109,'Locations &amp; Types'!$E:$I,5,FALSE)</f>
        <v>DNO</v>
      </c>
      <c r="C109" s="39">
        <f ca="1">(VLOOKUP(A109, INDIRECT("'"&amp;'Drop Down Inputs'!$B$10&amp;"'!"&amp;" $A:$H"),MATCH('User Inputs'!$D$19, INDIRECT("'"&amp;'Drop Down Inputs'!$B$10&amp;"'!"&amp;"$A$1:$H$1"),0), FALSE))*'User Inputs'!$D$20/100</f>
        <v>1156178</v>
      </c>
      <c r="D109" s="146">
        <f t="array" aca="1" ref="D109" ca="1">SUMPRODUCT('Entry Prices'!$C$3:$C$29, TRANSPOSE(INDEX('Distance Matrix'!$C$3:$AC$231,MATCH(A109,'Distance Matrix'!$B$3:$B$231,0),0)) /SUM('Entry Prices'!$C$3:$C$29))</f>
        <v>394.66056787439459</v>
      </c>
      <c r="E109" s="145">
        <f t="shared" ca="1" si="1"/>
        <v>1.747555768473164E-4</v>
      </c>
      <c r="F109" s="39">
        <f ca="1">E109*'Revenue Input'!$B$6</f>
        <v>8211333.7944433782</v>
      </c>
      <c r="G109" s="148">
        <f ca="1">IF('User Inputs'!$D$4="PS",('Revenue Input'!$B$6/SUM($C$3:$C$231)),IF(ISERR(F109/C109),0,(F109/C109)))</f>
        <v>7.2344179438402385</v>
      </c>
      <c r="H109" s="148">
        <f ca="1">((IF(G109&gt;0,G109,VLOOKUP(A109,'Nearest Location Prices'!$M$1:$O$231,3,FALSE))))</f>
        <v>7.2344179438402385</v>
      </c>
      <c r="I109" s="171"/>
      <c r="K109" s="171"/>
      <c r="L109" s="145">
        <f ca="1">(IF(B109="STORAGE SITE",((100-'User Inputs'!$D$37)/100)*H109/'User Inputs'!$D$7,(IF(B109="INTERCONNECTOR",((100-'User Inputs'!$D$39)/100)*H109/'User Inputs'!$D$7,H109/'User Inputs'!$D$7))))</f>
        <v>1.9820323133808871E-2</v>
      </c>
      <c r="M109" s="147" t="s">
        <v>428</v>
      </c>
      <c r="N109" s="147" t="s">
        <v>428</v>
      </c>
      <c r="O109" s="145">
        <f ca="1">(IF(B109="STORAGE SITE",((100-'User Inputs'!$D$37)/100)* 'User Inputs'!$D$27*'Exit Prices'!H109/'User Inputs'!$D$7, IF(B109="INTERCONNECTOR", ((100-'User Inputs'!$D$39)/100)*'User Inputs'!$D$33*'Exit Prices'!H109/'User Inputs'!$D$7,  'User Inputs'!$D$27*'Exit Prices'!H109/'User Inputs'!$D$7)))</f>
        <v>1.9820323133808871E-2</v>
      </c>
      <c r="P109" s="147" t="s">
        <v>428</v>
      </c>
      <c r="Q109" s="145">
        <f ca="1">(100-(VLOOKUP(A109,'Exit Interruption Prob''s'!$A:$E,5,FALSE)))*O109/100</f>
        <v>1.7838290820427986E-2</v>
      </c>
    </row>
    <row r="110" spans="1:17">
      <c r="A110" s="2" t="s">
        <v>130</v>
      </c>
      <c r="B110" s="12" t="str">
        <f>VLOOKUP(A110,'Locations &amp; Types'!$E:$I,5,FALSE)</f>
        <v>DNO</v>
      </c>
      <c r="C110" s="39">
        <f ca="1">(VLOOKUP(A110, INDIRECT("'"&amp;'Drop Down Inputs'!$B$10&amp;"'!"&amp;" $A:$H"),MATCH('User Inputs'!$D$19, INDIRECT("'"&amp;'Drop Down Inputs'!$B$10&amp;"'!"&amp;"$A$1:$H$1"),0), FALSE))*'User Inputs'!$D$20/100</f>
        <v>14000883</v>
      </c>
      <c r="D110" s="146">
        <f t="array" aca="1" ref="D110" ca="1">SUMPRODUCT('Entry Prices'!$C$3:$C$29, TRANSPOSE(INDEX('Distance Matrix'!$C$3:$AC$231,MATCH(A110,'Distance Matrix'!$B$3:$B$231,0),0)) /SUM('Entry Prices'!$C$3:$C$29))</f>
        <v>574.69935032669139</v>
      </c>
      <c r="E110" s="145">
        <f t="shared" ca="1" si="1"/>
        <v>3.0816175501655538E-3</v>
      </c>
      <c r="F110" s="39">
        <f ca="1">E110*'Revenue Input'!$B$6</f>
        <v>144797612.68696132</v>
      </c>
      <c r="G110" s="148">
        <f ca="1">IF('User Inputs'!$D$4="PS",('Revenue Input'!$B$6/SUM($C$3:$C$231)),IF(ISERR(F110/C110),0,(F110/C110)))</f>
        <v>7.2344179438402385</v>
      </c>
      <c r="H110" s="148">
        <f ca="1">((IF(G110&gt;0,G110,VLOOKUP(A110,'Nearest Location Prices'!$M$1:$O$231,3,FALSE))))</f>
        <v>7.2344179438402385</v>
      </c>
      <c r="I110" s="171"/>
      <c r="K110" s="171"/>
      <c r="L110" s="145">
        <f ca="1">(IF(B110="STORAGE SITE",((100-'User Inputs'!$D$37)/100)*H110/'User Inputs'!$D$7,(IF(B110="INTERCONNECTOR",((100-'User Inputs'!$D$39)/100)*H110/'User Inputs'!$D$7,H110/'User Inputs'!$D$7))))</f>
        <v>1.9820323133808871E-2</v>
      </c>
      <c r="M110" s="147" t="s">
        <v>428</v>
      </c>
      <c r="N110" s="147" t="s">
        <v>428</v>
      </c>
      <c r="O110" s="145">
        <f ca="1">(IF(B110="STORAGE SITE",((100-'User Inputs'!$D$37)/100)* 'User Inputs'!$D$27*'Exit Prices'!H110/'User Inputs'!$D$7, IF(B110="INTERCONNECTOR", ((100-'User Inputs'!$D$39)/100)*'User Inputs'!$D$33*'Exit Prices'!H110/'User Inputs'!$D$7,  'User Inputs'!$D$27*'Exit Prices'!H110/'User Inputs'!$D$7)))</f>
        <v>1.9820323133808871E-2</v>
      </c>
      <c r="P110" s="147" t="s">
        <v>428</v>
      </c>
      <c r="Q110" s="145">
        <f ca="1">(100-(VLOOKUP(A110,'Exit Interruption Prob''s'!$A:$E,5,FALSE)))*O110/100</f>
        <v>1.7838290820427986E-2</v>
      </c>
    </row>
    <row r="111" spans="1:17">
      <c r="A111" s="2" t="s">
        <v>131</v>
      </c>
      <c r="B111" s="12" t="str">
        <f>VLOOKUP(A111,'Locations &amp; Types'!$E:$I,5,FALSE)</f>
        <v>DNO</v>
      </c>
      <c r="C111" s="39">
        <f ca="1">(VLOOKUP(A111, INDIRECT("'"&amp;'Drop Down Inputs'!$B$10&amp;"'!"&amp;" $A:$H"),MATCH('User Inputs'!$D$19, INDIRECT("'"&amp;'Drop Down Inputs'!$B$10&amp;"'!"&amp;"$A$1:$H$1"),0), FALSE))*'User Inputs'!$D$20/100</f>
        <v>3068392</v>
      </c>
      <c r="D111" s="146">
        <f t="array" aca="1" ref="D111" ca="1">SUMPRODUCT('Entry Prices'!$C$3:$C$29, TRANSPOSE(INDEX('Distance Matrix'!$C$3:$AC$231,MATCH(A111,'Distance Matrix'!$B$3:$B$231,0),0)) /SUM('Entry Prices'!$C$3:$C$29))</f>
        <v>646.55567414323673</v>
      </c>
      <c r="E111" s="145">
        <f t="shared" ca="1" si="1"/>
        <v>7.5980015080683993E-4</v>
      </c>
      <c r="F111" s="39">
        <f ca="1">E111*'Revenue Input'!$B$6</f>
        <v>35701136.226366945</v>
      </c>
      <c r="G111" s="148">
        <f ca="1">IF('User Inputs'!$D$4="PS",('Revenue Input'!$B$6/SUM($C$3:$C$231)),IF(ISERR(F111/C111),0,(F111/C111)))</f>
        <v>7.2344179438402385</v>
      </c>
      <c r="H111" s="148">
        <f ca="1">((IF(G111&gt;0,G111,VLOOKUP(A111,'Nearest Location Prices'!$M$1:$O$231,3,FALSE))))</f>
        <v>7.2344179438402385</v>
      </c>
      <c r="I111" s="171"/>
      <c r="K111" s="171"/>
      <c r="L111" s="145">
        <f ca="1">(IF(B111="STORAGE SITE",((100-'User Inputs'!$D$37)/100)*H111/'User Inputs'!$D$7,(IF(B111="INTERCONNECTOR",((100-'User Inputs'!$D$39)/100)*H111/'User Inputs'!$D$7,H111/'User Inputs'!$D$7))))</f>
        <v>1.9820323133808871E-2</v>
      </c>
      <c r="M111" s="147" t="s">
        <v>428</v>
      </c>
      <c r="N111" s="147" t="s">
        <v>428</v>
      </c>
      <c r="O111" s="145">
        <f ca="1">(IF(B111="STORAGE SITE",((100-'User Inputs'!$D$37)/100)* 'User Inputs'!$D$27*'Exit Prices'!H111/'User Inputs'!$D$7, IF(B111="INTERCONNECTOR", ((100-'User Inputs'!$D$39)/100)*'User Inputs'!$D$33*'Exit Prices'!H111/'User Inputs'!$D$7,  'User Inputs'!$D$27*'Exit Prices'!H111/'User Inputs'!$D$7)))</f>
        <v>1.9820323133808871E-2</v>
      </c>
      <c r="P111" s="147" t="s">
        <v>428</v>
      </c>
      <c r="Q111" s="145">
        <f ca="1">(100-(VLOOKUP(A111,'Exit Interruption Prob''s'!$A:$E,5,FALSE)))*O111/100</f>
        <v>1.7838290820427986E-2</v>
      </c>
    </row>
    <row r="112" spans="1:17">
      <c r="A112" s="2" t="s">
        <v>132</v>
      </c>
      <c r="B112" s="12" t="str">
        <f>VLOOKUP(A112,'Locations &amp; Types'!$E:$I,5,FALSE)</f>
        <v>DNO</v>
      </c>
      <c r="C112" s="39">
        <f ca="1">(VLOOKUP(A112, INDIRECT("'"&amp;'Drop Down Inputs'!$B$10&amp;"'!"&amp;" $A:$H"),MATCH('User Inputs'!$D$19, INDIRECT("'"&amp;'Drop Down Inputs'!$B$10&amp;"'!"&amp;"$A$1:$H$1"),0), FALSE))*'User Inputs'!$D$20/100</f>
        <v>858703</v>
      </c>
      <c r="D112" s="146">
        <f t="array" aca="1" ref="D112" ca="1">SUMPRODUCT('Entry Prices'!$C$3:$C$29, TRANSPOSE(INDEX('Distance Matrix'!$C$3:$AC$231,MATCH(A112,'Distance Matrix'!$B$3:$B$231,0),0)) /SUM('Entry Prices'!$C$3:$C$29))</f>
        <v>299.46977214849107</v>
      </c>
      <c r="E112" s="145">
        <f t="shared" ca="1" si="1"/>
        <v>9.8486925143818641E-5</v>
      </c>
      <c r="F112" s="39">
        <f ca="1">E112*'Revenue Input'!$B$6</f>
        <v>4627657.8483719621</v>
      </c>
      <c r="G112" s="148">
        <f ca="1">IF('User Inputs'!$D$4="PS",('Revenue Input'!$B$6/SUM($C$3:$C$231)),IF(ISERR(F112/C112),0,(F112/C112)))</f>
        <v>7.2344179438402385</v>
      </c>
      <c r="H112" s="148">
        <f ca="1">((IF(G112&gt;0,G112,VLOOKUP(A112,'Nearest Location Prices'!$M$1:$O$231,3,FALSE))))</f>
        <v>7.2344179438402385</v>
      </c>
      <c r="I112" s="171"/>
      <c r="K112" s="171"/>
      <c r="L112" s="145">
        <f ca="1">(IF(B112="STORAGE SITE",((100-'User Inputs'!$D$37)/100)*H112/'User Inputs'!$D$7,(IF(B112="INTERCONNECTOR",((100-'User Inputs'!$D$39)/100)*H112/'User Inputs'!$D$7,H112/'User Inputs'!$D$7))))</f>
        <v>1.9820323133808871E-2</v>
      </c>
      <c r="M112" s="147" t="s">
        <v>428</v>
      </c>
      <c r="N112" s="147" t="s">
        <v>428</v>
      </c>
      <c r="O112" s="145">
        <f ca="1">(IF(B112="STORAGE SITE",((100-'User Inputs'!$D$37)/100)* 'User Inputs'!$D$27*'Exit Prices'!H112/'User Inputs'!$D$7, IF(B112="INTERCONNECTOR", ((100-'User Inputs'!$D$39)/100)*'User Inputs'!$D$33*'Exit Prices'!H112/'User Inputs'!$D$7,  'User Inputs'!$D$27*'Exit Prices'!H112/'User Inputs'!$D$7)))</f>
        <v>1.9820323133808871E-2</v>
      </c>
      <c r="P112" s="147" t="s">
        <v>428</v>
      </c>
      <c r="Q112" s="145">
        <f ca="1">(100-(VLOOKUP(A112,'Exit Interruption Prob''s'!$A:$E,5,FALSE)))*O112/100</f>
        <v>1.7838290820427986E-2</v>
      </c>
    </row>
    <row r="113" spans="1:17">
      <c r="A113" s="2" t="s">
        <v>133</v>
      </c>
      <c r="B113" s="12" t="str">
        <f>VLOOKUP(A113,'Locations &amp; Types'!$E:$I,5,FALSE)</f>
        <v>POWER STATION</v>
      </c>
      <c r="C113" s="39">
        <f ca="1">(VLOOKUP(A113, INDIRECT("'"&amp;'Drop Down Inputs'!$B$10&amp;"'!"&amp;" $A:$H"),MATCH('User Inputs'!$D$19, INDIRECT("'"&amp;'Drop Down Inputs'!$B$10&amp;"'!"&amp;"$A$1:$H$1"),0), FALSE))*'User Inputs'!$D$20/100</f>
        <v>31700000</v>
      </c>
      <c r="D113" s="146">
        <f t="array" aca="1" ref="D113" ca="1">SUMPRODUCT('Entry Prices'!$C$3:$C$29, TRANSPOSE(INDEX('Distance Matrix'!$C$3:$AC$231,MATCH(A113,'Distance Matrix'!$B$3:$B$231,0),0)) /SUM('Entry Prices'!$C$3:$C$29))</f>
        <v>637.25935032669145</v>
      </c>
      <c r="E113" s="145">
        <f t="shared" ca="1" si="1"/>
        <v>7.7367414727645854E-3</v>
      </c>
      <c r="F113" s="39">
        <f ca="1">E113*'Revenue Input'!$B$6</f>
        <v>363530411.21937186</v>
      </c>
      <c r="G113" s="148">
        <f ca="1">IF('User Inputs'!$D$4="PS",('Revenue Input'!$B$6/SUM($C$3:$C$231)),IF(ISERR(F113/C113),0,(F113/C113)))</f>
        <v>7.2344179438402385</v>
      </c>
      <c r="H113" s="148">
        <f ca="1">((IF(G113&gt;0,G113,VLOOKUP(A113,'Nearest Location Prices'!$M$1:$O$231,3,FALSE))))</f>
        <v>7.2344179438402385</v>
      </c>
      <c r="I113" s="171"/>
      <c r="K113" s="171"/>
      <c r="L113" s="145">
        <f ca="1">(IF(B113="STORAGE SITE",((100-'User Inputs'!$D$37)/100)*H113/'User Inputs'!$D$7,(IF(B113="INTERCONNECTOR",((100-'User Inputs'!$D$39)/100)*H113/'User Inputs'!$D$7,H113/'User Inputs'!$D$7))))</f>
        <v>1.9820323133808871E-2</v>
      </c>
      <c r="M113" s="147" t="s">
        <v>428</v>
      </c>
      <c r="N113" s="147" t="s">
        <v>428</v>
      </c>
      <c r="O113" s="145">
        <f ca="1">(IF(B113="STORAGE SITE",((100-'User Inputs'!$D$37)/100)* 'User Inputs'!$D$27*'Exit Prices'!H113/'User Inputs'!$D$7, IF(B113="INTERCONNECTOR", ((100-'User Inputs'!$D$39)/100)*'User Inputs'!$D$33*'Exit Prices'!H113/'User Inputs'!$D$7,  'User Inputs'!$D$27*'Exit Prices'!H113/'User Inputs'!$D$7)))</f>
        <v>1.9820323133808871E-2</v>
      </c>
      <c r="P113" s="147" t="s">
        <v>428</v>
      </c>
      <c r="Q113" s="145">
        <f ca="1">(100-(VLOOKUP(A113,'Exit Interruption Prob''s'!$A:$E,5,FALSE)))*O113/100</f>
        <v>1.7838290820427986E-2</v>
      </c>
    </row>
    <row r="114" spans="1:17">
      <c r="A114" s="2" t="s">
        <v>134</v>
      </c>
      <c r="B114" s="12" t="str">
        <f>VLOOKUP(A114,'Locations &amp; Types'!$E:$I,5,FALSE)</f>
        <v>DNO</v>
      </c>
      <c r="C114" s="39">
        <f ca="1">(VLOOKUP(A114, INDIRECT("'"&amp;'Drop Down Inputs'!$B$10&amp;"'!"&amp;" $A:$H"),MATCH('User Inputs'!$D$19, INDIRECT("'"&amp;'Drop Down Inputs'!$B$10&amp;"'!"&amp;"$A$1:$H$1"),0), FALSE))*'User Inputs'!$D$20/100</f>
        <v>155319</v>
      </c>
      <c r="D114" s="146">
        <f t="array" aca="1" ref="D114" ca="1">SUMPRODUCT('Entry Prices'!$C$3:$C$29, TRANSPOSE(INDEX('Distance Matrix'!$C$3:$AC$231,MATCH(A114,'Distance Matrix'!$B$3:$B$231,0),0)) /SUM('Entry Prices'!$C$3:$C$29))</f>
        <v>421.47341612893342</v>
      </c>
      <c r="E114" s="145">
        <f t="shared" ca="1" si="1"/>
        <v>2.5071330343845487E-5</v>
      </c>
      <c r="F114" s="39">
        <f ca="1">E114*'Revenue Input'!$B$6</f>
        <v>1178040.0135896066</v>
      </c>
      <c r="G114" s="148">
        <f ca="1">IF('User Inputs'!$D$4="PS",('Revenue Input'!$B$6/SUM($C$3:$C$231)),IF(ISERR(F114/C114),0,(F114/C114)))</f>
        <v>7.2344179438402385</v>
      </c>
      <c r="H114" s="148">
        <f ca="1">((IF(G114&gt;0,G114,VLOOKUP(A114,'Nearest Location Prices'!$M$1:$O$231,3,FALSE))))</f>
        <v>7.2344179438402385</v>
      </c>
      <c r="I114" s="171"/>
      <c r="K114" s="171"/>
      <c r="L114" s="145">
        <f ca="1">(IF(B114="STORAGE SITE",((100-'User Inputs'!$D$37)/100)*H114/'User Inputs'!$D$7,(IF(B114="INTERCONNECTOR",((100-'User Inputs'!$D$39)/100)*H114/'User Inputs'!$D$7,H114/'User Inputs'!$D$7))))</f>
        <v>1.9820323133808871E-2</v>
      </c>
      <c r="M114" s="147" t="s">
        <v>428</v>
      </c>
      <c r="N114" s="147" t="s">
        <v>428</v>
      </c>
      <c r="O114" s="145">
        <f ca="1">(IF(B114="STORAGE SITE",((100-'User Inputs'!$D$37)/100)* 'User Inputs'!$D$27*'Exit Prices'!H114/'User Inputs'!$D$7, IF(B114="INTERCONNECTOR", ((100-'User Inputs'!$D$39)/100)*'User Inputs'!$D$33*'Exit Prices'!H114/'User Inputs'!$D$7,  'User Inputs'!$D$27*'Exit Prices'!H114/'User Inputs'!$D$7)))</f>
        <v>1.9820323133808871E-2</v>
      </c>
      <c r="P114" s="147" t="s">
        <v>428</v>
      </c>
      <c r="Q114" s="145">
        <f ca="1">(100-(VLOOKUP(A114,'Exit Interruption Prob''s'!$A:$E,5,FALSE)))*O114/100</f>
        <v>1.7838290820427986E-2</v>
      </c>
    </row>
    <row r="115" spans="1:17">
      <c r="A115" s="2" t="s">
        <v>135</v>
      </c>
      <c r="B115" s="12" t="str">
        <f>VLOOKUP(A115,'Locations &amp; Types'!$E:$I,5,FALSE)</f>
        <v>DNO</v>
      </c>
      <c r="C115" s="39">
        <f ca="1">(VLOOKUP(A115, INDIRECT("'"&amp;'Drop Down Inputs'!$B$10&amp;"'!"&amp;" $A:$H"),MATCH('User Inputs'!$D$19, INDIRECT("'"&amp;'Drop Down Inputs'!$B$10&amp;"'!"&amp;"$A$1:$H$1"),0), FALSE))*'User Inputs'!$D$20/100</f>
        <v>0</v>
      </c>
      <c r="D115" s="146">
        <f t="array" aca="1" ref="D115" ca="1">SUMPRODUCT('Entry Prices'!$C$3:$C$29, TRANSPOSE(INDEX('Distance Matrix'!$C$3:$AC$231,MATCH(A115,'Distance Matrix'!$B$3:$B$231,0),0)) /SUM('Entry Prices'!$C$3:$C$29))</f>
        <v>502.03079778274105</v>
      </c>
      <c r="E115" s="145">
        <f t="shared" ca="1" si="1"/>
        <v>0</v>
      </c>
      <c r="F115" s="39">
        <f ca="1">E115*'Revenue Input'!$B$6</f>
        <v>0</v>
      </c>
      <c r="G115" s="148">
        <f ca="1">IF('User Inputs'!$D$4="PS",('Revenue Input'!$B$6/SUM($C$3:$C$231)),IF(ISERR(F115/C115),0,(F115/C115)))</f>
        <v>7.2344179438402385</v>
      </c>
      <c r="H115" s="148">
        <f ca="1">((IF(G115&gt;0,G115,VLOOKUP(A115,'Nearest Location Prices'!$M$1:$O$231,3,FALSE))))</f>
        <v>7.2344179438402385</v>
      </c>
      <c r="I115" s="171"/>
      <c r="K115" s="171"/>
      <c r="L115" s="145">
        <f ca="1">(IF(B115="STORAGE SITE",((100-'User Inputs'!$D$37)/100)*H115/'User Inputs'!$D$7,(IF(B115="INTERCONNECTOR",((100-'User Inputs'!$D$39)/100)*H115/'User Inputs'!$D$7,H115/'User Inputs'!$D$7))))</f>
        <v>1.9820323133808871E-2</v>
      </c>
      <c r="M115" s="147" t="s">
        <v>428</v>
      </c>
      <c r="N115" s="147" t="s">
        <v>428</v>
      </c>
      <c r="O115" s="145">
        <f ca="1">(IF(B115="STORAGE SITE",((100-'User Inputs'!$D$37)/100)* 'User Inputs'!$D$27*'Exit Prices'!H115/'User Inputs'!$D$7, IF(B115="INTERCONNECTOR", ((100-'User Inputs'!$D$39)/100)*'User Inputs'!$D$33*'Exit Prices'!H115/'User Inputs'!$D$7,  'User Inputs'!$D$27*'Exit Prices'!H115/'User Inputs'!$D$7)))</f>
        <v>1.9820323133808871E-2</v>
      </c>
      <c r="P115" s="147" t="s">
        <v>428</v>
      </c>
      <c r="Q115" s="145">
        <f ca="1">(100-(VLOOKUP(A115,'Exit Interruption Prob''s'!$A:$E,5,FALSE)))*O115/100</f>
        <v>1.7838290820427986E-2</v>
      </c>
    </row>
    <row r="116" spans="1:17">
      <c r="A116" s="2" t="s">
        <v>136</v>
      </c>
      <c r="B116" s="12" t="str">
        <f>VLOOKUP(A116,'Locations &amp; Types'!$E:$I,5,FALSE)</f>
        <v>DNO</v>
      </c>
      <c r="C116" s="39">
        <f ca="1">(VLOOKUP(A116, INDIRECT("'"&amp;'Drop Down Inputs'!$B$10&amp;"'!"&amp;" $A:$H"),MATCH('User Inputs'!$D$19, INDIRECT("'"&amp;'Drop Down Inputs'!$B$10&amp;"'!"&amp;"$A$1:$H$1"),0), FALSE))*'User Inputs'!$D$20/100</f>
        <v>3634748</v>
      </c>
      <c r="D116" s="146">
        <f t="array" aca="1" ref="D116" ca="1">SUMPRODUCT('Entry Prices'!$C$3:$C$29, TRANSPOSE(INDEX('Distance Matrix'!$C$3:$AC$231,MATCH(A116,'Distance Matrix'!$B$3:$B$231,0),0)) /SUM('Entry Prices'!$C$3:$C$29))</f>
        <v>336.52433573060711</v>
      </c>
      <c r="E116" s="145">
        <f t="shared" ca="1" si="1"/>
        <v>4.684609428534047E-4</v>
      </c>
      <c r="F116" s="39">
        <f ca="1">E116*'Revenue Input'!$B$6</f>
        <v>22011824.977636136</v>
      </c>
      <c r="G116" s="148">
        <f ca="1">IF('User Inputs'!$D$4="PS",('Revenue Input'!$B$6/SUM($C$3:$C$231)),IF(ISERR(F116/C116),0,(F116/C116)))</f>
        <v>7.2344179438402385</v>
      </c>
      <c r="H116" s="148">
        <f ca="1">((IF(G116&gt;0,G116,VLOOKUP(A116,'Nearest Location Prices'!$M$1:$O$231,3,FALSE))))</f>
        <v>7.2344179438402385</v>
      </c>
      <c r="I116" s="171"/>
      <c r="K116" s="171"/>
      <c r="L116" s="145">
        <f ca="1">(IF(B116="STORAGE SITE",((100-'User Inputs'!$D$37)/100)*H116/'User Inputs'!$D$7,(IF(B116="INTERCONNECTOR",((100-'User Inputs'!$D$39)/100)*H116/'User Inputs'!$D$7,H116/'User Inputs'!$D$7))))</f>
        <v>1.9820323133808871E-2</v>
      </c>
      <c r="M116" s="147" t="s">
        <v>428</v>
      </c>
      <c r="N116" s="147" t="s">
        <v>428</v>
      </c>
      <c r="O116" s="145">
        <f ca="1">(IF(B116="STORAGE SITE",((100-'User Inputs'!$D$37)/100)* 'User Inputs'!$D$27*'Exit Prices'!H116/'User Inputs'!$D$7, IF(B116="INTERCONNECTOR", ((100-'User Inputs'!$D$39)/100)*'User Inputs'!$D$33*'Exit Prices'!H116/'User Inputs'!$D$7,  'User Inputs'!$D$27*'Exit Prices'!H116/'User Inputs'!$D$7)))</f>
        <v>1.9820323133808871E-2</v>
      </c>
      <c r="P116" s="147" t="s">
        <v>428</v>
      </c>
      <c r="Q116" s="145">
        <f ca="1">(100-(VLOOKUP(A116,'Exit Interruption Prob''s'!$A:$E,5,FALSE)))*O116/100</f>
        <v>1.7838290820427986E-2</v>
      </c>
    </row>
    <row r="117" spans="1:17">
      <c r="A117" s="2" t="s">
        <v>137</v>
      </c>
      <c r="B117" s="12" t="str">
        <f>VLOOKUP(A117,'Locations &amp; Types'!$E:$I,5,FALSE)</f>
        <v>DNO</v>
      </c>
      <c r="C117" s="39">
        <f ca="1">(VLOOKUP(A117, INDIRECT("'"&amp;'Drop Down Inputs'!$B$10&amp;"'!"&amp;" $A:$H"),MATCH('User Inputs'!$D$19, INDIRECT("'"&amp;'Drop Down Inputs'!$B$10&amp;"'!"&amp;"$A$1:$H$1"),0), FALSE))*'User Inputs'!$D$20/100</f>
        <v>14089321</v>
      </c>
      <c r="D117" s="146">
        <f t="array" aca="1" ref="D117" ca="1">SUMPRODUCT('Entry Prices'!$C$3:$C$29, TRANSPOSE(INDEX('Distance Matrix'!$C$3:$AC$231,MATCH(A117,'Distance Matrix'!$B$3:$B$231,0),0)) /SUM('Entry Prices'!$C$3:$C$29))</f>
        <v>350.72300913299966</v>
      </c>
      <c r="E117" s="145">
        <f t="shared" ca="1" si="1"/>
        <v>1.8925045344559293E-3</v>
      </c>
      <c r="F117" s="39">
        <f ca="1">E117*'Revenue Input'!$B$6</f>
        <v>88924123.168284118</v>
      </c>
      <c r="G117" s="148">
        <f ca="1">IF('User Inputs'!$D$4="PS",('Revenue Input'!$B$6/SUM($C$3:$C$231)),IF(ISERR(F117/C117),0,(F117/C117)))</f>
        <v>7.2344179438402385</v>
      </c>
      <c r="H117" s="148">
        <f ca="1">((IF(G117&gt;0,G117,VLOOKUP(A117,'Nearest Location Prices'!$M$1:$O$231,3,FALSE))))</f>
        <v>7.2344179438402385</v>
      </c>
      <c r="I117" s="171"/>
      <c r="K117" s="171"/>
      <c r="L117" s="145">
        <f ca="1">(IF(B117="STORAGE SITE",((100-'User Inputs'!$D$37)/100)*H117/'User Inputs'!$D$7,(IF(B117="INTERCONNECTOR",((100-'User Inputs'!$D$39)/100)*H117/'User Inputs'!$D$7,H117/'User Inputs'!$D$7))))</f>
        <v>1.9820323133808871E-2</v>
      </c>
      <c r="M117" s="147" t="s">
        <v>428</v>
      </c>
      <c r="N117" s="147" t="s">
        <v>428</v>
      </c>
      <c r="O117" s="145">
        <f ca="1">(IF(B117="STORAGE SITE",((100-'User Inputs'!$D$37)/100)* 'User Inputs'!$D$27*'Exit Prices'!H117/'User Inputs'!$D$7, IF(B117="INTERCONNECTOR", ((100-'User Inputs'!$D$39)/100)*'User Inputs'!$D$33*'Exit Prices'!H117/'User Inputs'!$D$7,  'User Inputs'!$D$27*'Exit Prices'!H117/'User Inputs'!$D$7)))</f>
        <v>1.9820323133808871E-2</v>
      </c>
      <c r="P117" s="147" t="s">
        <v>428</v>
      </c>
      <c r="Q117" s="145">
        <f ca="1">(100-(VLOOKUP(A117,'Exit Interruption Prob''s'!$A:$E,5,FALSE)))*O117/100</f>
        <v>1.7838290820427986E-2</v>
      </c>
    </row>
    <row r="118" spans="1:17">
      <c r="A118" s="2" t="s">
        <v>138</v>
      </c>
      <c r="B118" s="12" t="str">
        <f>VLOOKUP(A118,'Locations &amp; Types'!$E:$I,5,FALSE)</f>
        <v>DNO</v>
      </c>
      <c r="C118" s="39">
        <f ca="1">(VLOOKUP(A118, INDIRECT("'"&amp;'Drop Down Inputs'!$B$10&amp;"'!"&amp;" $A:$H"),MATCH('User Inputs'!$D$19, INDIRECT("'"&amp;'Drop Down Inputs'!$B$10&amp;"'!"&amp;"$A$1:$H$1"),0), FALSE))*'User Inputs'!$D$20/100</f>
        <v>2299463</v>
      </c>
      <c r="D118" s="146">
        <f t="array" aca="1" ref="D118" ca="1">SUMPRODUCT('Entry Prices'!$C$3:$C$29, TRANSPOSE(INDEX('Distance Matrix'!$C$3:$AC$231,MATCH(A118,'Distance Matrix'!$B$3:$B$231,0),0)) /SUM('Entry Prices'!$C$3:$C$29))</f>
        <v>431.69542561547854</v>
      </c>
      <c r="E118" s="145">
        <f t="shared" ca="1" si="1"/>
        <v>3.8017755984261881E-4</v>
      </c>
      <c r="F118" s="39">
        <f ca="1">E118*'Revenue Input'!$B$6</f>
        <v>17863606.422999568</v>
      </c>
      <c r="G118" s="148">
        <f ca="1">IF('User Inputs'!$D$4="PS",('Revenue Input'!$B$6/SUM($C$3:$C$231)),IF(ISERR(F118/C118),0,(F118/C118)))</f>
        <v>7.2344179438402385</v>
      </c>
      <c r="H118" s="148">
        <f ca="1">((IF(G118&gt;0,G118,VLOOKUP(A118,'Nearest Location Prices'!$M$1:$O$231,3,FALSE))))</f>
        <v>7.2344179438402385</v>
      </c>
      <c r="I118" s="171"/>
      <c r="K118" s="171"/>
      <c r="L118" s="145">
        <f ca="1">(IF(B118="STORAGE SITE",((100-'User Inputs'!$D$37)/100)*H118/'User Inputs'!$D$7,(IF(B118="INTERCONNECTOR",((100-'User Inputs'!$D$39)/100)*H118/'User Inputs'!$D$7,H118/'User Inputs'!$D$7))))</f>
        <v>1.9820323133808871E-2</v>
      </c>
      <c r="M118" s="147" t="s">
        <v>428</v>
      </c>
      <c r="N118" s="147" t="s">
        <v>428</v>
      </c>
      <c r="O118" s="145">
        <f ca="1">(IF(B118="STORAGE SITE",((100-'User Inputs'!$D$37)/100)* 'User Inputs'!$D$27*'Exit Prices'!H118/'User Inputs'!$D$7, IF(B118="INTERCONNECTOR", ((100-'User Inputs'!$D$39)/100)*'User Inputs'!$D$33*'Exit Prices'!H118/'User Inputs'!$D$7,  'User Inputs'!$D$27*'Exit Prices'!H118/'User Inputs'!$D$7)))</f>
        <v>1.9820323133808871E-2</v>
      </c>
      <c r="P118" s="147" t="s">
        <v>428</v>
      </c>
      <c r="Q118" s="145">
        <f ca="1">(100-(VLOOKUP(A118,'Exit Interruption Prob''s'!$A:$E,5,FALSE)))*O118/100</f>
        <v>1.7838290820427986E-2</v>
      </c>
    </row>
    <row r="119" spans="1:17">
      <c r="A119" s="2" t="s">
        <v>139</v>
      </c>
      <c r="B119" s="12" t="str">
        <f>VLOOKUP(A119,'Locations &amp; Types'!$E:$I,5,FALSE)</f>
        <v>DNO</v>
      </c>
      <c r="C119" s="39">
        <f ca="1">(VLOOKUP(A119, INDIRECT("'"&amp;'Drop Down Inputs'!$B$10&amp;"'!"&amp;" $A:$H"),MATCH('User Inputs'!$D$19, INDIRECT("'"&amp;'Drop Down Inputs'!$B$10&amp;"'!"&amp;"$A$1:$H$1"),0), FALSE))*'User Inputs'!$D$20/100</f>
        <v>6757111</v>
      </c>
      <c r="D119" s="146">
        <f t="array" aca="1" ref="D119" ca="1">SUMPRODUCT('Entry Prices'!$C$3:$C$29, TRANSPOSE(INDEX('Distance Matrix'!$C$3:$AC$231,MATCH(A119,'Distance Matrix'!$B$3:$B$231,0),0)) /SUM('Entry Prices'!$C$3:$C$29))</f>
        <v>432.36379817378543</v>
      </c>
      <c r="E119" s="145">
        <f t="shared" ca="1" si="1"/>
        <v>1.1189044027805992E-3</v>
      </c>
      <c r="F119" s="39">
        <f ca="1">E119*'Revenue Input'!$B$6</f>
        <v>52574559.857000113</v>
      </c>
      <c r="G119" s="148">
        <f ca="1">IF('User Inputs'!$D$4="PS",('Revenue Input'!$B$6/SUM($C$3:$C$231)),IF(ISERR(F119/C119),0,(F119/C119)))</f>
        <v>7.2344179438402385</v>
      </c>
      <c r="H119" s="148">
        <f ca="1">((IF(G119&gt;0,G119,VLOOKUP(A119,'Nearest Location Prices'!$M$1:$O$231,3,FALSE))))</f>
        <v>7.2344179438402385</v>
      </c>
      <c r="I119" s="171"/>
      <c r="K119" s="171"/>
      <c r="L119" s="145">
        <f ca="1">(IF(B119="STORAGE SITE",((100-'User Inputs'!$D$37)/100)*H119/'User Inputs'!$D$7,(IF(B119="INTERCONNECTOR",((100-'User Inputs'!$D$39)/100)*H119/'User Inputs'!$D$7,H119/'User Inputs'!$D$7))))</f>
        <v>1.9820323133808871E-2</v>
      </c>
      <c r="M119" s="147" t="s">
        <v>428</v>
      </c>
      <c r="N119" s="147" t="s">
        <v>428</v>
      </c>
      <c r="O119" s="145">
        <f ca="1">(IF(B119="STORAGE SITE",((100-'User Inputs'!$D$37)/100)* 'User Inputs'!$D$27*'Exit Prices'!H119/'User Inputs'!$D$7, IF(B119="INTERCONNECTOR", ((100-'User Inputs'!$D$39)/100)*'User Inputs'!$D$33*'Exit Prices'!H119/'User Inputs'!$D$7,  'User Inputs'!$D$27*'Exit Prices'!H119/'User Inputs'!$D$7)))</f>
        <v>1.9820323133808871E-2</v>
      </c>
      <c r="P119" s="147" t="s">
        <v>428</v>
      </c>
      <c r="Q119" s="145">
        <f ca="1">(100-(VLOOKUP(A119,'Exit Interruption Prob''s'!$A:$E,5,FALSE)))*O119/100</f>
        <v>1.7838290820427986E-2</v>
      </c>
    </row>
    <row r="120" spans="1:17">
      <c r="A120" s="2" t="s">
        <v>140</v>
      </c>
      <c r="B120" s="12" t="str">
        <f>VLOOKUP(A120,'Locations &amp; Types'!$E:$I,5,FALSE)</f>
        <v>DNO</v>
      </c>
      <c r="C120" s="39">
        <f ca="1">(VLOOKUP(A120, INDIRECT("'"&amp;'Drop Down Inputs'!$B$10&amp;"'!"&amp;" $A:$H"),MATCH('User Inputs'!$D$19, INDIRECT("'"&amp;'Drop Down Inputs'!$B$10&amp;"'!"&amp;"$A$1:$H$1"),0), FALSE))*'User Inputs'!$D$20/100</f>
        <v>29910000</v>
      </c>
      <c r="D120" s="146">
        <f t="array" aca="1" ref="D120" ca="1">SUMPRODUCT('Entry Prices'!$C$3:$C$29, TRANSPOSE(INDEX('Distance Matrix'!$C$3:$AC$231,MATCH(A120,'Distance Matrix'!$B$3:$B$231,0),0)) /SUM('Entry Prices'!$C$3:$C$29))</f>
        <v>356.79843249207732</v>
      </c>
      <c r="E120" s="145">
        <f t="shared" ca="1" si="1"/>
        <v>4.0871629893658818E-3</v>
      </c>
      <c r="F120" s="39">
        <f ca="1">E120*'Revenue Input'!$B$6</f>
        <v>192045714.26810899</v>
      </c>
      <c r="G120" s="148">
        <f ca="1">IF('User Inputs'!$D$4="PS",('Revenue Input'!$B$6/SUM($C$3:$C$231)),IF(ISERR(F120/C120),0,(F120/C120)))</f>
        <v>7.2344179438402385</v>
      </c>
      <c r="H120" s="148">
        <f ca="1">((IF(G120&gt;0,G120,VLOOKUP(A120,'Nearest Location Prices'!$M$1:$O$231,3,FALSE))))</f>
        <v>7.2344179438402385</v>
      </c>
      <c r="I120" s="171"/>
      <c r="K120" s="171"/>
      <c r="L120" s="145">
        <f ca="1">(IF(B120="STORAGE SITE",((100-'User Inputs'!$D$37)/100)*H120/'User Inputs'!$D$7,(IF(B120="INTERCONNECTOR",((100-'User Inputs'!$D$39)/100)*H120/'User Inputs'!$D$7,H120/'User Inputs'!$D$7))))</f>
        <v>1.9820323133808871E-2</v>
      </c>
      <c r="M120" s="147" t="s">
        <v>428</v>
      </c>
      <c r="N120" s="147" t="s">
        <v>428</v>
      </c>
      <c r="O120" s="145">
        <f ca="1">(IF(B120="STORAGE SITE",((100-'User Inputs'!$D$37)/100)* 'User Inputs'!$D$27*'Exit Prices'!H120/'User Inputs'!$D$7, IF(B120="INTERCONNECTOR", ((100-'User Inputs'!$D$39)/100)*'User Inputs'!$D$33*'Exit Prices'!H120/'User Inputs'!$D$7,  'User Inputs'!$D$27*'Exit Prices'!H120/'User Inputs'!$D$7)))</f>
        <v>1.9820323133808871E-2</v>
      </c>
      <c r="P120" s="147" t="s">
        <v>428</v>
      </c>
      <c r="Q120" s="145">
        <f ca="1">(100-(VLOOKUP(A120,'Exit Interruption Prob''s'!$A:$E,5,FALSE)))*O120/100</f>
        <v>1.7838290820427986E-2</v>
      </c>
    </row>
    <row r="121" spans="1:17">
      <c r="A121" s="2" t="s">
        <v>141</v>
      </c>
      <c r="B121" s="12" t="str">
        <f>VLOOKUP(A121,'Locations &amp; Types'!$E:$I,5,FALSE)</f>
        <v>DNO</v>
      </c>
      <c r="C121" s="39">
        <f ca="1">(VLOOKUP(A121, INDIRECT("'"&amp;'Drop Down Inputs'!$B$10&amp;"'!"&amp;" $A:$H"),MATCH('User Inputs'!$D$19, INDIRECT("'"&amp;'Drop Down Inputs'!$B$10&amp;"'!"&amp;"$A$1:$H$1"),0), FALSE))*'User Inputs'!$D$20/100</f>
        <v>19815980</v>
      </c>
      <c r="D121" s="146">
        <f t="array" aca="1" ref="D121" ca="1">SUMPRODUCT('Entry Prices'!$C$3:$C$29, TRANSPOSE(INDEX('Distance Matrix'!$C$3:$AC$231,MATCH(A121,'Distance Matrix'!$B$3:$B$231,0),0)) /SUM('Entry Prices'!$C$3:$C$29))</f>
        <v>368.94909238157754</v>
      </c>
      <c r="E121" s="145">
        <f t="shared" ca="1" si="1"/>
        <v>2.8000424003249754E-3</v>
      </c>
      <c r="F121" s="39">
        <f ca="1">E121*'Revenue Input'!$B$6</f>
        <v>131567090.46115857</v>
      </c>
      <c r="G121" s="148">
        <f ca="1">IF('User Inputs'!$D$4="PS",('Revenue Input'!$B$6/SUM($C$3:$C$231)),IF(ISERR(F121/C121),0,(F121/C121)))</f>
        <v>7.2344179438402385</v>
      </c>
      <c r="H121" s="148">
        <f ca="1">((IF(G121&gt;0,G121,VLOOKUP(A121,'Nearest Location Prices'!$M$1:$O$231,3,FALSE))))</f>
        <v>7.2344179438402385</v>
      </c>
      <c r="I121" s="171"/>
      <c r="K121" s="171"/>
      <c r="L121" s="145">
        <f ca="1">(IF(B121="STORAGE SITE",((100-'User Inputs'!$D$37)/100)*H121/'User Inputs'!$D$7,(IF(B121="INTERCONNECTOR",((100-'User Inputs'!$D$39)/100)*H121/'User Inputs'!$D$7,H121/'User Inputs'!$D$7))))</f>
        <v>1.9820323133808871E-2</v>
      </c>
      <c r="M121" s="147" t="s">
        <v>428</v>
      </c>
      <c r="N121" s="147" t="s">
        <v>428</v>
      </c>
      <c r="O121" s="145">
        <f ca="1">(IF(B121="STORAGE SITE",((100-'User Inputs'!$D$37)/100)* 'User Inputs'!$D$27*'Exit Prices'!H121/'User Inputs'!$D$7, IF(B121="INTERCONNECTOR", ((100-'User Inputs'!$D$39)/100)*'User Inputs'!$D$33*'Exit Prices'!H121/'User Inputs'!$D$7,  'User Inputs'!$D$27*'Exit Prices'!H121/'User Inputs'!$D$7)))</f>
        <v>1.9820323133808871E-2</v>
      </c>
      <c r="P121" s="147" t="s">
        <v>428</v>
      </c>
      <c r="Q121" s="145">
        <f ca="1">(100-(VLOOKUP(A121,'Exit Interruption Prob''s'!$A:$E,5,FALSE)))*O121/100</f>
        <v>1.7838290820427986E-2</v>
      </c>
    </row>
    <row r="122" spans="1:17">
      <c r="A122" s="2" t="s">
        <v>142</v>
      </c>
      <c r="B122" s="12" t="str">
        <f>VLOOKUP(A122,'Locations &amp; Types'!$E:$I,5,FALSE)</f>
        <v>DNO</v>
      </c>
      <c r="C122" s="39">
        <f ca="1">(VLOOKUP(A122, INDIRECT("'"&amp;'Drop Down Inputs'!$B$10&amp;"'!"&amp;" $A:$H"),MATCH('User Inputs'!$D$19, INDIRECT("'"&amp;'Drop Down Inputs'!$B$10&amp;"'!"&amp;"$A$1:$H$1"),0), FALSE))*'User Inputs'!$D$20/100</f>
        <v>76147689</v>
      </c>
      <c r="D122" s="146">
        <f t="array" aca="1" ref="D122" ca="1">SUMPRODUCT('Entry Prices'!$C$3:$C$29, TRANSPOSE(INDEX('Distance Matrix'!$C$3:$AC$231,MATCH(A122,'Distance Matrix'!$B$3:$B$231,0),0)) /SUM('Entry Prices'!$C$3:$C$29))</f>
        <v>401.34091925899412</v>
      </c>
      <c r="E122" s="145">
        <f t="shared" ca="1" si="1"/>
        <v>1.1704497543363071E-2</v>
      </c>
      <c r="F122" s="39">
        <f ca="1">E122*'Revenue Input'!$B$6</f>
        <v>549965488.7052182</v>
      </c>
      <c r="G122" s="148">
        <f ca="1">IF('User Inputs'!$D$4="PS",('Revenue Input'!$B$6/SUM($C$3:$C$231)),IF(ISERR(F122/C122),0,(F122/C122)))</f>
        <v>7.2344179438402385</v>
      </c>
      <c r="H122" s="148">
        <f ca="1">((IF(G122&gt;0,G122,VLOOKUP(A122,'Nearest Location Prices'!$M$1:$O$231,3,FALSE))))</f>
        <v>7.2344179438402385</v>
      </c>
      <c r="I122" s="171"/>
      <c r="K122" s="171"/>
      <c r="L122" s="145">
        <f ca="1">(IF(B122="STORAGE SITE",((100-'User Inputs'!$D$37)/100)*H122/'User Inputs'!$D$7,(IF(B122="INTERCONNECTOR",((100-'User Inputs'!$D$39)/100)*H122/'User Inputs'!$D$7,H122/'User Inputs'!$D$7))))</f>
        <v>1.9820323133808871E-2</v>
      </c>
      <c r="M122" s="147" t="s">
        <v>428</v>
      </c>
      <c r="N122" s="147" t="s">
        <v>428</v>
      </c>
      <c r="O122" s="145">
        <f ca="1">(IF(B122="STORAGE SITE",((100-'User Inputs'!$D$37)/100)* 'User Inputs'!$D$27*'Exit Prices'!H122/'User Inputs'!$D$7, IF(B122="INTERCONNECTOR", ((100-'User Inputs'!$D$39)/100)*'User Inputs'!$D$33*'Exit Prices'!H122/'User Inputs'!$D$7,  'User Inputs'!$D$27*'Exit Prices'!H122/'User Inputs'!$D$7)))</f>
        <v>1.9820323133808871E-2</v>
      </c>
      <c r="P122" s="147" t="s">
        <v>428</v>
      </c>
      <c r="Q122" s="145">
        <f ca="1">(100-(VLOOKUP(A122,'Exit Interruption Prob''s'!$A:$E,5,FALSE)))*O122/100</f>
        <v>1.7838290820427986E-2</v>
      </c>
    </row>
    <row r="123" spans="1:17">
      <c r="A123" s="2" t="s">
        <v>143</v>
      </c>
      <c r="B123" s="12" t="str">
        <f>VLOOKUP(A123,'Locations &amp; Types'!$E:$I,5,FALSE)</f>
        <v>DNO</v>
      </c>
      <c r="C123" s="39">
        <f ca="1">(VLOOKUP(A123, INDIRECT("'"&amp;'Drop Down Inputs'!$B$10&amp;"'!"&amp;" $A:$H"),MATCH('User Inputs'!$D$19, INDIRECT("'"&amp;'Drop Down Inputs'!$B$10&amp;"'!"&amp;"$A$1:$H$1"),0), FALSE))*'User Inputs'!$D$20/100</f>
        <v>45817300</v>
      </c>
      <c r="D123" s="146">
        <f t="array" aca="1" ref="D123" ca="1">SUMPRODUCT('Entry Prices'!$C$3:$C$29, TRANSPOSE(INDEX('Distance Matrix'!$C$3:$AC$231,MATCH(A123,'Distance Matrix'!$B$3:$B$231,0),0)) /SUM('Entry Prices'!$C$3:$C$29))</f>
        <v>637.25935032669145</v>
      </c>
      <c r="E123" s="145">
        <f t="shared" ca="1" si="1"/>
        <v>1.1182227289592962E-2</v>
      </c>
      <c r="F123" s="39">
        <f ca="1">E123*'Revenue Input'!$B$6</f>
        <v>525425296.84420598</v>
      </c>
      <c r="G123" s="148">
        <f ca="1">IF('User Inputs'!$D$4="PS",('Revenue Input'!$B$6/SUM($C$3:$C$231)),IF(ISERR(F123/C123),0,(F123/C123)))</f>
        <v>7.2344179438402385</v>
      </c>
      <c r="H123" s="148">
        <f ca="1">((IF(G123&gt;0,G123,VLOOKUP(A123,'Nearest Location Prices'!$M$1:$O$231,3,FALSE))))</f>
        <v>7.2344179438402385</v>
      </c>
      <c r="I123" s="171"/>
      <c r="K123" s="171"/>
      <c r="L123" s="145">
        <f ca="1">(IF(B123="STORAGE SITE",((100-'User Inputs'!$D$37)/100)*H123/'User Inputs'!$D$7,(IF(B123="INTERCONNECTOR",((100-'User Inputs'!$D$39)/100)*H123/'User Inputs'!$D$7,H123/'User Inputs'!$D$7))))</f>
        <v>1.9820323133808871E-2</v>
      </c>
      <c r="M123" s="147" t="s">
        <v>428</v>
      </c>
      <c r="N123" s="147" t="s">
        <v>428</v>
      </c>
      <c r="O123" s="145">
        <f ca="1">(IF(B123="STORAGE SITE",((100-'User Inputs'!$D$37)/100)* 'User Inputs'!$D$27*'Exit Prices'!H123/'User Inputs'!$D$7, IF(B123="INTERCONNECTOR", ((100-'User Inputs'!$D$39)/100)*'User Inputs'!$D$33*'Exit Prices'!H123/'User Inputs'!$D$7,  'User Inputs'!$D$27*'Exit Prices'!H123/'User Inputs'!$D$7)))</f>
        <v>1.9820323133808871E-2</v>
      </c>
      <c r="P123" s="147" t="s">
        <v>428</v>
      </c>
      <c r="Q123" s="145">
        <f ca="1">(100-(VLOOKUP(A123,'Exit Interruption Prob''s'!$A:$E,5,FALSE)))*O123/100</f>
        <v>1.7838290820427986E-2</v>
      </c>
    </row>
    <row r="124" spans="1:17">
      <c r="A124" s="2" t="s">
        <v>144</v>
      </c>
      <c r="B124" s="12" t="str">
        <f>VLOOKUP(A124,'Locations &amp; Types'!$E:$I,5,FALSE)</f>
        <v>DNO</v>
      </c>
      <c r="C124" s="39">
        <f ca="1">(VLOOKUP(A124, INDIRECT("'"&amp;'Drop Down Inputs'!$B$10&amp;"'!"&amp;" $A:$H"),MATCH('User Inputs'!$D$19, INDIRECT("'"&amp;'Drop Down Inputs'!$B$10&amp;"'!"&amp;"$A$1:$H$1"),0), FALSE))*'User Inputs'!$D$20/100</f>
        <v>49258990</v>
      </c>
      <c r="D124" s="146">
        <f t="array" aca="1" ref="D124" ca="1">SUMPRODUCT('Entry Prices'!$C$3:$C$29, TRANSPOSE(INDEX('Distance Matrix'!$C$3:$AC$231,MATCH(A124,'Distance Matrix'!$B$3:$B$231,0),0)) /SUM('Entry Prices'!$C$3:$C$29))</f>
        <v>393.24964711534625</v>
      </c>
      <c r="E124" s="145">
        <f t="shared" ca="1" si="1"/>
        <v>7.4188476156634301E-3</v>
      </c>
      <c r="F124" s="39">
        <f ca="1">E124*'Revenue Input'!$B$6</f>
        <v>348593362.46274585</v>
      </c>
      <c r="G124" s="148">
        <f ca="1">IF('User Inputs'!$D$4="PS",('Revenue Input'!$B$6/SUM($C$3:$C$231)),IF(ISERR(F124/C124),0,(F124/C124)))</f>
        <v>7.2344179438402385</v>
      </c>
      <c r="H124" s="148">
        <f ca="1">((IF(G124&gt;0,G124,VLOOKUP(A124,'Nearest Location Prices'!$M$1:$O$231,3,FALSE))))</f>
        <v>7.2344179438402385</v>
      </c>
      <c r="I124" s="171"/>
      <c r="K124" s="171"/>
      <c r="L124" s="145">
        <f ca="1">(IF(B124="STORAGE SITE",((100-'User Inputs'!$D$37)/100)*H124/'User Inputs'!$D$7,(IF(B124="INTERCONNECTOR",((100-'User Inputs'!$D$39)/100)*H124/'User Inputs'!$D$7,H124/'User Inputs'!$D$7))))</f>
        <v>1.9820323133808871E-2</v>
      </c>
      <c r="M124" s="147" t="s">
        <v>428</v>
      </c>
      <c r="N124" s="147" t="s">
        <v>428</v>
      </c>
      <c r="O124" s="145">
        <f ca="1">(IF(B124="STORAGE SITE",((100-'User Inputs'!$D$37)/100)* 'User Inputs'!$D$27*'Exit Prices'!H124/'User Inputs'!$D$7, IF(B124="INTERCONNECTOR", ((100-'User Inputs'!$D$39)/100)*'User Inputs'!$D$33*'Exit Prices'!H124/'User Inputs'!$D$7,  'User Inputs'!$D$27*'Exit Prices'!H124/'User Inputs'!$D$7)))</f>
        <v>1.9820323133808871E-2</v>
      </c>
      <c r="P124" s="147" t="s">
        <v>428</v>
      </c>
      <c r="Q124" s="145">
        <f ca="1">(100-(VLOOKUP(A124,'Exit Interruption Prob''s'!$A:$E,5,FALSE)))*O124/100</f>
        <v>1.7838290820427986E-2</v>
      </c>
    </row>
    <row r="125" spans="1:17">
      <c r="A125" s="2" t="s">
        <v>145</v>
      </c>
      <c r="B125" s="12" t="str">
        <f>VLOOKUP(A125,'Locations &amp; Types'!$E:$I,5,FALSE)</f>
        <v>DNO</v>
      </c>
      <c r="C125" s="39">
        <f ca="1">(VLOOKUP(A125, INDIRECT("'"&amp;'Drop Down Inputs'!$B$10&amp;"'!"&amp;" $A:$H"),MATCH('User Inputs'!$D$19, INDIRECT("'"&amp;'Drop Down Inputs'!$B$10&amp;"'!"&amp;"$A$1:$H$1"),0), FALSE))*'User Inputs'!$D$20/100</f>
        <v>685222</v>
      </c>
      <c r="D125" s="146">
        <f t="array" aca="1" ref="D125" ca="1">SUMPRODUCT('Entry Prices'!$C$3:$C$29, TRANSPOSE(INDEX('Distance Matrix'!$C$3:$AC$231,MATCH(A125,'Distance Matrix'!$B$3:$B$231,0),0)) /SUM('Entry Prices'!$C$3:$C$29))</f>
        <v>381.56775603876156</v>
      </c>
      <c r="E125" s="145">
        <f t="shared" ca="1" si="1"/>
        <v>1.0013492396576523E-4</v>
      </c>
      <c r="F125" s="39">
        <f ca="1">E125*'Revenue Input'!$B$6</f>
        <v>4705093.2508007837</v>
      </c>
      <c r="G125" s="148">
        <f ca="1">IF('User Inputs'!$D$4="PS",('Revenue Input'!$B$6/SUM($C$3:$C$231)),IF(ISERR(F125/C125),0,(F125/C125)))</f>
        <v>7.2344179438402385</v>
      </c>
      <c r="H125" s="148">
        <f ca="1">((IF(G125&gt;0,G125,VLOOKUP(A125,'Nearest Location Prices'!$M$1:$O$231,3,FALSE))))</f>
        <v>7.2344179438402385</v>
      </c>
      <c r="I125" s="171"/>
      <c r="K125" s="171"/>
      <c r="L125" s="145">
        <f ca="1">(IF(B125="STORAGE SITE",((100-'User Inputs'!$D$37)/100)*H125/'User Inputs'!$D$7,(IF(B125="INTERCONNECTOR",((100-'User Inputs'!$D$39)/100)*H125/'User Inputs'!$D$7,H125/'User Inputs'!$D$7))))</f>
        <v>1.9820323133808871E-2</v>
      </c>
      <c r="M125" s="147" t="s">
        <v>428</v>
      </c>
      <c r="N125" s="147" t="s">
        <v>428</v>
      </c>
      <c r="O125" s="145">
        <f ca="1">(IF(B125="STORAGE SITE",((100-'User Inputs'!$D$37)/100)* 'User Inputs'!$D$27*'Exit Prices'!H125/'User Inputs'!$D$7, IF(B125="INTERCONNECTOR", ((100-'User Inputs'!$D$39)/100)*'User Inputs'!$D$33*'Exit Prices'!H125/'User Inputs'!$D$7,  'User Inputs'!$D$27*'Exit Prices'!H125/'User Inputs'!$D$7)))</f>
        <v>1.9820323133808871E-2</v>
      </c>
      <c r="P125" s="147" t="s">
        <v>428</v>
      </c>
      <c r="Q125" s="145">
        <f ca="1">(100-(VLOOKUP(A125,'Exit Interruption Prob''s'!$A:$E,5,FALSE)))*O125/100</f>
        <v>1.7838290820427986E-2</v>
      </c>
    </row>
    <row r="126" spans="1:17">
      <c r="A126" s="2" t="s">
        <v>146</v>
      </c>
      <c r="B126" s="12" t="str">
        <f>VLOOKUP(A126,'Locations &amp; Types'!$E:$I,5,FALSE)</f>
        <v>DNO</v>
      </c>
      <c r="C126" s="39">
        <f ca="1">(VLOOKUP(A126, INDIRECT("'"&amp;'Drop Down Inputs'!$B$10&amp;"'!"&amp;" $A:$H"),MATCH('User Inputs'!$D$19, INDIRECT("'"&amp;'Drop Down Inputs'!$B$10&amp;"'!"&amp;"$A$1:$H$1"),0), FALSE))*'User Inputs'!$D$20/100</f>
        <v>38538881</v>
      </c>
      <c r="D126" s="146">
        <f t="array" aca="1" ref="D126" ca="1">SUMPRODUCT('Entry Prices'!$C$3:$C$29, TRANSPOSE(INDEX('Distance Matrix'!$C$3:$AC$231,MATCH(A126,'Distance Matrix'!$B$3:$B$231,0),0)) /SUM('Entry Prices'!$C$3:$C$29))</f>
        <v>518.80732402045271</v>
      </c>
      <c r="E126" s="145">
        <f t="shared" ca="1" si="1"/>
        <v>7.6575140996721618E-3</v>
      </c>
      <c r="F126" s="39">
        <f ca="1">E126*'Revenue Input'!$B$6</f>
        <v>359807712.24829876</v>
      </c>
      <c r="G126" s="148">
        <f ca="1">IF('User Inputs'!$D$4="PS",('Revenue Input'!$B$6/SUM($C$3:$C$231)),IF(ISERR(F126/C126),0,(F126/C126)))</f>
        <v>7.2344179438402385</v>
      </c>
      <c r="H126" s="148">
        <f ca="1">((IF(G126&gt;0,G126,VLOOKUP(A126,'Nearest Location Prices'!$M$1:$O$231,3,FALSE))))</f>
        <v>7.2344179438402385</v>
      </c>
      <c r="I126" s="171"/>
      <c r="K126" s="171"/>
      <c r="L126" s="145">
        <f ca="1">(IF(B126="STORAGE SITE",((100-'User Inputs'!$D$37)/100)*H126/'User Inputs'!$D$7,(IF(B126="INTERCONNECTOR",((100-'User Inputs'!$D$39)/100)*H126/'User Inputs'!$D$7,H126/'User Inputs'!$D$7))))</f>
        <v>1.9820323133808871E-2</v>
      </c>
      <c r="M126" s="147" t="s">
        <v>428</v>
      </c>
      <c r="N126" s="147" t="s">
        <v>428</v>
      </c>
      <c r="O126" s="145">
        <f ca="1">(IF(B126="STORAGE SITE",((100-'User Inputs'!$D$37)/100)* 'User Inputs'!$D$27*'Exit Prices'!H126/'User Inputs'!$D$7, IF(B126="INTERCONNECTOR", ((100-'User Inputs'!$D$39)/100)*'User Inputs'!$D$33*'Exit Prices'!H126/'User Inputs'!$D$7,  'User Inputs'!$D$27*'Exit Prices'!H126/'User Inputs'!$D$7)))</f>
        <v>1.9820323133808871E-2</v>
      </c>
      <c r="P126" s="147" t="s">
        <v>428</v>
      </c>
      <c r="Q126" s="145">
        <f ca="1">(100-(VLOOKUP(A126,'Exit Interruption Prob''s'!$A:$E,5,FALSE)))*O126/100</f>
        <v>1.7838290820427986E-2</v>
      </c>
    </row>
    <row r="127" spans="1:17">
      <c r="A127" s="2" t="s">
        <v>147</v>
      </c>
      <c r="B127" s="12" t="str">
        <f>VLOOKUP(A127,'Locations &amp; Types'!$E:$I,5,FALSE)</f>
        <v>POWER STATION</v>
      </c>
      <c r="C127" s="39">
        <f ca="1">(VLOOKUP(A127, INDIRECT("'"&amp;'Drop Down Inputs'!$B$10&amp;"'!"&amp;" $A:$H"),MATCH('User Inputs'!$D$19, INDIRECT("'"&amp;'Drop Down Inputs'!$B$10&amp;"'!"&amp;"$A$1:$H$1"),0), FALSE))*'User Inputs'!$D$20/100</f>
        <v>39840000</v>
      </c>
      <c r="D127" s="146">
        <f t="array" aca="1" ref="D127" ca="1">SUMPRODUCT('Entry Prices'!$C$3:$C$29, TRANSPOSE(INDEX('Distance Matrix'!$C$3:$AC$231,MATCH(A127,'Distance Matrix'!$B$3:$B$231,0),0)) /SUM('Entry Prices'!$C$3:$C$29))</f>
        <v>493.63686087145476</v>
      </c>
      <c r="E127" s="145">
        <f t="shared" ca="1" si="1"/>
        <v>7.5319862389124454E-3</v>
      </c>
      <c r="F127" s="39">
        <f ca="1">E127*'Revenue Input'!$B$6</f>
        <v>353909467.4895578</v>
      </c>
      <c r="G127" s="148">
        <f ca="1">IF('User Inputs'!$D$4="PS",('Revenue Input'!$B$6/SUM($C$3:$C$231)),IF(ISERR(F127/C127),0,(F127/C127)))</f>
        <v>7.2344179438402385</v>
      </c>
      <c r="H127" s="148">
        <f ca="1">((IF(G127&gt;0,G127,VLOOKUP(A127,'Nearest Location Prices'!$M$1:$O$231,3,FALSE))))</f>
        <v>7.2344179438402385</v>
      </c>
      <c r="I127" s="171"/>
      <c r="K127" s="171"/>
      <c r="L127" s="145">
        <f ca="1">(IF(B127="STORAGE SITE",((100-'User Inputs'!$D$37)/100)*H127/'User Inputs'!$D$7,(IF(B127="INTERCONNECTOR",((100-'User Inputs'!$D$39)/100)*H127/'User Inputs'!$D$7,H127/'User Inputs'!$D$7))))</f>
        <v>1.9820323133808871E-2</v>
      </c>
      <c r="M127" s="147" t="s">
        <v>428</v>
      </c>
      <c r="N127" s="147" t="s">
        <v>428</v>
      </c>
      <c r="O127" s="145">
        <f ca="1">(IF(B127="STORAGE SITE",((100-'User Inputs'!$D$37)/100)* 'User Inputs'!$D$27*'Exit Prices'!H127/'User Inputs'!$D$7, IF(B127="INTERCONNECTOR", ((100-'User Inputs'!$D$39)/100)*'User Inputs'!$D$33*'Exit Prices'!H127/'User Inputs'!$D$7,  'User Inputs'!$D$27*'Exit Prices'!H127/'User Inputs'!$D$7)))</f>
        <v>1.9820323133808871E-2</v>
      </c>
      <c r="P127" s="147" t="s">
        <v>428</v>
      </c>
      <c r="Q127" s="145">
        <f ca="1">(100-(VLOOKUP(A127,'Exit Interruption Prob''s'!$A:$E,5,FALSE)))*O127/100</f>
        <v>1.7838290820427986E-2</v>
      </c>
    </row>
    <row r="128" spans="1:17">
      <c r="A128" s="2" t="s">
        <v>148</v>
      </c>
      <c r="B128" s="12" t="str">
        <f>VLOOKUP(A128,'Locations &amp; Types'!$E:$I,5,FALSE)</f>
        <v>DNO</v>
      </c>
      <c r="C128" s="39">
        <f ca="1">(VLOOKUP(A128, INDIRECT("'"&amp;'Drop Down Inputs'!$B$10&amp;"'!"&amp;" $A:$H"),MATCH('User Inputs'!$D$19, INDIRECT("'"&amp;'Drop Down Inputs'!$B$10&amp;"'!"&amp;"$A$1:$H$1"),0), FALSE))*'User Inputs'!$D$20/100</f>
        <v>6965982</v>
      </c>
      <c r="D128" s="146">
        <f t="array" aca="1" ref="D128" ca="1">SUMPRODUCT('Entry Prices'!$C$3:$C$29, TRANSPOSE(INDEX('Distance Matrix'!$C$3:$AC$231,MATCH(A128,'Distance Matrix'!$B$3:$B$231,0),0)) /SUM('Entry Prices'!$C$3:$C$29))</f>
        <v>310.79117036916966</v>
      </c>
      <c r="E128" s="145">
        <f t="shared" ca="1" si="1"/>
        <v>8.2915099468923101E-4</v>
      </c>
      <c r="F128" s="39">
        <f ca="1">E128*'Revenue Input'!$B$6</f>
        <v>38959761.43488995</v>
      </c>
      <c r="G128" s="148">
        <f ca="1">IF('User Inputs'!$D$4="PS",('Revenue Input'!$B$6/SUM($C$3:$C$231)),IF(ISERR(F128/C128),0,(F128/C128)))</f>
        <v>7.2344179438402385</v>
      </c>
      <c r="H128" s="148">
        <f ca="1">((IF(G128&gt;0,G128,VLOOKUP(A128,'Nearest Location Prices'!$M$1:$O$231,3,FALSE))))</f>
        <v>7.2344179438402385</v>
      </c>
      <c r="I128" s="171"/>
      <c r="K128" s="171"/>
      <c r="L128" s="145">
        <f ca="1">(IF(B128="STORAGE SITE",((100-'User Inputs'!$D$37)/100)*H128/'User Inputs'!$D$7,(IF(B128="INTERCONNECTOR",((100-'User Inputs'!$D$39)/100)*H128/'User Inputs'!$D$7,H128/'User Inputs'!$D$7))))</f>
        <v>1.9820323133808871E-2</v>
      </c>
      <c r="M128" s="147" t="s">
        <v>428</v>
      </c>
      <c r="N128" s="147" t="s">
        <v>428</v>
      </c>
      <c r="O128" s="145">
        <f ca="1">(IF(B128="STORAGE SITE",((100-'User Inputs'!$D$37)/100)* 'User Inputs'!$D$27*'Exit Prices'!H128/'User Inputs'!$D$7, IF(B128="INTERCONNECTOR", ((100-'User Inputs'!$D$39)/100)*'User Inputs'!$D$33*'Exit Prices'!H128/'User Inputs'!$D$7,  'User Inputs'!$D$27*'Exit Prices'!H128/'User Inputs'!$D$7)))</f>
        <v>1.9820323133808871E-2</v>
      </c>
      <c r="P128" s="147" t="s">
        <v>428</v>
      </c>
      <c r="Q128" s="145">
        <f ca="1">(100-(VLOOKUP(A128,'Exit Interruption Prob''s'!$A:$E,5,FALSE)))*O128/100</f>
        <v>1.7838290820427986E-2</v>
      </c>
    </row>
    <row r="129" spans="1:17">
      <c r="A129" s="2" t="s">
        <v>149</v>
      </c>
      <c r="B129" s="12" t="str">
        <f>VLOOKUP(A129,'Locations &amp; Types'!$E:$I,5,FALSE)</f>
        <v>DNO</v>
      </c>
      <c r="C129" s="39">
        <f ca="1">(VLOOKUP(A129, INDIRECT("'"&amp;'Drop Down Inputs'!$B$10&amp;"'!"&amp;" $A:$H"),MATCH('User Inputs'!$D$19, INDIRECT("'"&amp;'Drop Down Inputs'!$B$10&amp;"'!"&amp;"$A$1:$H$1"),0), FALSE))*'User Inputs'!$D$20/100</f>
        <v>50470504</v>
      </c>
      <c r="D129" s="146">
        <f t="array" aca="1" ref="D129" ca="1">SUMPRODUCT('Entry Prices'!$C$3:$C$29, TRANSPOSE(INDEX('Distance Matrix'!$C$3:$AC$231,MATCH(A129,'Distance Matrix'!$B$3:$B$231,0),0)) /SUM('Entry Prices'!$C$3:$C$29))</f>
        <v>381.89799019460929</v>
      </c>
      <c r="E129" s="145">
        <f t="shared" ca="1" si="1"/>
        <v>7.3818908729610475E-3</v>
      </c>
      <c r="F129" s="39">
        <f ca="1">E129*'Revenue Input'!$B$6</f>
        <v>346856856.21922976</v>
      </c>
      <c r="G129" s="148">
        <f ca="1">IF('User Inputs'!$D$4="PS",('Revenue Input'!$B$6/SUM($C$3:$C$231)),IF(ISERR(F129/C129),0,(F129/C129)))</f>
        <v>7.2344179438402385</v>
      </c>
      <c r="H129" s="148">
        <f ca="1">((IF(G129&gt;0,G129,VLOOKUP(A129,'Nearest Location Prices'!$M$1:$O$231,3,FALSE))))</f>
        <v>7.2344179438402385</v>
      </c>
      <c r="I129" s="171"/>
      <c r="K129" s="171"/>
      <c r="L129" s="145">
        <f ca="1">(IF(B129="STORAGE SITE",((100-'User Inputs'!$D$37)/100)*H129/'User Inputs'!$D$7,(IF(B129="INTERCONNECTOR",((100-'User Inputs'!$D$39)/100)*H129/'User Inputs'!$D$7,H129/'User Inputs'!$D$7))))</f>
        <v>1.9820323133808871E-2</v>
      </c>
      <c r="M129" s="147" t="s">
        <v>428</v>
      </c>
      <c r="N129" s="147" t="s">
        <v>428</v>
      </c>
      <c r="O129" s="145">
        <f ca="1">(IF(B129="STORAGE SITE",((100-'User Inputs'!$D$37)/100)* 'User Inputs'!$D$27*'Exit Prices'!H129/'User Inputs'!$D$7, IF(B129="INTERCONNECTOR", ((100-'User Inputs'!$D$39)/100)*'User Inputs'!$D$33*'Exit Prices'!H129/'User Inputs'!$D$7,  'User Inputs'!$D$27*'Exit Prices'!H129/'User Inputs'!$D$7)))</f>
        <v>1.9820323133808871E-2</v>
      </c>
      <c r="P129" s="147" t="s">
        <v>428</v>
      </c>
      <c r="Q129" s="145">
        <f ca="1">(100-(VLOOKUP(A129,'Exit Interruption Prob''s'!$A:$E,5,FALSE)))*O129/100</f>
        <v>1.7838290820427986E-2</v>
      </c>
    </row>
    <row r="130" spans="1:17">
      <c r="A130" s="2" t="s">
        <v>150</v>
      </c>
      <c r="B130" s="12" t="str">
        <f>VLOOKUP(A130,'Locations &amp; Types'!$E:$I,5,FALSE)</f>
        <v>POWER STATION</v>
      </c>
      <c r="C130" s="39">
        <f ca="1">(VLOOKUP(A130, INDIRECT("'"&amp;'Drop Down Inputs'!$B$10&amp;"'!"&amp;" $A:$H"),MATCH('User Inputs'!$D$19, INDIRECT("'"&amp;'Drop Down Inputs'!$B$10&amp;"'!"&amp;"$A$1:$H$1"),0), FALSE))*'User Inputs'!$D$20/100</f>
        <v>32771084</v>
      </c>
      <c r="D130" s="146">
        <f t="array" aca="1" ref="D130" ca="1">SUMPRODUCT('Entry Prices'!$C$3:$C$29, TRANSPOSE(INDEX('Distance Matrix'!$C$3:$AC$231,MATCH(A130,'Distance Matrix'!$B$3:$B$231,0),0)) /SUM('Entry Prices'!$C$3:$C$29))</f>
        <v>433.98182875606221</v>
      </c>
      <c r="E130" s="145">
        <f t="shared" ca="1" si="1"/>
        <v>5.4468442748768619E-3</v>
      </c>
      <c r="F130" s="39">
        <f ca="1">E130*'Revenue Input'!$B$6</f>
        <v>255933786.3445909</v>
      </c>
      <c r="G130" s="148">
        <f ca="1">IF('User Inputs'!$D$4="PS",('Revenue Input'!$B$6/SUM($C$3:$C$231)),IF(ISERR(F130/C130),0,(F130/C130)))</f>
        <v>7.2344179438402385</v>
      </c>
      <c r="H130" s="148">
        <f ca="1">((IF(G130&gt;0,G130,VLOOKUP(A130,'Nearest Location Prices'!$M$1:$O$231,3,FALSE))))</f>
        <v>7.2344179438402385</v>
      </c>
      <c r="I130" s="171"/>
      <c r="K130" s="171"/>
      <c r="L130" s="145">
        <f ca="1">(IF(B130="STORAGE SITE",((100-'User Inputs'!$D$37)/100)*H130/'User Inputs'!$D$7,(IF(B130="INTERCONNECTOR",((100-'User Inputs'!$D$39)/100)*H130/'User Inputs'!$D$7,H130/'User Inputs'!$D$7))))</f>
        <v>1.9820323133808871E-2</v>
      </c>
      <c r="M130" s="147" t="s">
        <v>428</v>
      </c>
      <c r="N130" s="147" t="s">
        <v>428</v>
      </c>
      <c r="O130" s="145">
        <f ca="1">(IF(B130="STORAGE SITE",((100-'User Inputs'!$D$37)/100)* 'User Inputs'!$D$27*'Exit Prices'!H130/'User Inputs'!$D$7, IF(B130="INTERCONNECTOR", ((100-'User Inputs'!$D$39)/100)*'User Inputs'!$D$33*'Exit Prices'!H130/'User Inputs'!$D$7,  'User Inputs'!$D$27*'Exit Prices'!H130/'User Inputs'!$D$7)))</f>
        <v>1.9820323133808871E-2</v>
      </c>
      <c r="P130" s="147" t="s">
        <v>428</v>
      </c>
      <c r="Q130" s="145">
        <f ca="1">(100-(VLOOKUP(A130,'Exit Interruption Prob''s'!$A:$E,5,FALSE)))*O130/100</f>
        <v>1.7838290820427986E-2</v>
      </c>
    </row>
    <row r="131" spans="1:17">
      <c r="A131" s="2" t="s">
        <v>151</v>
      </c>
      <c r="B131" s="12" t="str">
        <f>VLOOKUP(A131,'Locations &amp; Types'!$E:$I,5,FALSE)</f>
        <v>DNO</v>
      </c>
      <c r="C131" s="39">
        <f ca="1">(VLOOKUP(A131, INDIRECT("'"&amp;'Drop Down Inputs'!$B$10&amp;"'!"&amp;" $A:$H"),MATCH('User Inputs'!$D$19, INDIRECT("'"&amp;'Drop Down Inputs'!$B$10&amp;"'!"&amp;"$A$1:$H$1"),0), FALSE))*'User Inputs'!$D$20/100</f>
        <v>949364</v>
      </c>
      <c r="D131" s="146">
        <f t="array" aca="1" ref="D131" ca="1">SUMPRODUCT('Entry Prices'!$C$3:$C$29, TRANSPOSE(INDEX('Distance Matrix'!$C$3:$AC$231,MATCH(A131,'Distance Matrix'!$B$3:$B$231,0),0)) /SUM('Entry Prices'!$C$3:$C$29))</f>
        <v>400.20479149258011</v>
      </c>
      <c r="E131" s="145">
        <f t="shared" ref="E131:E194" ca="1" si="2">(C131*D131)/SUMPRODUCT($C$3:$C$231,$D$3:$D$231)</f>
        <v>1.4551161115453393E-4</v>
      </c>
      <c r="F131" s="39">
        <f ca="1">E131*'Revenue Input'!$B$6</f>
        <v>6837231.931093459</v>
      </c>
      <c r="G131" s="148">
        <f ca="1">IF('User Inputs'!$D$4="PS",('Revenue Input'!$B$6/SUM($C$3:$C$231)),IF(ISERR(F131/C131),0,(F131/C131)))</f>
        <v>7.2344179438402385</v>
      </c>
      <c r="H131" s="148">
        <f ca="1">((IF(G131&gt;0,G131,VLOOKUP(A131,'Nearest Location Prices'!$M$1:$O$231,3,FALSE))))</f>
        <v>7.2344179438402385</v>
      </c>
      <c r="I131" s="171"/>
      <c r="K131" s="171"/>
      <c r="L131" s="145">
        <f ca="1">(IF(B131="STORAGE SITE",((100-'User Inputs'!$D$37)/100)*H131/'User Inputs'!$D$7,(IF(B131="INTERCONNECTOR",((100-'User Inputs'!$D$39)/100)*H131/'User Inputs'!$D$7,H131/'User Inputs'!$D$7))))</f>
        <v>1.9820323133808871E-2</v>
      </c>
      <c r="M131" s="147" t="s">
        <v>428</v>
      </c>
      <c r="N131" s="147" t="s">
        <v>428</v>
      </c>
      <c r="O131" s="145">
        <f ca="1">(IF(B131="STORAGE SITE",((100-'User Inputs'!$D$37)/100)* 'User Inputs'!$D$27*'Exit Prices'!H131/'User Inputs'!$D$7, IF(B131="INTERCONNECTOR", ((100-'User Inputs'!$D$39)/100)*'User Inputs'!$D$33*'Exit Prices'!H131/'User Inputs'!$D$7,  'User Inputs'!$D$27*'Exit Prices'!H131/'User Inputs'!$D$7)))</f>
        <v>1.9820323133808871E-2</v>
      </c>
      <c r="P131" s="147" t="s">
        <v>428</v>
      </c>
      <c r="Q131" s="145">
        <f ca="1">(100-(VLOOKUP(A131,'Exit Interruption Prob''s'!$A:$E,5,FALSE)))*O131/100</f>
        <v>1.7838290820427986E-2</v>
      </c>
    </row>
    <row r="132" spans="1:17">
      <c r="A132" s="2" t="s">
        <v>152</v>
      </c>
      <c r="B132" s="12" t="str">
        <f>VLOOKUP(A132,'Locations &amp; Types'!$E:$I,5,FALSE)</f>
        <v>DNO</v>
      </c>
      <c r="C132" s="39">
        <f ca="1">(VLOOKUP(A132, INDIRECT("'"&amp;'Drop Down Inputs'!$B$10&amp;"'!"&amp;" $A:$H"),MATCH('User Inputs'!$D$19, INDIRECT("'"&amp;'Drop Down Inputs'!$B$10&amp;"'!"&amp;"$A$1:$H$1"),0), FALSE))*'User Inputs'!$D$20/100</f>
        <v>29209411</v>
      </c>
      <c r="D132" s="146">
        <f t="array" aca="1" ref="D132" ca="1">SUMPRODUCT('Entry Prices'!$C$3:$C$29, TRANSPOSE(INDEX('Distance Matrix'!$C$3:$AC$231,MATCH(A132,'Distance Matrix'!$B$3:$B$231,0),0)) /SUM('Entry Prices'!$C$3:$C$29))</f>
        <v>390.21400476926664</v>
      </c>
      <c r="E132" s="145">
        <f t="shared" ca="1" si="2"/>
        <v>4.3652413257941588E-3</v>
      </c>
      <c r="F132" s="39">
        <f ca="1">E132*'Revenue Input'!$B$6</f>
        <v>205111929.85109493</v>
      </c>
      <c r="G132" s="148">
        <f ca="1">IF('User Inputs'!$D$4="PS",('Revenue Input'!$B$6/SUM($C$3:$C$231)),IF(ISERR(F132/C132),0,(F132/C132)))</f>
        <v>7.2344179438402385</v>
      </c>
      <c r="H132" s="148">
        <f ca="1">((IF(G132&gt;0,G132,VLOOKUP(A132,'Nearest Location Prices'!$M$1:$O$231,3,FALSE))))</f>
        <v>7.2344179438402385</v>
      </c>
      <c r="I132" s="171"/>
      <c r="K132" s="171"/>
      <c r="L132" s="145">
        <f ca="1">(IF(B132="STORAGE SITE",((100-'User Inputs'!$D$37)/100)*H132/'User Inputs'!$D$7,(IF(B132="INTERCONNECTOR",((100-'User Inputs'!$D$39)/100)*H132/'User Inputs'!$D$7,H132/'User Inputs'!$D$7))))</f>
        <v>1.9820323133808871E-2</v>
      </c>
      <c r="M132" s="147" t="s">
        <v>428</v>
      </c>
      <c r="N132" s="147" t="s">
        <v>428</v>
      </c>
      <c r="O132" s="145">
        <f ca="1">(IF(B132="STORAGE SITE",((100-'User Inputs'!$D$37)/100)* 'User Inputs'!$D$27*'Exit Prices'!H132/'User Inputs'!$D$7, IF(B132="INTERCONNECTOR", ((100-'User Inputs'!$D$39)/100)*'User Inputs'!$D$33*'Exit Prices'!H132/'User Inputs'!$D$7,  'User Inputs'!$D$27*'Exit Prices'!H132/'User Inputs'!$D$7)))</f>
        <v>1.9820323133808871E-2</v>
      </c>
      <c r="P132" s="147" t="s">
        <v>428</v>
      </c>
      <c r="Q132" s="145">
        <f ca="1">(100-(VLOOKUP(A132,'Exit Interruption Prob''s'!$A:$E,5,FALSE)))*O132/100</f>
        <v>1.7838290820427986E-2</v>
      </c>
    </row>
    <row r="133" spans="1:17">
      <c r="A133" s="2" t="s">
        <v>153</v>
      </c>
      <c r="B133" s="12" t="str">
        <f>VLOOKUP(A133,'Locations &amp; Types'!$E:$I,5,FALSE)</f>
        <v>POWER STATION</v>
      </c>
      <c r="C133" s="39">
        <f ca="1">(VLOOKUP(A133, INDIRECT("'"&amp;'Drop Down Inputs'!$B$10&amp;"'!"&amp;" $A:$H"),MATCH('User Inputs'!$D$19, INDIRECT("'"&amp;'Drop Down Inputs'!$B$10&amp;"'!"&amp;"$A$1:$H$1"),0), FALSE))*'User Inputs'!$D$20/100</f>
        <v>95336184</v>
      </c>
      <c r="D133" s="146">
        <f t="array" aca="1" ref="D133" ca="1">SUMPRODUCT('Entry Prices'!$C$3:$C$29, TRANSPOSE(INDEX('Distance Matrix'!$C$3:$AC$231,MATCH(A133,'Distance Matrix'!$B$3:$B$231,0),0)) /SUM('Entry Prices'!$C$3:$C$29))</f>
        <v>429.05813558912337</v>
      </c>
      <c r="E133" s="145">
        <f t="shared" ca="1" si="2"/>
        <v>1.5665941917460031E-2</v>
      </c>
      <c r="F133" s="39">
        <f ca="1">E133*'Revenue Input'!$B$6</f>
        <v>736103995.1303966</v>
      </c>
      <c r="G133" s="148">
        <f ca="1">IF('User Inputs'!$D$4="PS",('Revenue Input'!$B$6/SUM($C$3:$C$231)),IF(ISERR(F133/C133),0,(F133/C133)))</f>
        <v>7.2344179438402385</v>
      </c>
      <c r="H133" s="148">
        <f ca="1">((IF(G133&gt;0,G133,VLOOKUP(A133,'Nearest Location Prices'!$M$1:$O$231,3,FALSE))))</f>
        <v>7.2344179438402385</v>
      </c>
      <c r="I133" s="171"/>
      <c r="K133" s="171"/>
      <c r="L133" s="145">
        <f ca="1">(IF(B133="STORAGE SITE",((100-'User Inputs'!$D$37)/100)*H133/'User Inputs'!$D$7,(IF(B133="INTERCONNECTOR",((100-'User Inputs'!$D$39)/100)*H133/'User Inputs'!$D$7,H133/'User Inputs'!$D$7))))</f>
        <v>1.9820323133808871E-2</v>
      </c>
      <c r="M133" s="147" t="s">
        <v>428</v>
      </c>
      <c r="N133" s="147" t="s">
        <v>428</v>
      </c>
      <c r="O133" s="145">
        <f ca="1">(IF(B133="STORAGE SITE",((100-'User Inputs'!$D$37)/100)* 'User Inputs'!$D$27*'Exit Prices'!H133/'User Inputs'!$D$7, IF(B133="INTERCONNECTOR", ((100-'User Inputs'!$D$39)/100)*'User Inputs'!$D$33*'Exit Prices'!H133/'User Inputs'!$D$7,  'User Inputs'!$D$27*'Exit Prices'!H133/'User Inputs'!$D$7)))</f>
        <v>1.9820323133808871E-2</v>
      </c>
      <c r="P133" s="147" t="s">
        <v>428</v>
      </c>
      <c r="Q133" s="145">
        <f ca="1">(100-(VLOOKUP(A133,'Exit Interruption Prob''s'!$A:$E,5,FALSE)))*O133/100</f>
        <v>1.7838290820427986E-2</v>
      </c>
    </row>
    <row r="134" spans="1:17">
      <c r="A134" s="2" t="s">
        <v>154</v>
      </c>
      <c r="B134" s="12" t="str">
        <f>VLOOKUP(A134,'Locations &amp; Types'!$E:$I,5,FALSE)</f>
        <v>DNO</v>
      </c>
      <c r="C134" s="39">
        <f ca="1">(VLOOKUP(A134, INDIRECT("'"&amp;'Drop Down Inputs'!$B$10&amp;"'!"&amp;" $A:$H"),MATCH('User Inputs'!$D$19, INDIRECT("'"&amp;'Drop Down Inputs'!$B$10&amp;"'!"&amp;"$A$1:$H$1"),0), FALSE))*'User Inputs'!$D$20/100</f>
        <v>18949988</v>
      </c>
      <c r="D134" s="146">
        <f t="array" aca="1" ref="D134" ca="1">SUMPRODUCT('Entry Prices'!$C$3:$C$29, TRANSPOSE(INDEX('Distance Matrix'!$C$3:$AC$231,MATCH(A134,'Distance Matrix'!$B$3:$B$231,0),0)) /SUM('Entry Prices'!$C$3:$C$29))</f>
        <v>341.89428631111343</v>
      </c>
      <c r="E134" s="145">
        <f t="shared" ca="1" si="2"/>
        <v>2.4813234991801713E-3</v>
      </c>
      <c r="F134" s="39">
        <f ca="1">E134*'Revenue Input'!$B$6</f>
        <v>116591274.91860367</v>
      </c>
      <c r="G134" s="148">
        <f ca="1">IF('User Inputs'!$D$4="PS",('Revenue Input'!$B$6/SUM($C$3:$C$231)),IF(ISERR(F134/C134),0,(F134/C134)))</f>
        <v>7.2344179438402385</v>
      </c>
      <c r="H134" s="148">
        <f ca="1">((IF(G134&gt;0,G134,VLOOKUP(A134,'Nearest Location Prices'!$M$1:$O$231,3,FALSE))))</f>
        <v>7.2344179438402385</v>
      </c>
      <c r="I134" s="171"/>
      <c r="K134" s="171"/>
      <c r="L134" s="145">
        <f ca="1">(IF(B134="STORAGE SITE",((100-'User Inputs'!$D$37)/100)*H134/'User Inputs'!$D$7,(IF(B134="INTERCONNECTOR",((100-'User Inputs'!$D$39)/100)*H134/'User Inputs'!$D$7,H134/'User Inputs'!$D$7))))</f>
        <v>1.9820323133808871E-2</v>
      </c>
      <c r="M134" s="147" t="s">
        <v>428</v>
      </c>
      <c r="N134" s="147" t="s">
        <v>428</v>
      </c>
      <c r="O134" s="145">
        <f ca="1">(IF(B134="STORAGE SITE",((100-'User Inputs'!$D$37)/100)* 'User Inputs'!$D$27*'Exit Prices'!H134/'User Inputs'!$D$7, IF(B134="INTERCONNECTOR", ((100-'User Inputs'!$D$39)/100)*'User Inputs'!$D$33*'Exit Prices'!H134/'User Inputs'!$D$7,  'User Inputs'!$D$27*'Exit Prices'!H134/'User Inputs'!$D$7)))</f>
        <v>1.9820323133808871E-2</v>
      </c>
      <c r="P134" s="147" t="s">
        <v>428</v>
      </c>
      <c r="Q134" s="145">
        <f ca="1">(100-(VLOOKUP(A134,'Exit Interruption Prob''s'!$A:$E,5,FALSE)))*O134/100</f>
        <v>1.7838290820427986E-2</v>
      </c>
    </row>
    <row r="135" spans="1:17">
      <c r="A135" s="2" t="s">
        <v>155</v>
      </c>
      <c r="B135" s="12" t="str">
        <f>VLOOKUP(A135,'Locations &amp; Types'!$E:$I,5,FALSE)</f>
        <v>INTERCONNECTOR</v>
      </c>
      <c r="C135" s="39">
        <f ca="1">(VLOOKUP(A135, INDIRECT("'"&amp;'Drop Down Inputs'!$B$10&amp;"'!"&amp;" $A:$H"),MATCH('User Inputs'!$D$19, INDIRECT("'"&amp;'Drop Down Inputs'!$B$10&amp;"'!"&amp;"$A$1:$H$1"),0), FALSE))*'User Inputs'!$D$20/100</f>
        <v>243649428.46575344</v>
      </c>
      <c r="D135" s="146">
        <f t="array" aca="1" ref="D135" ca="1">SUMPRODUCT('Entry Prices'!$C$3:$C$29, TRANSPOSE(INDEX('Distance Matrix'!$C$3:$AC$231,MATCH(A135,'Distance Matrix'!$B$3:$B$231,0),0)) /SUM('Entry Prices'!$C$3:$C$29))</f>
        <v>442.93483145350922</v>
      </c>
      <c r="E135" s="145">
        <f t="shared" ca="1" si="2"/>
        <v>4.1332134773658109E-2</v>
      </c>
      <c r="F135" s="39">
        <f ca="1">E135*'Revenue Input'!$B$6</f>
        <v>1942095131.8764105</v>
      </c>
      <c r="G135" s="148">
        <f ca="1">IF('User Inputs'!$D$4="PS",('Revenue Input'!$B$6/SUM($C$3:$C$231)),IF(ISERR(F135/C135),0,(F135/C135)))</f>
        <v>7.2344179438402385</v>
      </c>
      <c r="H135" s="148">
        <f ca="1">((IF(G135&gt;0,G135,VLOOKUP(A135,'Nearest Location Prices'!$M$1:$O$231,3,FALSE))))</f>
        <v>7.2344179438402385</v>
      </c>
      <c r="I135" s="171"/>
      <c r="K135" s="171"/>
      <c r="L135" s="145">
        <f ca="1">(IF(B135="STORAGE SITE",((100-'User Inputs'!$D$37)/100)*H135/'User Inputs'!$D$7,(IF(B135="INTERCONNECTOR",((100-'User Inputs'!$D$39)/100)*H135/'User Inputs'!$D$7,H135/'User Inputs'!$D$7))))</f>
        <v>1.9820323133808871E-2</v>
      </c>
      <c r="M135" s="145">
        <f ca="1">(IF(B135="STORAGE SITE",((100-'User Inputs'!$D$37)/100)* 'User Inputs'!$D$26*'Exit Prices'!H135/'User Inputs'!D$7, IF(B135="INTERCONNECTOR", ((100-'User Inputs'!$D$39)/100)*'User Inputs'!$D$31*'Exit Prices'!H135/'User Inputs'!$D$7,  'User Inputs'!$D$26*'Exit Prices'!H135/'User Inputs'!$D$7)))</f>
        <v>1.9820323133808871E-2</v>
      </c>
      <c r="N135" s="145">
        <f ca="1">(IF(B135="STORAGE SITE",((100-'User Inputs'!$D$37)/100)* 'User Inputs'!$D$26*'Exit Prices'!H135/'User Inputs'!$D$7, IF(B135="INTERCONNECTOR", ((100-'User Inputs'!$D$39)/100)*'User Inputs'!$D$32*'Exit Prices'!H135/'User Inputs'!$D$7,  'User Inputs'!$D$26*'Exit Prices'!H135/'User Inputs'!$D$7)))</f>
        <v>1.9820323133808871E-2</v>
      </c>
      <c r="O135" s="145">
        <f ca="1">(IF(B135="STORAGE SITE",((100-'User Inputs'!$D$37)/100)* 'User Inputs'!$D$27*'Exit Prices'!H135/'User Inputs'!$D$7, IF(B135="INTERCONNECTOR", ((100-'User Inputs'!$D$39)/100)*'User Inputs'!$D$33*'Exit Prices'!H135/'User Inputs'!$D$7,  'User Inputs'!$D$27*'Exit Prices'!H135/'User Inputs'!$D$7)))</f>
        <v>1.9820323133808871E-2</v>
      </c>
      <c r="P135" s="145">
        <f ca="1">(IF(B135="STORAGE SITE",((100-'User Inputs'!$D$37)/100)* 'User Inputs'!$D$28*'Exit Prices'!H135/'User Inputs'!$D$7, IF(B135="INTERCONNECTOR", ((100-'User Inputs'!$D$39)/100)*'User Inputs'!$D$34*'Exit Prices'!H135/'User Inputs'!$D$7,  'User Inputs'!$D$28*'Exit Prices'!H135/'User Inputs'!$D$7)))</f>
        <v>1.9820323133808871E-2</v>
      </c>
      <c r="Q135" s="145">
        <f ca="1">(100-(VLOOKUP(A135,'Exit Interruption Prob''s'!$A:$E,5,FALSE)))*O135/100</f>
        <v>1.7838290820427986E-2</v>
      </c>
    </row>
    <row r="136" spans="1:17">
      <c r="A136" s="2" t="s">
        <v>156</v>
      </c>
      <c r="B136" s="12" t="str">
        <f>VLOOKUP(A136,'Locations &amp; Types'!$E:$I,5,FALSE)</f>
        <v>DNO</v>
      </c>
      <c r="C136" s="39">
        <f ca="1">(VLOOKUP(A136, INDIRECT("'"&amp;'Drop Down Inputs'!$B$10&amp;"'!"&amp;" $A:$H"),MATCH('User Inputs'!$D$19, INDIRECT("'"&amp;'Drop Down Inputs'!$B$10&amp;"'!"&amp;"$A$1:$H$1"),0), FALSE))*'User Inputs'!$D$20/100</f>
        <v>322112</v>
      </c>
      <c r="D136" s="146">
        <f t="array" aca="1" ref="D136" ca="1">SUMPRODUCT('Entry Prices'!$C$3:$C$29, TRANSPOSE(INDEX('Distance Matrix'!$C$3:$AC$231,MATCH(A136,'Distance Matrix'!$B$3:$B$231,0),0)) /SUM('Entry Prices'!$C$3:$C$29))</f>
        <v>450.84041013605855</v>
      </c>
      <c r="E136" s="145">
        <f t="shared" ca="1" si="2"/>
        <v>5.5617613123252845E-5</v>
      </c>
      <c r="F136" s="39">
        <f ca="1">E136*'Revenue Input'!$B$6</f>
        <v>2613334.5467095273</v>
      </c>
      <c r="G136" s="148">
        <f ca="1">IF('User Inputs'!$D$4="PS",('Revenue Input'!$B$6/SUM($C$3:$C$231)),IF(ISERR(F136/C136),0,(F136/C136)))</f>
        <v>7.2344179438402385</v>
      </c>
      <c r="H136" s="148">
        <f ca="1">((IF(G136&gt;0,G136,VLOOKUP(A136,'Nearest Location Prices'!$M$1:$O$231,3,FALSE))))</f>
        <v>7.2344179438402385</v>
      </c>
      <c r="I136" s="171"/>
      <c r="K136" s="171"/>
      <c r="L136" s="145">
        <f ca="1">(IF(B136="STORAGE SITE",((100-'User Inputs'!$D$37)/100)*H136/'User Inputs'!$D$7,(IF(B136="INTERCONNECTOR",((100-'User Inputs'!$D$39)/100)*H136/'User Inputs'!$D$7,H136/'User Inputs'!$D$7))))</f>
        <v>1.9820323133808871E-2</v>
      </c>
      <c r="M136" s="147" t="s">
        <v>428</v>
      </c>
      <c r="N136" s="147" t="s">
        <v>428</v>
      </c>
      <c r="O136" s="145">
        <f ca="1">(IF(B136="STORAGE SITE",((100-'User Inputs'!$D$37)/100)* 'User Inputs'!$D$27*'Exit Prices'!H136/'User Inputs'!$D$7, IF(B136="INTERCONNECTOR", ((100-'User Inputs'!$D$39)/100)*'User Inputs'!$D$33*'Exit Prices'!H136/'User Inputs'!$D$7,  'User Inputs'!$D$27*'Exit Prices'!H136/'User Inputs'!$D$7)))</f>
        <v>1.9820323133808871E-2</v>
      </c>
      <c r="P136" s="147" t="s">
        <v>428</v>
      </c>
      <c r="Q136" s="145">
        <f ca="1">(100-(VLOOKUP(A136,'Exit Interruption Prob''s'!$A:$E,5,FALSE)))*O136/100</f>
        <v>1.7838290820427986E-2</v>
      </c>
    </row>
    <row r="137" spans="1:17">
      <c r="A137" s="2" t="s">
        <v>157</v>
      </c>
      <c r="B137" s="12" t="str">
        <f>VLOOKUP(A137,'Locations &amp; Types'!$E:$I,5,FALSE)</f>
        <v>DNO</v>
      </c>
      <c r="C137" s="39">
        <f ca="1">(VLOOKUP(A137, INDIRECT("'"&amp;'Drop Down Inputs'!$B$10&amp;"'!"&amp;" $A:$H"),MATCH('User Inputs'!$D$19, INDIRECT("'"&amp;'Drop Down Inputs'!$B$10&amp;"'!"&amp;"$A$1:$H$1"),0), FALSE))*'User Inputs'!$D$20/100</f>
        <v>120179959</v>
      </c>
      <c r="D137" s="146">
        <f t="array" aca="1" ref="D137" ca="1">SUMPRODUCT('Entry Prices'!$C$3:$C$29, TRANSPOSE(INDEX('Distance Matrix'!$C$3:$AC$231,MATCH(A137,'Distance Matrix'!$B$3:$B$231,0),0)) /SUM('Entry Prices'!$C$3:$C$29))</f>
        <v>321.94588988635775</v>
      </c>
      <c r="E137" s="145">
        <f t="shared" ca="1" si="2"/>
        <v>1.4818271334729441E-2</v>
      </c>
      <c r="F137" s="39">
        <f ca="1">E137*'Revenue Input'!$B$6</f>
        <v>696274043.90307426</v>
      </c>
      <c r="G137" s="148">
        <f ca="1">IF('User Inputs'!$D$4="PS",('Revenue Input'!$B$6/SUM($C$3:$C$231)),IF(ISERR(F137/C137),0,(F137/C137)))</f>
        <v>7.2344179438402385</v>
      </c>
      <c r="H137" s="148">
        <f ca="1">((IF(G137&gt;0,G137,VLOOKUP(A137,'Nearest Location Prices'!$M$1:$O$231,3,FALSE))))</f>
        <v>7.2344179438402385</v>
      </c>
      <c r="I137" s="171"/>
      <c r="K137" s="171"/>
      <c r="L137" s="145">
        <f ca="1">(IF(B137="STORAGE SITE",((100-'User Inputs'!$D$37)/100)*H137/'User Inputs'!$D$7,(IF(B137="INTERCONNECTOR",((100-'User Inputs'!$D$39)/100)*H137/'User Inputs'!$D$7,H137/'User Inputs'!$D$7))))</f>
        <v>1.9820323133808871E-2</v>
      </c>
      <c r="M137" s="147" t="s">
        <v>428</v>
      </c>
      <c r="N137" s="147" t="s">
        <v>428</v>
      </c>
      <c r="O137" s="145">
        <f ca="1">(IF(B137="STORAGE SITE",((100-'User Inputs'!$D$37)/100)* 'User Inputs'!$D$27*'Exit Prices'!H137/'User Inputs'!$D$7, IF(B137="INTERCONNECTOR", ((100-'User Inputs'!$D$39)/100)*'User Inputs'!$D$33*'Exit Prices'!H137/'User Inputs'!$D$7,  'User Inputs'!$D$27*'Exit Prices'!H137/'User Inputs'!$D$7)))</f>
        <v>1.9820323133808871E-2</v>
      </c>
      <c r="P137" s="147" t="s">
        <v>428</v>
      </c>
      <c r="Q137" s="145">
        <f ca="1">(100-(VLOOKUP(A137,'Exit Interruption Prob''s'!$A:$E,5,FALSE)))*O137/100</f>
        <v>1.7838290820427986E-2</v>
      </c>
    </row>
    <row r="138" spans="1:17">
      <c r="A138" s="2" t="s">
        <v>20</v>
      </c>
      <c r="B138" s="12" t="str">
        <f>VLOOKUP(A138,'Locations &amp; Types'!$E:$I,5,FALSE)</f>
        <v>DNO</v>
      </c>
      <c r="C138" s="39">
        <f ca="1">(VLOOKUP(A138, INDIRECT("'"&amp;'Drop Down Inputs'!$B$10&amp;"'!"&amp;" $A:$H"),MATCH('User Inputs'!$D$19, INDIRECT("'"&amp;'Drop Down Inputs'!$B$10&amp;"'!"&amp;"$A$1:$H$1"),0), FALSE))*'User Inputs'!$D$20/100</f>
        <v>39994219</v>
      </c>
      <c r="D138" s="146">
        <f t="array" aca="1" ref="D138" ca="1">SUMPRODUCT('Entry Prices'!$C$3:$C$29, TRANSPOSE(INDEX('Distance Matrix'!$C$3:$AC$231,MATCH(A138,'Distance Matrix'!$B$3:$B$231,0),0)) /SUM('Entry Prices'!$C$3:$C$29))</f>
        <v>363.66747461697662</v>
      </c>
      <c r="E138" s="145">
        <f t="shared" ca="1" si="2"/>
        <v>5.5703731312670849E-3</v>
      </c>
      <c r="F138" s="39">
        <f ca="1">E138*'Revenue Input'!$B$6</f>
        <v>261738102.81543067</v>
      </c>
      <c r="G138" s="148">
        <f ca="1">IF('User Inputs'!$D$4="PS",('Revenue Input'!$B$6/SUM($C$3:$C$231)),IF(ISERR(F138/C138),0,(F138/C138)))</f>
        <v>7.2344179438402385</v>
      </c>
      <c r="H138" s="148">
        <f ca="1">((IF(G138&gt;0,G138,VLOOKUP(A138,'Nearest Location Prices'!$M$1:$O$231,3,FALSE))))</f>
        <v>7.2344179438402385</v>
      </c>
      <c r="I138" s="171"/>
      <c r="K138" s="171"/>
      <c r="L138" s="145">
        <f ca="1">(IF(B138="STORAGE SITE",((100-'User Inputs'!$D$37)/100)*H138/'User Inputs'!$D$7,(IF(B138="INTERCONNECTOR",((100-'User Inputs'!$D$39)/100)*H138/'User Inputs'!$D$7,H138/'User Inputs'!$D$7))))</f>
        <v>1.9820323133808871E-2</v>
      </c>
      <c r="M138" s="147" t="s">
        <v>428</v>
      </c>
      <c r="N138" s="147" t="s">
        <v>428</v>
      </c>
      <c r="O138" s="145">
        <f ca="1">(IF(B138="STORAGE SITE",((100-'User Inputs'!$D$37)/100)* 'User Inputs'!$D$27*'Exit Prices'!H138/'User Inputs'!$D$7, IF(B138="INTERCONNECTOR", ((100-'User Inputs'!$D$39)/100)*'User Inputs'!$D$33*'Exit Prices'!H138/'User Inputs'!$D$7,  'User Inputs'!$D$27*'Exit Prices'!H138/'User Inputs'!$D$7)))</f>
        <v>1.9820323133808871E-2</v>
      </c>
      <c r="P138" s="147" t="s">
        <v>428</v>
      </c>
      <c r="Q138" s="145">
        <f ca="1">(100-(VLOOKUP(A138,'Exit Interruption Prob''s'!$A:$E,5,FALSE)))*O138/100</f>
        <v>1.7838290820427986E-2</v>
      </c>
    </row>
    <row r="139" spans="1:17">
      <c r="A139" s="2" t="s">
        <v>158</v>
      </c>
      <c r="B139" s="12" t="str">
        <f>VLOOKUP(A139,'Locations &amp; Types'!$E:$I,5,FALSE)</f>
        <v>STORAGE SITE</v>
      </c>
      <c r="C139" s="39">
        <f ca="1">(VLOOKUP(A139, INDIRECT("'"&amp;'Drop Down Inputs'!$B$10&amp;"'!"&amp;" $A:$H"),MATCH('User Inputs'!$D$19, INDIRECT("'"&amp;'Drop Down Inputs'!$B$10&amp;"'!"&amp;"$A$1:$H$1"),0), FALSE))*'User Inputs'!$D$20/100</f>
        <v>0</v>
      </c>
      <c r="D139" s="146">
        <f t="array" aca="1" ref="D139" ca="1">SUMPRODUCT('Entry Prices'!$C$3:$C$29, TRANSPOSE(INDEX('Distance Matrix'!$C$3:$AC$231,MATCH(A139,'Distance Matrix'!$B$3:$B$231,0),0)) /SUM('Entry Prices'!$C$3:$C$29))</f>
        <v>363.66747461697662</v>
      </c>
      <c r="E139" s="145">
        <f t="shared" ca="1" si="2"/>
        <v>0</v>
      </c>
      <c r="F139" s="39">
        <f ca="1">E139*'Revenue Input'!$B$6</f>
        <v>0</v>
      </c>
      <c r="G139" s="148">
        <f ca="1">IF('User Inputs'!$D$4="PS",('Revenue Input'!$B$6/SUM($C$3:$C$231)),IF(ISERR(F139/C139),0,(F139/C139)))</f>
        <v>7.2344179438402385</v>
      </c>
      <c r="H139" s="148">
        <f ca="1">((IF(G139&gt;0,G139,VLOOKUP(A139,'Nearest Location Prices'!$M$1:$O$231,3,FALSE))))</f>
        <v>7.2344179438402385</v>
      </c>
      <c r="I139" s="171"/>
      <c r="K139" s="171"/>
      <c r="L139" s="145">
        <f ca="1">(IF(B139="STORAGE SITE",((100-'User Inputs'!$D$37)/100)*H139/'User Inputs'!$D$7,(IF(B139="INTERCONNECTOR",((100-'User Inputs'!$D$39)/100)*H139/'User Inputs'!$D$7,H139/'User Inputs'!$D$7))))</f>
        <v>9.9101615669044355E-3</v>
      </c>
      <c r="M139" s="147" t="s">
        <v>428</v>
      </c>
      <c r="N139" s="147" t="s">
        <v>428</v>
      </c>
      <c r="O139" s="145">
        <f ca="1">(IF(B139="STORAGE SITE",((100-'User Inputs'!$D$37)/100)* 'User Inputs'!$D$27*'Exit Prices'!H139/'User Inputs'!$D$7, IF(B139="INTERCONNECTOR", ((100-'User Inputs'!$D$39)/100)*'User Inputs'!$D$33*'Exit Prices'!H139/'User Inputs'!$D$7,  'User Inputs'!$D$27*'Exit Prices'!H139/'User Inputs'!$D$7)))</f>
        <v>9.9101615669044355E-3</v>
      </c>
      <c r="P139" s="147" t="s">
        <v>428</v>
      </c>
      <c r="Q139" s="145">
        <f ca="1">(100-(VLOOKUP(A139,'Exit Interruption Prob''s'!$A:$E,5,FALSE)))*O139/100</f>
        <v>8.9191454102139928E-3</v>
      </c>
    </row>
    <row r="140" spans="1:17">
      <c r="A140" s="2" t="s">
        <v>159</v>
      </c>
      <c r="B140" s="12" t="str">
        <f>VLOOKUP(A140,'Locations &amp; Types'!$E:$I,5,FALSE)</f>
        <v>DNO</v>
      </c>
      <c r="C140" s="39">
        <f ca="1">(VLOOKUP(A140, INDIRECT("'"&amp;'Drop Down Inputs'!$B$10&amp;"'!"&amp;" $A:$H"),MATCH('User Inputs'!$D$19, INDIRECT("'"&amp;'Drop Down Inputs'!$B$10&amp;"'!"&amp;"$A$1:$H$1"),0), FALSE))*'User Inputs'!$D$20/100</f>
        <v>46858561</v>
      </c>
      <c r="D140" s="146">
        <f t="array" aca="1" ref="D140" ca="1">SUMPRODUCT('Entry Prices'!$C$3:$C$29, TRANSPOSE(INDEX('Distance Matrix'!$C$3:$AC$231,MATCH(A140,'Distance Matrix'!$B$3:$B$231,0),0)) /SUM('Entry Prices'!$C$3:$C$29))</f>
        <v>296.31236521477246</v>
      </c>
      <c r="E140" s="145">
        <f t="shared" ca="1" si="2"/>
        <v>5.3176693408796723E-3</v>
      </c>
      <c r="F140" s="39">
        <f ca="1">E140*'Revenue Input'!$B$6</f>
        <v>249864174.60422942</v>
      </c>
      <c r="G140" s="148">
        <f ca="1">IF('User Inputs'!$D$4="PS",('Revenue Input'!$B$6/SUM($C$3:$C$231)),IF(ISERR(F140/C140),0,(F140/C140)))</f>
        <v>7.2344179438402385</v>
      </c>
      <c r="H140" s="148">
        <f ca="1">((IF(G140&gt;0,G140,VLOOKUP(A140,'Nearest Location Prices'!$M$1:$O$231,3,FALSE))))</f>
        <v>7.2344179438402385</v>
      </c>
      <c r="I140" s="171"/>
      <c r="K140" s="171"/>
      <c r="L140" s="145">
        <f ca="1">(IF(B140="STORAGE SITE",((100-'User Inputs'!$D$37)/100)*H140/'User Inputs'!$D$7,(IF(B140="INTERCONNECTOR",((100-'User Inputs'!$D$39)/100)*H140/'User Inputs'!$D$7,H140/'User Inputs'!$D$7))))</f>
        <v>1.9820323133808871E-2</v>
      </c>
      <c r="M140" s="147" t="s">
        <v>428</v>
      </c>
      <c r="N140" s="147" t="s">
        <v>428</v>
      </c>
      <c r="O140" s="145">
        <f ca="1">(IF(B140="STORAGE SITE",((100-'User Inputs'!$D$37)/100)* 'User Inputs'!$D$27*'Exit Prices'!H140/'User Inputs'!$D$7, IF(B140="INTERCONNECTOR", ((100-'User Inputs'!$D$39)/100)*'User Inputs'!$D$33*'Exit Prices'!H140/'User Inputs'!$D$7,  'User Inputs'!$D$27*'Exit Prices'!H140/'User Inputs'!$D$7)))</f>
        <v>1.9820323133808871E-2</v>
      </c>
      <c r="P140" s="147" t="s">
        <v>428</v>
      </c>
      <c r="Q140" s="145">
        <f ca="1">(100-(VLOOKUP(A140,'Exit Interruption Prob''s'!$A:$E,5,FALSE)))*O140/100</f>
        <v>1.7838290820427986E-2</v>
      </c>
    </row>
    <row r="141" spans="1:17">
      <c r="A141" s="2" t="s">
        <v>160</v>
      </c>
      <c r="B141" s="12" t="str">
        <f>VLOOKUP(A141,'Locations &amp; Types'!$E:$I,5,FALSE)</f>
        <v>POWER STATION</v>
      </c>
      <c r="C141" s="39">
        <f ca="1">(VLOOKUP(A141, INDIRECT("'"&amp;'Drop Down Inputs'!$B$10&amp;"'!"&amp;" $A:$H"),MATCH('User Inputs'!$D$19, INDIRECT("'"&amp;'Drop Down Inputs'!$B$10&amp;"'!"&amp;"$A$1:$H$1"),0), FALSE))*'User Inputs'!$D$20/100</f>
        <v>121200000</v>
      </c>
      <c r="D141" s="146">
        <f t="array" aca="1" ref="D141" ca="1">SUMPRODUCT('Entry Prices'!$C$3:$C$29, TRANSPOSE(INDEX('Distance Matrix'!$C$3:$AC$231,MATCH(A141,'Distance Matrix'!$B$3:$B$231,0),0)) /SUM('Entry Prices'!$C$3:$C$29))</f>
        <v>573.0401268105104</v>
      </c>
      <c r="E141" s="145">
        <f t="shared" ca="1" si="2"/>
        <v>2.659930322449788E-2</v>
      </c>
      <c r="F141" s="39">
        <f ca="1">E141*'Revenue Input'!$B$6</f>
        <v>1249835692.8934839</v>
      </c>
      <c r="G141" s="148">
        <f ca="1">IF('User Inputs'!$D$4="PS",('Revenue Input'!$B$6/SUM($C$3:$C$231)),IF(ISERR(F141/C141),0,(F141/C141)))</f>
        <v>7.2344179438402385</v>
      </c>
      <c r="H141" s="148">
        <f ca="1">((IF(G141&gt;0,G141,VLOOKUP(A141,'Nearest Location Prices'!$M$1:$O$231,3,FALSE))))</f>
        <v>7.2344179438402385</v>
      </c>
      <c r="I141" s="171"/>
      <c r="K141" s="171"/>
      <c r="L141" s="145">
        <f ca="1">(IF(B141="STORAGE SITE",((100-'User Inputs'!$D$37)/100)*H141/'User Inputs'!$D$7,(IF(B141="INTERCONNECTOR",((100-'User Inputs'!$D$39)/100)*H141/'User Inputs'!$D$7,H141/'User Inputs'!$D$7))))</f>
        <v>1.9820323133808871E-2</v>
      </c>
      <c r="M141" s="147" t="s">
        <v>428</v>
      </c>
      <c r="N141" s="147" t="s">
        <v>428</v>
      </c>
      <c r="O141" s="145">
        <f ca="1">(IF(B141="STORAGE SITE",((100-'User Inputs'!$D$37)/100)* 'User Inputs'!$D$27*'Exit Prices'!H141/'User Inputs'!$D$7, IF(B141="INTERCONNECTOR", ((100-'User Inputs'!$D$39)/100)*'User Inputs'!$D$33*'Exit Prices'!H141/'User Inputs'!$D$7,  'User Inputs'!$D$27*'Exit Prices'!H141/'User Inputs'!$D$7)))</f>
        <v>1.9820323133808871E-2</v>
      </c>
      <c r="P141" s="147" t="s">
        <v>428</v>
      </c>
      <c r="Q141" s="145">
        <f ca="1">(100-(VLOOKUP(A141,'Exit Interruption Prob''s'!$A:$E,5,FALSE)))*O141/100</f>
        <v>1.7838290820427986E-2</v>
      </c>
    </row>
    <row r="142" spans="1:17">
      <c r="A142" s="2" t="s">
        <v>161</v>
      </c>
      <c r="B142" s="12" t="str">
        <f>VLOOKUP(A142,'Locations &amp; Types'!$E:$I,5,FALSE)</f>
        <v>POWER STATION</v>
      </c>
      <c r="C142" s="39">
        <f ca="1">(VLOOKUP(A142, INDIRECT("'"&amp;'Drop Down Inputs'!$B$10&amp;"'!"&amp;" $A:$H"),MATCH('User Inputs'!$D$19, INDIRECT("'"&amp;'Drop Down Inputs'!$B$10&amp;"'!"&amp;"$A$1:$H$1"),0), FALSE))*'User Inputs'!$D$20/100</f>
        <v>2805479.4520547944</v>
      </c>
      <c r="D142" s="146">
        <f t="array" aca="1" ref="D142" ca="1">SUMPRODUCT('Entry Prices'!$C$3:$C$29, TRANSPOSE(INDEX('Distance Matrix'!$C$3:$AC$231,MATCH(A142,'Distance Matrix'!$B$3:$B$231,0),0)) /SUM('Entry Prices'!$C$3:$C$29))</f>
        <v>301.93056116538543</v>
      </c>
      <c r="E142" s="145">
        <f t="shared" ca="1" si="2"/>
        <v>3.2441189707557548E-4</v>
      </c>
      <c r="F142" s="39">
        <f ca="1">E142*'Revenue Input'!$B$6</f>
        <v>15243315.388461474</v>
      </c>
      <c r="G142" s="148">
        <f ca="1">IF('User Inputs'!$D$4="PS",('Revenue Input'!$B$6/SUM($C$3:$C$231)),IF(ISERR(F142/C142),0,(F142/C142)))</f>
        <v>7.2344179438402385</v>
      </c>
      <c r="H142" s="148">
        <f ca="1">((IF(G142&gt;0,G142,VLOOKUP(A142,'Nearest Location Prices'!$M$1:$O$231,3,FALSE))))</f>
        <v>7.2344179438402385</v>
      </c>
      <c r="I142" s="171"/>
      <c r="K142" s="171"/>
      <c r="L142" s="145">
        <f ca="1">(IF(B142="STORAGE SITE",((100-'User Inputs'!$D$37)/100)*H142/'User Inputs'!$D$7,(IF(B142="INTERCONNECTOR",((100-'User Inputs'!$D$39)/100)*H142/'User Inputs'!$D$7,H142/'User Inputs'!$D$7))))</f>
        <v>1.9820323133808871E-2</v>
      </c>
      <c r="M142" s="147" t="s">
        <v>428</v>
      </c>
      <c r="N142" s="147" t="s">
        <v>428</v>
      </c>
      <c r="O142" s="145">
        <f ca="1">(IF(B142="STORAGE SITE",((100-'User Inputs'!$D$37)/100)* 'User Inputs'!$D$27*'Exit Prices'!H142/'User Inputs'!$D$7, IF(B142="INTERCONNECTOR", ((100-'User Inputs'!$D$39)/100)*'User Inputs'!$D$33*'Exit Prices'!H142/'User Inputs'!$D$7,  'User Inputs'!$D$27*'Exit Prices'!H142/'User Inputs'!$D$7)))</f>
        <v>1.9820323133808871E-2</v>
      </c>
      <c r="P142" s="147" t="s">
        <v>428</v>
      </c>
      <c r="Q142" s="145">
        <f ca="1">(100-(VLOOKUP(A142,'Exit Interruption Prob''s'!$A:$E,5,FALSE)))*O142/100</f>
        <v>1.7838290820427986E-2</v>
      </c>
    </row>
    <row r="143" spans="1:17">
      <c r="A143" s="2" t="s">
        <v>162</v>
      </c>
      <c r="B143" s="12" t="str">
        <f>VLOOKUP(A143,'Locations &amp; Types'!$E:$I,5,FALSE)</f>
        <v>DNO</v>
      </c>
      <c r="C143" s="39">
        <f ca="1">(VLOOKUP(A143, INDIRECT("'"&amp;'Drop Down Inputs'!$B$10&amp;"'!"&amp;" $A:$H"),MATCH('User Inputs'!$D$19, INDIRECT("'"&amp;'Drop Down Inputs'!$B$10&amp;"'!"&amp;"$A$1:$H$1"),0), FALSE))*'User Inputs'!$D$20/100</f>
        <v>20325523</v>
      </c>
      <c r="D143" s="146">
        <f t="array" aca="1" ref="D143" ca="1">SUMPRODUCT('Entry Prices'!$C$3:$C$29, TRANSPOSE(INDEX('Distance Matrix'!$C$3:$AC$231,MATCH(A143,'Distance Matrix'!$B$3:$B$231,0),0)) /SUM('Entry Prices'!$C$3:$C$29))</f>
        <v>301.93056116538543</v>
      </c>
      <c r="E143" s="145">
        <f t="shared" ca="1" si="2"/>
        <v>2.3503438853040852E-3</v>
      </c>
      <c r="F143" s="39">
        <f ca="1">E143*'Revenue Input'!$B$6</f>
        <v>110436865.71915632</v>
      </c>
      <c r="G143" s="148">
        <f ca="1">IF('User Inputs'!$D$4="PS",('Revenue Input'!$B$6/SUM($C$3:$C$231)),IF(ISERR(F143/C143),0,(F143/C143)))</f>
        <v>7.2344179438402385</v>
      </c>
      <c r="H143" s="148">
        <f ca="1">((IF(G143&gt;0,G143,VLOOKUP(A143,'Nearest Location Prices'!$M$1:$O$231,3,FALSE))))</f>
        <v>7.2344179438402385</v>
      </c>
      <c r="I143" s="171"/>
      <c r="K143" s="171"/>
      <c r="L143" s="145">
        <f ca="1">(IF(B143="STORAGE SITE",((100-'User Inputs'!$D$37)/100)*H143/'User Inputs'!$D$7,(IF(B143="INTERCONNECTOR",((100-'User Inputs'!$D$39)/100)*H143/'User Inputs'!$D$7,H143/'User Inputs'!$D$7))))</f>
        <v>1.9820323133808871E-2</v>
      </c>
      <c r="M143" s="147" t="s">
        <v>428</v>
      </c>
      <c r="N143" s="147" t="s">
        <v>428</v>
      </c>
      <c r="O143" s="145">
        <f ca="1">(IF(B143="STORAGE SITE",((100-'User Inputs'!$D$37)/100)* 'User Inputs'!$D$27*'Exit Prices'!H143/'User Inputs'!$D$7, IF(B143="INTERCONNECTOR", ((100-'User Inputs'!$D$39)/100)*'User Inputs'!$D$33*'Exit Prices'!H143/'User Inputs'!$D$7,  'User Inputs'!$D$27*'Exit Prices'!H143/'User Inputs'!$D$7)))</f>
        <v>1.9820323133808871E-2</v>
      </c>
      <c r="P143" s="147" t="s">
        <v>428</v>
      </c>
      <c r="Q143" s="145">
        <f ca="1">(100-(VLOOKUP(A143,'Exit Interruption Prob''s'!$A:$E,5,FALSE)))*O143/100</f>
        <v>1.7838290820427986E-2</v>
      </c>
    </row>
    <row r="144" spans="1:17">
      <c r="A144" s="2" t="s">
        <v>163</v>
      </c>
      <c r="B144" s="12" t="str">
        <f>VLOOKUP(A144,'Locations &amp; Types'!$E:$I,5,FALSE)</f>
        <v>DNO</v>
      </c>
      <c r="C144" s="39">
        <f ca="1">(VLOOKUP(A144, INDIRECT("'"&amp;'Drop Down Inputs'!$B$10&amp;"'!"&amp;" $A:$H"),MATCH('User Inputs'!$D$19, INDIRECT("'"&amp;'Drop Down Inputs'!$B$10&amp;"'!"&amp;"$A$1:$H$1"),0), FALSE))*'User Inputs'!$D$20/100</f>
        <v>111963144</v>
      </c>
      <c r="D144" s="146">
        <f t="array" aca="1" ref="D144" ca="1">SUMPRODUCT('Entry Prices'!$C$3:$C$29, TRANSPOSE(INDEX('Distance Matrix'!$C$3:$AC$231,MATCH(A144,'Distance Matrix'!$B$3:$B$231,0),0)) /SUM('Entry Prices'!$C$3:$C$29))</f>
        <v>369.89538747174987</v>
      </c>
      <c r="E144" s="145">
        <f t="shared" ca="1" si="2"/>
        <v>1.5861220668145173E-2</v>
      </c>
      <c r="F144" s="39">
        <f ca="1">E144*'Revenue Input'!$B$6</f>
        <v>745279662.27513421</v>
      </c>
      <c r="G144" s="148">
        <f ca="1">IF('User Inputs'!$D$4="PS",('Revenue Input'!$B$6/SUM($C$3:$C$231)),IF(ISERR(F144/C144),0,(F144/C144)))</f>
        <v>7.2344179438402385</v>
      </c>
      <c r="H144" s="148">
        <f ca="1">((IF(G144&gt;0,G144,VLOOKUP(A144,'Nearest Location Prices'!$M$1:$O$231,3,FALSE))))</f>
        <v>7.2344179438402385</v>
      </c>
      <c r="I144" s="171"/>
      <c r="K144" s="171"/>
      <c r="L144" s="145">
        <f ca="1">(IF(B144="STORAGE SITE",((100-'User Inputs'!$D$37)/100)*H144/'User Inputs'!$D$7,(IF(B144="INTERCONNECTOR",((100-'User Inputs'!$D$39)/100)*H144/'User Inputs'!$D$7,H144/'User Inputs'!$D$7))))</f>
        <v>1.9820323133808871E-2</v>
      </c>
      <c r="M144" s="147" t="s">
        <v>428</v>
      </c>
      <c r="N144" s="147" t="s">
        <v>428</v>
      </c>
      <c r="O144" s="145">
        <f ca="1">(IF(B144="STORAGE SITE",((100-'User Inputs'!$D$37)/100)* 'User Inputs'!$D$27*'Exit Prices'!H144/'User Inputs'!$D$7, IF(B144="INTERCONNECTOR", ((100-'User Inputs'!$D$39)/100)*'User Inputs'!$D$33*'Exit Prices'!H144/'User Inputs'!$D$7,  'User Inputs'!$D$27*'Exit Prices'!H144/'User Inputs'!$D$7)))</f>
        <v>1.9820323133808871E-2</v>
      </c>
      <c r="P144" s="147" t="s">
        <v>428</v>
      </c>
      <c r="Q144" s="145">
        <f ca="1">(100-(VLOOKUP(A144,'Exit Interruption Prob''s'!$A:$E,5,FALSE)))*O144/100</f>
        <v>1.7838290820427986E-2</v>
      </c>
    </row>
    <row r="145" spans="1:17">
      <c r="A145" s="2" t="s">
        <v>164</v>
      </c>
      <c r="B145" s="12" t="str">
        <f>VLOOKUP(A145,'Locations &amp; Types'!$E:$I,5,FALSE)</f>
        <v>DNO</v>
      </c>
      <c r="C145" s="39">
        <f ca="1">(VLOOKUP(A145, INDIRECT("'"&amp;'Drop Down Inputs'!$B$10&amp;"'!"&amp;" $A:$H"),MATCH('User Inputs'!$D$19, INDIRECT("'"&amp;'Drop Down Inputs'!$B$10&amp;"'!"&amp;"$A$1:$H$1"),0), FALSE))*'User Inputs'!$D$20/100</f>
        <v>164876045</v>
      </c>
      <c r="D145" s="146">
        <f t="array" aca="1" ref="D145" ca="1">SUMPRODUCT('Entry Prices'!$C$3:$C$29, TRANSPOSE(INDEX('Distance Matrix'!$C$3:$AC$231,MATCH(A145,'Distance Matrix'!$B$3:$B$231,0),0)) /SUM('Entry Prices'!$C$3:$C$29))</f>
        <v>369.89538747174987</v>
      </c>
      <c r="E145" s="145">
        <f t="shared" ca="1" si="2"/>
        <v>2.3357108769971963E-2</v>
      </c>
      <c r="F145" s="39">
        <f ca="1">E145*'Revenue Input'!$B$6</f>
        <v>1097492967.2826965</v>
      </c>
      <c r="G145" s="148">
        <f ca="1">IF('User Inputs'!$D$4="PS",('Revenue Input'!$B$6/SUM($C$3:$C$231)),IF(ISERR(F145/C145),0,(F145/C145)))</f>
        <v>7.2344179438402385</v>
      </c>
      <c r="H145" s="148">
        <f ca="1">((IF(G145&gt;0,G145,VLOOKUP(A145,'Nearest Location Prices'!$M$1:$O$231,3,FALSE))))</f>
        <v>7.2344179438402385</v>
      </c>
      <c r="I145" s="171"/>
      <c r="K145" s="171"/>
      <c r="L145" s="145">
        <f ca="1">(IF(B145="STORAGE SITE",((100-'User Inputs'!$D$37)/100)*H145/'User Inputs'!$D$7,(IF(B145="INTERCONNECTOR",((100-'User Inputs'!$D$39)/100)*H145/'User Inputs'!$D$7,H145/'User Inputs'!$D$7))))</f>
        <v>1.9820323133808871E-2</v>
      </c>
      <c r="M145" s="147" t="s">
        <v>428</v>
      </c>
      <c r="N145" s="147" t="s">
        <v>428</v>
      </c>
      <c r="O145" s="145">
        <f ca="1">(IF(B145="STORAGE SITE",((100-'User Inputs'!$D$37)/100)* 'User Inputs'!$D$27*'Exit Prices'!H145/'User Inputs'!$D$7, IF(B145="INTERCONNECTOR", ((100-'User Inputs'!$D$39)/100)*'User Inputs'!$D$33*'Exit Prices'!H145/'User Inputs'!$D$7,  'User Inputs'!$D$27*'Exit Prices'!H145/'User Inputs'!$D$7)))</f>
        <v>1.9820323133808871E-2</v>
      </c>
      <c r="P145" s="147" t="s">
        <v>428</v>
      </c>
      <c r="Q145" s="145">
        <f ca="1">(100-(VLOOKUP(A145,'Exit Interruption Prob''s'!$A:$E,5,FALSE)))*O145/100</f>
        <v>1.7838290820427986E-2</v>
      </c>
    </row>
    <row r="146" spans="1:17">
      <c r="A146" s="2" t="s">
        <v>165</v>
      </c>
      <c r="B146" s="12" t="str">
        <f>VLOOKUP(A146,'Locations &amp; Types'!$E:$I,5,FALSE)</f>
        <v>INDUSTRIAL</v>
      </c>
      <c r="C146" s="39">
        <f ca="1">(VLOOKUP(A146, INDIRECT("'"&amp;'Drop Down Inputs'!$B$10&amp;"'!"&amp;" $A:$H"),MATCH('User Inputs'!$D$19, INDIRECT("'"&amp;'Drop Down Inputs'!$B$10&amp;"'!"&amp;"$A$1:$H$1"),0), FALSE))*'User Inputs'!$D$20/100</f>
        <v>3690000</v>
      </c>
      <c r="D146" s="146">
        <f t="array" aca="1" ref="D146" ca="1">SUMPRODUCT('Entry Prices'!$C$3:$C$29, TRANSPOSE(INDEX('Distance Matrix'!$C$3:$AC$231,MATCH(A146,'Distance Matrix'!$B$3:$B$231,0),0)) /SUM('Entry Prices'!$C$3:$C$29))</f>
        <v>366.63662441434838</v>
      </c>
      <c r="E146" s="145">
        <f t="shared" ca="1" si="2"/>
        <v>5.181372528334354E-4</v>
      </c>
      <c r="F146" s="39">
        <f ca="1">E146*'Revenue Input'!$B$6</f>
        <v>24345992.334587839</v>
      </c>
      <c r="G146" s="148">
        <f ca="1">IF('User Inputs'!$D$4="PS",('Revenue Input'!$B$6/SUM($C$3:$C$231)),IF(ISERR(F146/C146),0,(F146/C146)))</f>
        <v>7.2344179438402385</v>
      </c>
      <c r="H146" s="148">
        <f ca="1">((IF(G146&gt;0,G146,VLOOKUP(A146,'Nearest Location Prices'!$M$1:$O$231,3,FALSE))))</f>
        <v>7.2344179438402385</v>
      </c>
      <c r="I146" s="171"/>
      <c r="K146" s="171"/>
      <c r="L146" s="145">
        <f ca="1">(IF(B146="STORAGE SITE",((100-'User Inputs'!$D$37)/100)*H146/'User Inputs'!$D$7,(IF(B146="INTERCONNECTOR",((100-'User Inputs'!$D$39)/100)*H146/'User Inputs'!$D$7,H146/'User Inputs'!$D$7))))</f>
        <v>1.9820323133808871E-2</v>
      </c>
      <c r="M146" s="147" t="s">
        <v>428</v>
      </c>
      <c r="N146" s="147" t="s">
        <v>428</v>
      </c>
      <c r="O146" s="145">
        <f ca="1">(IF(B146="STORAGE SITE",((100-'User Inputs'!$D$37)/100)* 'User Inputs'!$D$27*'Exit Prices'!H146/'User Inputs'!$D$7, IF(B146="INTERCONNECTOR", ((100-'User Inputs'!$D$39)/100)*'User Inputs'!$D$33*'Exit Prices'!H146/'User Inputs'!$D$7,  'User Inputs'!$D$27*'Exit Prices'!H146/'User Inputs'!$D$7)))</f>
        <v>1.9820323133808871E-2</v>
      </c>
      <c r="P146" s="147" t="s">
        <v>428</v>
      </c>
      <c r="Q146" s="145">
        <f ca="1">(100-(VLOOKUP(A146,'Exit Interruption Prob''s'!$A:$E,5,FALSE)))*O146/100</f>
        <v>1.7838290820427986E-2</v>
      </c>
    </row>
    <row r="147" spans="1:17">
      <c r="A147" s="2" t="s">
        <v>166</v>
      </c>
      <c r="B147" s="12" t="str">
        <f>VLOOKUP(A147,'Locations &amp; Types'!$E:$I,5,FALSE)</f>
        <v>DNO</v>
      </c>
      <c r="C147" s="39">
        <f ca="1">(VLOOKUP(A147, INDIRECT("'"&amp;'Drop Down Inputs'!$B$10&amp;"'!"&amp;" $A:$H"),MATCH('User Inputs'!$D$19, INDIRECT("'"&amp;'Drop Down Inputs'!$B$10&amp;"'!"&amp;"$A$1:$H$1"),0), FALSE))*'User Inputs'!$D$20/100</f>
        <v>8332710</v>
      </c>
      <c r="D147" s="146">
        <f t="array" aca="1" ref="D147" ca="1">SUMPRODUCT('Entry Prices'!$C$3:$C$29, TRANSPOSE(INDEX('Distance Matrix'!$C$3:$AC$231,MATCH(A147,'Distance Matrix'!$B$3:$B$231,0),0)) /SUM('Entry Prices'!$C$3:$C$29))</f>
        <v>332.98235106733205</v>
      </c>
      <c r="E147" s="145">
        <f t="shared" ca="1" si="2"/>
        <v>1.0626496147884503E-3</v>
      </c>
      <c r="F147" s="39">
        <f ca="1">E147*'Revenue Input'!$B$6</f>
        <v>49931286.033797525</v>
      </c>
      <c r="G147" s="148">
        <f ca="1">IF('User Inputs'!$D$4="PS",('Revenue Input'!$B$6/SUM($C$3:$C$231)),IF(ISERR(F147/C147),0,(F147/C147)))</f>
        <v>7.2344179438402385</v>
      </c>
      <c r="H147" s="148">
        <f ca="1">((IF(G147&gt;0,G147,VLOOKUP(A147,'Nearest Location Prices'!$M$1:$O$231,3,FALSE))))</f>
        <v>7.2344179438402385</v>
      </c>
      <c r="I147" s="171"/>
      <c r="K147" s="171"/>
      <c r="L147" s="145">
        <f ca="1">(IF(B147="STORAGE SITE",((100-'User Inputs'!$D$37)/100)*H147/'User Inputs'!$D$7,(IF(B147="INTERCONNECTOR",((100-'User Inputs'!$D$39)/100)*H147/'User Inputs'!$D$7,H147/'User Inputs'!$D$7))))</f>
        <v>1.9820323133808871E-2</v>
      </c>
      <c r="M147" s="147" t="s">
        <v>428</v>
      </c>
      <c r="N147" s="147" t="s">
        <v>428</v>
      </c>
      <c r="O147" s="145">
        <f ca="1">(IF(B147="STORAGE SITE",((100-'User Inputs'!$D$37)/100)* 'User Inputs'!$D$27*'Exit Prices'!H147/'User Inputs'!$D$7, IF(B147="INTERCONNECTOR", ((100-'User Inputs'!$D$39)/100)*'User Inputs'!$D$33*'Exit Prices'!H147/'User Inputs'!$D$7,  'User Inputs'!$D$27*'Exit Prices'!H147/'User Inputs'!$D$7)))</f>
        <v>1.9820323133808871E-2</v>
      </c>
      <c r="P147" s="147" t="s">
        <v>428</v>
      </c>
      <c r="Q147" s="145">
        <f ca="1">(100-(VLOOKUP(A147,'Exit Interruption Prob''s'!$A:$E,5,FALSE)))*O147/100</f>
        <v>1.7838290820427986E-2</v>
      </c>
    </row>
    <row r="148" spans="1:17">
      <c r="A148" s="2" t="s">
        <v>167</v>
      </c>
      <c r="B148" s="12" t="str">
        <f>VLOOKUP(A148,'Locations &amp; Types'!$E:$I,5,FALSE)</f>
        <v>INDUSTRIAL</v>
      </c>
      <c r="C148" s="39">
        <f ca="1">(VLOOKUP(A148, INDIRECT("'"&amp;'Drop Down Inputs'!$B$10&amp;"'!"&amp;" $A:$H"),MATCH('User Inputs'!$D$19, INDIRECT("'"&amp;'Drop Down Inputs'!$B$10&amp;"'!"&amp;"$A$1:$H$1"),0), FALSE))*'User Inputs'!$D$20/100</f>
        <v>8000000</v>
      </c>
      <c r="D148" s="146">
        <f t="array" aca="1" ref="D148" ca="1">SUMPRODUCT('Entry Prices'!$C$3:$C$29, TRANSPOSE(INDEX('Distance Matrix'!$C$3:$AC$231,MATCH(A148,'Distance Matrix'!$B$3:$B$231,0),0)) /SUM('Entry Prices'!$C$3:$C$29))</f>
        <v>360.62031664705137</v>
      </c>
      <c r="E148" s="145">
        <f t="shared" ca="1" si="2"/>
        <v>1.1048995167109855E-3</v>
      </c>
      <c r="F148" s="39">
        <f ca="1">E148*'Revenue Input'!$B$6</f>
        <v>51916504.781760812</v>
      </c>
      <c r="G148" s="148">
        <f ca="1">IF('User Inputs'!$D$4="PS",('Revenue Input'!$B$6/SUM($C$3:$C$231)),IF(ISERR(F148/C148),0,(F148/C148)))</f>
        <v>7.2344179438402385</v>
      </c>
      <c r="H148" s="148">
        <f ca="1">((IF(G148&gt;0,G148,VLOOKUP(A148,'Nearest Location Prices'!$M$1:$O$231,3,FALSE))))</f>
        <v>7.2344179438402385</v>
      </c>
      <c r="I148" s="171"/>
      <c r="K148" s="171"/>
      <c r="L148" s="145">
        <f ca="1">(IF(B148="STORAGE SITE",((100-'User Inputs'!$D$37)/100)*H148/'User Inputs'!$D$7,(IF(B148="INTERCONNECTOR",((100-'User Inputs'!$D$39)/100)*H148/'User Inputs'!$D$7,H148/'User Inputs'!$D$7))))</f>
        <v>1.9820323133808871E-2</v>
      </c>
      <c r="M148" s="147" t="s">
        <v>428</v>
      </c>
      <c r="N148" s="147" t="s">
        <v>428</v>
      </c>
      <c r="O148" s="145">
        <f ca="1">(IF(B148="STORAGE SITE",((100-'User Inputs'!$D$37)/100)* 'User Inputs'!$D$27*'Exit Prices'!H148/'User Inputs'!$D$7, IF(B148="INTERCONNECTOR", ((100-'User Inputs'!$D$39)/100)*'User Inputs'!$D$33*'Exit Prices'!H148/'User Inputs'!$D$7,  'User Inputs'!$D$27*'Exit Prices'!H148/'User Inputs'!$D$7)))</f>
        <v>1.9820323133808871E-2</v>
      </c>
      <c r="P148" s="147" t="s">
        <v>428</v>
      </c>
      <c r="Q148" s="145">
        <f ca="1">(100-(VLOOKUP(A148,'Exit Interruption Prob''s'!$A:$E,5,FALSE)))*O148/100</f>
        <v>1.7838290820427986E-2</v>
      </c>
    </row>
    <row r="149" spans="1:17">
      <c r="A149" s="2" t="s">
        <v>168</v>
      </c>
      <c r="B149" s="12" t="str">
        <f>VLOOKUP(A149,'Locations &amp; Types'!$E:$I,5,FALSE)</f>
        <v>DNO</v>
      </c>
      <c r="C149" s="39">
        <f ca="1">(VLOOKUP(A149, INDIRECT("'"&amp;'Drop Down Inputs'!$B$10&amp;"'!"&amp;" $A:$H"),MATCH('User Inputs'!$D$19, INDIRECT("'"&amp;'Drop Down Inputs'!$B$10&amp;"'!"&amp;"$A$1:$H$1"),0), FALSE))*'User Inputs'!$D$20/100</f>
        <v>1915791</v>
      </c>
      <c r="D149" s="146">
        <f t="array" aca="1" ref="D149" ca="1">SUMPRODUCT('Entry Prices'!$C$3:$C$29, TRANSPOSE(INDEX('Distance Matrix'!$C$3:$AC$231,MATCH(A149,'Distance Matrix'!$B$3:$B$231,0),0)) /SUM('Entry Prices'!$C$3:$C$29))</f>
        <v>566.00030388235177</v>
      </c>
      <c r="E149" s="145">
        <f t="shared" ca="1" si="2"/>
        <v>4.1528610398858034E-4</v>
      </c>
      <c r="F149" s="39">
        <f ca="1">E149*'Revenue Input'!$B$6</f>
        <v>19513270.372043766</v>
      </c>
      <c r="G149" s="148">
        <f ca="1">IF('User Inputs'!$D$4="PS",('Revenue Input'!$B$6/SUM($C$3:$C$231)),IF(ISERR(F149/C149),0,(F149/C149)))</f>
        <v>7.2344179438402385</v>
      </c>
      <c r="H149" s="148">
        <f ca="1">((IF(G149&gt;0,G149,VLOOKUP(A149,'Nearest Location Prices'!$M$1:$O$231,3,FALSE))))</f>
        <v>7.2344179438402385</v>
      </c>
      <c r="I149" s="171"/>
      <c r="K149" s="171"/>
      <c r="L149" s="145">
        <f ca="1">(IF(B149="STORAGE SITE",((100-'User Inputs'!$D$37)/100)*H149/'User Inputs'!$D$7,(IF(B149="INTERCONNECTOR",((100-'User Inputs'!$D$39)/100)*H149/'User Inputs'!$D$7,H149/'User Inputs'!$D$7))))</f>
        <v>1.9820323133808871E-2</v>
      </c>
      <c r="M149" s="147" t="s">
        <v>428</v>
      </c>
      <c r="N149" s="147" t="s">
        <v>428</v>
      </c>
      <c r="O149" s="145">
        <f ca="1">(IF(B149="STORAGE SITE",((100-'User Inputs'!$D$37)/100)* 'User Inputs'!$D$27*'Exit Prices'!H149/'User Inputs'!$D$7, IF(B149="INTERCONNECTOR", ((100-'User Inputs'!$D$39)/100)*'User Inputs'!$D$33*'Exit Prices'!H149/'User Inputs'!$D$7,  'User Inputs'!$D$27*'Exit Prices'!H149/'User Inputs'!$D$7)))</f>
        <v>1.9820323133808871E-2</v>
      </c>
      <c r="P149" s="147" t="s">
        <v>428</v>
      </c>
      <c r="Q149" s="145">
        <f ca="1">(100-(VLOOKUP(A149,'Exit Interruption Prob''s'!$A:$E,5,FALSE)))*O149/100</f>
        <v>1.7838290820427986E-2</v>
      </c>
    </row>
    <row r="150" spans="1:17">
      <c r="A150" s="2" t="s">
        <v>169</v>
      </c>
      <c r="B150" s="12" t="str">
        <f>VLOOKUP(A150,'Locations &amp; Types'!$E:$I,5,FALSE)</f>
        <v>DNO</v>
      </c>
      <c r="C150" s="39">
        <f ca="1">(VLOOKUP(A150, INDIRECT("'"&amp;'Drop Down Inputs'!$B$10&amp;"'!"&amp;" $A:$H"),MATCH('User Inputs'!$D$19, INDIRECT("'"&amp;'Drop Down Inputs'!$B$10&amp;"'!"&amp;"$A$1:$H$1"),0), FALSE))*'User Inputs'!$D$20/100</f>
        <v>25023750</v>
      </c>
      <c r="D150" s="146">
        <f t="array" aca="1" ref="D150" ca="1">SUMPRODUCT('Entry Prices'!$C$3:$C$29, TRANSPOSE(INDEX('Distance Matrix'!$C$3:$AC$231,MATCH(A150,'Distance Matrix'!$B$3:$B$231,0),0)) /SUM('Entry Prices'!$C$3:$C$29))</f>
        <v>443.66120868795554</v>
      </c>
      <c r="E150" s="145">
        <f t="shared" ca="1" si="2"/>
        <v>4.2519334343382948E-3</v>
      </c>
      <c r="F150" s="39">
        <f ca="1">E150*'Revenue Input'!$B$6</f>
        <v>199787871.32847878</v>
      </c>
      <c r="G150" s="148">
        <f ca="1">IF('User Inputs'!$D$4="PS",('Revenue Input'!$B$6/SUM($C$3:$C$231)),IF(ISERR(F150/C150),0,(F150/C150)))</f>
        <v>7.2344179438402385</v>
      </c>
      <c r="H150" s="148">
        <f ca="1">((IF(G150&gt;0,G150,VLOOKUP(A150,'Nearest Location Prices'!$M$1:$O$231,3,FALSE))))</f>
        <v>7.2344179438402385</v>
      </c>
      <c r="I150" s="171"/>
      <c r="K150" s="171"/>
      <c r="L150" s="145">
        <f ca="1">(IF(B150="STORAGE SITE",((100-'User Inputs'!$D$37)/100)*H150/'User Inputs'!$D$7,(IF(B150="INTERCONNECTOR",((100-'User Inputs'!$D$39)/100)*H150/'User Inputs'!$D$7,H150/'User Inputs'!$D$7))))</f>
        <v>1.9820323133808871E-2</v>
      </c>
      <c r="M150" s="147" t="s">
        <v>428</v>
      </c>
      <c r="N150" s="147" t="s">
        <v>428</v>
      </c>
      <c r="O150" s="145">
        <f ca="1">(IF(B150="STORAGE SITE",((100-'User Inputs'!$D$37)/100)* 'User Inputs'!$D$27*'Exit Prices'!H150/'User Inputs'!$D$7, IF(B150="INTERCONNECTOR", ((100-'User Inputs'!$D$39)/100)*'User Inputs'!$D$33*'Exit Prices'!H150/'User Inputs'!$D$7,  'User Inputs'!$D$27*'Exit Prices'!H150/'User Inputs'!$D$7)))</f>
        <v>1.9820323133808871E-2</v>
      </c>
      <c r="P150" s="147" t="s">
        <v>428</v>
      </c>
      <c r="Q150" s="145">
        <f ca="1">(100-(VLOOKUP(A150,'Exit Interruption Prob''s'!$A:$E,5,FALSE)))*O150/100</f>
        <v>1.7838290820427986E-2</v>
      </c>
    </row>
    <row r="151" spans="1:17">
      <c r="A151" s="2" t="s">
        <v>170</v>
      </c>
      <c r="B151" s="12" t="str">
        <f>VLOOKUP(A151,'Locations &amp; Types'!$E:$I,5,FALSE)</f>
        <v>DNO</v>
      </c>
      <c r="C151" s="39">
        <f ca="1">(VLOOKUP(A151, INDIRECT("'"&amp;'Drop Down Inputs'!$B$10&amp;"'!"&amp;" $A:$H"),MATCH('User Inputs'!$D$19, INDIRECT("'"&amp;'Drop Down Inputs'!$B$10&amp;"'!"&amp;"$A$1:$H$1"),0), FALSE))*'User Inputs'!$D$20/100</f>
        <v>5080452</v>
      </c>
      <c r="D151" s="146">
        <f t="array" aca="1" ref="D151" ca="1">SUMPRODUCT('Entry Prices'!$C$3:$C$29, TRANSPOSE(INDEX('Distance Matrix'!$C$3:$AC$231,MATCH(A151,'Distance Matrix'!$B$3:$B$231,0),0)) /SUM('Entry Prices'!$C$3:$C$29))</f>
        <v>303.86621165515385</v>
      </c>
      <c r="E151" s="145">
        <f t="shared" ca="1" si="2"/>
        <v>5.9124484912599499E-4</v>
      </c>
      <c r="F151" s="39">
        <f ca="1">E151*'Revenue Input'!$B$6</f>
        <v>27781138.078703966</v>
      </c>
      <c r="G151" s="148">
        <f ca="1">IF('User Inputs'!$D$4="PS",('Revenue Input'!$B$6/SUM($C$3:$C$231)),IF(ISERR(F151/C151),0,(F151/C151)))</f>
        <v>7.2344179438402385</v>
      </c>
      <c r="H151" s="148">
        <f ca="1">((IF(G151&gt;0,G151,VLOOKUP(A151,'Nearest Location Prices'!$M$1:$O$231,3,FALSE))))</f>
        <v>7.2344179438402385</v>
      </c>
      <c r="I151" s="171"/>
      <c r="K151" s="171"/>
      <c r="L151" s="145">
        <f ca="1">(IF(B151="STORAGE SITE",((100-'User Inputs'!$D$37)/100)*H151/'User Inputs'!$D$7,(IF(B151="INTERCONNECTOR",((100-'User Inputs'!$D$39)/100)*H151/'User Inputs'!$D$7,H151/'User Inputs'!$D$7))))</f>
        <v>1.9820323133808871E-2</v>
      </c>
      <c r="M151" s="147" t="s">
        <v>428</v>
      </c>
      <c r="N151" s="147" t="s">
        <v>428</v>
      </c>
      <c r="O151" s="145">
        <f ca="1">(IF(B151="STORAGE SITE",((100-'User Inputs'!$D$37)/100)* 'User Inputs'!$D$27*'Exit Prices'!H151/'User Inputs'!$D$7, IF(B151="INTERCONNECTOR", ((100-'User Inputs'!$D$39)/100)*'User Inputs'!$D$33*'Exit Prices'!H151/'User Inputs'!$D$7,  'User Inputs'!$D$27*'Exit Prices'!H151/'User Inputs'!$D$7)))</f>
        <v>1.9820323133808871E-2</v>
      </c>
      <c r="P151" s="147" t="s">
        <v>428</v>
      </c>
      <c r="Q151" s="145">
        <f ca="1">(100-(VLOOKUP(A151,'Exit Interruption Prob''s'!$A:$E,5,FALSE)))*O151/100</f>
        <v>1.7838290820427986E-2</v>
      </c>
    </row>
    <row r="152" spans="1:17">
      <c r="A152" s="2" t="s">
        <v>546</v>
      </c>
      <c r="B152" s="12" t="str">
        <f>VLOOKUP(A152,'Locations &amp; Types'!$E:$I,5,FALSE)</f>
        <v>INDUSTRIAL</v>
      </c>
      <c r="C152" s="39">
        <f ca="1">(VLOOKUP(A152, INDIRECT("'"&amp;'Drop Down Inputs'!$B$10&amp;"'!"&amp;" $A:$H"),MATCH('User Inputs'!$D$19, INDIRECT("'"&amp;'Drop Down Inputs'!$B$10&amp;"'!"&amp;"$A$1:$H$1"),0), FALSE))*'User Inputs'!$D$20/100</f>
        <v>0</v>
      </c>
      <c r="D152" s="146">
        <f t="array" aca="1" ref="D152" ca="1">SUMPRODUCT('Entry Prices'!$C$3:$C$29, TRANSPOSE(INDEX('Distance Matrix'!$C$3:$AC$231,MATCH(A152,'Distance Matrix'!$B$3:$B$231,0),0)) /SUM('Entry Prices'!$C$3:$C$29))</f>
        <v>611.69258898715725</v>
      </c>
      <c r="E152" s="145">
        <f t="shared" ca="1" si="2"/>
        <v>0</v>
      </c>
      <c r="F152" s="39">
        <f ca="1">E152*'Revenue Input'!$B$6</f>
        <v>0</v>
      </c>
      <c r="G152" s="148">
        <f ca="1">IF('User Inputs'!$D$4="PS",('Revenue Input'!$B$6/SUM($C$3:$C$231)),IF(ISERR(F152/C152),0,(F152/C152)))</f>
        <v>7.2344179438402385</v>
      </c>
      <c r="H152" s="148">
        <f ca="1">((IF(G152&gt;0,G152,VLOOKUP(A152,'Nearest Location Prices'!$M$1:$O$231,3,FALSE))))</f>
        <v>7.2344179438402385</v>
      </c>
      <c r="I152" s="171"/>
      <c r="K152" s="171"/>
      <c r="L152" s="145">
        <f ca="1">(IF(B152="STORAGE SITE",((100-'User Inputs'!$D$37)/100)*H152/'User Inputs'!$D$7,(IF(B152="INTERCONNECTOR",((100-'User Inputs'!$D$39)/100)*H152/'User Inputs'!$D$7,H152/'User Inputs'!$D$7))))</f>
        <v>1.9820323133808871E-2</v>
      </c>
      <c r="M152" s="147" t="s">
        <v>428</v>
      </c>
      <c r="N152" s="147" t="s">
        <v>428</v>
      </c>
      <c r="O152" s="145">
        <f ca="1">(IF(B152="STORAGE SITE",((100-'User Inputs'!$D$37)/100)* 'User Inputs'!$D$27*'Exit Prices'!H152/'User Inputs'!$D$7, IF(B152="INTERCONNECTOR", ((100-'User Inputs'!$D$39)/100)*'User Inputs'!$D$33*'Exit Prices'!H152/'User Inputs'!$D$7,  'User Inputs'!$D$27*'Exit Prices'!H152/'User Inputs'!$D$7)))</f>
        <v>1.9820323133808871E-2</v>
      </c>
      <c r="P152" s="147" t="s">
        <v>428</v>
      </c>
      <c r="Q152" s="145">
        <f ca="1">(100-(VLOOKUP(A152,'Exit Interruption Prob''s'!$A:$E,5,FALSE)))*O152/100</f>
        <v>1.7838290820427986E-2</v>
      </c>
    </row>
    <row r="153" spans="1:17">
      <c r="A153" s="2" t="s">
        <v>171</v>
      </c>
      <c r="B153" s="12" t="str">
        <f>VLOOKUP(A153,'Locations &amp; Types'!$E:$I,5,FALSE)</f>
        <v>POWER STATION</v>
      </c>
      <c r="C153" s="39">
        <f ca="1">(VLOOKUP(A153, INDIRECT("'"&amp;'Drop Down Inputs'!$B$10&amp;"'!"&amp;" $A:$H"),MATCH('User Inputs'!$D$19, INDIRECT("'"&amp;'Drop Down Inputs'!$B$10&amp;"'!"&amp;"$A$1:$H$1"),0), FALSE))*'User Inputs'!$D$20/100</f>
        <v>0</v>
      </c>
      <c r="D153" s="146">
        <f t="array" aca="1" ref="D153" ca="1">SUMPRODUCT('Entry Prices'!$C$3:$C$29, TRANSPOSE(INDEX('Distance Matrix'!$C$3:$AC$231,MATCH(A153,'Distance Matrix'!$B$3:$B$231,0),0)) /SUM('Entry Prices'!$C$3:$C$29))</f>
        <v>418.72693730714326</v>
      </c>
      <c r="E153" s="145">
        <f t="shared" ca="1" si="2"/>
        <v>0</v>
      </c>
      <c r="F153" s="39">
        <f ca="1">E153*'Revenue Input'!$B$6</f>
        <v>0</v>
      </c>
      <c r="G153" s="148">
        <f ca="1">IF('User Inputs'!$D$4="PS",('Revenue Input'!$B$6/SUM($C$3:$C$231)),IF(ISERR(F153/C153),0,(F153/C153)))</f>
        <v>7.2344179438402385</v>
      </c>
      <c r="H153" s="148">
        <f ca="1">((IF(G153&gt;0,G153,VLOOKUP(A153,'Nearest Location Prices'!$M$1:$O$231,3,FALSE))))</f>
        <v>7.2344179438402385</v>
      </c>
      <c r="I153" s="171"/>
      <c r="K153" s="171"/>
      <c r="L153" s="145">
        <f ca="1">(IF(B153="STORAGE SITE",((100-'User Inputs'!$D$37)/100)*H153/'User Inputs'!$D$7,(IF(B153="INTERCONNECTOR",((100-'User Inputs'!$D$39)/100)*H153/'User Inputs'!$D$7,H153/'User Inputs'!$D$7))))</f>
        <v>1.9820323133808871E-2</v>
      </c>
      <c r="M153" s="147" t="s">
        <v>428</v>
      </c>
      <c r="N153" s="147" t="s">
        <v>428</v>
      </c>
      <c r="O153" s="145">
        <f ca="1">(IF(B153="STORAGE SITE",((100-'User Inputs'!$D$37)/100)* 'User Inputs'!$D$27*'Exit Prices'!H153/'User Inputs'!$D$7, IF(B153="INTERCONNECTOR", ((100-'User Inputs'!$D$39)/100)*'User Inputs'!$D$33*'Exit Prices'!H153/'User Inputs'!$D$7,  'User Inputs'!$D$27*'Exit Prices'!H153/'User Inputs'!$D$7)))</f>
        <v>1.9820323133808871E-2</v>
      </c>
      <c r="P153" s="147" t="s">
        <v>428</v>
      </c>
      <c r="Q153" s="145">
        <f ca="1">(100-(VLOOKUP(A153,'Exit Interruption Prob''s'!$A:$E,5,FALSE)))*O153/100</f>
        <v>1.7838290820427986E-2</v>
      </c>
    </row>
    <row r="154" spans="1:17">
      <c r="A154" s="2" t="s">
        <v>172</v>
      </c>
      <c r="B154" s="12" t="str">
        <f>VLOOKUP(A154,'Locations &amp; Types'!$E:$I,5,FALSE)</f>
        <v>POWER STATION</v>
      </c>
      <c r="C154" s="39">
        <f ca="1">(VLOOKUP(A154, INDIRECT("'"&amp;'Drop Down Inputs'!$B$10&amp;"'!"&amp;" $A:$H"),MATCH('User Inputs'!$D$19, INDIRECT("'"&amp;'Drop Down Inputs'!$B$10&amp;"'!"&amp;"$A$1:$H$1"),0), FALSE))*'User Inputs'!$D$20/100</f>
        <v>57830000</v>
      </c>
      <c r="D154" s="146">
        <f t="array" aca="1" ref="D154" ca="1">SUMPRODUCT('Entry Prices'!$C$3:$C$29, TRANSPOSE(INDEX('Distance Matrix'!$C$3:$AC$231,MATCH(A154,'Distance Matrix'!$B$3:$B$231,0),0)) /SUM('Entry Prices'!$C$3:$C$29))</f>
        <v>296.63059688814246</v>
      </c>
      <c r="E154" s="145">
        <f t="shared" ca="1" si="2"/>
        <v>6.5697938790610366E-3</v>
      </c>
      <c r="F154" s="39">
        <f ca="1">E154*'Revenue Input'!$B$6</f>
        <v>308698420.24437553</v>
      </c>
      <c r="G154" s="148">
        <f ca="1">IF('User Inputs'!$D$4="PS",('Revenue Input'!$B$6/SUM($C$3:$C$231)),IF(ISERR(F154/C154),0,(F154/C154)))</f>
        <v>7.2344179438402385</v>
      </c>
      <c r="H154" s="148">
        <f ca="1">((IF(G154&gt;0,G154,VLOOKUP(A154,'Nearest Location Prices'!$M$1:$O$231,3,FALSE))))</f>
        <v>7.2344179438402385</v>
      </c>
      <c r="I154" s="171"/>
      <c r="K154" s="171"/>
      <c r="L154" s="145">
        <f ca="1">(IF(B154="STORAGE SITE",((100-'User Inputs'!$D$37)/100)*H154/'User Inputs'!$D$7,(IF(B154="INTERCONNECTOR",((100-'User Inputs'!$D$39)/100)*H154/'User Inputs'!$D$7,H154/'User Inputs'!$D$7))))</f>
        <v>1.9820323133808871E-2</v>
      </c>
      <c r="M154" s="147" t="s">
        <v>428</v>
      </c>
      <c r="N154" s="147" t="s">
        <v>428</v>
      </c>
      <c r="O154" s="145">
        <f ca="1">(IF(B154="STORAGE SITE",((100-'User Inputs'!$D$37)/100)* 'User Inputs'!$D$27*'Exit Prices'!H154/'User Inputs'!$D$7, IF(B154="INTERCONNECTOR", ((100-'User Inputs'!$D$39)/100)*'User Inputs'!$D$33*'Exit Prices'!H154/'User Inputs'!$D$7,  'User Inputs'!$D$27*'Exit Prices'!H154/'User Inputs'!$D$7)))</f>
        <v>1.9820323133808871E-2</v>
      </c>
      <c r="P154" s="147" t="s">
        <v>428</v>
      </c>
      <c r="Q154" s="145">
        <f ca="1">(100-(VLOOKUP(A154,'Exit Interruption Prob''s'!$A:$E,5,FALSE)))*O154/100</f>
        <v>1.7838290820427986E-2</v>
      </c>
    </row>
    <row r="155" spans="1:17">
      <c r="A155" s="2" t="s">
        <v>173</v>
      </c>
      <c r="B155" s="12" t="str">
        <f>VLOOKUP(A155,'Locations &amp; Types'!$E:$I,5,FALSE)</f>
        <v>DNO</v>
      </c>
      <c r="C155" s="39">
        <f ca="1">(VLOOKUP(A155, INDIRECT("'"&amp;'Drop Down Inputs'!$B$10&amp;"'!"&amp;" $A:$H"),MATCH('User Inputs'!$D$19, INDIRECT("'"&amp;'Drop Down Inputs'!$B$10&amp;"'!"&amp;"$A$1:$H$1"),0), FALSE))*'User Inputs'!$D$20/100</f>
        <v>4023357</v>
      </c>
      <c r="D155" s="146">
        <f t="array" aca="1" ref="D155" ca="1">SUMPRODUCT('Entry Prices'!$C$3:$C$29, TRANSPOSE(INDEX('Distance Matrix'!$C$3:$AC$231,MATCH(A155,'Distance Matrix'!$B$3:$B$231,0),0)) /SUM('Entry Prices'!$C$3:$C$29))</f>
        <v>409.9236788361892</v>
      </c>
      <c r="E155" s="145">
        <f t="shared" ca="1" si="2"/>
        <v>6.3164662782835075E-4</v>
      </c>
      <c r="F155" s="39">
        <f ca="1">E155*'Revenue Input'!$B$6</f>
        <v>29679518.072059646</v>
      </c>
      <c r="G155" s="148">
        <f ca="1">IF('User Inputs'!$D$4="PS",('Revenue Input'!$B$6/SUM($C$3:$C$231)),IF(ISERR(F155/C155),0,(F155/C155)))</f>
        <v>7.2344179438402385</v>
      </c>
      <c r="H155" s="148">
        <f ca="1">((IF(G155&gt;0,G155,VLOOKUP(A155,'Nearest Location Prices'!$M$1:$O$231,3,FALSE))))</f>
        <v>7.2344179438402385</v>
      </c>
      <c r="I155" s="171"/>
      <c r="K155" s="171"/>
      <c r="L155" s="145">
        <f ca="1">(IF(B155="STORAGE SITE",((100-'User Inputs'!$D$37)/100)*H155/'User Inputs'!$D$7,(IF(B155="INTERCONNECTOR",((100-'User Inputs'!$D$39)/100)*H155/'User Inputs'!$D$7,H155/'User Inputs'!$D$7))))</f>
        <v>1.9820323133808871E-2</v>
      </c>
      <c r="M155" s="147" t="s">
        <v>428</v>
      </c>
      <c r="N155" s="147" t="s">
        <v>428</v>
      </c>
      <c r="O155" s="145">
        <f ca="1">(IF(B155="STORAGE SITE",((100-'User Inputs'!$D$37)/100)* 'User Inputs'!$D$27*'Exit Prices'!H155/'User Inputs'!$D$7, IF(B155="INTERCONNECTOR", ((100-'User Inputs'!$D$39)/100)*'User Inputs'!$D$33*'Exit Prices'!H155/'User Inputs'!$D$7,  'User Inputs'!$D$27*'Exit Prices'!H155/'User Inputs'!$D$7)))</f>
        <v>1.9820323133808871E-2</v>
      </c>
      <c r="P155" s="147" t="s">
        <v>428</v>
      </c>
      <c r="Q155" s="145">
        <f ca="1">(100-(VLOOKUP(A155,'Exit Interruption Prob''s'!$A:$E,5,FALSE)))*O155/100</f>
        <v>1.7838290820427986E-2</v>
      </c>
    </row>
    <row r="156" spans="1:17">
      <c r="A156" s="2" t="s">
        <v>174</v>
      </c>
      <c r="B156" s="12" t="str">
        <f>VLOOKUP(A156,'Locations &amp; Types'!$E:$I,5,FALSE)</f>
        <v>DNO</v>
      </c>
      <c r="C156" s="39">
        <f ca="1">(VLOOKUP(A156, INDIRECT("'"&amp;'Drop Down Inputs'!$B$10&amp;"'!"&amp;" $A:$H"),MATCH('User Inputs'!$D$19, INDIRECT("'"&amp;'Drop Down Inputs'!$B$10&amp;"'!"&amp;"$A$1:$H$1"),0), FALSE))*'User Inputs'!$D$20/100</f>
        <v>9937704</v>
      </c>
      <c r="D156" s="146">
        <f t="array" aca="1" ref="D156" ca="1">SUMPRODUCT('Entry Prices'!$C$3:$C$29, TRANSPOSE(INDEX('Distance Matrix'!$C$3:$AC$231,MATCH(A156,'Distance Matrix'!$B$3:$B$231,0),0)) /SUM('Entry Prices'!$C$3:$C$29))</f>
        <v>409.9236788361892</v>
      </c>
      <c r="E156" s="145">
        <f t="shared" ca="1" si="2"/>
        <v>1.5601690876440525E-3</v>
      </c>
      <c r="F156" s="39">
        <f ca="1">E156*'Revenue Input'!$B$6</f>
        <v>73308499.708770424</v>
      </c>
      <c r="G156" s="148">
        <f ca="1">IF('User Inputs'!$D$4="PS",('Revenue Input'!$B$6/SUM($C$3:$C$231)),IF(ISERR(F156/C156),0,(F156/C156)))</f>
        <v>7.2344179438402385</v>
      </c>
      <c r="H156" s="148">
        <f ca="1">((IF(G156&gt;0,G156,VLOOKUP(A156,'Nearest Location Prices'!$M$1:$O$231,3,FALSE))))</f>
        <v>7.2344179438402385</v>
      </c>
      <c r="I156" s="171"/>
      <c r="K156" s="171"/>
      <c r="L156" s="145">
        <f ca="1">(IF(B156="STORAGE SITE",((100-'User Inputs'!$D$37)/100)*H156/'User Inputs'!$D$7,(IF(B156="INTERCONNECTOR",((100-'User Inputs'!$D$39)/100)*H156/'User Inputs'!$D$7,H156/'User Inputs'!$D$7))))</f>
        <v>1.9820323133808871E-2</v>
      </c>
      <c r="M156" s="147" t="s">
        <v>428</v>
      </c>
      <c r="N156" s="147" t="s">
        <v>428</v>
      </c>
      <c r="O156" s="145">
        <f ca="1">(IF(B156="STORAGE SITE",((100-'User Inputs'!$D$37)/100)* 'User Inputs'!$D$27*'Exit Prices'!H156/'User Inputs'!$D$7, IF(B156="INTERCONNECTOR", ((100-'User Inputs'!$D$39)/100)*'User Inputs'!$D$33*'Exit Prices'!H156/'User Inputs'!$D$7,  'User Inputs'!$D$27*'Exit Prices'!H156/'User Inputs'!$D$7)))</f>
        <v>1.9820323133808871E-2</v>
      </c>
      <c r="P156" s="147" t="s">
        <v>428</v>
      </c>
      <c r="Q156" s="145">
        <f ca="1">(100-(VLOOKUP(A156,'Exit Interruption Prob''s'!$A:$E,5,FALSE)))*O156/100</f>
        <v>1.7838290820427986E-2</v>
      </c>
    </row>
    <row r="157" spans="1:17">
      <c r="A157" s="2" t="s">
        <v>175</v>
      </c>
      <c r="B157" s="12" t="str">
        <f>VLOOKUP(A157,'Locations &amp; Types'!$E:$I,5,FALSE)</f>
        <v>DNO</v>
      </c>
      <c r="C157" s="39">
        <f ca="1">(VLOOKUP(A157, INDIRECT("'"&amp;'Drop Down Inputs'!$B$10&amp;"'!"&amp;" $A:$H"),MATCH('User Inputs'!$D$19, INDIRECT("'"&amp;'Drop Down Inputs'!$B$10&amp;"'!"&amp;"$A$1:$H$1"),0), FALSE))*'User Inputs'!$D$20/100</f>
        <v>20129094</v>
      </c>
      <c r="D157" s="146">
        <f t="array" aca="1" ref="D157" ca="1">SUMPRODUCT('Entry Prices'!$C$3:$C$29, TRANSPOSE(INDEX('Distance Matrix'!$C$3:$AC$231,MATCH(A157,'Distance Matrix'!$B$3:$B$231,0),0)) /SUM('Entry Prices'!$C$3:$C$29))</f>
        <v>391.07489856016855</v>
      </c>
      <c r="E157" s="145">
        <f t="shared" ca="1" si="2"/>
        <v>3.0148574020425001E-3</v>
      </c>
      <c r="F157" s="39">
        <f ca="1">E157*'Revenue Input'!$B$6</f>
        <v>141660717.8862659</v>
      </c>
      <c r="G157" s="148">
        <f ca="1">IF('User Inputs'!$D$4="PS",('Revenue Input'!$B$6/SUM($C$3:$C$231)),IF(ISERR(F157/C157),0,(F157/C157)))</f>
        <v>7.2344179438402385</v>
      </c>
      <c r="H157" s="148">
        <f ca="1">((IF(G157&gt;0,G157,VLOOKUP(A157,'Nearest Location Prices'!$M$1:$O$231,3,FALSE))))</f>
        <v>7.2344179438402385</v>
      </c>
      <c r="I157" s="171"/>
      <c r="K157" s="171"/>
      <c r="L157" s="145">
        <f ca="1">(IF(B157="STORAGE SITE",((100-'User Inputs'!$D$37)/100)*H157/'User Inputs'!$D$7,(IF(B157="INTERCONNECTOR",((100-'User Inputs'!$D$39)/100)*H157/'User Inputs'!$D$7,H157/'User Inputs'!$D$7))))</f>
        <v>1.9820323133808871E-2</v>
      </c>
      <c r="M157" s="147" t="s">
        <v>428</v>
      </c>
      <c r="N157" s="147" t="s">
        <v>428</v>
      </c>
      <c r="O157" s="145">
        <f ca="1">(IF(B157="STORAGE SITE",((100-'User Inputs'!$D$37)/100)* 'User Inputs'!$D$27*'Exit Prices'!H157/'User Inputs'!$D$7, IF(B157="INTERCONNECTOR", ((100-'User Inputs'!$D$39)/100)*'User Inputs'!$D$33*'Exit Prices'!H157/'User Inputs'!$D$7,  'User Inputs'!$D$27*'Exit Prices'!H157/'User Inputs'!$D$7)))</f>
        <v>1.9820323133808871E-2</v>
      </c>
      <c r="P157" s="147" t="s">
        <v>428</v>
      </c>
      <c r="Q157" s="145">
        <f ca="1">(100-(VLOOKUP(A157,'Exit Interruption Prob''s'!$A:$E,5,FALSE)))*O157/100</f>
        <v>1.7838290820427986E-2</v>
      </c>
    </row>
    <row r="158" spans="1:17">
      <c r="A158" s="2" t="s">
        <v>177</v>
      </c>
      <c r="B158" s="12" t="str">
        <f>VLOOKUP(A158,'Locations &amp; Types'!$E:$I,5,FALSE)</f>
        <v>DNO</v>
      </c>
      <c r="C158" s="39">
        <f ca="1">(VLOOKUP(A158, INDIRECT("'"&amp;'Drop Down Inputs'!$B$10&amp;"'!"&amp;" $A:$H"),MATCH('User Inputs'!$D$19, INDIRECT("'"&amp;'Drop Down Inputs'!$B$10&amp;"'!"&amp;"$A$1:$H$1"),0), FALSE))*'User Inputs'!$D$20/100</f>
        <v>2367780</v>
      </c>
      <c r="D158" s="146">
        <f t="array" aca="1" ref="D158" ca="1">SUMPRODUCT('Entry Prices'!$C$3:$C$29, TRANSPOSE(INDEX('Distance Matrix'!$C$3:$AC$231,MATCH(A158,'Distance Matrix'!$B$3:$B$231,0),0)) /SUM('Entry Prices'!$C$3:$C$29))</f>
        <v>359.24939056278566</v>
      </c>
      <c r="E158" s="145">
        <f t="shared" ca="1" si="2"/>
        <v>3.2577668081926826E-4</v>
      </c>
      <c r="F158" s="39">
        <f ca="1">E158*'Revenue Input'!$B$6</f>
        <v>15307443.212470677</v>
      </c>
      <c r="G158" s="148">
        <f ca="1">IF('User Inputs'!$D$4="PS",('Revenue Input'!$B$6/SUM($C$3:$C$231)),IF(ISERR(F158/C158),0,(F158/C158)))</f>
        <v>7.2344179438402385</v>
      </c>
      <c r="H158" s="148">
        <f ca="1">((IF(G158&gt;0,G158,VLOOKUP(A158,'Nearest Location Prices'!$M$1:$O$231,3,FALSE))))</f>
        <v>7.2344179438402385</v>
      </c>
      <c r="I158" s="171"/>
      <c r="K158" s="171"/>
      <c r="L158" s="145">
        <f ca="1">(IF(B158="STORAGE SITE",((100-'User Inputs'!$D$37)/100)*H158/'User Inputs'!$D$7,(IF(B158="INTERCONNECTOR",((100-'User Inputs'!$D$39)/100)*H158/'User Inputs'!$D$7,H158/'User Inputs'!$D$7))))</f>
        <v>1.9820323133808871E-2</v>
      </c>
      <c r="M158" s="147" t="s">
        <v>428</v>
      </c>
      <c r="N158" s="147" t="s">
        <v>428</v>
      </c>
      <c r="O158" s="145">
        <f ca="1">(IF(B158="STORAGE SITE",((100-'User Inputs'!$D$37)/100)* 'User Inputs'!$D$27*'Exit Prices'!H158/'User Inputs'!$D$7, IF(B158="INTERCONNECTOR", ((100-'User Inputs'!$D$39)/100)*'User Inputs'!$D$33*'Exit Prices'!H158/'User Inputs'!$D$7,  'User Inputs'!$D$27*'Exit Prices'!H158/'User Inputs'!$D$7)))</f>
        <v>1.9820323133808871E-2</v>
      </c>
      <c r="P158" s="147" t="s">
        <v>428</v>
      </c>
      <c r="Q158" s="145">
        <f ca="1">(100-(VLOOKUP(A158,'Exit Interruption Prob''s'!$A:$E,5,FALSE)))*O158/100</f>
        <v>1.7838290820427986E-2</v>
      </c>
    </row>
    <row r="159" spans="1:17">
      <c r="A159" s="2" t="s">
        <v>178</v>
      </c>
      <c r="B159" s="12" t="str">
        <f>VLOOKUP(A159,'Locations &amp; Types'!$E:$I,5,FALSE)</f>
        <v>DNO</v>
      </c>
      <c r="C159" s="39">
        <f ca="1">(VLOOKUP(A159, INDIRECT("'"&amp;'Drop Down Inputs'!$B$10&amp;"'!"&amp;" $A:$H"),MATCH('User Inputs'!$D$19, INDIRECT("'"&amp;'Drop Down Inputs'!$B$10&amp;"'!"&amp;"$A$1:$H$1"),0), FALSE))*'User Inputs'!$D$20/100</f>
        <v>60380901</v>
      </c>
      <c r="D159" s="146">
        <f t="array" aca="1" ref="D159" ca="1">SUMPRODUCT('Entry Prices'!$C$3:$C$29, TRANSPOSE(INDEX('Distance Matrix'!$C$3:$AC$231,MATCH(A159,'Distance Matrix'!$B$3:$B$231,0),0)) /SUM('Entry Prices'!$C$3:$C$29))</f>
        <v>324.58491941567223</v>
      </c>
      <c r="E159" s="145">
        <f t="shared" ca="1" si="2"/>
        <v>7.5060341094304508E-3</v>
      </c>
      <c r="F159" s="39">
        <f ca="1">E159*'Revenue Input'!$B$6</f>
        <v>352690040.89558154</v>
      </c>
      <c r="G159" s="148">
        <f ca="1">IF('User Inputs'!$D$4="PS",('Revenue Input'!$B$6/SUM($C$3:$C$231)),IF(ISERR(F159/C159),0,(F159/C159)))</f>
        <v>7.2344179438402385</v>
      </c>
      <c r="H159" s="148">
        <f ca="1">((IF(G159&gt;0,G159,VLOOKUP(A159,'Nearest Location Prices'!$M$1:$O$231,3,FALSE))))</f>
        <v>7.2344179438402385</v>
      </c>
      <c r="I159" s="171"/>
      <c r="K159" s="171"/>
      <c r="L159" s="145">
        <f ca="1">(IF(B159="STORAGE SITE",((100-'User Inputs'!$D$37)/100)*H159/'User Inputs'!$D$7,(IF(B159="INTERCONNECTOR",((100-'User Inputs'!$D$39)/100)*H159/'User Inputs'!$D$7,H159/'User Inputs'!$D$7))))</f>
        <v>1.9820323133808871E-2</v>
      </c>
      <c r="M159" s="147" t="s">
        <v>428</v>
      </c>
      <c r="N159" s="147" t="s">
        <v>428</v>
      </c>
      <c r="O159" s="145">
        <f ca="1">(IF(B159="STORAGE SITE",((100-'User Inputs'!$D$37)/100)* 'User Inputs'!$D$27*'Exit Prices'!H159/'User Inputs'!$D$7, IF(B159="INTERCONNECTOR", ((100-'User Inputs'!$D$39)/100)*'User Inputs'!$D$33*'Exit Prices'!H159/'User Inputs'!$D$7,  'User Inputs'!$D$27*'Exit Prices'!H159/'User Inputs'!$D$7)))</f>
        <v>1.9820323133808871E-2</v>
      </c>
      <c r="P159" s="147" t="s">
        <v>428</v>
      </c>
      <c r="Q159" s="145">
        <f ca="1">(100-(VLOOKUP(A159,'Exit Interruption Prob''s'!$A:$E,5,FALSE)))*O159/100</f>
        <v>1.7838290820427986E-2</v>
      </c>
    </row>
    <row r="160" spans="1:17">
      <c r="A160" s="2" t="s">
        <v>179</v>
      </c>
      <c r="B160" s="12" t="str">
        <f>VLOOKUP(A160,'Locations &amp; Types'!$E:$I,5,FALSE)</f>
        <v>POWER STATION</v>
      </c>
      <c r="C160" s="39">
        <f ca="1">(VLOOKUP(A160, INDIRECT("'"&amp;'Drop Down Inputs'!$B$10&amp;"'!"&amp;" $A:$H"),MATCH('User Inputs'!$D$19, INDIRECT("'"&amp;'Drop Down Inputs'!$B$10&amp;"'!"&amp;"$A$1:$H$1"),0), FALSE))*'User Inputs'!$D$20/100</f>
        <v>38660000</v>
      </c>
      <c r="D160" s="146">
        <f t="array" aca="1" ref="D160" ca="1">SUMPRODUCT('Entry Prices'!$C$3:$C$29, TRANSPOSE(INDEX('Distance Matrix'!$C$3:$AC$231,MATCH(A160,'Distance Matrix'!$B$3:$B$231,0),0)) /SUM('Entry Prices'!$C$3:$C$29))</f>
        <v>402.03799019460916</v>
      </c>
      <c r="E160" s="145">
        <f t="shared" ca="1" si="2"/>
        <v>5.9526664649898675E-3</v>
      </c>
      <c r="F160" s="39">
        <f ca="1">E160*'Revenue Input'!$B$6</f>
        <v>279701124.23780829</v>
      </c>
      <c r="G160" s="148">
        <f ca="1">IF('User Inputs'!$D$4="PS",('Revenue Input'!$B$6/SUM($C$3:$C$231)),IF(ISERR(F160/C160),0,(F160/C160)))</f>
        <v>7.2344179438402385</v>
      </c>
      <c r="H160" s="148">
        <f ca="1">((IF(G160&gt;0,G160,VLOOKUP(A160,'Nearest Location Prices'!$M$1:$O$231,3,FALSE))))</f>
        <v>7.2344179438402385</v>
      </c>
      <c r="I160" s="171"/>
      <c r="K160" s="171"/>
      <c r="L160" s="145">
        <f ca="1">(IF(B160="STORAGE SITE",((100-'User Inputs'!$D$37)/100)*H160/'User Inputs'!$D$7,(IF(B160="INTERCONNECTOR",((100-'User Inputs'!$D$39)/100)*H160/'User Inputs'!$D$7,H160/'User Inputs'!$D$7))))</f>
        <v>1.9820323133808871E-2</v>
      </c>
      <c r="M160" s="147" t="s">
        <v>428</v>
      </c>
      <c r="N160" s="147" t="s">
        <v>428</v>
      </c>
      <c r="O160" s="145">
        <f ca="1">(IF(B160="STORAGE SITE",((100-'User Inputs'!$D$37)/100)* 'User Inputs'!$D$27*'Exit Prices'!H160/'User Inputs'!$D$7, IF(B160="INTERCONNECTOR", ((100-'User Inputs'!$D$39)/100)*'User Inputs'!$D$33*'Exit Prices'!H160/'User Inputs'!$D$7,  'User Inputs'!$D$27*'Exit Prices'!H160/'User Inputs'!$D$7)))</f>
        <v>1.9820323133808871E-2</v>
      </c>
      <c r="P160" s="147" t="s">
        <v>428</v>
      </c>
      <c r="Q160" s="145">
        <f ca="1">(100-(VLOOKUP(A160,'Exit Interruption Prob''s'!$A:$E,5,FALSE)))*O160/100</f>
        <v>1.7838290820427986E-2</v>
      </c>
    </row>
    <row r="161" spans="1:17">
      <c r="A161" s="2" t="s">
        <v>180</v>
      </c>
      <c r="B161" s="12" t="str">
        <f>VLOOKUP(A161,'Locations &amp; Types'!$E:$I,5,FALSE)</f>
        <v>POWER STATION</v>
      </c>
      <c r="C161" s="39">
        <f ca="1">(VLOOKUP(A161, INDIRECT("'"&amp;'Drop Down Inputs'!$B$10&amp;"'!"&amp;" $A:$H"),MATCH('User Inputs'!$D$19, INDIRECT("'"&amp;'Drop Down Inputs'!$B$10&amp;"'!"&amp;"$A$1:$H$1"),0), FALSE))*'User Inputs'!$D$20/100</f>
        <v>17980000</v>
      </c>
      <c r="D161" s="146">
        <f t="array" aca="1" ref="D161" ca="1">SUMPRODUCT('Entry Prices'!$C$3:$C$29, TRANSPOSE(INDEX('Distance Matrix'!$C$3:$AC$231,MATCH(A161,'Distance Matrix'!$B$3:$B$231,0),0)) /SUM('Entry Prices'!$C$3:$C$29))</f>
        <v>307.81484623204983</v>
      </c>
      <c r="E161" s="145">
        <f t="shared" ca="1" si="2"/>
        <v>2.1196387777206375E-3</v>
      </c>
      <c r="F161" s="39">
        <f ca="1">E161*'Revenue Input'!$B$6</f>
        <v>99596601.387530506</v>
      </c>
      <c r="G161" s="148">
        <f ca="1">IF('User Inputs'!$D$4="PS",('Revenue Input'!$B$6/SUM($C$3:$C$231)),IF(ISERR(F161/C161),0,(F161/C161)))</f>
        <v>7.2344179438402385</v>
      </c>
      <c r="H161" s="148">
        <f ca="1">((IF(G161&gt;0,G161,VLOOKUP(A161,'Nearest Location Prices'!$M$1:$O$231,3,FALSE))))</f>
        <v>7.2344179438402385</v>
      </c>
      <c r="I161" s="171"/>
      <c r="K161" s="171"/>
      <c r="L161" s="145">
        <f ca="1">(IF(B161="STORAGE SITE",((100-'User Inputs'!$D$37)/100)*H161/'User Inputs'!$D$7,(IF(B161="INTERCONNECTOR",((100-'User Inputs'!$D$39)/100)*H161/'User Inputs'!$D$7,H161/'User Inputs'!$D$7))))</f>
        <v>1.9820323133808871E-2</v>
      </c>
      <c r="M161" s="147" t="s">
        <v>428</v>
      </c>
      <c r="N161" s="147" t="s">
        <v>428</v>
      </c>
      <c r="O161" s="145">
        <f ca="1">(IF(B161="STORAGE SITE",((100-'User Inputs'!$D$37)/100)* 'User Inputs'!$D$27*'Exit Prices'!H161/'User Inputs'!$D$7, IF(B161="INTERCONNECTOR", ((100-'User Inputs'!$D$39)/100)*'User Inputs'!$D$33*'Exit Prices'!H161/'User Inputs'!$D$7,  'User Inputs'!$D$27*'Exit Prices'!H161/'User Inputs'!$D$7)))</f>
        <v>1.9820323133808871E-2</v>
      </c>
      <c r="P161" s="147" t="s">
        <v>428</v>
      </c>
      <c r="Q161" s="145">
        <f ca="1">(100-(VLOOKUP(A161,'Exit Interruption Prob''s'!$A:$E,5,FALSE)))*O161/100</f>
        <v>1.7838290820427986E-2</v>
      </c>
    </row>
    <row r="162" spans="1:17">
      <c r="A162" s="2" t="s">
        <v>181</v>
      </c>
      <c r="B162" s="12" t="str">
        <f>VLOOKUP(A162,'Locations &amp; Types'!$E:$I,5,FALSE)</f>
        <v>INDUSTRIAL</v>
      </c>
      <c r="C162" s="39">
        <f ca="1">(VLOOKUP(A162, INDIRECT("'"&amp;'Drop Down Inputs'!$B$10&amp;"'!"&amp;" $A:$H"),MATCH('User Inputs'!$D$19, INDIRECT("'"&amp;'Drop Down Inputs'!$B$10&amp;"'!"&amp;"$A$1:$H$1"),0), FALSE))*'User Inputs'!$D$20/100</f>
        <v>9055895</v>
      </c>
      <c r="D162" s="146">
        <f t="array" aca="1" ref="D162" ca="1">SUMPRODUCT('Entry Prices'!$C$3:$C$29, TRANSPOSE(INDEX('Distance Matrix'!$C$3:$AC$231,MATCH(A162,'Distance Matrix'!$B$3:$B$231,0),0)) /SUM('Entry Prices'!$C$3:$C$29))</f>
        <v>300.14236521477238</v>
      </c>
      <c r="E162" s="145">
        <f t="shared" ca="1" si="2"/>
        <v>1.040977362334759E-3</v>
      </c>
      <c r="F162" s="39">
        <f ca="1">E162*'Revenue Input'!$B$6</f>
        <v>48912960.311750978</v>
      </c>
      <c r="G162" s="148">
        <f ca="1">IF('User Inputs'!$D$4="PS",('Revenue Input'!$B$6/SUM($C$3:$C$231)),IF(ISERR(F162/C162),0,(F162/C162)))</f>
        <v>7.2344179438402385</v>
      </c>
      <c r="H162" s="148">
        <f ca="1">((IF(G162&gt;0,G162,VLOOKUP(A162,'Nearest Location Prices'!$M$1:$O$231,3,FALSE))))</f>
        <v>7.2344179438402385</v>
      </c>
      <c r="I162" s="171"/>
      <c r="K162" s="171"/>
      <c r="L162" s="145">
        <f ca="1">(IF(B162="STORAGE SITE",((100-'User Inputs'!$D$37)/100)*H162/'User Inputs'!$D$7,(IF(B162="INTERCONNECTOR",((100-'User Inputs'!$D$39)/100)*H162/'User Inputs'!$D$7,H162/'User Inputs'!$D$7))))</f>
        <v>1.9820323133808871E-2</v>
      </c>
      <c r="M162" s="147" t="s">
        <v>428</v>
      </c>
      <c r="N162" s="147" t="s">
        <v>428</v>
      </c>
      <c r="O162" s="145">
        <f ca="1">(IF(B162="STORAGE SITE",((100-'User Inputs'!$D$37)/100)* 'User Inputs'!$D$27*'Exit Prices'!H162/'User Inputs'!$D$7, IF(B162="INTERCONNECTOR", ((100-'User Inputs'!$D$39)/100)*'User Inputs'!$D$33*'Exit Prices'!H162/'User Inputs'!$D$7,  'User Inputs'!$D$27*'Exit Prices'!H162/'User Inputs'!$D$7)))</f>
        <v>1.9820323133808871E-2</v>
      </c>
      <c r="P162" s="147" t="s">
        <v>428</v>
      </c>
      <c r="Q162" s="145">
        <f ca="1">(100-(VLOOKUP(A162,'Exit Interruption Prob''s'!$A:$E,5,FALSE)))*O162/100</f>
        <v>1.7838290820427986E-2</v>
      </c>
    </row>
    <row r="163" spans="1:17">
      <c r="A163" s="2" t="s">
        <v>182</v>
      </c>
      <c r="B163" s="12" t="str">
        <f>VLOOKUP(A163,'Locations &amp; Types'!$E:$I,5,FALSE)</f>
        <v>STORAGE SITE</v>
      </c>
      <c r="C163" s="39">
        <f ca="1">(VLOOKUP(A163, INDIRECT("'"&amp;'Drop Down Inputs'!$B$10&amp;"'!"&amp;" $A:$H"),MATCH('User Inputs'!$D$19, INDIRECT("'"&amp;'Drop Down Inputs'!$B$10&amp;"'!"&amp;"$A$1:$H$1"),0), FALSE))*'User Inputs'!$D$20/100</f>
        <v>0</v>
      </c>
      <c r="D163" s="146">
        <f t="array" aca="1" ref="D163" ca="1">SUMPRODUCT('Entry Prices'!$C$3:$C$29, TRANSPOSE(INDEX('Distance Matrix'!$C$3:$AC$231,MATCH(A163,'Distance Matrix'!$B$3:$B$231,0),0)) /SUM('Entry Prices'!$C$3:$C$29))</f>
        <v>323.87309986429966</v>
      </c>
      <c r="E163" s="145">
        <f t="shared" ca="1" si="2"/>
        <v>0</v>
      </c>
      <c r="F163" s="39">
        <f ca="1">E163*'Revenue Input'!$B$6</f>
        <v>0</v>
      </c>
      <c r="G163" s="148">
        <f ca="1">IF('User Inputs'!$D$4="PS",('Revenue Input'!$B$6/SUM($C$3:$C$231)),IF(ISERR(F163/C163),0,(F163/C163)))</f>
        <v>7.2344179438402385</v>
      </c>
      <c r="H163" s="148">
        <f ca="1">((IF(G163&gt;0,G163,VLOOKUP(A163,'Nearest Location Prices'!$M$1:$O$231,3,FALSE))))</f>
        <v>7.2344179438402385</v>
      </c>
      <c r="I163" s="171"/>
      <c r="K163" s="171"/>
      <c r="L163" s="145">
        <f ca="1">(IF(B163="STORAGE SITE",((100-'User Inputs'!$D$37)/100)*H163/'User Inputs'!$D$7,(IF(B163="INTERCONNECTOR",((100-'User Inputs'!$D$39)/100)*H163/'User Inputs'!$D$7,H163/'User Inputs'!$D$7))))</f>
        <v>9.9101615669044355E-3</v>
      </c>
      <c r="M163" s="147" t="s">
        <v>428</v>
      </c>
      <c r="N163" s="147" t="s">
        <v>428</v>
      </c>
      <c r="O163" s="145">
        <f ca="1">(IF(B163="STORAGE SITE",((100-'User Inputs'!$D$37)/100)* 'User Inputs'!$D$27*'Exit Prices'!H163/'User Inputs'!$D$7, IF(B163="INTERCONNECTOR", ((100-'User Inputs'!$D$39)/100)*'User Inputs'!$D$33*'Exit Prices'!H163/'User Inputs'!$D$7,  'User Inputs'!$D$27*'Exit Prices'!H163/'User Inputs'!$D$7)))</f>
        <v>9.9101615669044355E-3</v>
      </c>
      <c r="P163" s="147" t="s">
        <v>428</v>
      </c>
      <c r="Q163" s="145">
        <f ca="1">(100-(VLOOKUP(A163,'Exit Interruption Prob''s'!$A:$E,5,FALSE)))*O163/100</f>
        <v>8.9191454102139928E-3</v>
      </c>
    </row>
    <row r="164" spans="1:17">
      <c r="A164" s="2" t="s">
        <v>183</v>
      </c>
      <c r="B164" s="12" t="str">
        <f>VLOOKUP(A164,'Locations &amp; Types'!$E:$I,5,FALSE)</f>
        <v>DNO</v>
      </c>
      <c r="C164" s="39">
        <f ca="1">(VLOOKUP(A164, INDIRECT("'"&amp;'Drop Down Inputs'!$B$10&amp;"'!"&amp;" $A:$H"),MATCH('User Inputs'!$D$19, INDIRECT("'"&amp;'Drop Down Inputs'!$B$10&amp;"'!"&amp;"$A$1:$H$1"),0), FALSE))*'User Inputs'!$D$20/100</f>
        <v>0</v>
      </c>
      <c r="D164" s="146">
        <f t="array" aca="1" ref="D164" ca="1">SUMPRODUCT('Entry Prices'!$C$3:$C$29, TRANSPOSE(INDEX('Distance Matrix'!$C$3:$AC$231,MATCH(A164,'Distance Matrix'!$B$3:$B$231,0),0)) /SUM('Entry Prices'!$C$3:$C$29))</f>
        <v>526.15082870596427</v>
      </c>
      <c r="E164" s="145">
        <f t="shared" ca="1" si="2"/>
        <v>0</v>
      </c>
      <c r="F164" s="39">
        <f ca="1">E164*'Revenue Input'!$B$6</f>
        <v>0</v>
      </c>
      <c r="G164" s="148">
        <f ca="1">IF('User Inputs'!$D$4="PS",('Revenue Input'!$B$6/SUM($C$3:$C$231)),IF(ISERR(F164/C164),0,(F164/C164)))</f>
        <v>7.2344179438402385</v>
      </c>
      <c r="H164" s="148">
        <f ca="1">((IF(G164&gt;0,G164,VLOOKUP(A164,'Nearest Location Prices'!$M$1:$O$231,3,FALSE))))</f>
        <v>7.2344179438402385</v>
      </c>
      <c r="I164" s="171"/>
      <c r="K164" s="171"/>
      <c r="L164" s="145">
        <f ca="1">(IF(B164="STORAGE SITE",((100-'User Inputs'!$D$37)/100)*H164/'User Inputs'!$D$7,(IF(B164="INTERCONNECTOR",((100-'User Inputs'!$D$39)/100)*H164/'User Inputs'!$D$7,H164/'User Inputs'!$D$7))))</f>
        <v>1.9820323133808871E-2</v>
      </c>
      <c r="M164" s="147" t="s">
        <v>428</v>
      </c>
      <c r="N164" s="147" t="s">
        <v>428</v>
      </c>
      <c r="O164" s="145">
        <f ca="1">(IF(B164="STORAGE SITE",((100-'User Inputs'!$D$37)/100)* 'User Inputs'!$D$27*'Exit Prices'!H164/'User Inputs'!$D$7, IF(B164="INTERCONNECTOR", ((100-'User Inputs'!$D$39)/100)*'User Inputs'!$D$33*'Exit Prices'!H164/'User Inputs'!$D$7,  'User Inputs'!$D$27*'Exit Prices'!H164/'User Inputs'!$D$7)))</f>
        <v>1.9820323133808871E-2</v>
      </c>
      <c r="P164" s="147" t="s">
        <v>428</v>
      </c>
      <c r="Q164" s="145">
        <f ca="1">(100-(VLOOKUP(A164,'Exit Interruption Prob''s'!$A:$E,5,FALSE)))*O164/100</f>
        <v>1.7838290820427986E-2</v>
      </c>
    </row>
    <row r="165" spans="1:17">
      <c r="A165" s="2" t="s">
        <v>184</v>
      </c>
      <c r="B165" s="12" t="str">
        <f>VLOOKUP(A165,'Locations &amp; Types'!$E:$I,5,FALSE)</f>
        <v>DNO</v>
      </c>
      <c r="C165" s="39">
        <f ca="1">(VLOOKUP(A165, INDIRECT("'"&amp;'Drop Down Inputs'!$B$10&amp;"'!"&amp;" $A:$H"),MATCH('User Inputs'!$D$19, INDIRECT("'"&amp;'Drop Down Inputs'!$B$10&amp;"'!"&amp;"$A$1:$H$1"),0), FALSE))*'User Inputs'!$D$20/100</f>
        <v>39506950</v>
      </c>
      <c r="D165" s="146">
        <f t="array" aca="1" ref="D165" ca="1">SUMPRODUCT('Entry Prices'!$C$3:$C$29, TRANSPOSE(INDEX('Distance Matrix'!$C$3:$AC$231,MATCH(A165,'Distance Matrix'!$B$3:$B$231,0),0)) /SUM('Entry Prices'!$C$3:$C$29))</f>
        <v>526.15082870596427</v>
      </c>
      <c r="E165" s="145">
        <f t="shared" ca="1" si="2"/>
        <v>7.9609769732754045E-3</v>
      </c>
      <c r="F165" s="39">
        <f ca="1">E165*'Revenue Input'!$B$6</f>
        <v>374066684.66183335</v>
      </c>
      <c r="G165" s="148">
        <f ca="1">IF('User Inputs'!$D$4="PS",('Revenue Input'!$B$6/SUM($C$3:$C$231)),IF(ISERR(F165/C165),0,(F165/C165)))</f>
        <v>7.2344179438402385</v>
      </c>
      <c r="H165" s="148">
        <f ca="1">((IF(G165&gt;0,G165,VLOOKUP(A165,'Nearest Location Prices'!$M$1:$O$231,3,FALSE))))</f>
        <v>7.2344179438402385</v>
      </c>
      <c r="I165" s="171"/>
      <c r="K165" s="171"/>
      <c r="L165" s="145">
        <f ca="1">(IF(B165="STORAGE SITE",((100-'User Inputs'!$D$37)/100)*H165/'User Inputs'!$D$7,(IF(B165="INTERCONNECTOR",((100-'User Inputs'!$D$39)/100)*H165/'User Inputs'!$D$7,H165/'User Inputs'!$D$7))))</f>
        <v>1.9820323133808871E-2</v>
      </c>
      <c r="M165" s="147" t="s">
        <v>428</v>
      </c>
      <c r="N165" s="147" t="s">
        <v>428</v>
      </c>
      <c r="O165" s="145">
        <f ca="1">(IF(B165="STORAGE SITE",((100-'User Inputs'!$D$37)/100)* 'User Inputs'!$D$27*'Exit Prices'!H165/'User Inputs'!$D$7, IF(B165="INTERCONNECTOR", ((100-'User Inputs'!$D$39)/100)*'User Inputs'!$D$33*'Exit Prices'!H165/'User Inputs'!$D$7,  'User Inputs'!$D$27*'Exit Prices'!H165/'User Inputs'!$D$7)))</f>
        <v>1.9820323133808871E-2</v>
      </c>
      <c r="P165" s="147" t="s">
        <v>428</v>
      </c>
      <c r="Q165" s="145">
        <f ca="1">(100-(VLOOKUP(A165,'Exit Interruption Prob''s'!$A:$E,5,FALSE)))*O165/100</f>
        <v>1.7838290820427986E-2</v>
      </c>
    </row>
    <row r="166" spans="1:17">
      <c r="A166" s="2" t="s">
        <v>185</v>
      </c>
      <c r="B166" s="12" t="str">
        <f>VLOOKUP(A166,'Locations &amp; Types'!$E:$I,5,FALSE)</f>
        <v>DNO</v>
      </c>
      <c r="C166" s="39">
        <f ca="1">(VLOOKUP(A166, INDIRECT("'"&amp;'Drop Down Inputs'!$B$10&amp;"'!"&amp;" $A:$H"),MATCH('User Inputs'!$D$19, INDIRECT("'"&amp;'Drop Down Inputs'!$B$10&amp;"'!"&amp;"$A$1:$H$1"),0), FALSE))*'User Inputs'!$D$20/100</f>
        <v>99858652</v>
      </c>
      <c r="D166" s="146">
        <f t="array" aca="1" ref="D166" ca="1">SUMPRODUCT('Entry Prices'!$C$3:$C$29, TRANSPOSE(INDEX('Distance Matrix'!$C$3:$AC$231,MATCH(A166,'Distance Matrix'!$B$3:$B$231,0),0)) /SUM('Entry Prices'!$C$3:$C$29))</f>
        <v>405.55787187789042</v>
      </c>
      <c r="E166" s="145">
        <f t="shared" ca="1" si="2"/>
        <v>1.5510333673930369E-2</v>
      </c>
      <c r="F166" s="39">
        <f ca="1">E166*'Revenue Input'!$B$6</f>
        <v>728792347.33156586</v>
      </c>
      <c r="G166" s="148">
        <f ca="1">IF('User Inputs'!$D$4="PS",('Revenue Input'!$B$6/SUM($C$3:$C$231)),IF(ISERR(F166/C166),0,(F166/C166)))</f>
        <v>7.2344179438402385</v>
      </c>
      <c r="H166" s="148">
        <f ca="1">((IF(G166&gt;0,G166,VLOOKUP(A166,'Nearest Location Prices'!$M$1:$O$231,3,FALSE))))</f>
        <v>7.2344179438402385</v>
      </c>
      <c r="I166" s="171"/>
      <c r="K166" s="171"/>
      <c r="L166" s="145">
        <f ca="1">(IF(B166="STORAGE SITE",((100-'User Inputs'!$D$37)/100)*H166/'User Inputs'!$D$7,(IF(B166="INTERCONNECTOR",((100-'User Inputs'!$D$39)/100)*H166/'User Inputs'!$D$7,H166/'User Inputs'!$D$7))))</f>
        <v>1.9820323133808871E-2</v>
      </c>
      <c r="M166" s="147" t="s">
        <v>428</v>
      </c>
      <c r="N166" s="147" t="s">
        <v>428</v>
      </c>
      <c r="O166" s="145">
        <f ca="1">(IF(B166="STORAGE SITE",((100-'User Inputs'!$D$37)/100)* 'User Inputs'!$D$27*'Exit Prices'!H166/'User Inputs'!$D$7, IF(B166="INTERCONNECTOR", ((100-'User Inputs'!$D$39)/100)*'User Inputs'!$D$33*'Exit Prices'!H166/'User Inputs'!$D$7,  'User Inputs'!$D$27*'Exit Prices'!H166/'User Inputs'!$D$7)))</f>
        <v>1.9820323133808871E-2</v>
      </c>
      <c r="P166" s="147" t="s">
        <v>428</v>
      </c>
      <c r="Q166" s="145">
        <f ca="1">(100-(VLOOKUP(A166,'Exit Interruption Prob''s'!$A:$E,5,FALSE)))*O166/100</f>
        <v>1.7838290820427986E-2</v>
      </c>
    </row>
    <row r="167" spans="1:17">
      <c r="A167" s="2" t="s">
        <v>186</v>
      </c>
      <c r="B167" s="12" t="str">
        <f>VLOOKUP(A167,'Locations &amp; Types'!$E:$I,5,FALSE)</f>
        <v>INDUSTRIAL</v>
      </c>
      <c r="C167" s="39">
        <f ca="1">(VLOOKUP(A167, INDIRECT("'"&amp;'Drop Down Inputs'!$B$10&amp;"'!"&amp;" $A:$H"),MATCH('User Inputs'!$D$19, INDIRECT("'"&amp;'Drop Down Inputs'!$B$10&amp;"'!"&amp;"$A$1:$H$1"),0), FALSE))*'User Inputs'!$D$20/100</f>
        <v>3433103</v>
      </c>
      <c r="D167" s="146">
        <f t="array" aca="1" ref="D167" ca="1">SUMPRODUCT('Entry Prices'!$C$3:$C$29, TRANSPOSE(INDEX('Distance Matrix'!$C$3:$AC$231,MATCH(A167,'Distance Matrix'!$B$3:$B$231,0),0)) /SUM('Entry Prices'!$C$3:$C$29))</f>
        <v>411.34787187789055</v>
      </c>
      <c r="E167" s="145">
        <f t="shared" ca="1" si="2"/>
        <v>5.4085231677912732E-4</v>
      </c>
      <c r="F167" s="39">
        <f ca="1">E167*'Revenue Input'!$B$6</f>
        <v>25413317.198178116</v>
      </c>
      <c r="G167" s="148">
        <f ca="1">IF('User Inputs'!$D$4="PS",('Revenue Input'!$B$6/SUM($C$3:$C$231)),IF(ISERR(F167/C167),0,(F167/C167)))</f>
        <v>7.2344179438402385</v>
      </c>
      <c r="H167" s="148">
        <f ca="1">((IF(G167&gt;0,G167,VLOOKUP(A167,'Nearest Location Prices'!$M$1:$O$231,3,FALSE))))</f>
        <v>7.2344179438402385</v>
      </c>
      <c r="I167" s="171"/>
      <c r="K167" s="171"/>
      <c r="L167" s="145">
        <f ca="1">(IF(B167="STORAGE SITE",((100-'User Inputs'!$D$37)/100)*H167/'User Inputs'!$D$7,(IF(B167="INTERCONNECTOR",((100-'User Inputs'!$D$39)/100)*H167/'User Inputs'!$D$7,H167/'User Inputs'!$D$7))))</f>
        <v>1.9820323133808871E-2</v>
      </c>
      <c r="M167" s="147" t="s">
        <v>428</v>
      </c>
      <c r="N167" s="147" t="s">
        <v>428</v>
      </c>
      <c r="O167" s="145">
        <f ca="1">(IF(B167="STORAGE SITE",((100-'User Inputs'!$D$37)/100)* 'User Inputs'!$D$27*'Exit Prices'!H167/'User Inputs'!$D$7, IF(B167="INTERCONNECTOR", ((100-'User Inputs'!$D$39)/100)*'User Inputs'!$D$33*'Exit Prices'!H167/'User Inputs'!$D$7,  'User Inputs'!$D$27*'Exit Prices'!H167/'User Inputs'!$D$7)))</f>
        <v>1.9820323133808871E-2</v>
      </c>
      <c r="P167" s="147" t="s">
        <v>428</v>
      </c>
      <c r="Q167" s="145">
        <f ca="1">(100-(VLOOKUP(A167,'Exit Interruption Prob''s'!$A:$E,5,FALSE)))*O167/100</f>
        <v>1.7838290820427986E-2</v>
      </c>
    </row>
    <row r="168" spans="1:17">
      <c r="A168" s="2" t="s">
        <v>187</v>
      </c>
      <c r="B168" s="12" t="str">
        <f>VLOOKUP(A168,'Locations &amp; Types'!$E:$I,5,FALSE)</f>
        <v>DNO</v>
      </c>
      <c r="C168" s="39">
        <f ca="1">(VLOOKUP(A168, INDIRECT("'"&amp;'Drop Down Inputs'!$B$10&amp;"'!"&amp;" $A:$H"),MATCH('User Inputs'!$D$19, INDIRECT("'"&amp;'Drop Down Inputs'!$B$10&amp;"'!"&amp;"$A$1:$H$1"),0), FALSE))*'User Inputs'!$D$20/100</f>
        <v>53316903</v>
      </c>
      <c r="D168" s="146">
        <f t="array" aca="1" ref="D168" ca="1">SUMPRODUCT('Entry Prices'!$C$3:$C$29, TRANSPOSE(INDEX('Distance Matrix'!$C$3:$AC$231,MATCH(A168,'Distance Matrix'!$B$3:$B$231,0),0)) /SUM('Entry Prices'!$C$3:$C$29))</f>
        <v>471.40120868795543</v>
      </c>
      <c r="E168" s="145">
        <f t="shared" ca="1" si="2"/>
        <v>9.625830561276404E-3</v>
      </c>
      <c r="F168" s="39">
        <f ca="1">E168*'Revenue Input'!$B$6</f>
        <v>452294051.00160372</v>
      </c>
      <c r="G168" s="148">
        <f ca="1">IF('User Inputs'!$D$4="PS",('Revenue Input'!$B$6/SUM($C$3:$C$231)),IF(ISERR(F168/C168),0,(F168/C168)))</f>
        <v>7.2344179438402385</v>
      </c>
      <c r="H168" s="148">
        <f ca="1">((IF(G168&gt;0,G168,VLOOKUP(A168,'Nearest Location Prices'!$M$1:$O$231,3,FALSE))))</f>
        <v>7.2344179438402385</v>
      </c>
      <c r="I168" s="171"/>
      <c r="K168" s="171"/>
      <c r="L168" s="145">
        <f ca="1">(IF(B168="STORAGE SITE",((100-'User Inputs'!$D$37)/100)*H168/'User Inputs'!$D$7,(IF(B168="INTERCONNECTOR",((100-'User Inputs'!$D$39)/100)*H168/'User Inputs'!$D$7,H168/'User Inputs'!$D$7))))</f>
        <v>1.9820323133808871E-2</v>
      </c>
      <c r="M168" s="147" t="s">
        <v>428</v>
      </c>
      <c r="N168" s="147" t="s">
        <v>428</v>
      </c>
      <c r="O168" s="145">
        <f ca="1">(IF(B168="STORAGE SITE",((100-'User Inputs'!$D$37)/100)* 'User Inputs'!$D$27*'Exit Prices'!H168/'User Inputs'!$D$7, IF(B168="INTERCONNECTOR", ((100-'User Inputs'!$D$39)/100)*'User Inputs'!$D$33*'Exit Prices'!H168/'User Inputs'!$D$7,  'User Inputs'!$D$27*'Exit Prices'!H168/'User Inputs'!$D$7)))</f>
        <v>1.9820323133808871E-2</v>
      </c>
      <c r="P168" s="147" t="s">
        <v>428</v>
      </c>
      <c r="Q168" s="145">
        <f ca="1">(100-(VLOOKUP(A168,'Exit Interruption Prob''s'!$A:$E,5,FALSE)))*O168/100</f>
        <v>1.7838290820427986E-2</v>
      </c>
    </row>
    <row r="169" spans="1:17">
      <c r="A169" s="2" t="s">
        <v>188</v>
      </c>
      <c r="B169" s="12" t="str">
        <f>VLOOKUP(A169,'Locations &amp; Types'!$E:$I,5,FALSE)</f>
        <v>POWER STATION</v>
      </c>
      <c r="C169" s="39">
        <f ca="1">(VLOOKUP(A169, INDIRECT("'"&amp;'Drop Down Inputs'!$B$10&amp;"'!"&amp;" $A:$H"),MATCH('User Inputs'!$D$19, INDIRECT("'"&amp;'Drop Down Inputs'!$B$10&amp;"'!"&amp;"$A$1:$H$1"),0), FALSE))*'User Inputs'!$D$20/100</f>
        <v>18316938</v>
      </c>
      <c r="D169" s="146">
        <f t="array" aca="1" ref="D169" ca="1">SUMPRODUCT('Entry Prices'!$C$3:$C$29, TRANSPOSE(INDEX('Distance Matrix'!$C$3:$AC$231,MATCH(A169,'Distance Matrix'!$B$3:$B$231,0),0)) /SUM('Entry Prices'!$C$3:$C$29))</f>
        <v>469.59120868795543</v>
      </c>
      <c r="E169" s="145">
        <f t="shared" ca="1" si="2"/>
        <v>3.2942415411122156E-3</v>
      </c>
      <c r="F169" s="39">
        <f ca="1">E169*'Revenue Input'!$B$6</f>
        <v>154788289.91665086</v>
      </c>
      <c r="G169" s="148">
        <f ca="1">IF('User Inputs'!$D$4="PS",('Revenue Input'!$B$6/SUM($C$3:$C$231)),IF(ISERR(F169/C169),0,(F169/C169)))</f>
        <v>7.2344179438402385</v>
      </c>
      <c r="H169" s="148">
        <f ca="1">((IF(G169&gt;0,G169,VLOOKUP(A169,'Nearest Location Prices'!$M$1:$O$231,3,FALSE))))</f>
        <v>7.2344179438402385</v>
      </c>
      <c r="I169" s="171"/>
      <c r="K169" s="171"/>
      <c r="L169" s="145">
        <f ca="1">(IF(B169="STORAGE SITE",((100-'User Inputs'!$D$37)/100)*H169/'User Inputs'!$D$7,(IF(B169="INTERCONNECTOR",((100-'User Inputs'!$D$39)/100)*H169/'User Inputs'!$D$7,H169/'User Inputs'!$D$7))))</f>
        <v>1.9820323133808871E-2</v>
      </c>
      <c r="M169" s="147" t="s">
        <v>428</v>
      </c>
      <c r="N169" s="147" t="s">
        <v>428</v>
      </c>
      <c r="O169" s="145">
        <f ca="1">(IF(B169="STORAGE SITE",((100-'User Inputs'!$D$37)/100)* 'User Inputs'!$D$27*'Exit Prices'!H169/'User Inputs'!$D$7, IF(B169="INTERCONNECTOR", ((100-'User Inputs'!$D$39)/100)*'User Inputs'!$D$33*'Exit Prices'!H169/'User Inputs'!$D$7,  'User Inputs'!$D$27*'Exit Prices'!H169/'User Inputs'!$D$7)))</f>
        <v>1.9820323133808871E-2</v>
      </c>
      <c r="P169" s="147" t="s">
        <v>428</v>
      </c>
      <c r="Q169" s="145">
        <f ca="1">(100-(VLOOKUP(A169,'Exit Interruption Prob''s'!$A:$E,5,FALSE)))*O169/100</f>
        <v>1.7838290820427986E-2</v>
      </c>
    </row>
    <row r="170" spans="1:17">
      <c r="A170" s="2" t="s">
        <v>241</v>
      </c>
      <c r="B170" s="12" t="str">
        <f>VLOOKUP(A170,'Locations &amp; Types'!$E:$I,5,FALSE)</f>
        <v>INDUSTRIAL</v>
      </c>
      <c r="C170" s="39">
        <f ca="1">(VLOOKUP(A170, INDIRECT("'"&amp;'Drop Down Inputs'!$B$10&amp;"'!"&amp;" $A:$H"),MATCH('User Inputs'!$D$19, INDIRECT("'"&amp;'Drop Down Inputs'!$B$10&amp;"'!"&amp;"$A$1:$H$1"),0), FALSE))*'User Inputs'!$D$20/100</f>
        <v>49277.068991780834</v>
      </c>
      <c r="D170" s="146">
        <f t="array" aca="1" ref="D170" ca="1">SUMPRODUCT('Entry Prices'!$C$3:$C$29, TRANSPOSE(INDEX('Distance Matrix'!$C$3:$AC$231,MATCH(A170,'Distance Matrix'!$B$3:$B$231,0),0)) /SUM('Entry Prices'!$C$3:$C$29))</f>
        <v>366.63662441434838</v>
      </c>
      <c r="E170" s="145">
        <f t="shared" ca="1" si="2"/>
        <v>6.9193184702127343E-6</v>
      </c>
      <c r="F170" s="39">
        <f ca="1">E170*'Revenue Input'!$B$6</f>
        <v>325121.71922624728</v>
      </c>
      <c r="G170" s="148">
        <f ca="1">IF('User Inputs'!$D$4="PS",('Revenue Input'!$B$6/SUM($C$3:$C$231)),IF(ISERR(F170/C170),0,(F170/C170)))</f>
        <v>7.2344179438402385</v>
      </c>
      <c r="H170" s="148">
        <f ca="1">((IF(G170&gt;0,G170,VLOOKUP(A170,'Nearest Location Prices'!$M$1:$O$231,3,FALSE))))</f>
        <v>7.2344179438402385</v>
      </c>
      <c r="I170" s="171"/>
      <c r="K170" s="171"/>
      <c r="L170" s="145">
        <f ca="1">(IF(B170="STORAGE SITE",((100-'User Inputs'!$D$37)/100)*H170/'User Inputs'!$D$7,(IF(B170="INTERCONNECTOR",((100-'User Inputs'!$D$39)/100)*H170/'User Inputs'!$D$7,H170/'User Inputs'!$D$7))))</f>
        <v>1.9820323133808871E-2</v>
      </c>
      <c r="M170" s="147" t="s">
        <v>428</v>
      </c>
      <c r="N170" s="147" t="s">
        <v>428</v>
      </c>
      <c r="O170" s="145">
        <f ca="1">(IF(B170="STORAGE SITE",((100-'User Inputs'!$D$37)/100)* 'User Inputs'!$D$27*'Exit Prices'!H170/'User Inputs'!$D$7, IF(B170="INTERCONNECTOR", ((100-'User Inputs'!$D$39)/100)*'User Inputs'!$D$33*'Exit Prices'!H170/'User Inputs'!$D$7,  'User Inputs'!$D$27*'Exit Prices'!H170/'User Inputs'!$D$7)))</f>
        <v>1.9820323133808871E-2</v>
      </c>
      <c r="P170" s="147" t="s">
        <v>428</v>
      </c>
      <c r="Q170" s="145">
        <f ca="1">(100-(VLOOKUP(A170,'Exit Interruption Prob''s'!$A:$E,5,FALSE)))*O170/100</f>
        <v>1.7838290820427986E-2</v>
      </c>
    </row>
    <row r="171" spans="1:17">
      <c r="A171" s="2" t="s">
        <v>189</v>
      </c>
      <c r="B171" s="12" t="str">
        <f>VLOOKUP(A171,'Locations &amp; Types'!$E:$I,5,FALSE)</f>
        <v>POWER STATION</v>
      </c>
      <c r="C171" s="39">
        <f ca="1">(VLOOKUP(A171, INDIRECT("'"&amp;'Drop Down Inputs'!$B$10&amp;"'!"&amp;" $A:$H"),MATCH('User Inputs'!$D$19, INDIRECT("'"&amp;'Drop Down Inputs'!$B$10&amp;"'!"&amp;"$A$1:$H$1"),0), FALSE))*'User Inputs'!$D$20/100</f>
        <v>12349999</v>
      </c>
      <c r="D171" s="146">
        <f t="array" aca="1" ref="D171" ca="1">SUMPRODUCT('Entry Prices'!$C$3:$C$29, TRANSPOSE(INDEX('Distance Matrix'!$C$3:$AC$231,MATCH(A171,'Distance Matrix'!$B$3:$B$231,0),0)) /SUM('Entry Prices'!$C$3:$C$29))</f>
        <v>449.85223446239917</v>
      </c>
      <c r="E171" s="145">
        <f t="shared" ca="1" si="2"/>
        <v>2.1277441770945066E-3</v>
      </c>
      <c r="F171" s="39">
        <f ca="1">E171*'Revenue Input'!$B$6</f>
        <v>99977454.12480402</v>
      </c>
      <c r="G171" s="148">
        <f ca="1">IF('User Inputs'!$D$4="PS",('Revenue Input'!$B$6/SUM($C$3:$C$231)),IF(ISERR(F171/C171),0,(F171/C171)))</f>
        <v>7.2344179438402385</v>
      </c>
      <c r="H171" s="148">
        <f ca="1">((IF(G171&gt;0,G171,VLOOKUP(A171,'Nearest Location Prices'!$M$1:$O$231,3,FALSE))))</f>
        <v>7.2344179438402385</v>
      </c>
      <c r="I171" s="171"/>
      <c r="K171" s="171"/>
      <c r="L171" s="145">
        <f ca="1">(IF(B171="STORAGE SITE",((100-'User Inputs'!$D$37)/100)*H171/'User Inputs'!$D$7,(IF(B171="INTERCONNECTOR",((100-'User Inputs'!$D$39)/100)*H171/'User Inputs'!$D$7,H171/'User Inputs'!$D$7))))</f>
        <v>1.9820323133808871E-2</v>
      </c>
      <c r="M171" s="147" t="s">
        <v>428</v>
      </c>
      <c r="N171" s="147" t="s">
        <v>428</v>
      </c>
      <c r="O171" s="145">
        <f ca="1">(IF(B171="STORAGE SITE",((100-'User Inputs'!$D$37)/100)* 'User Inputs'!$D$27*'Exit Prices'!H171/'User Inputs'!$D$7, IF(B171="INTERCONNECTOR", ((100-'User Inputs'!$D$39)/100)*'User Inputs'!$D$33*'Exit Prices'!H171/'User Inputs'!$D$7,  'User Inputs'!$D$27*'Exit Prices'!H171/'User Inputs'!$D$7)))</f>
        <v>1.9820323133808871E-2</v>
      </c>
      <c r="P171" s="147" t="s">
        <v>428</v>
      </c>
      <c r="Q171" s="145">
        <f ca="1">(100-(VLOOKUP(A171,'Exit Interruption Prob''s'!$A:$E,5,FALSE)))*O171/100</f>
        <v>1.7838290820427986E-2</v>
      </c>
    </row>
    <row r="172" spans="1:17">
      <c r="A172" s="2" t="s">
        <v>190</v>
      </c>
      <c r="B172" s="12" t="str">
        <f>VLOOKUP(A172,'Locations &amp; Types'!$E:$I,5,FALSE)</f>
        <v>INDUSTRIAL</v>
      </c>
      <c r="C172" s="39">
        <f ca="1">(VLOOKUP(A172, INDIRECT("'"&amp;'Drop Down Inputs'!$B$10&amp;"'!"&amp;" $A:$H"),MATCH('User Inputs'!$D$19, INDIRECT("'"&amp;'Drop Down Inputs'!$B$10&amp;"'!"&amp;"$A$1:$H$1"),0), FALSE))*'User Inputs'!$D$20/100</f>
        <v>11732444</v>
      </c>
      <c r="D172" s="146">
        <f t="array" aca="1" ref="D172" ca="1">SUMPRODUCT('Entry Prices'!$C$3:$C$29, TRANSPOSE(INDEX('Distance Matrix'!$C$3:$AC$231,MATCH(A172,'Distance Matrix'!$B$3:$B$231,0),0)) /SUM('Entry Prices'!$C$3:$C$29))</f>
        <v>398.58400476926658</v>
      </c>
      <c r="E172" s="145">
        <f t="shared" ca="1" si="2"/>
        <v>1.7909809342225699E-3</v>
      </c>
      <c r="F172" s="39">
        <f ca="1">E172*'Revenue Input'!$B$6</f>
        <v>84153779.4426696</v>
      </c>
      <c r="G172" s="148">
        <f ca="1">IF('User Inputs'!$D$4="PS",('Revenue Input'!$B$6/SUM($C$3:$C$231)),IF(ISERR(F172/C172),0,(F172/C172)))</f>
        <v>7.2344179438402385</v>
      </c>
      <c r="H172" s="148">
        <f ca="1">((IF(G172&gt;0,G172,VLOOKUP(A172,'Nearest Location Prices'!$M$1:$O$231,3,FALSE))))</f>
        <v>7.2344179438402385</v>
      </c>
      <c r="I172" s="171"/>
      <c r="K172" s="171"/>
      <c r="L172" s="145">
        <f ca="1">(IF(B172="STORAGE SITE",((100-'User Inputs'!$D$37)/100)*H172/'User Inputs'!$D$7,(IF(B172="INTERCONNECTOR",((100-'User Inputs'!$D$39)/100)*H172/'User Inputs'!$D$7,H172/'User Inputs'!$D$7))))</f>
        <v>1.9820323133808871E-2</v>
      </c>
      <c r="M172" s="147" t="s">
        <v>428</v>
      </c>
      <c r="N172" s="147" t="s">
        <v>428</v>
      </c>
      <c r="O172" s="145">
        <f ca="1">(IF(B172="STORAGE SITE",((100-'User Inputs'!$D$37)/100)* 'User Inputs'!$D$27*'Exit Prices'!H172/'User Inputs'!$D$7, IF(B172="INTERCONNECTOR", ((100-'User Inputs'!$D$39)/100)*'User Inputs'!$D$33*'Exit Prices'!H172/'User Inputs'!$D$7,  'User Inputs'!$D$27*'Exit Prices'!H172/'User Inputs'!$D$7)))</f>
        <v>1.9820323133808871E-2</v>
      </c>
      <c r="P172" s="147" t="s">
        <v>428</v>
      </c>
      <c r="Q172" s="145">
        <f ca="1">(100-(VLOOKUP(A172,'Exit Interruption Prob''s'!$A:$E,5,FALSE)))*O172/100</f>
        <v>1.7838290820427986E-2</v>
      </c>
    </row>
    <row r="173" spans="1:17">
      <c r="A173" s="2" t="s">
        <v>191</v>
      </c>
      <c r="B173" s="12" t="str">
        <f>VLOOKUP(A173,'Locations &amp; Types'!$E:$I,5,FALSE)</f>
        <v>DNO</v>
      </c>
      <c r="C173" s="39">
        <f ca="1">(VLOOKUP(A173, INDIRECT("'"&amp;'Drop Down Inputs'!$B$10&amp;"'!"&amp;" $A:$H"),MATCH('User Inputs'!$D$19, INDIRECT("'"&amp;'Drop Down Inputs'!$B$10&amp;"'!"&amp;"$A$1:$H$1"),0), FALSE))*'User Inputs'!$D$20/100</f>
        <v>29781236</v>
      </c>
      <c r="D173" s="146">
        <f t="array" aca="1" ref="D173" ca="1">SUMPRODUCT('Entry Prices'!$C$3:$C$29, TRANSPOSE(INDEX('Distance Matrix'!$C$3:$AC$231,MATCH(A173,'Distance Matrix'!$B$3:$B$231,0),0)) /SUM('Entry Prices'!$C$3:$C$29))</f>
        <v>417.56301283171575</v>
      </c>
      <c r="E173" s="145">
        <f t="shared" ca="1" si="2"/>
        <v>4.7626355226219937E-3</v>
      </c>
      <c r="F173" s="39">
        <f ca="1">E173*'Revenue Input'!$B$6</f>
        <v>223784503.60809201</v>
      </c>
      <c r="G173" s="148">
        <f ca="1">IF('User Inputs'!$D$4="PS",('Revenue Input'!$B$6/SUM($C$3:$C$231)),IF(ISERR(F173/C173),0,(F173/C173)))</f>
        <v>7.2344179438402385</v>
      </c>
      <c r="H173" s="148">
        <f ca="1">((IF(G173&gt;0,G173,VLOOKUP(A173,'Nearest Location Prices'!$M$1:$O$231,3,FALSE))))</f>
        <v>7.2344179438402385</v>
      </c>
      <c r="I173" s="171"/>
      <c r="K173" s="171"/>
      <c r="L173" s="145">
        <f ca="1">(IF(B173="STORAGE SITE",((100-'User Inputs'!$D$37)/100)*H173/'User Inputs'!$D$7,(IF(B173="INTERCONNECTOR",((100-'User Inputs'!$D$39)/100)*H173/'User Inputs'!$D$7,H173/'User Inputs'!$D$7))))</f>
        <v>1.9820323133808871E-2</v>
      </c>
      <c r="M173" s="147" t="s">
        <v>428</v>
      </c>
      <c r="N173" s="147" t="s">
        <v>428</v>
      </c>
      <c r="O173" s="145">
        <f ca="1">(IF(B173="STORAGE SITE",((100-'User Inputs'!$D$37)/100)* 'User Inputs'!$D$27*'Exit Prices'!H173/'User Inputs'!$D$7, IF(B173="INTERCONNECTOR", ((100-'User Inputs'!$D$39)/100)*'User Inputs'!$D$33*'Exit Prices'!H173/'User Inputs'!$D$7,  'User Inputs'!$D$27*'Exit Prices'!H173/'User Inputs'!$D$7)))</f>
        <v>1.9820323133808871E-2</v>
      </c>
      <c r="P173" s="147" t="s">
        <v>428</v>
      </c>
      <c r="Q173" s="145">
        <f ca="1">(100-(VLOOKUP(A173,'Exit Interruption Prob''s'!$A:$E,5,FALSE)))*O173/100</f>
        <v>1.7838290820427986E-2</v>
      </c>
    </row>
    <row r="174" spans="1:17">
      <c r="A174" s="2" t="s">
        <v>192</v>
      </c>
      <c r="B174" s="12" t="str">
        <f>VLOOKUP(A174,'Locations &amp; Types'!$E:$I,5,FALSE)</f>
        <v>INDUSTRIAL</v>
      </c>
      <c r="C174" s="39">
        <f ca="1">(VLOOKUP(A174, INDIRECT("'"&amp;'Drop Down Inputs'!$B$10&amp;"'!"&amp;" $A:$H"),MATCH('User Inputs'!$D$19, INDIRECT("'"&amp;'Drop Down Inputs'!$B$10&amp;"'!"&amp;"$A$1:$H$1"),0), FALSE))*'User Inputs'!$D$20/100</f>
        <v>247671.23287671234</v>
      </c>
      <c r="D174" s="146">
        <f t="array" aca="1" ref="D174" ca="1">SUMPRODUCT('Entry Prices'!$C$3:$C$29, TRANSPOSE(INDEX('Distance Matrix'!$C$3:$AC$231,MATCH(A174,'Distance Matrix'!$B$3:$B$231,0),0)) /SUM('Entry Prices'!$C$3:$C$29))</f>
        <v>402.38956638822947</v>
      </c>
      <c r="E174" s="145">
        <f t="shared" ca="1" si="2"/>
        <v>3.8168481615098054E-5</v>
      </c>
      <c r="F174" s="39">
        <f ca="1">E174*'Revenue Input'!$B$6</f>
        <v>1793442.8681636564</v>
      </c>
      <c r="G174" s="148">
        <f ca="1">IF('User Inputs'!$D$4="PS",('Revenue Input'!$B$6/SUM($C$3:$C$231)),IF(ISERR(F174/C174),0,(F174/C174)))</f>
        <v>7.2344179438402385</v>
      </c>
      <c r="H174" s="148">
        <f ca="1">((IF(G174&gt;0,G174,VLOOKUP(A174,'Nearest Location Prices'!$M$1:$O$231,3,FALSE))))</f>
        <v>7.2344179438402385</v>
      </c>
      <c r="I174" s="171"/>
      <c r="K174" s="171"/>
      <c r="L174" s="145">
        <f ca="1">(IF(B174="STORAGE SITE",((100-'User Inputs'!$D$37)/100)*H174/'User Inputs'!$D$7,(IF(B174="INTERCONNECTOR",((100-'User Inputs'!$D$39)/100)*H174/'User Inputs'!$D$7,H174/'User Inputs'!$D$7))))</f>
        <v>1.9820323133808871E-2</v>
      </c>
      <c r="M174" s="147" t="s">
        <v>428</v>
      </c>
      <c r="N174" s="147" t="s">
        <v>428</v>
      </c>
      <c r="O174" s="145">
        <f ca="1">(IF(B174="STORAGE SITE",((100-'User Inputs'!$D$37)/100)* 'User Inputs'!$D$27*'Exit Prices'!H174/'User Inputs'!$D$7, IF(B174="INTERCONNECTOR", ((100-'User Inputs'!$D$39)/100)*'User Inputs'!$D$33*'Exit Prices'!H174/'User Inputs'!$D$7,  'User Inputs'!$D$27*'Exit Prices'!H174/'User Inputs'!$D$7)))</f>
        <v>1.9820323133808871E-2</v>
      </c>
      <c r="P174" s="147" t="s">
        <v>428</v>
      </c>
      <c r="Q174" s="145">
        <f ca="1">(100-(VLOOKUP(A174,'Exit Interruption Prob''s'!$A:$E,5,FALSE)))*O174/100</f>
        <v>1.7838290820427986E-2</v>
      </c>
    </row>
    <row r="175" spans="1:17">
      <c r="A175" s="2" t="s">
        <v>193</v>
      </c>
      <c r="B175" s="12" t="str">
        <f>VLOOKUP(A175,'Locations &amp; Types'!$E:$I,5,FALSE)</f>
        <v>DNO</v>
      </c>
      <c r="C175" s="39">
        <f ca="1">(VLOOKUP(A175, INDIRECT("'"&amp;'Drop Down Inputs'!$B$10&amp;"'!"&amp;" $A:$H"),MATCH('User Inputs'!$D$19, INDIRECT("'"&amp;'Drop Down Inputs'!$B$10&amp;"'!"&amp;"$A$1:$H$1"),0), FALSE))*'User Inputs'!$D$20/100</f>
        <v>100000</v>
      </c>
      <c r="D175" s="146">
        <f t="array" aca="1" ref="D175" ca="1">SUMPRODUCT('Entry Prices'!$C$3:$C$29, TRANSPOSE(INDEX('Distance Matrix'!$C$3:$AC$231,MATCH(A175,'Distance Matrix'!$B$3:$B$231,0),0)) /SUM('Entry Prices'!$C$3:$C$29))</f>
        <v>350.00169098567113</v>
      </c>
      <c r="E175" s="145">
        <f t="shared" ca="1" si="2"/>
        <v>1.3404565735982421E-5</v>
      </c>
      <c r="F175" s="39">
        <f ca="1">E175*'Revenue Input'!$B$6</f>
        <v>629847.50251419796</v>
      </c>
      <c r="G175" s="148">
        <f ca="1">IF('User Inputs'!$D$4="PS",('Revenue Input'!$B$6/SUM($C$3:$C$231)),IF(ISERR(F175/C175),0,(F175/C175)))</f>
        <v>7.2344179438402385</v>
      </c>
      <c r="H175" s="148">
        <f ca="1">((IF(G175&gt;0,G175,VLOOKUP(A175,'Nearest Location Prices'!$M$1:$O$231,3,FALSE))))</f>
        <v>7.2344179438402385</v>
      </c>
      <c r="I175" s="171"/>
      <c r="K175" s="171"/>
      <c r="L175" s="145">
        <f ca="1">(IF(B175="STORAGE SITE",((100-'User Inputs'!$D$37)/100)*H175/'User Inputs'!$D$7,(IF(B175="INTERCONNECTOR",((100-'User Inputs'!$D$39)/100)*H175/'User Inputs'!$D$7,H175/'User Inputs'!$D$7))))</f>
        <v>1.9820323133808871E-2</v>
      </c>
      <c r="M175" s="147" t="s">
        <v>428</v>
      </c>
      <c r="N175" s="147" t="s">
        <v>428</v>
      </c>
      <c r="O175" s="145">
        <f ca="1">(IF(B175="STORAGE SITE",((100-'User Inputs'!$D$37)/100)* 'User Inputs'!$D$27*'Exit Prices'!H175/'User Inputs'!$D$7, IF(B175="INTERCONNECTOR", ((100-'User Inputs'!$D$39)/100)*'User Inputs'!$D$33*'Exit Prices'!H175/'User Inputs'!$D$7,  'User Inputs'!$D$27*'Exit Prices'!H175/'User Inputs'!$D$7)))</f>
        <v>1.9820323133808871E-2</v>
      </c>
      <c r="P175" s="147" t="s">
        <v>428</v>
      </c>
      <c r="Q175" s="145">
        <f ca="1">(100-(VLOOKUP(A175,'Exit Interruption Prob''s'!$A:$E,5,FALSE)))*O175/100</f>
        <v>1.7838290820427986E-2</v>
      </c>
    </row>
    <row r="176" spans="1:17">
      <c r="A176" s="2" t="s">
        <v>194</v>
      </c>
      <c r="B176" s="12" t="str">
        <f>VLOOKUP(A176,'Locations &amp; Types'!$E:$I,5,FALSE)</f>
        <v>DNO</v>
      </c>
      <c r="C176" s="39">
        <f ca="1">(VLOOKUP(A176, INDIRECT("'"&amp;'Drop Down Inputs'!$B$10&amp;"'!"&amp;" $A:$H"),MATCH('User Inputs'!$D$19, INDIRECT("'"&amp;'Drop Down Inputs'!$B$10&amp;"'!"&amp;"$A$1:$H$1"),0), FALSE))*'User Inputs'!$D$20/100</f>
        <v>2203090</v>
      </c>
      <c r="D176" s="146">
        <f t="array" aca="1" ref="D176" ca="1">SUMPRODUCT('Entry Prices'!$C$3:$C$29, TRANSPOSE(INDEX('Distance Matrix'!$C$3:$AC$231,MATCH(A176,'Distance Matrix'!$B$3:$B$231,0),0)) /SUM('Entry Prices'!$C$3:$C$29))</f>
        <v>291.64077069425502</v>
      </c>
      <c r="E176" s="145">
        <f t="shared" ca="1" si="2"/>
        <v>2.4607250063681403E-4</v>
      </c>
      <c r="F176" s="39">
        <f ca="1">E176*'Revenue Input'!$B$6</f>
        <v>11562340.251536811</v>
      </c>
      <c r="G176" s="148">
        <f ca="1">IF('User Inputs'!$D$4="PS",('Revenue Input'!$B$6/SUM($C$3:$C$231)),IF(ISERR(F176/C176),0,(F176/C176)))</f>
        <v>7.2344179438402385</v>
      </c>
      <c r="H176" s="148">
        <f ca="1">((IF(G176&gt;0,G176,VLOOKUP(A176,'Nearest Location Prices'!$M$1:$O$231,3,FALSE))))</f>
        <v>7.2344179438402385</v>
      </c>
      <c r="I176" s="171"/>
      <c r="K176" s="171"/>
      <c r="L176" s="145">
        <f ca="1">(IF(B176="STORAGE SITE",((100-'User Inputs'!$D$37)/100)*H176/'User Inputs'!$D$7,(IF(B176="INTERCONNECTOR",((100-'User Inputs'!$D$39)/100)*H176/'User Inputs'!$D$7,H176/'User Inputs'!$D$7))))</f>
        <v>1.9820323133808871E-2</v>
      </c>
      <c r="M176" s="147" t="s">
        <v>428</v>
      </c>
      <c r="N176" s="147" t="s">
        <v>428</v>
      </c>
      <c r="O176" s="145">
        <f ca="1">(IF(B176="STORAGE SITE",((100-'User Inputs'!$D$37)/100)* 'User Inputs'!$D$27*'Exit Prices'!H176/'User Inputs'!$D$7, IF(B176="INTERCONNECTOR", ((100-'User Inputs'!$D$39)/100)*'User Inputs'!$D$33*'Exit Prices'!H176/'User Inputs'!$D$7,  'User Inputs'!$D$27*'Exit Prices'!H176/'User Inputs'!$D$7)))</f>
        <v>1.9820323133808871E-2</v>
      </c>
      <c r="P176" s="147" t="s">
        <v>428</v>
      </c>
      <c r="Q176" s="145">
        <f ca="1">(100-(VLOOKUP(A176,'Exit Interruption Prob''s'!$A:$E,5,FALSE)))*O176/100</f>
        <v>1.7838290820427986E-2</v>
      </c>
    </row>
    <row r="177" spans="1:17">
      <c r="A177" s="2" t="s">
        <v>195</v>
      </c>
      <c r="B177" s="12" t="str">
        <f>VLOOKUP(A177,'Locations &amp; Types'!$E:$I,5,FALSE)</f>
        <v>DNO</v>
      </c>
      <c r="C177" s="39">
        <f ca="1">(VLOOKUP(A177, INDIRECT("'"&amp;'Drop Down Inputs'!$B$10&amp;"'!"&amp;" $A:$H"),MATCH('User Inputs'!$D$19, INDIRECT("'"&amp;'Drop Down Inputs'!$B$10&amp;"'!"&amp;"$A$1:$H$1"),0), FALSE))*'User Inputs'!$D$20/100</f>
        <v>10726995</v>
      </c>
      <c r="D177" s="146">
        <f t="array" aca="1" ref="D177" ca="1">SUMPRODUCT('Entry Prices'!$C$3:$C$29, TRANSPOSE(INDEX('Distance Matrix'!$C$3:$AC$231,MATCH(A177,'Distance Matrix'!$B$3:$B$231,0),0)) /SUM('Entry Prices'!$C$3:$C$29))</f>
        <v>511.27224052782606</v>
      </c>
      <c r="E177" s="145">
        <f t="shared" ca="1" si="2"/>
        <v>2.1004526598450077E-3</v>
      </c>
      <c r="F177" s="39">
        <f ca="1">E177*'Revenue Input'!$B$6</f>
        <v>98695093.001140192</v>
      </c>
      <c r="G177" s="148">
        <f ca="1">IF('User Inputs'!$D$4="PS",('Revenue Input'!$B$6/SUM($C$3:$C$231)),IF(ISERR(F177/C177),0,(F177/C177)))</f>
        <v>7.2344179438402385</v>
      </c>
      <c r="H177" s="148">
        <f ca="1">((IF(G177&gt;0,G177,VLOOKUP(A177,'Nearest Location Prices'!$M$1:$O$231,3,FALSE))))</f>
        <v>7.2344179438402385</v>
      </c>
      <c r="I177" s="171"/>
      <c r="K177" s="171"/>
      <c r="L177" s="145">
        <f ca="1">(IF(B177="STORAGE SITE",((100-'User Inputs'!$D$37)/100)*H177/'User Inputs'!$D$7,(IF(B177="INTERCONNECTOR",((100-'User Inputs'!$D$39)/100)*H177/'User Inputs'!$D$7,H177/'User Inputs'!$D$7))))</f>
        <v>1.9820323133808871E-2</v>
      </c>
      <c r="M177" s="147" t="s">
        <v>428</v>
      </c>
      <c r="N177" s="147" t="s">
        <v>428</v>
      </c>
      <c r="O177" s="145">
        <f ca="1">(IF(B177="STORAGE SITE",((100-'User Inputs'!$D$37)/100)* 'User Inputs'!$D$27*'Exit Prices'!H177/'User Inputs'!$D$7, IF(B177="INTERCONNECTOR", ((100-'User Inputs'!$D$39)/100)*'User Inputs'!$D$33*'Exit Prices'!H177/'User Inputs'!$D$7,  'User Inputs'!$D$27*'Exit Prices'!H177/'User Inputs'!$D$7)))</f>
        <v>1.9820323133808871E-2</v>
      </c>
      <c r="P177" s="147" t="s">
        <v>428</v>
      </c>
      <c r="Q177" s="145">
        <f ca="1">(100-(VLOOKUP(A177,'Exit Interruption Prob''s'!$A:$E,5,FALSE)))*O177/100</f>
        <v>1.7838290820427986E-2</v>
      </c>
    </row>
    <row r="178" spans="1:17">
      <c r="A178" s="2" t="s">
        <v>196</v>
      </c>
      <c r="B178" s="12" t="str">
        <f>VLOOKUP(A178,'Locations &amp; Types'!$E:$I,5,FALSE)</f>
        <v>POWER STATION</v>
      </c>
      <c r="C178" s="39">
        <f ca="1">(VLOOKUP(A178, INDIRECT("'"&amp;'Drop Down Inputs'!$B$10&amp;"'!"&amp;" $A:$H"),MATCH('User Inputs'!$D$19, INDIRECT("'"&amp;'Drop Down Inputs'!$B$10&amp;"'!"&amp;"$A$1:$H$1"),0), FALSE))*'User Inputs'!$D$20/100</f>
        <v>178806.35616438361</v>
      </c>
      <c r="D178" s="146">
        <f t="array" aca="1" ref="D178" ca="1">SUMPRODUCT('Entry Prices'!$C$3:$C$29, TRANSPOSE(INDEX('Distance Matrix'!$C$3:$AC$231,MATCH(A178,'Distance Matrix'!$B$3:$B$231,0),0)) /SUM('Entry Prices'!$C$3:$C$29))</f>
        <v>296.1151534880139</v>
      </c>
      <c r="E178" s="145">
        <f t="shared" ca="1" si="2"/>
        <v>2.0278050106206718E-5</v>
      </c>
      <c r="F178" s="39">
        <f ca="1">E178*'Revenue Input'!$B$6</f>
        <v>952815.59036019014</v>
      </c>
      <c r="G178" s="148">
        <f ca="1">IF('User Inputs'!$D$4="PS",('Revenue Input'!$B$6/SUM($C$3:$C$231)),IF(ISERR(F178/C178),0,(F178/C178)))</f>
        <v>7.2344179438402385</v>
      </c>
      <c r="H178" s="148">
        <f ca="1">((IF(G178&gt;0,G178,VLOOKUP(A178,'Nearest Location Prices'!$M$1:$O$231,3,FALSE))))</f>
        <v>7.2344179438402385</v>
      </c>
      <c r="I178" s="171"/>
      <c r="K178" s="171"/>
      <c r="L178" s="145">
        <f ca="1">(IF(B178="STORAGE SITE",((100-'User Inputs'!$D$37)/100)*H178/'User Inputs'!$D$7,(IF(B178="INTERCONNECTOR",((100-'User Inputs'!$D$39)/100)*H178/'User Inputs'!$D$7,H178/'User Inputs'!$D$7))))</f>
        <v>1.9820323133808871E-2</v>
      </c>
      <c r="M178" s="147" t="s">
        <v>428</v>
      </c>
      <c r="N178" s="147" t="s">
        <v>428</v>
      </c>
      <c r="O178" s="145">
        <f ca="1">(IF(B178="STORAGE SITE",((100-'User Inputs'!$D$37)/100)* 'User Inputs'!$D$27*'Exit Prices'!H178/'User Inputs'!$D$7, IF(B178="INTERCONNECTOR", ((100-'User Inputs'!$D$39)/100)*'User Inputs'!$D$33*'Exit Prices'!H178/'User Inputs'!$D$7,  'User Inputs'!$D$27*'Exit Prices'!H178/'User Inputs'!$D$7)))</f>
        <v>1.9820323133808871E-2</v>
      </c>
      <c r="P178" s="147" t="s">
        <v>428</v>
      </c>
      <c r="Q178" s="145">
        <f ca="1">(100-(VLOOKUP(A178,'Exit Interruption Prob''s'!$A:$E,5,FALSE)))*O178/100</f>
        <v>1.7838290820427986E-2</v>
      </c>
    </row>
    <row r="179" spans="1:17">
      <c r="A179" s="2" t="s">
        <v>21</v>
      </c>
      <c r="B179" s="12" t="str">
        <f>VLOOKUP(A179,'Locations &amp; Types'!$E:$I,5,FALSE)</f>
        <v>DNO</v>
      </c>
      <c r="C179" s="39">
        <f ca="1">(VLOOKUP(A179, INDIRECT("'"&amp;'Drop Down Inputs'!$B$10&amp;"'!"&amp;" $A:$H"),MATCH('User Inputs'!$D$19, INDIRECT("'"&amp;'Drop Down Inputs'!$B$10&amp;"'!"&amp;"$A$1:$H$1"),0), FALSE))*'User Inputs'!$D$20/100</f>
        <v>1316850</v>
      </c>
      <c r="D179" s="146">
        <f t="array" aca="1" ref="D179" ca="1">SUMPRODUCT('Entry Prices'!$C$3:$C$29, TRANSPOSE(INDEX('Distance Matrix'!$C$3:$AC$231,MATCH(A179,'Distance Matrix'!$B$3:$B$231,0),0)) /SUM('Entry Prices'!$C$3:$C$29))</f>
        <v>657.75857619711337</v>
      </c>
      <c r="E179" s="145">
        <f t="shared" ca="1" si="2"/>
        <v>3.3173052319506065E-4</v>
      </c>
      <c r="F179" s="39">
        <f ca="1">E179*'Revenue Input'!$B$6</f>
        <v>15587199.589858549</v>
      </c>
      <c r="G179" s="148">
        <f ca="1">IF('User Inputs'!$D$4="PS",('Revenue Input'!$B$6/SUM($C$3:$C$231)),IF(ISERR(F179/C179),0,(F179/C179)))</f>
        <v>7.2344179438402385</v>
      </c>
      <c r="H179" s="148">
        <f ca="1">((IF(G179&gt;0,G179,VLOOKUP(A179,'Nearest Location Prices'!$M$1:$O$231,3,FALSE))))</f>
        <v>7.2344179438402385</v>
      </c>
      <c r="I179" s="171"/>
      <c r="K179" s="171"/>
      <c r="L179" s="145">
        <f ca="1">(IF(B179="STORAGE SITE",((100-'User Inputs'!$D$37)/100)*H179/'User Inputs'!$D$7,(IF(B179="INTERCONNECTOR",((100-'User Inputs'!$D$39)/100)*H179/'User Inputs'!$D$7,H179/'User Inputs'!$D$7))))</f>
        <v>1.9820323133808871E-2</v>
      </c>
      <c r="M179" s="147" t="s">
        <v>428</v>
      </c>
      <c r="N179" s="147" t="s">
        <v>428</v>
      </c>
      <c r="O179" s="145">
        <f ca="1">(IF(B179="STORAGE SITE",((100-'User Inputs'!$D$37)/100)* 'User Inputs'!$D$27*'Exit Prices'!H179/'User Inputs'!$D$7, IF(B179="INTERCONNECTOR", ((100-'User Inputs'!$D$39)/100)*'User Inputs'!$D$33*'Exit Prices'!H179/'User Inputs'!$D$7,  'User Inputs'!$D$27*'Exit Prices'!H179/'User Inputs'!$D$7)))</f>
        <v>1.9820323133808871E-2</v>
      </c>
      <c r="P179" s="147" t="s">
        <v>428</v>
      </c>
      <c r="Q179" s="145">
        <f ca="1">(100-(VLOOKUP(A179,'Exit Interruption Prob''s'!$A:$E,5,FALSE)))*O179/100</f>
        <v>1.7838290820427986E-2</v>
      </c>
    </row>
    <row r="180" spans="1:17">
      <c r="A180" s="2" t="s">
        <v>197</v>
      </c>
      <c r="B180" s="12" t="str">
        <f>VLOOKUP(A180,'Locations &amp; Types'!$E:$I,5,FALSE)</f>
        <v>POWER STATION</v>
      </c>
      <c r="C180" s="39">
        <f ca="1">(VLOOKUP(A180, INDIRECT("'"&amp;'Drop Down Inputs'!$B$10&amp;"'!"&amp;" $A:$H"),MATCH('User Inputs'!$D$19, INDIRECT("'"&amp;'Drop Down Inputs'!$B$10&amp;"'!"&amp;"$A$1:$H$1"),0), FALSE))*'User Inputs'!$D$20/100</f>
        <v>73267750</v>
      </c>
      <c r="D180" s="146">
        <f t="array" aca="1" ref="D180" ca="1">SUMPRODUCT('Entry Prices'!$C$3:$C$29, TRANSPOSE(INDEX('Distance Matrix'!$C$3:$AC$231,MATCH(A180,'Distance Matrix'!$B$3:$B$231,0),0)) /SUM('Entry Prices'!$C$3:$C$29))</f>
        <v>657.75857619711337</v>
      </c>
      <c r="E180" s="145">
        <f t="shared" ca="1" si="2"/>
        <v>1.8457036899286103E-2</v>
      </c>
      <c r="F180" s="39">
        <f ca="1">E180*'Revenue Input'!$B$6</f>
        <v>867250668.45112109</v>
      </c>
      <c r="G180" s="148">
        <f ca="1">IF('User Inputs'!$D$4="PS",('Revenue Input'!$B$6/SUM($C$3:$C$231)),IF(ISERR(F180/C180),0,(F180/C180)))</f>
        <v>7.2344179438402385</v>
      </c>
      <c r="H180" s="148">
        <f ca="1">((IF(G180&gt;0,G180,VLOOKUP(A180,'Nearest Location Prices'!$M$1:$O$231,3,FALSE))))</f>
        <v>7.2344179438402385</v>
      </c>
      <c r="I180" s="171"/>
      <c r="K180" s="171"/>
      <c r="L180" s="145">
        <f ca="1">(IF(B180="STORAGE SITE",((100-'User Inputs'!$D$37)/100)*H180/'User Inputs'!$D$7,(IF(B180="INTERCONNECTOR",((100-'User Inputs'!$D$39)/100)*H180/'User Inputs'!$D$7,H180/'User Inputs'!$D$7))))</f>
        <v>1.9820323133808871E-2</v>
      </c>
      <c r="M180" s="147" t="s">
        <v>428</v>
      </c>
      <c r="N180" s="147" t="s">
        <v>428</v>
      </c>
      <c r="O180" s="145">
        <f ca="1">(IF(B180="STORAGE SITE",((100-'User Inputs'!$D$37)/100)* 'User Inputs'!$D$27*'Exit Prices'!H180/'User Inputs'!$D$7, IF(B180="INTERCONNECTOR", ((100-'User Inputs'!$D$39)/100)*'User Inputs'!$D$33*'Exit Prices'!H180/'User Inputs'!$D$7,  'User Inputs'!$D$27*'Exit Prices'!H180/'User Inputs'!$D$7)))</f>
        <v>1.9820323133808871E-2</v>
      </c>
      <c r="P180" s="147" t="s">
        <v>428</v>
      </c>
      <c r="Q180" s="145">
        <f ca="1">(100-(VLOOKUP(A180,'Exit Interruption Prob''s'!$A:$E,5,FALSE)))*O180/100</f>
        <v>1.7838290820427986E-2</v>
      </c>
    </row>
    <row r="181" spans="1:17">
      <c r="A181" s="2" t="s">
        <v>198</v>
      </c>
      <c r="B181" s="12" t="str">
        <f>VLOOKUP(A181,'Locations &amp; Types'!$E:$I,5,FALSE)</f>
        <v>INDUSTRIAL</v>
      </c>
      <c r="C181" s="39">
        <f ca="1">(VLOOKUP(A181, INDIRECT("'"&amp;'Drop Down Inputs'!$B$10&amp;"'!"&amp;" $A:$H"),MATCH('User Inputs'!$D$19, INDIRECT("'"&amp;'Drop Down Inputs'!$B$10&amp;"'!"&amp;"$A$1:$H$1"),0), FALSE))*'User Inputs'!$D$20/100</f>
        <v>2583336</v>
      </c>
      <c r="D181" s="146">
        <f t="array" aca="1" ref="D181" ca="1">SUMPRODUCT('Entry Prices'!$C$3:$C$29, TRANSPOSE(INDEX('Distance Matrix'!$C$3:$AC$231,MATCH(A181,'Distance Matrix'!$B$3:$B$231,0),0)) /SUM('Entry Prices'!$C$3:$C$29))</f>
        <v>657.75857619711337</v>
      </c>
      <c r="E181" s="145">
        <f t="shared" ca="1" si="2"/>
        <v>6.5077374254367249E-4</v>
      </c>
      <c r="F181" s="39">
        <f ca="1">E181*'Revenue Input'!$B$6</f>
        <v>30578254.045386203</v>
      </c>
      <c r="G181" s="148">
        <f ca="1">IF('User Inputs'!$D$4="PS",('Revenue Input'!$B$6/SUM($C$3:$C$231)),IF(ISERR(F181/C181),0,(F181/C181)))</f>
        <v>7.2344179438402385</v>
      </c>
      <c r="H181" s="148">
        <f ca="1">((IF(G181&gt;0,G181,VLOOKUP(A181,'Nearest Location Prices'!$M$1:$O$231,3,FALSE))))</f>
        <v>7.2344179438402385</v>
      </c>
      <c r="I181" s="171"/>
      <c r="K181" s="171"/>
      <c r="L181" s="145">
        <f ca="1">(IF(B181="STORAGE SITE",((100-'User Inputs'!$D$37)/100)*H181/'User Inputs'!$D$7,(IF(B181="INTERCONNECTOR",((100-'User Inputs'!$D$39)/100)*H181/'User Inputs'!$D$7,H181/'User Inputs'!$D$7))))</f>
        <v>1.9820323133808871E-2</v>
      </c>
      <c r="M181" s="147" t="s">
        <v>428</v>
      </c>
      <c r="N181" s="147" t="s">
        <v>428</v>
      </c>
      <c r="O181" s="145">
        <f ca="1">(IF(B181="STORAGE SITE",((100-'User Inputs'!$D$37)/100)* 'User Inputs'!$D$27*'Exit Prices'!H181/'User Inputs'!$D$7, IF(B181="INTERCONNECTOR", ((100-'User Inputs'!$D$39)/100)*'User Inputs'!$D$33*'Exit Prices'!H181/'User Inputs'!$D$7,  'User Inputs'!$D$27*'Exit Prices'!H181/'User Inputs'!$D$7)))</f>
        <v>1.9820323133808871E-2</v>
      </c>
      <c r="P181" s="147" t="s">
        <v>428</v>
      </c>
      <c r="Q181" s="145">
        <f ca="1">(100-(VLOOKUP(A181,'Exit Interruption Prob''s'!$A:$E,5,FALSE)))*O181/100</f>
        <v>1.7838290820427986E-2</v>
      </c>
    </row>
    <row r="182" spans="1:17">
      <c r="A182" s="2" t="s">
        <v>199</v>
      </c>
      <c r="B182" s="12" t="str">
        <f>VLOOKUP(A182,'Locations &amp; Types'!$E:$I,5,FALSE)</f>
        <v>POWER STATION</v>
      </c>
      <c r="C182" s="39">
        <f ca="1">(VLOOKUP(A182, INDIRECT("'"&amp;'Drop Down Inputs'!$B$10&amp;"'!"&amp;" $A:$H"),MATCH('User Inputs'!$D$19, INDIRECT("'"&amp;'Drop Down Inputs'!$B$10&amp;"'!"&amp;"$A$1:$H$1"),0), FALSE))*'User Inputs'!$D$20/100</f>
        <v>17811878.082191776</v>
      </c>
      <c r="D182" s="146">
        <f t="array" aca="1" ref="D182" ca="1">SUMPRODUCT('Entry Prices'!$C$3:$C$29, TRANSPOSE(INDEX('Distance Matrix'!$C$3:$AC$231,MATCH(A182,'Distance Matrix'!$B$3:$B$231,0),0)) /SUM('Entry Prices'!$C$3:$C$29))</f>
        <v>329.05793388425207</v>
      </c>
      <c r="E182" s="145">
        <f t="shared" ca="1" si="2"/>
        <v>2.2447329760028312E-3</v>
      </c>
      <c r="F182" s="39">
        <f ca="1">E182*'Revenue Input'!$B$6</f>
        <v>105474469.41540369</v>
      </c>
      <c r="G182" s="148">
        <f ca="1">IF('User Inputs'!$D$4="PS",('Revenue Input'!$B$6/SUM($C$3:$C$231)),IF(ISERR(F182/C182),0,(F182/C182)))</f>
        <v>7.2344179438402385</v>
      </c>
      <c r="H182" s="148">
        <f ca="1">((IF(G182&gt;0,G182,VLOOKUP(A182,'Nearest Location Prices'!$M$1:$O$231,3,FALSE))))</f>
        <v>7.2344179438402385</v>
      </c>
      <c r="I182" s="171"/>
      <c r="K182" s="171"/>
      <c r="L182" s="145">
        <f ca="1">(IF(B182="STORAGE SITE",((100-'User Inputs'!$D$37)/100)*H182/'User Inputs'!$D$7,(IF(B182="INTERCONNECTOR",((100-'User Inputs'!$D$39)/100)*H182/'User Inputs'!$D$7,H182/'User Inputs'!$D$7))))</f>
        <v>1.9820323133808871E-2</v>
      </c>
      <c r="M182" s="147" t="s">
        <v>428</v>
      </c>
      <c r="N182" s="147" t="s">
        <v>428</v>
      </c>
      <c r="O182" s="145">
        <f ca="1">(IF(B182="STORAGE SITE",((100-'User Inputs'!$D$37)/100)* 'User Inputs'!$D$27*'Exit Prices'!H182/'User Inputs'!$D$7, IF(B182="INTERCONNECTOR", ((100-'User Inputs'!$D$39)/100)*'User Inputs'!$D$33*'Exit Prices'!H182/'User Inputs'!$D$7,  'User Inputs'!$D$27*'Exit Prices'!H182/'User Inputs'!$D$7)))</f>
        <v>1.9820323133808871E-2</v>
      </c>
      <c r="P182" s="147" t="s">
        <v>428</v>
      </c>
      <c r="Q182" s="145">
        <f ca="1">(100-(VLOOKUP(A182,'Exit Interruption Prob''s'!$A:$E,5,FALSE)))*O182/100</f>
        <v>1.7838290820427986E-2</v>
      </c>
    </row>
    <row r="183" spans="1:17">
      <c r="A183" s="2" t="s">
        <v>200</v>
      </c>
      <c r="B183" s="12" t="str">
        <f>VLOOKUP(A183,'Locations &amp; Types'!$E:$I,5,FALSE)</f>
        <v>POWER STATION</v>
      </c>
      <c r="C183" s="39">
        <f ca="1">(VLOOKUP(A183, INDIRECT("'"&amp;'Drop Down Inputs'!$B$10&amp;"'!"&amp;" $A:$H"),MATCH('User Inputs'!$D$19, INDIRECT("'"&amp;'Drop Down Inputs'!$B$10&amp;"'!"&amp;"$A$1:$H$1"),0), FALSE))*'User Inputs'!$D$20/100</f>
        <v>52700000</v>
      </c>
      <c r="D183" s="146">
        <f t="array" aca="1" ref="D183" ca="1">SUMPRODUCT('Entry Prices'!$C$3:$C$29, TRANSPOSE(INDEX('Distance Matrix'!$C$3:$AC$231,MATCH(A183,'Distance Matrix'!$B$3:$B$231,0),0)) /SUM('Entry Prices'!$C$3:$C$29))</f>
        <v>305.13491758177162</v>
      </c>
      <c r="E183" s="145">
        <f t="shared" ca="1" si="2"/>
        <v>6.1586444142960215E-3</v>
      </c>
      <c r="F183" s="39">
        <f ca="1">E183*'Revenue Input'!$B$6</f>
        <v>289379520.35288906</v>
      </c>
      <c r="G183" s="148">
        <f ca="1">IF('User Inputs'!$D$4="PS",('Revenue Input'!$B$6/SUM($C$3:$C$231)),IF(ISERR(F183/C183),0,(F183/C183)))</f>
        <v>7.2344179438402385</v>
      </c>
      <c r="H183" s="148">
        <f ca="1">((IF(G183&gt;0,G183,VLOOKUP(A183,'Nearest Location Prices'!$M$1:$O$231,3,FALSE))))</f>
        <v>7.2344179438402385</v>
      </c>
      <c r="I183" s="171"/>
      <c r="K183" s="171"/>
      <c r="L183" s="145">
        <f ca="1">(IF(B183="STORAGE SITE",((100-'User Inputs'!$D$37)/100)*H183/'User Inputs'!$D$7,(IF(B183="INTERCONNECTOR",((100-'User Inputs'!$D$39)/100)*H183/'User Inputs'!$D$7,H183/'User Inputs'!$D$7))))</f>
        <v>1.9820323133808871E-2</v>
      </c>
      <c r="M183" s="147" t="s">
        <v>428</v>
      </c>
      <c r="N183" s="147" t="s">
        <v>428</v>
      </c>
      <c r="O183" s="145">
        <f ca="1">(IF(B183="STORAGE SITE",((100-'User Inputs'!$D$37)/100)* 'User Inputs'!$D$27*'Exit Prices'!H183/'User Inputs'!$D$7, IF(B183="INTERCONNECTOR", ((100-'User Inputs'!$D$39)/100)*'User Inputs'!$D$33*'Exit Prices'!H183/'User Inputs'!$D$7,  'User Inputs'!$D$27*'Exit Prices'!H183/'User Inputs'!$D$7)))</f>
        <v>1.9820323133808871E-2</v>
      </c>
      <c r="P183" s="147" t="s">
        <v>428</v>
      </c>
      <c r="Q183" s="145">
        <f ca="1">(100-(VLOOKUP(A183,'Exit Interruption Prob''s'!$A:$E,5,FALSE)))*O183/100</f>
        <v>1.7838290820427986E-2</v>
      </c>
    </row>
    <row r="184" spans="1:17">
      <c r="A184" s="2" t="s">
        <v>201</v>
      </c>
      <c r="B184" s="12" t="str">
        <f>VLOOKUP(A184,'Locations &amp; Types'!$E:$I,5,FALSE)</f>
        <v>POWER STATION</v>
      </c>
      <c r="C184" s="39">
        <f ca="1">(VLOOKUP(A184, INDIRECT("'"&amp;'Drop Down Inputs'!$B$10&amp;"'!"&amp;" $A:$H"),MATCH('User Inputs'!$D$19, INDIRECT("'"&amp;'Drop Down Inputs'!$B$10&amp;"'!"&amp;"$A$1:$H$1"),0), FALSE))*'User Inputs'!$D$20/100</f>
        <v>11676634.109589024</v>
      </c>
      <c r="D184" s="146">
        <f t="array" aca="1" ref="D184" ca="1">SUMPRODUCT('Entry Prices'!$C$3:$C$29, TRANSPOSE(INDEX('Distance Matrix'!$C$3:$AC$231,MATCH(A184,'Distance Matrix'!$B$3:$B$231,0),0)) /SUM('Entry Prices'!$C$3:$C$29))</f>
        <v>410.69679856722411</v>
      </c>
      <c r="E184" s="145">
        <f t="shared" ca="1" si="2"/>
        <v>1.836629668001263E-3</v>
      </c>
      <c r="F184" s="39">
        <f ca="1">E184*'Revenue Input'!$B$6</f>
        <v>86298700.921644911</v>
      </c>
      <c r="G184" s="148">
        <f ca="1">IF('User Inputs'!$D$4="PS",('Revenue Input'!$B$6/SUM($C$3:$C$231)),IF(ISERR(F184/C184),0,(F184/C184)))</f>
        <v>7.2344179438402385</v>
      </c>
      <c r="H184" s="148">
        <f ca="1">((IF(G184&gt;0,G184,VLOOKUP(A184,'Nearest Location Prices'!$M$1:$O$231,3,FALSE))))</f>
        <v>7.2344179438402385</v>
      </c>
      <c r="I184" s="171"/>
      <c r="K184" s="171"/>
      <c r="L184" s="145">
        <f ca="1">(IF(B184="STORAGE SITE",((100-'User Inputs'!$D$37)/100)*H184/'User Inputs'!$D$7,(IF(B184="INTERCONNECTOR",((100-'User Inputs'!$D$39)/100)*H184/'User Inputs'!$D$7,H184/'User Inputs'!$D$7))))</f>
        <v>1.9820323133808871E-2</v>
      </c>
      <c r="M184" s="147" t="s">
        <v>428</v>
      </c>
      <c r="N184" s="147" t="s">
        <v>428</v>
      </c>
      <c r="O184" s="145">
        <f ca="1">(IF(B184="STORAGE SITE",((100-'User Inputs'!$D$37)/100)* 'User Inputs'!$D$27*'Exit Prices'!H184/'User Inputs'!$D$7, IF(B184="INTERCONNECTOR", ((100-'User Inputs'!$D$39)/100)*'User Inputs'!$D$33*'Exit Prices'!H184/'User Inputs'!$D$7,  'User Inputs'!$D$27*'Exit Prices'!H184/'User Inputs'!$D$7)))</f>
        <v>1.9820323133808871E-2</v>
      </c>
      <c r="P184" s="147" t="s">
        <v>428</v>
      </c>
      <c r="Q184" s="145">
        <f ca="1">(100-(VLOOKUP(A184,'Exit Interruption Prob''s'!$A:$E,5,FALSE)))*O184/100</f>
        <v>1.7838290820427986E-2</v>
      </c>
    </row>
    <row r="185" spans="1:17">
      <c r="A185" s="2" t="s">
        <v>202</v>
      </c>
      <c r="B185" s="12" t="str">
        <f>VLOOKUP(A185,'Locations &amp; Types'!$E:$I,5,FALSE)</f>
        <v>POWER STATION</v>
      </c>
      <c r="C185" s="39">
        <f ca="1">(VLOOKUP(A185, INDIRECT("'"&amp;'Drop Down Inputs'!$B$10&amp;"'!"&amp;" $A:$H"),MATCH('User Inputs'!$D$19, INDIRECT("'"&amp;'Drop Down Inputs'!$B$10&amp;"'!"&amp;"$A$1:$H$1"),0), FALSE))*'User Inputs'!$D$20/100</f>
        <v>61331506.84931507</v>
      </c>
      <c r="D185" s="146">
        <f t="array" aca="1" ref="D185" ca="1">SUMPRODUCT('Entry Prices'!$C$3:$C$29, TRANSPOSE(INDEX('Distance Matrix'!$C$3:$AC$231,MATCH(A185,'Distance Matrix'!$B$3:$B$231,0),0)) /SUM('Entry Prices'!$C$3:$C$29))</f>
        <v>330.11077069425511</v>
      </c>
      <c r="E185" s="145">
        <f t="shared" ca="1" si="2"/>
        <v>7.7540024825668973E-3</v>
      </c>
      <c r="F185" s="39">
        <f ca="1">E185*'Revenue Input'!$B$6</f>
        <v>364341463.52266848</v>
      </c>
      <c r="G185" s="148">
        <f ca="1">IF('User Inputs'!$D$4="PS",('Revenue Input'!$B$6/SUM($C$3:$C$231)),IF(ISERR(F185/C185),0,(F185/C185)))</f>
        <v>7.2344179438402385</v>
      </c>
      <c r="H185" s="148">
        <f ca="1">((IF(G185&gt;0,G185,VLOOKUP(A185,'Nearest Location Prices'!$M$1:$O$231,3,FALSE))))</f>
        <v>7.2344179438402385</v>
      </c>
      <c r="I185" s="171"/>
      <c r="K185" s="171"/>
      <c r="L185" s="145">
        <f ca="1">(IF(B185="STORAGE SITE",((100-'User Inputs'!$D$37)/100)*H185/'User Inputs'!$D$7,(IF(B185="INTERCONNECTOR",((100-'User Inputs'!$D$39)/100)*H185/'User Inputs'!$D$7,H185/'User Inputs'!$D$7))))</f>
        <v>1.9820323133808871E-2</v>
      </c>
      <c r="M185" s="147" t="s">
        <v>428</v>
      </c>
      <c r="N185" s="147" t="s">
        <v>428</v>
      </c>
      <c r="O185" s="145">
        <f ca="1">(IF(B185="STORAGE SITE",((100-'User Inputs'!$D$37)/100)* 'User Inputs'!$D$27*'Exit Prices'!H185/'User Inputs'!$D$7, IF(B185="INTERCONNECTOR", ((100-'User Inputs'!$D$39)/100)*'User Inputs'!$D$33*'Exit Prices'!H185/'User Inputs'!$D$7,  'User Inputs'!$D$27*'Exit Prices'!H185/'User Inputs'!$D$7)))</f>
        <v>1.9820323133808871E-2</v>
      </c>
      <c r="P185" s="147" t="s">
        <v>428</v>
      </c>
      <c r="Q185" s="145">
        <f ca="1">(100-(VLOOKUP(A185,'Exit Interruption Prob''s'!$A:$E,5,FALSE)))*O185/100</f>
        <v>1.7838290820427986E-2</v>
      </c>
    </row>
    <row r="186" spans="1:17">
      <c r="A186" s="2" t="s">
        <v>203</v>
      </c>
      <c r="B186" s="12" t="str">
        <f>VLOOKUP(A186,'Locations &amp; Types'!$E:$I,5,FALSE)</f>
        <v>DNO</v>
      </c>
      <c r="C186" s="39">
        <f ca="1">(VLOOKUP(A186, INDIRECT("'"&amp;'Drop Down Inputs'!$B$10&amp;"'!"&amp;" $A:$H"),MATCH('User Inputs'!$D$19, INDIRECT("'"&amp;'Drop Down Inputs'!$B$10&amp;"'!"&amp;"$A$1:$H$1"),0), FALSE))*'User Inputs'!$D$20/100</f>
        <v>917516</v>
      </c>
      <c r="D186" s="146">
        <f t="array" aca="1" ref="D186" ca="1">SUMPRODUCT('Entry Prices'!$C$3:$C$29, TRANSPOSE(INDEX('Distance Matrix'!$C$3:$AC$231,MATCH(A186,'Distance Matrix'!$B$3:$B$231,0),0)) /SUM('Entry Prices'!$C$3:$C$29))</f>
        <v>442.93483145350922</v>
      </c>
      <c r="E186" s="145">
        <f t="shared" ca="1" si="2"/>
        <v>1.5564532700850563E-4</v>
      </c>
      <c r="F186" s="39">
        <f ca="1">E186*'Revenue Input'!$B$6</f>
        <v>7313390.2600932028</v>
      </c>
      <c r="G186" s="148">
        <f ca="1">IF('User Inputs'!$D$4="PS",('Revenue Input'!$B$6/SUM($C$3:$C$231)),IF(ISERR(F186/C186),0,(F186/C186)))</f>
        <v>7.2344179438402385</v>
      </c>
      <c r="H186" s="148">
        <f ca="1">((IF(G186&gt;0,G186,VLOOKUP(A186,'Nearest Location Prices'!$M$1:$O$231,3,FALSE))))</f>
        <v>7.2344179438402385</v>
      </c>
      <c r="I186" s="171"/>
      <c r="K186" s="171"/>
      <c r="L186" s="145">
        <f ca="1">(IF(B186="STORAGE SITE",((100-'User Inputs'!$D$37)/100)*H186/'User Inputs'!$D$7,(IF(B186="INTERCONNECTOR",((100-'User Inputs'!$D$39)/100)*H186/'User Inputs'!$D$7,H186/'User Inputs'!$D$7))))</f>
        <v>1.9820323133808871E-2</v>
      </c>
      <c r="M186" s="147" t="s">
        <v>428</v>
      </c>
      <c r="N186" s="147" t="s">
        <v>428</v>
      </c>
      <c r="O186" s="145">
        <f ca="1">(IF(B186="STORAGE SITE",((100-'User Inputs'!$D$37)/100)* 'User Inputs'!$D$27*'Exit Prices'!H186/'User Inputs'!$D$7, IF(B186="INTERCONNECTOR", ((100-'User Inputs'!$D$39)/100)*'User Inputs'!$D$33*'Exit Prices'!H186/'User Inputs'!$D$7,  'User Inputs'!$D$27*'Exit Prices'!H186/'User Inputs'!$D$7)))</f>
        <v>1.9820323133808871E-2</v>
      </c>
      <c r="P186" s="147" t="s">
        <v>428</v>
      </c>
      <c r="Q186" s="145">
        <f ca="1">(100-(VLOOKUP(A186,'Exit Interruption Prob''s'!$A:$E,5,FALSE)))*O186/100</f>
        <v>1.7838290820427986E-2</v>
      </c>
    </row>
    <row r="187" spans="1:17">
      <c r="A187" s="2" t="s">
        <v>204</v>
      </c>
      <c r="B187" s="12" t="str">
        <f>VLOOKUP(A187,'Locations &amp; Types'!$E:$I,5,FALSE)</f>
        <v>DNO</v>
      </c>
      <c r="C187" s="39">
        <f ca="1">(VLOOKUP(A187, INDIRECT("'"&amp;'Drop Down Inputs'!$B$10&amp;"'!"&amp;" $A:$H"),MATCH('User Inputs'!$D$19, INDIRECT("'"&amp;'Drop Down Inputs'!$B$10&amp;"'!"&amp;"$A$1:$H$1"),0), FALSE))*'User Inputs'!$D$20/100</f>
        <v>3735040</v>
      </c>
      <c r="D187" s="146">
        <f t="array" aca="1" ref="D187" ca="1">SUMPRODUCT('Entry Prices'!$C$3:$C$29, TRANSPOSE(INDEX('Distance Matrix'!$C$3:$AC$231,MATCH(A187,'Distance Matrix'!$B$3:$B$231,0),0)) /SUM('Entry Prices'!$C$3:$C$29))</f>
        <v>351.10228196349709</v>
      </c>
      <c r="E187" s="145">
        <f t="shared" ca="1" si="2"/>
        <v>5.0224025121236183E-4</v>
      </c>
      <c r="F187" s="39">
        <f ca="1">E187*'Revenue Input'!$B$6</f>
        <v>23599031.413532421</v>
      </c>
      <c r="G187" s="148">
        <f ca="1">IF('User Inputs'!$D$4="PS",('Revenue Input'!$B$6/SUM($C$3:$C$231)),IF(ISERR(F187/C187),0,(F187/C187)))</f>
        <v>7.2344179438402385</v>
      </c>
      <c r="H187" s="148">
        <f ca="1">((IF(G187&gt;0,G187,VLOOKUP(A187,'Nearest Location Prices'!$M$1:$O$231,3,FALSE))))</f>
        <v>7.2344179438402385</v>
      </c>
      <c r="I187" s="171"/>
      <c r="K187" s="171"/>
      <c r="L187" s="145">
        <f ca="1">(IF(B187="STORAGE SITE",((100-'User Inputs'!$D$37)/100)*H187/'User Inputs'!$D$7,(IF(B187="INTERCONNECTOR",((100-'User Inputs'!$D$39)/100)*H187/'User Inputs'!$D$7,H187/'User Inputs'!$D$7))))</f>
        <v>1.9820323133808871E-2</v>
      </c>
      <c r="M187" s="147" t="s">
        <v>428</v>
      </c>
      <c r="N187" s="147" t="s">
        <v>428</v>
      </c>
      <c r="O187" s="145">
        <f ca="1">(IF(B187="STORAGE SITE",((100-'User Inputs'!$D$37)/100)* 'User Inputs'!$D$27*'Exit Prices'!H187/'User Inputs'!$D$7, IF(B187="INTERCONNECTOR", ((100-'User Inputs'!$D$39)/100)*'User Inputs'!$D$33*'Exit Prices'!H187/'User Inputs'!$D$7,  'User Inputs'!$D$27*'Exit Prices'!H187/'User Inputs'!$D$7)))</f>
        <v>1.9820323133808871E-2</v>
      </c>
      <c r="P187" s="147" t="s">
        <v>428</v>
      </c>
      <c r="Q187" s="145">
        <f ca="1">(100-(VLOOKUP(A187,'Exit Interruption Prob''s'!$A:$E,5,FALSE)))*O187/100</f>
        <v>1.7838290820427986E-2</v>
      </c>
    </row>
    <row r="188" spans="1:17">
      <c r="A188" s="2" t="s">
        <v>205</v>
      </c>
      <c r="B188" s="12" t="str">
        <f>VLOOKUP(A188,'Locations &amp; Types'!$E:$I,5,FALSE)</f>
        <v>STORAGE SITE</v>
      </c>
      <c r="C188" s="39">
        <f ca="1">(VLOOKUP(A188, INDIRECT("'"&amp;'Drop Down Inputs'!$B$10&amp;"'!"&amp;" $A:$H"),MATCH('User Inputs'!$D$19, INDIRECT("'"&amp;'Drop Down Inputs'!$B$10&amp;"'!"&amp;"$A$1:$H$1"),0), FALSE))*'User Inputs'!$D$20/100</f>
        <v>29584634.410958908</v>
      </c>
      <c r="D188" s="146">
        <f t="array" aca="1" ref="D188" ca="1">SUMPRODUCT('Entry Prices'!$C$3:$C$29, TRANSPOSE(INDEX('Distance Matrix'!$C$3:$AC$231,MATCH(A188,'Distance Matrix'!$B$3:$B$231,0),0)) /SUM('Entry Prices'!$C$3:$C$29))</f>
        <v>359.83541346884732</v>
      </c>
      <c r="E188" s="145">
        <f t="shared" ca="1" si="2"/>
        <v>4.0771126927468225E-3</v>
      </c>
      <c r="F188" s="39">
        <f ca="1">E188*'Revenue Input'!$B$6</f>
        <v>191573475.60333455</v>
      </c>
      <c r="G188" s="148">
        <f ca="1">IF('User Inputs'!$D$4="PS",('Revenue Input'!$B$6/SUM($C$3:$C$231)),IF(ISERR(F188/C188),0,(F188/C188)))</f>
        <v>7.2344179438402385</v>
      </c>
      <c r="H188" s="148">
        <f ca="1">((IF(G188&gt;0,G188,VLOOKUP(A188,'Nearest Location Prices'!$M$1:$O$231,3,FALSE))))</f>
        <v>7.2344179438402385</v>
      </c>
      <c r="I188" s="171"/>
      <c r="K188" s="171"/>
      <c r="L188" s="145">
        <f ca="1">(IF(B188="STORAGE SITE",((100-'User Inputs'!$D$37)/100)*H188/'User Inputs'!$D$7,(IF(B188="INTERCONNECTOR",((100-'User Inputs'!$D$39)/100)*H188/'User Inputs'!$D$7,H188/'User Inputs'!$D$7))))</f>
        <v>9.9101615669044355E-3</v>
      </c>
      <c r="M188" s="147" t="s">
        <v>428</v>
      </c>
      <c r="N188" s="147" t="s">
        <v>428</v>
      </c>
      <c r="O188" s="145">
        <f ca="1">(IF(B188="STORAGE SITE",((100-'User Inputs'!$D$37)/100)* 'User Inputs'!$D$27*'Exit Prices'!H188/'User Inputs'!$D$7, IF(B188="INTERCONNECTOR", ((100-'User Inputs'!$D$39)/100)*'User Inputs'!$D$33*'Exit Prices'!H188/'User Inputs'!$D$7,  'User Inputs'!$D$27*'Exit Prices'!H188/'User Inputs'!$D$7)))</f>
        <v>9.9101615669044355E-3</v>
      </c>
      <c r="P188" s="147" t="s">
        <v>428</v>
      </c>
      <c r="Q188" s="145">
        <f ca="1">(100-(VLOOKUP(A188,'Exit Interruption Prob''s'!$A:$E,5,FALSE)))*O188/100</f>
        <v>8.9191454102139928E-3</v>
      </c>
    </row>
    <row r="189" spans="1:17">
      <c r="A189" s="2" t="s">
        <v>206</v>
      </c>
      <c r="B189" s="12" t="str">
        <f>VLOOKUP(A189,'Locations &amp; Types'!$E:$I,5,FALSE)</f>
        <v>DNO</v>
      </c>
      <c r="C189" s="39">
        <f ca="1">(VLOOKUP(A189, INDIRECT("'"&amp;'Drop Down Inputs'!$B$10&amp;"'!"&amp;" $A:$H"),MATCH('User Inputs'!$D$19, INDIRECT("'"&amp;'Drop Down Inputs'!$B$10&amp;"'!"&amp;"$A$1:$H$1"),0), FALSE))*'User Inputs'!$D$20/100</f>
        <v>1079269</v>
      </c>
      <c r="D189" s="146">
        <f t="array" aca="1" ref="D189" ca="1">SUMPRODUCT('Entry Prices'!$C$3:$C$29, TRANSPOSE(INDEX('Distance Matrix'!$C$3:$AC$231,MATCH(A189,'Distance Matrix'!$B$3:$B$231,0),0)) /SUM('Entry Prices'!$C$3:$C$29))</f>
        <v>295.03551527497262</v>
      </c>
      <c r="E189" s="145">
        <f t="shared" ca="1" si="2"/>
        <v>1.2195134852250727E-4</v>
      </c>
      <c r="F189" s="39">
        <f ca="1">E189*'Revenue Input'!$B$6</f>
        <v>5730193.2645944282</v>
      </c>
      <c r="G189" s="148">
        <f ca="1">IF('User Inputs'!$D$4="PS",('Revenue Input'!$B$6/SUM($C$3:$C$231)),IF(ISERR(F189/C189),0,(F189/C189)))</f>
        <v>7.2344179438402385</v>
      </c>
      <c r="H189" s="148">
        <f ca="1">((IF(G189&gt;0,G189,VLOOKUP(A189,'Nearest Location Prices'!$M$1:$O$231,3,FALSE))))</f>
        <v>7.2344179438402385</v>
      </c>
      <c r="I189" s="171"/>
      <c r="K189" s="171"/>
      <c r="L189" s="145">
        <f ca="1">(IF(B189="STORAGE SITE",((100-'User Inputs'!$D$37)/100)*H189/'User Inputs'!$D$7,(IF(B189="INTERCONNECTOR",((100-'User Inputs'!$D$39)/100)*H189/'User Inputs'!$D$7,H189/'User Inputs'!$D$7))))</f>
        <v>1.9820323133808871E-2</v>
      </c>
      <c r="M189" s="147" t="s">
        <v>428</v>
      </c>
      <c r="N189" s="147" t="s">
        <v>428</v>
      </c>
      <c r="O189" s="145">
        <f ca="1">(IF(B189="STORAGE SITE",((100-'User Inputs'!$D$37)/100)* 'User Inputs'!$D$27*'Exit Prices'!H189/'User Inputs'!$D$7, IF(B189="INTERCONNECTOR", ((100-'User Inputs'!$D$39)/100)*'User Inputs'!$D$33*'Exit Prices'!H189/'User Inputs'!$D$7,  'User Inputs'!$D$27*'Exit Prices'!H189/'User Inputs'!$D$7)))</f>
        <v>1.9820323133808871E-2</v>
      </c>
      <c r="P189" s="147" t="s">
        <v>428</v>
      </c>
      <c r="Q189" s="145">
        <f ca="1">(100-(VLOOKUP(A189,'Exit Interruption Prob''s'!$A:$E,5,FALSE)))*O189/100</f>
        <v>1.7838290820427986E-2</v>
      </c>
    </row>
    <row r="190" spans="1:17">
      <c r="A190" s="2" t="s">
        <v>207</v>
      </c>
      <c r="B190" s="12" t="str">
        <f>VLOOKUP(A190,'Locations &amp; Types'!$E:$I,5,FALSE)</f>
        <v>POWER STATION</v>
      </c>
      <c r="C190" s="39">
        <f ca="1">(VLOOKUP(A190, INDIRECT("'"&amp;'Drop Down Inputs'!$B$10&amp;"'!"&amp;" $A:$H"),MATCH('User Inputs'!$D$19, INDIRECT("'"&amp;'Drop Down Inputs'!$B$10&amp;"'!"&amp;"$A$1:$H$1"),0), FALSE))*'User Inputs'!$D$20/100</f>
        <v>42637000</v>
      </c>
      <c r="D190" s="146">
        <f t="array" aca="1" ref="D190" ca="1">SUMPRODUCT('Entry Prices'!$C$3:$C$29, TRANSPOSE(INDEX('Distance Matrix'!$C$3:$AC$231,MATCH(A190,'Distance Matrix'!$B$3:$B$231,0),0)) /SUM('Entry Prices'!$C$3:$C$29))</f>
        <v>295.03551527497262</v>
      </c>
      <c r="E190" s="145">
        <f t="shared" ca="1" si="2"/>
        <v>4.8177420522169563E-3</v>
      </c>
      <c r="F190" s="39">
        <f ca="1">E190*'Revenue Input'!$B$6</f>
        <v>226373823.59959623</v>
      </c>
      <c r="G190" s="148">
        <f ca="1">IF('User Inputs'!$D$4="PS",('Revenue Input'!$B$6/SUM($C$3:$C$231)),IF(ISERR(F190/C190),0,(F190/C190)))</f>
        <v>7.2344179438402385</v>
      </c>
      <c r="H190" s="148">
        <f ca="1">((IF(G190&gt;0,G190,VLOOKUP(A190,'Nearest Location Prices'!$M$1:$O$231,3,FALSE))))</f>
        <v>7.2344179438402385</v>
      </c>
      <c r="I190" s="171"/>
      <c r="K190" s="171"/>
      <c r="L190" s="145">
        <f ca="1">(IF(B190="STORAGE SITE",((100-'User Inputs'!$D$37)/100)*H190/'User Inputs'!$D$7,(IF(B190="INTERCONNECTOR",((100-'User Inputs'!$D$39)/100)*H190/'User Inputs'!$D$7,H190/'User Inputs'!$D$7))))</f>
        <v>1.9820323133808871E-2</v>
      </c>
      <c r="M190" s="147" t="s">
        <v>428</v>
      </c>
      <c r="N190" s="147" t="s">
        <v>428</v>
      </c>
      <c r="O190" s="145">
        <f ca="1">(IF(B190="STORAGE SITE",((100-'User Inputs'!$D$37)/100)* 'User Inputs'!$D$27*'Exit Prices'!H190/'User Inputs'!$D$7, IF(B190="INTERCONNECTOR", ((100-'User Inputs'!$D$39)/100)*'User Inputs'!$D$33*'Exit Prices'!H190/'User Inputs'!$D$7,  'User Inputs'!$D$27*'Exit Prices'!H190/'User Inputs'!$D$7)))</f>
        <v>1.9820323133808871E-2</v>
      </c>
      <c r="P190" s="147" t="s">
        <v>428</v>
      </c>
      <c r="Q190" s="145">
        <f ca="1">(100-(VLOOKUP(A190,'Exit Interruption Prob''s'!$A:$E,5,FALSE)))*O190/100</f>
        <v>1.7838290820427986E-2</v>
      </c>
    </row>
    <row r="191" spans="1:17">
      <c r="A191" s="2" t="s">
        <v>208</v>
      </c>
      <c r="B191" s="12" t="str">
        <f>VLOOKUP(A191,'Locations &amp; Types'!$E:$I,5,FALSE)</f>
        <v>DNO</v>
      </c>
      <c r="C191" s="39">
        <f ca="1">(VLOOKUP(A191, INDIRECT("'"&amp;'Drop Down Inputs'!$B$10&amp;"'!"&amp;" $A:$H"),MATCH('User Inputs'!$D$19, INDIRECT("'"&amp;'Drop Down Inputs'!$B$10&amp;"'!"&amp;"$A$1:$H$1"),0), FALSE))*'User Inputs'!$D$20/100</f>
        <v>207723314</v>
      </c>
      <c r="D191" s="146">
        <f t="array" aca="1" ref="D191" ca="1">SUMPRODUCT('Entry Prices'!$C$3:$C$29, TRANSPOSE(INDEX('Distance Matrix'!$C$3:$AC$231,MATCH(A191,'Distance Matrix'!$B$3:$B$231,0),0)) /SUM('Entry Prices'!$C$3:$C$29))</f>
        <v>457.11301283171576</v>
      </c>
      <c r="E191" s="145">
        <f t="shared" ca="1" si="2"/>
        <v>3.6365656620487442E-2</v>
      </c>
      <c r="F191" s="39">
        <f ca="1">E191*'Revenue Input'!$B$6</f>
        <v>1708732565.518224</v>
      </c>
      <c r="G191" s="148">
        <f ca="1">IF('User Inputs'!$D$4="PS",('Revenue Input'!$B$6/SUM($C$3:$C$231)),IF(ISERR(F191/C191),0,(F191/C191)))</f>
        <v>7.2344179438402385</v>
      </c>
      <c r="H191" s="148">
        <f ca="1">((IF(G191&gt;0,G191,VLOOKUP(A191,'Nearest Location Prices'!$M$1:$O$231,3,FALSE))))</f>
        <v>7.2344179438402385</v>
      </c>
      <c r="I191" s="171"/>
      <c r="K191" s="171"/>
      <c r="L191" s="145">
        <f ca="1">(IF(B191="STORAGE SITE",((100-'User Inputs'!$D$37)/100)*H191/'User Inputs'!$D$7,(IF(B191="INTERCONNECTOR",((100-'User Inputs'!$D$39)/100)*H191/'User Inputs'!$D$7,H191/'User Inputs'!$D$7))))</f>
        <v>1.9820323133808871E-2</v>
      </c>
      <c r="M191" s="147" t="s">
        <v>428</v>
      </c>
      <c r="N191" s="147" t="s">
        <v>428</v>
      </c>
      <c r="O191" s="145">
        <f ca="1">(IF(B191="STORAGE SITE",((100-'User Inputs'!$D$37)/100)* 'User Inputs'!$D$27*'Exit Prices'!H191/'User Inputs'!$D$7, IF(B191="INTERCONNECTOR", ((100-'User Inputs'!$D$39)/100)*'User Inputs'!$D$33*'Exit Prices'!H191/'User Inputs'!$D$7,  'User Inputs'!$D$27*'Exit Prices'!H191/'User Inputs'!$D$7)))</f>
        <v>1.9820323133808871E-2</v>
      </c>
      <c r="P191" s="147" t="s">
        <v>428</v>
      </c>
      <c r="Q191" s="145">
        <f ca="1">(100-(VLOOKUP(A191,'Exit Interruption Prob''s'!$A:$E,5,FALSE)))*O191/100</f>
        <v>1.7838290820427986E-2</v>
      </c>
    </row>
    <row r="192" spans="1:17">
      <c r="A192" s="2" t="s">
        <v>209</v>
      </c>
      <c r="B192" s="12" t="str">
        <f>VLOOKUP(A192,'Locations &amp; Types'!$E:$I,5,FALSE)</f>
        <v>INDUSTRIAL</v>
      </c>
      <c r="C192" s="39">
        <f ca="1">(VLOOKUP(A192, INDIRECT("'"&amp;'Drop Down Inputs'!$B$10&amp;"'!"&amp;" $A:$H"),MATCH('User Inputs'!$D$19, INDIRECT("'"&amp;'Drop Down Inputs'!$B$10&amp;"'!"&amp;"$A$1:$H$1"),0), FALSE))*'User Inputs'!$D$20/100</f>
        <v>8369000</v>
      </c>
      <c r="D192" s="146">
        <f t="array" aca="1" ref="D192" ca="1">SUMPRODUCT('Entry Prices'!$C$3:$C$29, TRANSPOSE(INDEX('Distance Matrix'!$C$3:$AC$231,MATCH(A192,'Distance Matrix'!$B$3:$B$231,0),0)) /SUM('Entry Prices'!$C$3:$C$29))</f>
        <v>366.79662441434823</v>
      </c>
      <c r="E192" s="145">
        <f t="shared" ca="1" si="2"/>
        <v>1.175659355982313E-3</v>
      </c>
      <c r="F192" s="39">
        <f ca="1">E192*'Revenue Input'!$B$6</f>
        <v>55241335.210524067</v>
      </c>
      <c r="G192" s="148">
        <f ca="1">IF('User Inputs'!$D$4="PS",('Revenue Input'!$B$6/SUM($C$3:$C$231)),IF(ISERR(F192/C192),0,(F192/C192)))</f>
        <v>7.2344179438402385</v>
      </c>
      <c r="H192" s="148">
        <f ca="1">((IF(G192&gt;0,G192,VLOOKUP(A192,'Nearest Location Prices'!$M$1:$O$231,3,FALSE))))</f>
        <v>7.2344179438402385</v>
      </c>
      <c r="I192" s="171"/>
      <c r="K192" s="171"/>
      <c r="L192" s="145">
        <f ca="1">(IF(B192="STORAGE SITE",((100-'User Inputs'!$D$37)/100)*H192/'User Inputs'!$D$7,(IF(B192="INTERCONNECTOR",((100-'User Inputs'!$D$39)/100)*H192/'User Inputs'!$D$7,H192/'User Inputs'!$D$7))))</f>
        <v>1.9820323133808871E-2</v>
      </c>
      <c r="M192" s="147" t="s">
        <v>428</v>
      </c>
      <c r="N192" s="147" t="s">
        <v>428</v>
      </c>
      <c r="O192" s="145">
        <f ca="1">(IF(B192="STORAGE SITE",((100-'User Inputs'!$D$37)/100)* 'User Inputs'!$D$27*'Exit Prices'!H192/'User Inputs'!$D$7, IF(B192="INTERCONNECTOR", ((100-'User Inputs'!$D$39)/100)*'User Inputs'!$D$33*'Exit Prices'!H192/'User Inputs'!$D$7,  'User Inputs'!$D$27*'Exit Prices'!H192/'User Inputs'!$D$7)))</f>
        <v>1.9820323133808871E-2</v>
      </c>
      <c r="P192" s="147" t="s">
        <v>428</v>
      </c>
      <c r="Q192" s="145">
        <f ca="1">(100-(VLOOKUP(A192,'Exit Interruption Prob''s'!$A:$E,5,FALSE)))*O192/100</f>
        <v>1.7838290820427986E-2</v>
      </c>
    </row>
    <row r="193" spans="1:17">
      <c r="A193" s="2" t="s">
        <v>210</v>
      </c>
      <c r="B193" s="12" t="str">
        <f>VLOOKUP(A193,'Locations &amp; Types'!$E:$I,5,FALSE)</f>
        <v>INDUSTRIAL</v>
      </c>
      <c r="C193" s="39">
        <f ca="1">(VLOOKUP(A193, INDIRECT("'"&amp;'Drop Down Inputs'!$B$10&amp;"'!"&amp;" $A:$H"),MATCH('User Inputs'!$D$19, INDIRECT("'"&amp;'Drop Down Inputs'!$B$10&amp;"'!"&amp;"$A$1:$H$1"),0), FALSE))*'User Inputs'!$D$20/100</f>
        <v>13276800</v>
      </c>
      <c r="D193" s="146">
        <f t="array" aca="1" ref="D193" ca="1">SUMPRODUCT('Entry Prices'!$C$3:$C$29, TRANSPOSE(INDEX('Distance Matrix'!$C$3:$AC$231,MATCH(A193,'Distance Matrix'!$B$3:$B$231,0),0)) /SUM('Entry Prices'!$C$3:$C$29))</f>
        <v>366.63662441434838</v>
      </c>
      <c r="E193" s="145">
        <f t="shared" ca="1" si="2"/>
        <v>1.864283110682644E-3</v>
      </c>
      <c r="F193" s="39">
        <f ca="1">E193*'Revenue Input'!$B$6</f>
        <v>87598068.029229239</v>
      </c>
      <c r="G193" s="148">
        <f ca="1">IF('User Inputs'!$D$4="PS",('Revenue Input'!$B$6/SUM($C$3:$C$231)),IF(ISERR(F193/C193),0,(F193/C193)))</f>
        <v>7.2344179438402385</v>
      </c>
      <c r="H193" s="148">
        <f ca="1">((IF(G193&gt;0,G193,VLOOKUP(A193,'Nearest Location Prices'!$M$1:$O$231,3,FALSE))))</f>
        <v>7.2344179438402385</v>
      </c>
      <c r="I193" s="171"/>
      <c r="K193" s="171"/>
      <c r="L193" s="145">
        <f ca="1">(IF(B193="STORAGE SITE",((100-'User Inputs'!$D$37)/100)*H193/'User Inputs'!$D$7,(IF(B193="INTERCONNECTOR",((100-'User Inputs'!$D$39)/100)*H193/'User Inputs'!$D$7,H193/'User Inputs'!$D$7))))</f>
        <v>1.9820323133808871E-2</v>
      </c>
      <c r="M193" s="147" t="s">
        <v>428</v>
      </c>
      <c r="N193" s="147" t="s">
        <v>428</v>
      </c>
      <c r="O193" s="145">
        <f ca="1">(IF(B193="STORAGE SITE",((100-'User Inputs'!$D$37)/100)* 'User Inputs'!$D$27*'Exit Prices'!H193/'User Inputs'!$D$7, IF(B193="INTERCONNECTOR", ((100-'User Inputs'!$D$39)/100)*'User Inputs'!$D$33*'Exit Prices'!H193/'User Inputs'!$D$7,  'User Inputs'!$D$27*'Exit Prices'!H193/'User Inputs'!$D$7)))</f>
        <v>1.9820323133808871E-2</v>
      </c>
      <c r="P193" s="147" t="s">
        <v>428</v>
      </c>
      <c r="Q193" s="145">
        <f ca="1">(100-(VLOOKUP(A193,'Exit Interruption Prob''s'!$A:$E,5,FALSE)))*O193/100</f>
        <v>1.7838290820427986E-2</v>
      </c>
    </row>
    <row r="194" spans="1:17">
      <c r="A194" s="2" t="s">
        <v>211</v>
      </c>
      <c r="B194" s="12" t="str">
        <f>VLOOKUP(A194,'Locations &amp; Types'!$E:$I,5,FALSE)</f>
        <v>INDUSTRIAL</v>
      </c>
      <c r="C194" s="39">
        <f ca="1">(VLOOKUP(A194, INDIRECT("'"&amp;'Drop Down Inputs'!$B$10&amp;"'!"&amp;" $A:$H"),MATCH('User Inputs'!$D$19, INDIRECT("'"&amp;'Drop Down Inputs'!$B$10&amp;"'!"&amp;"$A$1:$H$1"),0), FALSE))*'User Inputs'!$D$20/100</f>
        <v>0</v>
      </c>
      <c r="D194" s="146">
        <f t="array" aca="1" ref="D194" ca="1">SUMPRODUCT('Entry Prices'!$C$3:$C$29, TRANSPOSE(INDEX('Distance Matrix'!$C$3:$AC$231,MATCH(A194,'Distance Matrix'!$B$3:$B$231,0),0)) /SUM('Entry Prices'!$C$3:$C$29))</f>
        <v>467.9512086879555</v>
      </c>
      <c r="E194" s="145">
        <f t="shared" ca="1" si="2"/>
        <v>0</v>
      </c>
      <c r="F194" s="39">
        <f ca="1">E194*'Revenue Input'!$B$6</f>
        <v>0</v>
      </c>
      <c r="G194" s="148">
        <f ca="1">IF('User Inputs'!$D$4="PS",('Revenue Input'!$B$6/SUM($C$3:$C$231)),IF(ISERR(F194/C194),0,(F194/C194)))</f>
        <v>7.2344179438402385</v>
      </c>
      <c r="H194" s="148">
        <f ca="1">((IF(G194&gt;0,G194,VLOOKUP(A194,'Nearest Location Prices'!$M$1:$O$231,3,FALSE))))</f>
        <v>7.2344179438402385</v>
      </c>
      <c r="I194" s="171"/>
      <c r="K194" s="171"/>
      <c r="L194" s="145">
        <f ca="1">(IF(B194="STORAGE SITE",((100-'User Inputs'!$D$37)/100)*H194/'User Inputs'!$D$7,(IF(B194="INTERCONNECTOR",((100-'User Inputs'!$D$39)/100)*H194/'User Inputs'!$D$7,H194/'User Inputs'!$D$7))))</f>
        <v>1.9820323133808871E-2</v>
      </c>
      <c r="M194" s="147" t="s">
        <v>428</v>
      </c>
      <c r="N194" s="147" t="s">
        <v>428</v>
      </c>
      <c r="O194" s="145">
        <f ca="1">(IF(B194="STORAGE SITE",((100-'User Inputs'!$D$37)/100)* 'User Inputs'!$D$27*'Exit Prices'!H194/'User Inputs'!$D$7, IF(B194="INTERCONNECTOR", ((100-'User Inputs'!$D$39)/100)*'User Inputs'!$D$33*'Exit Prices'!H194/'User Inputs'!$D$7,  'User Inputs'!$D$27*'Exit Prices'!H194/'User Inputs'!$D$7)))</f>
        <v>1.9820323133808871E-2</v>
      </c>
      <c r="P194" s="147" t="s">
        <v>428</v>
      </c>
      <c r="Q194" s="145">
        <f ca="1">(100-(VLOOKUP(A194,'Exit Interruption Prob''s'!$A:$E,5,FALSE)))*O194/100</f>
        <v>1.7838290820427986E-2</v>
      </c>
    </row>
    <row r="195" spans="1:17">
      <c r="A195" s="2" t="s">
        <v>212</v>
      </c>
      <c r="B195" s="12" t="str">
        <f>VLOOKUP(A195,'Locations &amp; Types'!$E:$I,5,FALSE)</f>
        <v>DNO</v>
      </c>
      <c r="C195" s="39">
        <f ca="1">(VLOOKUP(A195, INDIRECT("'"&amp;'Drop Down Inputs'!$B$10&amp;"'!"&amp;" $A:$H"),MATCH('User Inputs'!$D$19, INDIRECT("'"&amp;'Drop Down Inputs'!$B$10&amp;"'!"&amp;"$A$1:$H$1"),0), FALSE))*'User Inputs'!$D$20/100</f>
        <v>118190411</v>
      </c>
      <c r="D195" s="146">
        <f t="array" aca="1" ref="D195" ca="1">SUMPRODUCT('Entry Prices'!$C$3:$C$29, TRANSPOSE(INDEX('Distance Matrix'!$C$3:$AC$231,MATCH(A195,'Distance Matrix'!$B$3:$B$231,0),0)) /SUM('Entry Prices'!$C$3:$C$29))</f>
        <v>295.15521574273112</v>
      </c>
      <c r="E195" s="145">
        <f t="shared" ref="E195:E231" ca="1" si="3">(C195*D195)/SUMPRODUCT($C$3:$C$231,$D$3:$D$231)</f>
        <v>1.3360272346791956E-2</v>
      </c>
      <c r="F195" s="39">
        <f ca="1">E195*'Revenue Input'!$B$6</f>
        <v>627766265.3365835</v>
      </c>
      <c r="G195" s="148">
        <f ca="1">IF('User Inputs'!$D$4="PS",('Revenue Input'!$B$6/SUM($C$3:$C$231)),IF(ISERR(F195/C195),0,(F195/C195)))</f>
        <v>7.2344179438402385</v>
      </c>
      <c r="H195" s="148">
        <f ca="1">((IF(G195&gt;0,G195,VLOOKUP(A195,'Nearest Location Prices'!$M$1:$O$231,3,FALSE))))</f>
        <v>7.2344179438402385</v>
      </c>
      <c r="I195" s="171"/>
      <c r="K195" s="171"/>
      <c r="L195" s="145">
        <f ca="1">(IF(B195="STORAGE SITE",((100-'User Inputs'!$D$37)/100)*H195/'User Inputs'!$D$7,(IF(B195="INTERCONNECTOR",((100-'User Inputs'!$D$39)/100)*H195/'User Inputs'!$D$7,H195/'User Inputs'!$D$7))))</f>
        <v>1.9820323133808871E-2</v>
      </c>
      <c r="M195" s="147" t="s">
        <v>428</v>
      </c>
      <c r="N195" s="147" t="s">
        <v>428</v>
      </c>
      <c r="O195" s="145">
        <f ca="1">(IF(B195="STORAGE SITE",((100-'User Inputs'!$D$37)/100)* 'User Inputs'!$D$27*'Exit Prices'!H195/'User Inputs'!$D$7, IF(B195="INTERCONNECTOR", ((100-'User Inputs'!$D$39)/100)*'User Inputs'!$D$33*'Exit Prices'!H195/'User Inputs'!$D$7,  'User Inputs'!$D$27*'Exit Prices'!H195/'User Inputs'!$D$7)))</f>
        <v>1.9820323133808871E-2</v>
      </c>
      <c r="P195" s="147" t="s">
        <v>428</v>
      </c>
      <c r="Q195" s="145">
        <f ca="1">(100-(VLOOKUP(A195,'Exit Interruption Prob''s'!$A:$E,5,FALSE)))*O195/100</f>
        <v>1.7838290820427986E-2</v>
      </c>
    </row>
    <row r="196" spans="1:17">
      <c r="A196" s="2" t="s">
        <v>213</v>
      </c>
      <c r="B196" s="12" t="str">
        <f>VLOOKUP(A196,'Locations &amp; Types'!$E:$I,5,FALSE)</f>
        <v>INDUSTRIAL</v>
      </c>
      <c r="C196" s="39">
        <f ca="1">(VLOOKUP(A196, INDIRECT("'"&amp;'Drop Down Inputs'!$B$10&amp;"'!"&amp;" $A:$H"),MATCH('User Inputs'!$D$19, INDIRECT("'"&amp;'Drop Down Inputs'!$B$10&amp;"'!"&amp;"$A$1:$H$1"),0), FALSE))*'User Inputs'!$D$20/100</f>
        <v>67000000</v>
      </c>
      <c r="D196" s="146">
        <f t="array" aca="1" ref="D196" ca="1">SUMPRODUCT('Entry Prices'!$C$3:$C$29, TRANSPOSE(INDEX('Distance Matrix'!$C$3:$AC$231,MATCH(A196,'Distance Matrix'!$B$3:$B$231,0),0)) /SUM('Entry Prices'!$C$3:$C$29))</f>
        <v>295.15521574273112</v>
      </c>
      <c r="E196" s="145">
        <f t="shared" ca="1" si="3"/>
        <v>7.5736960355866859E-3</v>
      </c>
      <c r="F196" s="39">
        <f ca="1">E196*'Revenue Input'!$B$6</f>
        <v>355869308.02322948</v>
      </c>
      <c r="G196" s="148">
        <f ca="1">IF('User Inputs'!$D$4="PS",('Revenue Input'!$B$6/SUM($C$3:$C$231)),IF(ISERR(F196/C196),0,(F196/C196)))</f>
        <v>7.2344179438402385</v>
      </c>
      <c r="H196" s="148">
        <f ca="1">((IF(G196&gt;0,G196,VLOOKUP(A196,'Nearest Location Prices'!$M$1:$O$231,3,FALSE))))</f>
        <v>7.2344179438402385</v>
      </c>
      <c r="I196" s="171"/>
      <c r="K196" s="171"/>
      <c r="L196" s="145">
        <f ca="1">(IF(B196="STORAGE SITE",((100-'User Inputs'!$D$37)/100)*H196/'User Inputs'!$D$7,(IF(B196="INTERCONNECTOR",((100-'User Inputs'!$D$39)/100)*H196/'User Inputs'!$D$7,H196/'User Inputs'!$D$7))))</f>
        <v>1.9820323133808871E-2</v>
      </c>
      <c r="M196" s="147" t="s">
        <v>428</v>
      </c>
      <c r="N196" s="147" t="s">
        <v>428</v>
      </c>
      <c r="O196" s="145">
        <f ca="1">(IF(B196="STORAGE SITE",((100-'User Inputs'!$D$37)/100)* 'User Inputs'!$D$27*'Exit Prices'!H196/'User Inputs'!$D$7, IF(B196="INTERCONNECTOR", ((100-'User Inputs'!$D$39)/100)*'User Inputs'!$D$33*'Exit Prices'!H196/'User Inputs'!$D$7,  'User Inputs'!$D$27*'Exit Prices'!H196/'User Inputs'!$D$7)))</f>
        <v>1.9820323133808871E-2</v>
      </c>
      <c r="P196" s="147" t="s">
        <v>428</v>
      </c>
      <c r="Q196" s="145">
        <f ca="1">(100-(VLOOKUP(A196,'Exit Interruption Prob''s'!$A:$E,5,FALSE)))*O196/100</f>
        <v>1.7838290820427986E-2</v>
      </c>
    </row>
    <row r="197" spans="1:17">
      <c r="A197" s="2" t="s">
        <v>214</v>
      </c>
      <c r="B197" s="12" t="str">
        <f>VLOOKUP(A197,'Locations &amp; Types'!$E:$I,5,FALSE)</f>
        <v>POWER STATION</v>
      </c>
      <c r="C197" s="39">
        <f ca="1">(VLOOKUP(A197, INDIRECT("'"&amp;'Drop Down Inputs'!$B$10&amp;"'!"&amp;" $A:$H"),MATCH('User Inputs'!$D$19, INDIRECT("'"&amp;'Drop Down Inputs'!$B$10&amp;"'!"&amp;"$A$1:$H$1"),0), FALSE))*'User Inputs'!$D$20/100</f>
        <v>40032876.712328769</v>
      </c>
      <c r="D197" s="146">
        <f t="array" aca="1" ref="D197" ca="1">SUMPRODUCT('Entry Prices'!$C$3:$C$29, TRANSPOSE(INDEX('Distance Matrix'!$C$3:$AC$231,MATCH(A197,'Distance Matrix'!$B$3:$B$231,0),0)) /SUM('Entry Prices'!$C$3:$C$29))</f>
        <v>295.15521574273112</v>
      </c>
      <c r="E197" s="145">
        <f t="shared" ca="1" si="3"/>
        <v>4.5253259649148496E-3</v>
      </c>
      <c r="F197" s="39">
        <f ca="1">E197*'Revenue Input'!$B$6</f>
        <v>212633912.44471186</v>
      </c>
      <c r="G197" s="148">
        <f ca="1">IF('User Inputs'!$D$4="PS",('Revenue Input'!$B$6/SUM($C$3:$C$231)),IF(ISERR(F197/C197),0,(F197/C197)))</f>
        <v>7.2344179438402385</v>
      </c>
      <c r="H197" s="148">
        <f ca="1">((IF(G197&gt;0,G197,VLOOKUP(A197,'Nearest Location Prices'!$M$1:$O$231,3,FALSE))))</f>
        <v>7.2344179438402385</v>
      </c>
      <c r="I197" s="171"/>
      <c r="K197" s="171"/>
      <c r="L197" s="145">
        <f ca="1">(IF(B197="STORAGE SITE",((100-'User Inputs'!$D$37)/100)*H197/'User Inputs'!$D$7,(IF(B197="INTERCONNECTOR",((100-'User Inputs'!$D$39)/100)*H197/'User Inputs'!$D$7,H197/'User Inputs'!$D$7))))</f>
        <v>1.9820323133808871E-2</v>
      </c>
      <c r="M197" s="147" t="s">
        <v>428</v>
      </c>
      <c r="N197" s="147" t="s">
        <v>428</v>
      </c>
      <c r="O197" s="145">
        <f ca="1">(IF(B197="STORAGE SITE",((100-'User Inputs'!$D$37)/100)* 'User Inputs'!$D$27*'Exit Prices'!H197/'User Inputs'!$D$7, IF(B197="INTERCONNECTOR", ((100-'User Inputs'!$D$39)/100)*'User Inputs'!$D$33*'Exit Prices'!H197/'User Inputs'!$D$7,  'User Inputs'!$D$27*'Exit Prices'!H197/'User Inputs'!$D$7)))</f>
        <v>1.9820323133808871E-2</v>
      </c>
      <c r="P197" s="147" t="s">
        <v>428</v>
      </c>
      <c r="Q197" s="145">
        <f ca="1">(100-(VLOOKUP(A197,'Exit Interruption Prob''s'!$A:$E,5,FALSE)))*O197/100</f>
        <v>1.7838290820427986E-2</v>
      </c>
    </row>
    <row r="198" spans="1:17">
      <c r="A198" s="2" t="s">
        <v>215</v>
      </c>
      <c r="B198" s="12" t="str">
        <f>VLOOKUP(A198,'Locations &amp; Types'!$E:$I,5,FALSE)</f>
        <v>DNO</v>
      </c>
      <c r="C198" s="39">
        <f ca="1">(VLOOKUP(A198, INDIRECT("'"&amp;'Drop Down Inputs'!$B$10&amp;"'!"&amp;" $A:$H"),MATCH('User Inputs'!$D$19, INDIRECT("'"&amp;'Drop Down Inputs'!$B$10&amp;"'!"&amp;"$A$1:$H$1"),0), FALSE))*'User Inputs'!$D$20/100</f>
        <v>4490616</v>
      </c>
      <c r="D198" s="146">
        <f t="array" aca="1" ref="D198" ca="1">SUMPRODUCT('Entry Prices'!$C$3:$C$29, TRANSPOSE(INDEX('Distance Matrix'!$C$3:$AC$231,MATCH(A198,'Distance Matrix'!$B$3:$B$231,0),0)) /SUM('Entry Prices'!$C$3:$C$29))</f>
        <v>348.84301751568222</v>
      </c>
      <c r="E198" s="145">
        <f t="shared" ca="1" si="3"/>
        <v>5.9995483848697406E-4</v>
      </c>
      <c r="F198" s="39">
        <f ca="1">E198*'Revenue Input'!$B$6</f>
        <v>28190399.009195112</v>
      </c>
      <c r="G198" s="148">
        <f ca="1">IF('User Inputs'!$D$4="PS",('Revenue Input'!$B$6/SUM($C$3:$C$231)),IF(ISERR(F198/C198),0,(F198/C198)))</f>
        <v>7.2344179438402385</v>
      </c>
      <c r="H198" s="148">
        <f ca="1">((IF(G198&gt;0,G198,VLOOKUP(A198,'Nearest Location Prices'!$M$1:$O$231,3,FALSE))))</f>
        <v>7.2344179438402385</v>
      </c>
      <c r="I198" s="171"/>
      <c r="K198" s="171"/>
      <c r="L198" s="145">
        <f ca="1">(IF(B198="STORAGE SITE",((100-'User Inputs'!$D$37)/100)*H198/'User Inputs'!$D$7,(IF(B198="INTERCONNECTOR",((100-'User Inputs'!$D$39)/100)*H198/'User Inputs'!$D$7,H198/'User Inputs'!$D$7))))</f>
        <v>1.9820323133808871E-2</v>
      </c>
      <c r="M198" s="147" t="s">
        <v>428</v>
      </c>
      <c r="N198" s="147" t="s">
        <v>428</v>
      </c>
      <c r="O198" s="145">
        <f ca="1">(IF(B198="STORAGE SITE",((100-'User Inputs'!$D$37)/100)* 'User Inputs'!$D$27*'Exit Prices'!H198/'User Inputs'!$D$7, IF(B198="INTERCONNECTOR", ((100-'User Inputs'!$D$39)/100)*'User Inputs'!$D$33*'Exit Prices'!H198/'User Inputs'!$D$7,  'User Inputs'!$D$27*'Exit Prices'!H198/'User Inputs'!$D$7)))</f>
        <v>1.9820323133808871E-2</v>
      </c>
      <c r="P198" s="147" t="s">
        <v>428</v>
      </c>
      <c r="Q198" s="145">
        <f ca="1">(100-(VLOOKUP(A198,'Exit Interruption Prob''s'!$A:$E,5,FALSE)))*O198/100</f>
        <v>1.7838290820427986E-2</v>
      </c>
    </row>
    <row r="199" spans="1:17">
      <c r="A199" s="2" t="s">
        <v>216</v>
      </c>
      <c r="B199" s="12" t="str">
        <f>VLOOKUP(A199,'Locations &amp; Types'!$E:$I,5,FALSE)</f>
        <v>POWER STATION</v>
      </c>
      <c r="C199" s="39">
        <f ca="1">(VLOOKUP(A199, INDIRECT("'"&amp;'Drop Down Inputs'!$B$10&amp;"'!"&amp;" $A:$H"),MATCH('User Inputs'!$D$19, INDIRECT("'"&amp;'Drop Down Inputs'!$B$10&amp;"'!"&amp;"$A$1:$H$1"),0), FALSE))*'User Inputs'!$D$20/100</f>
        <v>0</v>
      </c>
      <c r="D199" s="146">
        <f t="array" aca="1" ref="D199" ca="1">SUMPRODUCT('Entry Prices'!$C$3:$C$29, TRANSPOSE(INDEX('Distance Matrix'!$C$3:$AC$231,MATCH(A199,'Distance Matrix'!$B$3:$B$231,0),0)) /SUM('Entry Prices'!$C$3:$C$29))</f>
        <v>414.8705310583365</v>
      </c>
      <c r="E199" s="145">
        <f t="shared" ca="1" si="3"/>
        <v>0</v>
      </c>
      <c r="F199" s="39">
        <f ca="1">E199*'Revenue Input'!$B$6</f>
        <v>0</v>
      </c>
      <c r="G199" s="148">
        <f ca="1">IF('User Inputs'!$D$4="PS",('Revenue Input'!$B$6/SUM($C$3:$C$231)),IF(ISERR(F199/C199),0,(F199/C199)))</f>
        <v>7.2344179438402385</v>
      </c>
      <c r="H199" s="148">
        <f ca="1">((IF(G199&gt;0,G199,VLOOKUP(A199,'Nearest Location Prices'!$M$1:$O$231,3,FALSE))))</f>
        <v>7.2344179438402385</v>
      </c>
      <c r="I199" s="171"/>
      <c r="K199" s="171"/>
      <c r="L199" s="145">
        <f ca="1">(IF(B199="STORAGE SITE",((100-'User Inputs'!$D$37)/100)*H199/'User Inputs'!$D$7,(IF(B199="INTERCONNECTOR",((100-'User Inputs'!$D$39)/100)*H199/'User Inputs'!$D$7,H199/'User Inputs'!$D$7))))</f>
        <v>1.9820323133808871E-2</v>
      </c>
      <c r="M199" s="147" t="s">
        <v>428</v>
      </c>
      <c r="N199" s="147" t="s">
        <v>428</v>
      </c>
      <c r="O199" s="145">
        <f ca="1">(IF(B199="STORAGE SITE",((100-'User Inputs'!$D$37)/100)* 'User Inputs'!$D$27*'Exit Prices'!H199/'User Inputs'!$D$7, IF(B199="INTERCONNECTOR", ((100-'User Inputs'!$D$39)/100)*'User Inputs'!$D$33*'Exit Prices'!H199/'User Inputs'!$D$7,  'User Inputs'!$D$27*'Exit Prices'!H199/'User Inputs'!$D$7)))</f>
        <v>1.9820323133808871E-2</v>
      </c>
      <c r="P199" s="147" t="s">
        <v>428</v>
      </c>
      <c r="Q199" s="145">
        <f ca="1">(100-(VLOOKUP(A199,'Exit Interruption Prob''s'!$A:$E,5,FALSE)))*O199/100</f>
        <v>1.7838290820427986E-2</v>
      </c>
    </row>
    <row r="200" spans="1:17">
      <c r="A200" s="2" t="s">
        <v>217</v>
      </c>
      <c r="B200" s="12" t="str">
        <f>VLOOKUP(A200,'Locations &amp; Types'!$E:$I,5,FALSE)</f>
        <v>POWER STATION</v>
      </c>
      <c r="C200" s="39">
        <f ca="1">(VLOOKUP(A200, INDIRECT("'"&amp;'Drop Down Inputs'!$B$10&amp;"'!"&amp;" $A:$H"),MATCH('User Inputs'!$D$19, INDIRECT("'"&amp;'Drop Down Inputs'!$B$10&amp;"'!"&amp;"$A$1:$H$1"),0), FALSE))*'User Inputs'!$D$20/100</f>
        <v>26750000</v>
      </c>
      <c r="D200" s="146">
        <f t="array" aca="1" ref="D200" ca="1">SUMPRODUCT('Entry Prices'!$C$3:$C$29, TRANSPOSE(INDEX('Distance Matrix'!$C$3:$AC$231,MATCH(A200,'Distance Matrix'!$B$3:$B$231,0),0)) /SUM('Entry Prices'!$C$3:$C$29))</f>
        <v>481.68500674111357</v>
      </c>
      <c r="E200" s="145">
        <f t="shared" ca="1" si="3"/>
        <v>4.9347996012711554E-3</v>
      </c>
      <c r="F200" s="39">
        <f ca="1">E200*'Revenue Input'!$B$6</f>
        <v>231874069.29008573</v>
      </c>
      <c r="G200" s="148">
        <f ca="1">IF('User Inputs'!$D$4="PS",('Revenue Input'!$B$6/SUM($C$3:$C$231)),IF(ISERR(F200/C200),0,(F200/C200)))</f>
        <v>7.2344179438402385</v>
      </c>
      <c r="H200" s="148">
        <f ca="1">((IF(G200&gt;0,G200,VLOOKUP(A200,'Nearest Location Prices'!$M$1:$O$231,3,FALSE))))</f>
        <v>7.2344179438402385</v>
      </c>
      <c r="I200" s="171"/>
      <c r="K200" s="171"/>
      <c r="L200" s="145">
        <f ca="1">(IF(B200="STORAGE SITE",((100-'User Inputs'!$D$37)/100)*H200/'User Inputs'!$D$7,(IF(B200="INTERCONNECTOR",((100-'User Inputs'!$D$39)/100)*H200/'User Inputs'!$D$7,H200/'User Inputs'!$D$7))))</f>
        <v>1.9820323133808871E-2</v>
      </c>
      <c r="M200" s="147" t="s">
        <v>428</v>
      </c>
      <c r="N200" s="147" t="s">
        <v>428</v>
      </c>
      <c r="O200" s="145">
        <f ca="1">(IF(B200="STORAGE SITE",((100-'User Inputs'!$D$37)/100)* 'User Inputs'!$D$27*'Exit Prices'!H200/'User Inputs'!$D$7, IF(B200="INTERCONNECTOR", ((100-'User Inputs'!$D$39)/100)*'User Inputs'!$D$33*'Exit Prices'!H200/'User Inputs'!$D$7,  'User Inputs'!$D$27*'Exit Prices'!H200/'User Inputs'!$D$7)))</f>
        <v>1.9820323133808871E-2</v>
      </c>
      <c r="P200" s="147" t="s">
        <v>428</v>
      </c>
      <c r="Q200" s="145">
        <f ca="1">(100-(VLOOKUP(A200,'Exit Interruption Prob''s'!$A:$E,5,FALSE)))*O200/100</f>
        <v>1.7838290820427986E-2</v>
      </c>
    </row>
    <row r="201" spans="1:17">
      <c r="A201" s="2" t="s">
        <v>218</v>
      </c>
      <c r="B201" s="12" t="str">
        <f>VLOOKUP(A201,'Locations &amp; Types'!$E:$I,5,FALSE)</f>
        <v>DNO</v>
      </c>
      <c r="C201" s="39">
        <f ca="1">(VLOOKUP(A201, INDIRECT("'"&amp;'Drop Down Inputs'!$B$10&amp;"'!"&amp;" $A:$H"),MATCH('User Inputs'!$D$19, INDIRECT("'"&amp;'Drop Down Inputs'!$B$10&amp;"'!"&amp;"$A$1:$H$1"),0), FALSE))*'User Inputs'!$D$20/100</f>
        <v>572053</v>
      </c>
      <c r="D201" s="146">
        <f t="array" aca="1" ref="D201" ca="1">SUMPRODUCT('Entry Prices'!$C$3:$C$29, TRANSPOSE(INDEX('Distance Matrix'!$C$3:$AC$231,MATCH(A201,'Distance Matrix'!$B$3:$B$231,0),0)) /SUM('Entry Prices'!$C$3:$C$29))</f>
        <v>387.32118850166489</v>
      </c>
      <c r="E201" s="145">
        <f t="shared" ca="1" si="3"/>
        <v>8.4857479827975412E-5</v>
      </c>
      <c r="F201" s="39">
        <f ca="1">E201*'Revenue Input'!$B$6</f>
        <v>3987243.8087142622</v>
      </c>
      <c r="G201" s="148">
        <f ca="1">IF('User Inputs'!$D$4="PS",('Revenue Input'!$B$6/SUM($C$3:$C$231)),IF(ISERR(F201/C201),0,(F201/C201)))</f>
        <v>7.2344179438402385</v>
      </c>
      <c r="H201" s="148">
        <f ca="1">((IF(G201&gt;0,G201,VLOOKUP(A201,'Nearest Location Prices'!$M$1:$O$231,3,FALSE))))</f>
        <v>7.2344179438402385</v>
      </c>
      <c r="I201" s="171"/>
      <c r="K201" s="171"/>
      <c r="L201" s="145">
        <f ca="1">(IF(B201="STORAGE SITE",((100-'User Inputs'!$D$37)/100)*H201/'User Inputs'!$D$7,(IF(B201="INTERCONNECTOR",((100-'User Inputs'!$D$39)/100)*H201/'User Inputs'!$D$7,H201/'User Inputs'!$D$7))))</f>
        <v>1.9820323133808871E-2</v>
      </c>
      <c r="M201" s="147" t="s">
        <v>428</v>
      </c>
      <c r="N201" s="147" t="s">
        <v>428</v>
      </c>
      <c r="O201" s="145">
        <f ca="1">(IF(B201="STORAGE SITE",((100-'User Inputs'!$D$37)/100)* 'User Inputs'!$D$27*'Exit Prices'!H201/'User Inputs'!$D$7, IF(B201="INTERCONNECTOR", ((100-'User Inputs'!$D$39)/100)*'User Inputs'!$D$33*'Exit Prices'!H201/'User Inputs'!$D$7,  'User Inputs'!$D$27*'Exit Prices'!H201/'User Inputs'!$D$7)))</f>
        <v>1.9820323133808871E-2</v>
      </c>
      <c r="P201" s="147" t="s">
        <v>428</v>
      </c>
      <c r="Q201" s="145">
        <f ca="1">(100-(VLOOKUP(A201,'Exit Interruption Prob''s'!$A:$E,5,FALSE)))*O201/100</f>
        <v>1.7838290820427986E-2</v>
      </c>
    </row>
    <row r="202" spans="1:17">
      <c r="A202" s="2" t="s">
        <v>219</v>
      </c>
      <c r="B202" s="12" t="str">
        <f>VLOOKUP(A202,'Locations &amp; Types'!$E:$I,5,FALSE)</f>
        <v>DNO</v>
      </c>
      <c r="C202" s="39">
        <f ca="1">(VLOOKUP(A202, INDIRECT("'"&amp;'Drop Down Inputs'!$B$10&amp;"'!"&amp;" $A:$H"),MATCH('User Inputs'!$D$19, INDIRECT("'"&amp;'Drop Down Inputs'!$B$10&amp;"'!"&amp;"$A$1:$H$1"),0), FALSE))*'User Inputs'!$D$20/100</f>
        <v>59564671</v>
      </c>
      <c r="D202" s="146">
        <f t="array" aca="1" ref="D202" ca="1">SUMPRODUCT('Entry Prices'!$C$3:$C$29, TRANSPOSE(INDEX('Distance Matrix'!$C$3:$AC$231,MATCH(A202,'Distance Matrix'!$B$3:$B$231,0),0)) /SUM('Entry Prices'!$C$3:$C$29))</f>
        <v>312.54777750598851</v>
      </c>
      <c r="E202" s="145">
        <f t="shared" ca="1" si="3"/>
        <v>7.1299710849323785E-3</v>
      </c>
      <c r="F202" s="39">
        <f ca="1">E202*'Revenue Input'!$B$6</f>
        <v>335019766.34634888</v>
      </c>
      <c r="G202" s="148">
        <f ca="1">IF('User Inputs'!$D$4="PS",('Revenue Input'!$B$6/SUM($C$3:$C$231)),IF(ISERR(F202/C202),0,(F202/C202)))</f>
        <v>7.2344179438402385</v>
      </c>
      <c r="H202" s="148">
        <f ca="1">((IF(G202&gt;0,G202,VLOOKUP(A202,'Nearest Location Prices'!$M$1:$O$231,3,FALSE))))</f>
        <v>7.2344179438402385</v>
      </c>
      <c r="I202" s="171"/>
      <c r="K202" s="171"/>
      <c r="L202" s="145">
        <f ca="1">(IF(B202="STORAGE SITE",((100-'User Inputs'!$D$37)/100)*H202/'User Inputs'!$D$7,(IF(B202="INTERCONNECTOR",((100-'User Inputs'!$D$39)/100)*H202/'User Inputs'!$D$7,H202/'User Inputs'!$D$7))))</f>
        <v>1.9820323133808871E-2</v>
      </c>
      <c r="M202" s="147" t="s">
        <v>428</v>
      </c>
      <c r="N202" s="147" t="s">
        <v>428</v>
      </c>
      <c r="O202" s="145">
        <f ca="1">(IF(B202="STORAGE SITE",((100-'User Inputs'!$D$37)/100)* 'User Inputs'!$D$27*'Exit Prices'!H202/'User Inputs'!$D$7, IF(B202="INTERCONNECTOR", ((100-'User Inputs'!$D$39)/100)*'User Inputs'!$D$33*'Exit Prices'!H202/'User Inputs'!$D$7,  'User Inputs'!$D$27*'Exit Prices'!H202/'User Inputs'!$D$7)))</f>
        <v>1.9820323133808871E-2</v>
      </c>
      <c r="P202" s="147" t="s">
        <v>428</v>
      </c>
      <c r="Q202" s="145">
        <f ca="1">(100-(VLOOKUP(A202,'Exit Interruption Prob''s'!$A:$E,5,FALSE)))*O202/100</f>
        <v>1.7838290820427986E-2</v>
      </c>
    </row>
    <row r="203" spans="1:17">
      <c r="A203" s="2" t="s">
        <v>239</v>
      </c>
      <c r="B203" s="12" t="str">
        <f>VLOOKUP(A203,'Locations &amp; Types'!$E:$I,5,FALSE)</f>
        <v>POWER STATION</v>
      </c>
      <c r="C203" s="39">
        <f ca="1">(VLOOKUP(A203, INDIRECT("'"&amp;'Drop Down Inputs'!$B$10&amp;"'!"&amp;" $A:$H"),MATCH('User Inputs'!$D$19, INDIRECT("'"&amp;'Drop Down Inputs'!$B$10&amp;"'!"&amp;"$A$1:$H$1"),0), FALSE))*'User Inputs'!$D$20/100</f>
        <v>0</v>
      </c>
      <c r="D203" s="146">
        <f t="array" aca="1" ref="D203" ca="1">SUMPRODUCT('Entry Prices'!$C$3:$C$29, TRANSPOSE(INDEX('Distance Matrix'!$C$3:$AC$231,MATCH(A203,'Distance Matrix'!$B$3:$B$231,0),0)) /SUM('Entry Prices'!$C$3:$C$29))</f>
        <v>363.66747461697662</v>
      </c>
      <c r="E203" s="145">
        <f t="shared" ca="1" si="3"/>
        <v>0</v>
      </c>
      <c r="F203" s="39">
        <f ca="1">E203*'Revenue Input'!$B$6</f>
        <v>0</v>
      </c>
      <c r="G203" s="148">
        <f ca="1">IF('User Inputs'!$D$4="PS",('Revenue Input'!$B$6/SUM($C$3:$C$231)),IF(ISERR(F203/C203),0,(F203/C203)))</f>
        <v>7.2344179438402385</v>
      </c>
      <c r="H203" s="148">
        <f ca="1">((IF(G203&gt;0,G203,VLOOKUP(A203,'Nearest Location Prices'!$M$1:$O$231,3,FALSE))))</f>
        <v>7.2344179438402385</v>
      </c>
      <c r="I203" s="171"/>
      <c r="K203" s="171"/>
      <c r="L203" s="145">
        <f ca="1">(IF(B203="STORAGE SITE",((100-'User Inputs'!$D$37)/100)*H203/'User Inputs'!$D$7,(IF(B203="INTERCONNECTOR",((100-'User Inputs'!$D$39)/100)*H203/'User Inputs'!$D$7,H203/'User Inputs'!$D$7))))</f>
        <v>1.9820323133808871E-2</v>
      </c>
      <c r="M203" s="147" t="s">
        <v>428</v>
      </c>
      <c r="N203" s="147" t="s">
        <v>428</v>
      </c>
      <c r="O203" s="145">
        <f ca="1">(IF(B203="STORAGE SITE",((100-'User Inputs'!$D$37)/100)* 'User Inputs'!$D$27*'Exit Prices'!H203/'User Inputs'!$D$7, IF(B203="INTERCONNECTOR", ((100-'User Inputs'!$D$39)/100)*'User Inputs'!$D$33*'Exit Prices'!H203/'User Inputs'!$D$7,  'User Inputs'!$D$27*'Exit Prices'!H203/'User Inputs'!$D$7)))</f>
        <v>1.9820323133808871E-2</v>
      </c>
      <c r="P203" s="147" t="s">
        <v>428</v>
      </c>
      <c r="Q203" s="145">
        <f ca="1">(100-(VLOOKUP(A203,'Exit Interruption Prob''s'!$A:$E,5,FALSE)))*O203/100</f>
        <v>1.7838290820427986E-2</v>
      </c>
    </row>
    <row r="204" spans="1:17">
      <c r="A204" s="2" t="s">
        <v>220</v>
      </c>
      <c r="B204" s="12" t="str">
        <f>VLOOKUP(A204,'Locations &amp; Types'!$E:$I,5,FALSE)</f>
        <v>DNO</v>
      </c>
      <c r="C204" s="39">
        <f ca="1">(VLOOKUP(A204, INDIRECT("'"&amp;'Drop Down Inputs'!$B$10&amp;"'!"&amp;" $A:$H"),MATCH('User Inputs'!$D$19, INDIRECT("'"&amp;'Drop Down Inputs'!$B$10&amp;"'!"&amp;"$A$1:$H$1"),0), FALSE))*'User Inputs'!$D$20/100</f>
        <v>64479276</v>
      </c>
      <c r="D204" s="146">
        <f t="array" aca="1" ref="D204" ca="1">SUMPRODUCT('Entry Prices'!$C$3:$C$29, TRANSPOSE(INDEX('Distance Matrix'!$C$3:$AC$231,MATCH(A204,'Distance Matrix'!$B$3:$B$231,0),0)) /SUM('Entry Prices'!$C$3:$C$29))</f>
        <v>322.36111366865924</v>
      </c>
      <c r="E204" s="145">
        <f t="shared" ca="1" si="3"/>
        <v>7.9605927381433302E-3</v>
      </c>
      <c r="F204" s="39">
        <f ca="1">E204*'Revenue Input'!$B$6</f>
        <v>374048630.40009284</v>
      </c>
      <c r="G204" s="148">
        <f ca="1">IF('User Inputs'!$D$4="PS",('Revenue Input'!$B$6/SUM($C$3:$C$231)),IF(ISERR(F204/C204),0,(F204/C204)))</f>
        <v>7.2344179438402385</v>
      </c>
      <c r="H204" s="148">
        <f ca="1">((IF(G204&gt;0,G204,VLOOKUP(A204,'Nearest Location Prices'!$M$1:$O$231,3,FALSE))))</f>
        <v>7.2344179438402385</v>
      </c>
      <c r="I204" s="171"/>
      <c r="K204" s="171"/>
      <c r="L204" s="145">
        <f ca="1">(IF(B204="STORAGE SITE",((100-'User Inputs'!$D$37)/100)*H204/'User Inputs'!$D$7,(IF(B204="INTERCONNECTOR",((100-'User Inputs'!$D$39)/100)*H204/'User Inputs'!$D$7,H204/'User Inputs'!$D$7))))</f>
        <v>1.9820323133808871E-2</v>
      </c>
      <c r="M204" s="147" t="s">
        <v>428</v>
      </c>
      <c r="N204" s="147" t="s">
        <v>428</v>
      </c>
      <c r="O204" s="145">
        <f ca="1">(IF(B204="STORAGE SITE",((100-'User Inputs'!$D$37)/100)* 'User Inputs'!$D$27*'Exit Prices'!H204/'User Inputs'!$D$7, IF(B204="INTERCONNECTOR", ((100-'User Inputs'!$D$39)/100)*'User Inputs'!$D$33*'Exit Prices'!H204/'User Inputs'!$D$7,  'User Inputs'!$D$27*'Exit Prices'!H204/'User Inputs'!$D$7)))</f>
        <v>1.9820323133808871E-2</v>
      </c>
      <c r="P204" s="147" t="s">
        <v>428</v>
      </c>
      <c r="Q204" s="145">
        <f ca="1">(100-(VLOOKUP(A204,'Exit Interruption Prob''s'!$A:$E,5,FALSE)))*O204/100</f>
        <v>1.7838290820427986E-2</v>
      </c>
    </row>
    <row r="205" spans="1:17">
      <c r="A205" s="2" t="s">
        <v>221</v>
      </c>
      <c r="B205" s="12" t="str">
        <f>VLOOKUP(A205,'Locations &amp; Types'!$E:$I,5,FALSE)</f>
        <v>INDUSTRIAL</v>
      </c>
      <c r="C205" s="39">
        <f ca="1">(VLOOKUP(A205, INDIRECT("'"&amp;'Drop Down Inputs'!$B$10&amp;"'!"&amp;" $A:$H"),MATCH('User Inputs'!$D$19, INDIRECT("'"&amp;'Drop Down Inputs'!$B$10&amp;"'!"&amp;"$A$1:$H$1"),0), FALSE))*'User Inputs'!$D$20/100</f>
        <v>8300000</v>
      </c>
      <c r="D205" s="146">
        <f t="array" aca="1" ref="D205" ca="1">SUMPRODUCT('Entry Prices'!$C$3:$C$29, TRANSPOSE(INDEX('Distance Matrix'!$C$3:$AC$231,MATCH(A205,'Distance Matrix'!$B$3:$B$231,0),0)) /SUM('Entry Prices'!$C$3:$C$29))</f>
        <v>578.6074115585609</v>
      </c>
      <c r="E205" s="145">
        <f t="shared" ca="1" si="3"/>
        <v>1.8392666278921317E-3</v>
      </c>
      <c r="F205" s="39">
        <f ca="1">E205*'Revenue Input'!$B$6</f>
        <v>86422605.166974947</v>
      </c>
      <c r="G205" s="148">
        <f ca="1">IF('User Inputs'!$D$4="PS",('Revenue Input'!$B$6/SUM($C$3:$C$231)),IF(ISERR(F205/C205),0,(F205/C205)))</f>
        <v>7.2344179438402385</v>
      </c>
      <c r="H205" s="148">
        <f ca="1">((IF(G205&gt;0,G205,VLOOKUP(A205,'Nearest Location Prices'!$M$1:$O$231,3,FALSE))))</f>
        <v>7.2344179438402385</v>
      </c>
      <c r="I205" s="171"/>
      <c r="K205" s="171"/>
      <c r="L205" s="145">
        <f ca="1">(IF(B205="STORAGE SITE",((100-'User Inputs'!$D$37)/100)*H205/'User Inputs'!$D$7,(IF(B205="INTERCONNECTOR",((100-'User Inputs'!$D$39)/100)*H205/'User Inputs'!$D$7,H205/'User Inputs'!$D$7))))</f>
        <v>1.9820323133808871E-2</v>
      </c>
      <c r="M205" s="147" t="s">
        <v>428</v>
      </c>
      <c r="N205" s="147" t="s">
        <v>428</v>
      </c>
      <c r="O205" s="145">
        <f ca="1">(IF(B205="STORAGE SITE",((100-'User Inputs'!$D$37)/100)* 'User Inputs'!$D$27*'Exit Prices'!H205/'User Inputs'!$D$7, IF(B205="INTERCONNECTOR", ((100-'User Inputs'!$D$39)/100)*'User Inputs'!$D$33*'Exit Prices'!H205/'User Inputs'!$D$7,  'User Inputs'!$D$27*'Exit Prices'!H205/'User Inputs'!$D$7)))</f>
        <v>1.9820323133808871E-2</v>
      </c>
      <c r="P205" s="147" t="s">
        <v>428</v>
      </c>
      <c r="Q205" s="145">
        <f ca="1">(100-(VLOOKUP(A205,'Exit Interruption Prob''s'!$A:$E,5,FALSE)))*O205/100</f>
        <v>1.7838290820427986E-2</v>
      </c>
    </row>
    <row r="206" spans="1:17">
      <c r="A206" s="2" t="s">
        <v>222</v>
      </c>
      <c r="B206" s="12" t="str">
        <f>VLOOKUP(A206,'Locations &amp; Types'!$E:$I,5,FALSE)</f>
        <v>DNO</v>
      </c>
      <c r="C206" s="39">
        <f ca="1">(VLOOKUP(A206, INDIRECT("'"&amp;'Drop Down Inputs'!$B$10&amp;"'!"&amp;" $A:$H"),MATCH('User Inputs'!$D$19, INDIRECT("'"&amp;'Drop Down Inputs'!$B$10&amp;"'!"&amp;"$A$1:$H$1"),0), FALSE))*'User Inputs'!$D$20/100</f>
        <v>806402</v>
      </c>
      <c r="D206" s="146">
        <f t="array" aca="1" ref="D206" ca="1">SUMPRODUCT('Entry Prices'!$C$3:$C$29, TRANSPOSE(INDEX('Distance Matrix'!$C$3:$AC$231,MATCH(A206,'Distance Matrix'!$B$3:$B$231,0),0)) /SUM('Entry Prices'!$C$3:$C$29))</f>
        <v>293.18482765356862</v>
      </c>
      <c r="E206" s="145">
        <f t="shared" ca="1" si="3"/>
        <v>9.0547339501532978E-5</v>
      </c>
      <c r="F206" s="39">
        <f ca="1">E206*'Revenue Input'!$B$6</f>
        <v>4254596.2896250384</v>
      </c>
      <c r="G206" s="148">
        <f ca="1">IF('User Inputs'!$D$4="PS",('Revenue Input'!$B$6/SUM($C$3:$C$231)),IF(ISERR(F206/C206),0,(F206/C206)))</f>
        <v>7.2344179438402385</v>
      </c>
      <c r="H206" s="148">
        <f ca="1">((IF(G206&gt;0,G206,VLOOKUP(A206,'Nearest Location Prices'!$M$1:$O$231,3,FALSE))))</f>
        <v>7.2344179438402385</v>
      </c>
      <c r="I206" s="171"/>
      <c r="K206" s="171"/>
      <c r="L206" s="145">
        <f ca="1">(IF(B206="STORAGE SITE",((100-'User Inputs'!$D$37)/100)*H206/'User Inputs'!$D$7,(IF(B206="INTERCONNECTOR",((100-'User Inputs'!$D$39)/100)*H206/'User Inputs'!$D$7,H206/'User Inputs'!$D$7))))</f>
        <v>1.9820323133808871E-2</v>
      </c>
      <c r="M206" s="147" t="s">
        <v>428</v>
      </c>
      <c r="N206" s="147" t="s">
        <v>428</v>
      </c>
      <c r="O206" s="145">
        <f ca="1">(IF(B206="STORAGE SITE",((100-'User Inputs'!$D$37)/100)* 'User Inputs'!$D$27*'Exit Prices'!H206/'User Inputs'!$D$7, IF(B206="INTERCONNECTOR", ((100-'User Inputs'!$D$39)/100)*'User Inputs'!$D$33*'Exit Prices'!H206/'User Inputs'!$D$7,  'User Inputs'!$D$27*'Exit Prices'!H206/'User Inputs'!$D$7)))</f>
        <v>1.9820323133808871E-2</v>
      </c>
      <c r="P206" s="147" t="s">
        <v>428</v>
      </c>
      <c r="Q206" s="145">
        <f ca="1">(100-(VLOOKUP(A206,'Exit Interruption Prob''s'!$A:$E,5,FALSE)))*O206/100</f>
        <v>1.7838290820427986E-2</v>
      </c>
    </row>
    <row r="207" spans="1:17">
      <c r="A207" s="2" t="s">
        <v>223</v>
      </c>
      <c r="B207" s="12" t="str">
        <f>VLOOKUP(A207,'Locations &amp; Types'!$E:$I,5,FALSE)</f>
        <v>DNO</v>
      </c>
      <c r="C207" s="39">
        <f ca="1">(VLOOKUP(A207, INDIRECT("'"&amp;'Drop Down Inputs'!$B$10&amp;"'!"&amp;" $A:$H"),MATCH('User Inputs'!$D$19, INDIRECT("'"&amp;'Drop Down Inputs'!$B$10&amp;"'!"&amp;"$A$1:$H$1"),0), FALSE))*'User Inputs'!$D$20/100</f>
        <v>92041489</v>
      </c>
      <c r="D207" s="146">
        <f t="array" aca="1" ref="D207" ca="1">SUMPRODUCT('Entry Prices'!$C$3:$C$29, TRANSPOSE(INDEX('Distance Matrix'!$C$3:$AC$231,MATCH(A207,'Distance Matrix'!$B$3:$B$231,0),0)) /SUM('Entry Prices'!$C$3:$C$29))</f>
        <v>360.23752351034034</v>
      </c>
      <c r="E207" s="145">
        <f t="shared" ca="1" si="3"/>
        <v>1.2698580909870794E-2</v>
      </c>
      <c r="F207" s="39">
        <f ca="1">E207*'Revenue Input'!$B$6</f>
        <v>596675015.74383569</v>
      </c>
      <c r="G207" s="148">
        <f ca="1">IF('User Inputs'!$D$4="PS",('Revenue Input'!$B$6/SUM($C$3:$C$231)),IF(ISERR(F207/C207),0,(F207/C207)))</f>
        <v>7.2344179438402385</v>
      </c>
      <c r="H207" s="148">
        <f ca="1">((IF(G207&gt;0,G207,VLOOKUP(A207,'Nearest Location Prices'!$M$1:$O$231,3,FALSE))))</f>
        <v>7.2344179438402385</v>
      </c>
      <c r="I207" s="171"/>
      <c r="K207" s="171"/>
      <c r="L207" s="145">
        <f ca="1">(IF(B207="STORAGE SITE",((100-'User Inputs'!$D$37)/100)*H207/'User Inputs'!$D$7,(IF(B207="INTERCONNECTOR",((100-'User Inputs'!$D$39)/100)*H207/'User Inputs'!$D$7,H207/'User Inputs'!$D$7))))</f>
        <v>1.9820323133808871E-2</v>
      </c>
      <c r="M207" s="147" t="s">
        <v>428</v>
      </c>
      <c r="N207" s="147" t="s">
        <v>428</v>
      </c>
      <c r="O207" s="145">
        <f ca="1">(IF(B207="STORAGE SITE",((100-'User Inputs'!$D$37)/100)* 'User Inputs'!$D$27*'Exit Prices'!H207/'User Inputs'!$D$7, IF(B207="INTERCONNECTOR", ((100-'User Inputs'!$D$39)/100)*'User Inputs'!$D$33*'Exit Prices'!H207/'User Inputs'!$D$7,  'User Inputs'!$D$27*'Exit Prices'!H207/'User Inputs'!$D$7)))</f>
        <v>1.9820323133808871E-2</v>
      </c>
      <c r="P207" s="147" t="s">
        <v>428</v>
      </c>
      <c r="Q207" s="145">
        <f ca="1">(100-(VLOOKUP(A207,'Exit Interruption Prob''s'!$A:$E,5,FALSE)))*O207/100</f>
        <v>1.7838290820427986E-2</v>
      </c>
    </row>
    <row r="208" spans="1:17">
      <c r="A208" s="2" t="s">
        <v>224</v>
      </c>
      <c r="B208" s="12" t="str">
        <f>VLOOKUP(A208,'Locations &amp; Types'!$E:$I,5,FALSE)</f>
        <v>POWER STATION</v>
      </c>
      <c r="C208" s="39">
        <f ca="1">(VLOOKUP(A208, INDIRECT("'"&amp;'Drop Down Inputs'!$B$10&amp;"'!"&amp;" $A:$H"),MATCH('User Inputs'!$D$19, INDIRECT("'"&amp;'Drop Down Inputs'!$B$10&amp;"'!"&amp;"$A$1:$H$1"),0), FALSE))*'User Inputs'!$D$20/100</f>
        <v>37530627.863013692</v>
      </c>
      <c r="D208" s="146">
        <f t="array" aca="1" ref="D208" ca="1">SUMPRODUCT('Entry Prices'!$C$3:$C$29, TRANSPOSE(INDEX('Distance Matrix'!$C$3:$AC$231,MATCH(A208,'Distance Matrix'!$B$3:$B$231,0),0)) /SUM('Entry Prices'!$C$3:$C$29))</f>
        <v>308.4823032957222</v>
      </c>
      <c r="E208" s="145">
        <f t="shared" ca="1" si="3"/>
        <v>4.4340306526799416E-3</v>
      </c>
      <c r="F208" s="39">
        <f ca="1">E208*'Revenue Input'!$B$6</f>
        <v>208344170.76005176</v>
      </c>
      <c r="G208" s="148">
        <f ca="1">IF('User Inputs'!$D$4="PS",('Revenue Input'!$B$6/SUM($C$3:$C$231)),IF(ISERR(F208/C208),0,(F208/C208)))</f>
        <v>7.2344179438402385</v>
      </c>
      <c r="H208" s="148">
        <f ca="1">((IF(G208&gt;0,G208,VLOOKUP(A208,'Nearest Location Prices'!$M$1:$O$231,3,FALSE))))</f>
        <v>7.2344179438402385</v>
      </c>
      <c r="I208" s="171"/>
      <c r="K208" s="171"/>
      <c r="L208" s="145">
        <f ca="1">(IF(B208="STORAGE SITE",((100-'User Inputs'!$D$37)/100)*H208/'User Inputs'!$D$7,(IF(B208="INTERCONNECTOR",((100-'User Inputs'!$D$39)/100)*H208/'User Inputs'!$D$7,H208/'User Inputs'!$D$7))))</f>
        <v>1.9820323133808871E-2</v>
      </c>
      <c r="M208" s="147" t="s">
        <v>428</v>
      </c>
      <c r="N208" s="147" t="s">
        <v>428</v>
      </c>
      <c r="O208" s="145">
        <f ca="1">(IF(B208="STORAGE SITE",((100-'User Inputs'!$D$37)/100)* 'User Inputs'!$D$27*'Exit Prices'!H208/'User Inputs'!$D$7, IF(B208="INTERCONNECTOR", ((100-'User Inputs'!$D$39)/100)*'User Inputs'!$D$33*'Exit Prices'!H208/'User Inputs'!$D$7,  'User Inputs'!$D$27*'Exit Prices'!H208/'User Inputs'!$D$7)))</f>
        <v>1.9820323133808871E-2</v>
      </c>
      <c r="P208" s="147" t="s">
        <v>428</v>
      </c>
      <c r="Q208" s="145">
        <f ca="1">(100-(VLOOKUP(A208,'Exit Interruption Prob''s'!$A:$E,5,FALSE)))*O208/100</f>
        <v>1.7838290820427986E-2</v>
      </c>
    </row>
    <row r="209" spans="1:17">
      <c r="A209" s="2" t="s">
        <v>225</v>
      </c>
      <c r="B209" s="12" t="str">
        <f>VLOOKUP(A209,'Locations &amp; Types'!$E:$I,5,FALSE)</f>
        <v>DNO</v>
      </c>
      <c r="C209" s="39">
        <f ca="1">(VLOOKUP(A209, INDIRECT("'"&amp;'Drop Down Inputs'!$B$10&amp;"'!"&amp;" $A:$H"),MATCH('User Inputs'!$D$19, INDIRECT("'"&amp;'Drop Down Inputs'!$B$10&amp;"'!"&amp;"$A$1:$H$1"),0), FALSE))*'User Inputs'!$D$20/100</f>
        <v>10086940</v>
      </c>
      <c r="D209" s="146">
        <f t="array" aca="1" ref="D209" ca="1">SUMPRODUCT('Entry Prices'!$C$3:$C$29, TRANSPOSE(INDEX('Distance Matrix'!$C$3:$AC$231,MATCH(A209,'Distance Matrix'!$B$3:$B$231,0),0)) /SUM('Entry Prices'!$C$3:$C$29))</f>
        <v>306.84313757556311</v>
      </c>
      <c r="E209" s="145">
        <f t="shared" ca="1" si="3"/>
        <v>1.1853823561139469E-3</v>
      </c>
      <c r="F209" s="39">
        <f ca="1">E209*'Revenue Input'!$B$6</f>
        <v>55698195.020119838</v>
      </c>
      <c r="G209" s="148">
        <f ca="1">IF('User Inputs'!$D$4="PS",('Revenue Input'!$B$6/SUM($C$3:$C$231)),IF(ISERR(F209/C209),0,(F209/C209)))</f>
        <v>7.2344179438402385</v>
      </c>
      <c r="H209" s="148">
        <f ca="1">((IF(G209&gt;0,G209,VLOOKUP(A209,'Nearest Location Prices'!$M$1:$O$231,3,FALSE))))</f>
        <v>7.2344179438402385</v>
      </c>
      <c r="I209" s="171"/>
      <c r="K209" s="171"/>
      <c r="L209" s="145">
        <f ca="1">(IF(B209="STORAGE SITE",((100-'User Inputs'!$D$37)/100)*H209/'User Inputs'!$D$7,(IF(B209="INTERCONNECTOR",((100-'User Inputs'!$D$39)/100)*H209/'User Inputs'!$D$7,H209/'User Inputs'!$D$7))))</f>
        <v>1.9820323133808871E-2</v>
      </c>
      <c r="M209" s="147" t="s">
        <v>428</v>
      </c>
      <c r="N209" s="147" t="s">
        <v>428</v>
      </c>
      <c r="O209" s="145">
        <f ca="1">(IF(B209="STORAGE SITE",((100-'User Inputs'!$D$37)/100)* 'User Inputs'!$D$27*'Exit Prices'!H209/'User Inputs'!$D$7, IF(B209="INTERCONNECTOR", ((100-'User Inputs'!$D$39)/100)*'User Inputs'!$D$33*'Exit Prices'!H209/'User Inputs'!$D$7,  'User Inputs'!$D$27*'Exit Prices'!H209/'User Inputs'!$D$7)))</f>
        <v>1.9820323133808871E-2</v>
      </c>
      <c r="P209" s="147" t="s">
        <v>428</v>
      </c>
      <c r="Q209" s="145">
        <f ca="1">(100-(VLOOKUP(A209,'Exit Interruption Prob''s'!$A:$E,5,FALSE)))*O209/100</f>
        <v>1.7838290820427986E-2</v>
      </c>
    </row>
    <row r="210" spans="1:17">
      <c r="A210" s="2" t="s">
        <v>226</v>
      </c>
      <c r="B210" s="12" t="str">
        <f>VLOOKUP(A210,'Locations &amp; Types'!$E:$I,5,FALSE)</f>
        <v>DNO</v>
      </c>
      <c r="C210" s="39">
        <f ca="1">(VLOOKUP(A210, INDIRECT("'"&amp;'Drop Down Inputs'!$B$10&amp;"'!"&amp;" $A:$H"),MATCH('User Inputs'!$D$19, INDIRECT("'"&amp;'Drop Down Inputs'!$B$10&amp;"'!"&amp;"$A$1:$H$1"),0), FALSE))*'User Inputs'!$D$20/100</f>
        <v>4076123</v>
      </c>
      <c r="D210" s="146">
        <f t="array" aca="1" ref="D210" ca="1">SUMPRODUCT('Entry Prices'!$C$3:$C$29, TRANSPOSE(INDEX('Distance Matrix'!$C$3:$AC$231,MATCH(A210,'Distance Matrix'!$B$3:$B$231,0),0)) /SUM('Entry Prices'!$C$3:$C$29))</f>
        <v>403.99400476926655</v>
      </c>
      <c r="E210" s="145">
        <f t="shared" ca="1" si="3"/>
        <v>6.3067382565656102E-4</v>
      </c>
      <c r="F210" s="39">
        <f ca="1">E210*'Revenue Input'!$B$6</f>
        <v>29633808.49590401</v>
      </c>
      <c r="G210" s="148">
        <f ca="1">IF('User Inputs'!$D$4="PS",('Revenue Input'!$B$6/SUM($C$3:$C$231)),IF(ISERR(F210/C210),0,(F210/C210)))</f>
        <v>7.2344179438402385</v>
      </c>
      <c r="H210" s="148">
        <f ca="1">((IF(G210&gt;0,G210,VLOOKUP(A210,'Nearest Location Prices'!$M$1:$O$231,3,FALSE))))</f>
        <v>7.2344179438402385</v>
      </c>
      <c r="I210" s="171"/>
      <c r="K210" s="171"/>
      <c r="L210" s="145">
        <f ca="1">(IF(B210="STORAGE SITE",((100-'User Inputs'!$D$37)/100)*H210/'User Inputs'!$D$7,(IF(B210="INTERCONNECTOR",((100-'User Inputs'!$D$39)/100)*H210/'User Inputs'!$D$7,H210/'User Inputs'!$D$7))))</f>
        <v>1.9820323133808871E-2</v>
      </c>
      <c r="M210" s="147" t="s">
        <v>428</v>
      </c>
      <c r="N210" s="147" t="s">
        <v>428</v>
      </c>
      <c r="O210" s="145">
        <f ca="1">(IF(B210="STORAGE SITE",((100-'User Inputs'!$D$37)/100)* 'User Inputs'!$D$27*'Exit Prices'!H210/'User Inputs'!$D$7, IF(B210="INTERCONNECTOR", ((100-'User Inputs'!$D$39)/100)*'User Inputs'!$D$33*'Exit Prices'!H210/'User Inputs'!$D$7,  'User Inputs'!$D$27*'Exit Prices'!H210/'User Inputs'!$D$7)))</f>
        <v>1.9820323133808871E-2</v>
      </c>
      <c r="P210" s="147" t="s">
        <v>428</v>
      </c>
      <c r="Q210" s="145">
        <f ca="1">(100-(VLOOKUP(A210,'Exit Interruption Prob''s'!$A:$E,5,FALSE)))*O210/100</f>
        <v>1.7838290820427986E-2</v>
      </c>
    </row>
    <row r="211" spans="1:17">
      <c r="A211" s="2" t="s">
        <v>227</v>
      </c>
      <c r="B211" s="12" t="str">
        <f>VLOOKUP(A211,'Locations &amp; Types'!$E:$I,5,FALSE)</f>
        <v>INDUSTRIAL</v>
      </c>
      <c r="C211" s="39">
        <f ca="1">(VLOOKUP(A211, INDIRECT("'"&amp;'Drop Down Inputs'!$B$10&amp;"'!"&amp;" $A:$H"),MATCH('User Inputs'!$D$19, INDIRECT("'"&amp;'Drop Down Inputs'!$B$10&amp;"'!"&amp;"$A$1:$H$1"),0), FALSE))*'User Inputs'!$D$20/100</f>
        <v>472084.46416438353</v>
      </c>
      <c r="D211" s="146">
        <f t="array" aca="1" ref="D211" ca="1">SUMPRODUCT('Entry Prices'!$C$3:$C$29, TRANSPOSE(INDEX('Distance Matrix'!$C$3:$AC$231,MATCH(A211,'Distance Matrix'!$B$3:$B$231,0),0)) /SUM('Entry Prices'!$C$3:$C$29))</f>
        <v>403.99400476926655</v>
      </c>
      <c r="E211" s="145">
        <f t="shared" ca="1" si="3"/>
        <v>7.3042770065471387E-5</v>
      </c>
      <c r="F211" s="39">
        <f ca="1">E211*'Revenue Input'!$B$6</f>
        <v>3432099.719497866</v>
      </c>
      <c r="G211" s="148">
        <f ca="1">IF('User Inputs'!$D$4="PS",('Revenue Input'!$B$6/SUM($C$3:$C$231)),IF(ISERR(F211/C211),0,(F211/C211)))</f>
        <v>7.2344179438402385</v>
      </c>
      <c r="H211" s="148">
        <f ca="1">((IF(G211&gt;0,G211,VLOOKUP(A211,'Nearest Location Prices'!$M$1:$O$231,3,FALSE))))</f>
        <v>7.2344179438402385</v>
      </c>
      <c r="I211" s="171"/>
      <c r="K211" s="171"/>
      <c r="L211" s="145">
        <f ca="1">(IF(B211="STORAGE SITE",((100-'User Inputs'!$D$37)/100)*H211/'User Inputs'!$D$7,(IF(B211="INTERCONNECTOR",((100-'User Inputs'!$D$39)/100)*H211/'User Inputs'!$D$7,H211/'User Inputs'!$D$7))))</f>
        <v>1.9820323133808871E-2</v>
      </c>
      <c r="M211" s="147" t="s">
        <v>428</v>
      </c>
      <c r="N211" s="147" t="s">
        <v>428</v>
      </c>
      <c r="O211" s="145">
        <f ca="1">(IF(B211="STORAGE SITE",((100-'User Inputs'!$D$37)/100)* 'User Inputs'!$D$27*'Exit Prices'!H211/'User Inputs'!$D$7, IF(B211="INTERCONNECTOR", ((100-'User Inputs'!$D$39)/100)*'User Inputs'!$D$33*'Exit Prices'!H211/'User Inputs'!$D$7,  'User Inputs'!$D$27*'Exit Prices'!H211/'User Inputs'!$D$7)))</f>
        <v>1.9820323133808871E-2</v>
      </c>
      <c r="P211" s="147" t="s">
        <v>428</v>
      </c>
      <c r="Q211" s="145">
        <f ca="1">(100-(VLOOKUP(A211,'Exit Interruption Prob''s'!$A:$E,5,FALSE)))*O211/100</f>
        <v>1.7838290820427986E-2</v>
      </c>
    </row>
    <row r="212" spans="1:17">
      <c r="A212" s="2" t="s">
        <v>228</v>
      </c>
      <c r="B212" s="12" t="str">
        <f>VLOOKUP(A212,'Locations &amp; Types'!$E:$I,5,FALSE)</f>
        <v>POWER STATION</v>
      </c>
      <c r="C212" s="39">
        <f ca="1">(VLOOKUP(A212, INDIRECT("'"&amp;'Drop Down Inputs'!$B$10&amp;"'!"&amp;" $A:$H"),MATCH('User Inputs'!$D$19, INDIRECT("'"&amp;'Drop Down Inputs'!$B$10&amp;"'!"&amp;"$A$1:$H$1"),0), FALSE))*'User Inputs'!$D$20/100</f>
        <v>20599801.260273974</v>
      </c>
      <c r="D212" s="146">
        <f t="array" aca="1" ref="D212" ca="1">SUMPRODUCT('Entry Prices'!$C$3:$C$29, TRANSPOSE(INDEX('Distance Matrix'!$C$3:$AC$231,MATCH(A212,'Distance Matrix'!$B$3:$B$231,0),0)) /SUM('Entry Prices'!$C$3:$C$29))</f>
        <v>403.99400476926655</v>
      </c>
      <c r="E212" s="145">
        <f t="shared" ca="1" si="3"/>
        <v>3.1872824908821041E-3</v>
      </c>
      <c r="F212" s="39">
        <f ca="1">E212*'Revenue Input'!$B$6</f>
        <v>149762547.79373464</v>
      </c>
      <c r="G212" s="148">
        <f ca="1">IF('User Inputs'!$D$4="PS",('Revenue Input'!$B$6/SUM($C$3:$C$231)),IF(ISERR(F212/C212),0,(F212/C212)))</f>
        <v>7.2344179438402385</v>
      </c>
      <c r="H212" s="148">
        <f ca="1">((IF(G212&gt;0,G212,VLOOKUP(A212,'Nearest Location Prices'!$M$1:$O$231,3,FALSE))))</f>
        <v>7.2344179438402385</v>
      </c>
      <c r="I212" s="171"/>
      <c r="K212" s="171"/>
      <c r="L212" s="145">
        <f ca="1">(IF(B212="STORAGE SITE",((100-'User Inputs'!$D$37)/100)*H212/'User Inputs'!$D$7,(IF(B212="INTERCONNECTOR",((100-'User Inputs'!$D$39)/100)*H212/'User Inputs'!$D$7,H212/'User Inputs'!$D$7))))</f>
        <v>1.9820323133808871E-2</v>
      </c>
      <c r="M212" s="147" t="s">
        <v>428</v>
      </c>
      <c r="N212" s="147" t="s">
        <v>428</v>
      </c>
      <c r="O212" s="145">
        <f ca="1">(IF(B212="STORAGE SITE",((100-'User Inputs'!$D$37)/100)* 'User Inputs'!$D$27*'Exit Prices'!H212/'User Inputs'!$D$7, IF(B212="INTERCONNECTOR", ((100-'User Inputs'!$D$39)/100)*'User Inputs'!$D$33*'Exit Prices'!H212/'User Inputs'!$D$7,  'User Inputs'!$D$27*'Exit Prices'!H212/'User Inputs'!$D$7)))</f>
        <v>1.9820323133808871E-2</v>
      </c>
      <c r="P212" s="147" t="s">
        <v>428</v>
      </c>
      <c r="Q212" s="145">
        <f ca="1">(100-(VLOOKUP(A212,'Exit Interruption Prob''s'!$A:$E,5,FALSE)))*O212/100</f>
        <v>1.7838290820427986E-2</v>
      </c>
    </row>
    <row r="213" spans="1:17">
      <c r="A213" s="2" t="s">
        <v>229</v>
      </c>
      <c r="B213" s="12" t="str">
        <f>VLOOKUP(A213,'Locations &amp; Types'!$E:$I,5,FALSE)</f>
        <v>DNO</v>
      </c>
      <c r="C213" s="39">
        <f ca="1">(VLOOKUP(A213, INDIRECT("'"&amp;'Drop Down Inputs'!$B$10&amp;"'!"&amp;" $A:$H"),MATCH('User Inputs'!$D$19, INDIRECT("'"&amp;'Drop Down Inputs'!$B$10&amp;"'!"&amp;"$A$1:$H$1"),0), FALSE))*'User Inputs'!$D$20/100</f>
        <v>21081755</v>
      </c>
      <c r="D213" s="146">
        <f t="array" aca="1" ref="D213" ca="1">SUMPRODUCT('Entry Prices'!$C$3:$C$29, TRANSPOSE(INDEX('Distance Matrix'!$C$3:$AC$231,MATCH(A213,'Distance Matrix'!$B$3:$B$231,0),0)) /SUM('Entry Prices'!$C$3:$C$29))</f>
        <v>414.96217160690429</v>
      </c>
      <c r="E213" s="145">
        <f t="shared" ca="1" si="3"/>
        <v>3.3504093802813415E-3</v>
      </c>
      <c r="F213" s="39">
        <f ca="1">E213*'Revenue Input'!$B$6</f>
        <v>157427478.22898304</v>
      </c>
      <c r="G213" s="148">
        <f ca="1">IF('User Inputs'!$D$4="PS",('Revenue Input'!$B$6/SUM($C$3:$C$231)),IF(ISERR(F213/C213),0,(F213/C213)))</f>
        <v>7.2344179438402385</v>
      </c>
      <c r="H213" s="148">
        <f ca="1">((IF(G213&gt;0,G213,VLOOKUP(A213,'Nearest Location Prices'!$M$1:$O$231,3,FALSE))))</f>
        <v>7.2344179438402385</v>
      </c>
      <c r="I213" s="171"/>
      <c r="K213" s="171"/>
      <c r="L213" s="145">
        <f ca="1">(IF(B213="STORAGE SITE",((100-'User Inputs'!$D$37)/100)*H213/'User Inputs'!$D$7,(IF(B213="INTERCONNECTOR",((100-'User Inputs'!$D$39)/100)*H213/'User Inputs'!$D$7,H213/'User Inputs'!$D$7))))</f>
        <v>1.9820323133808871E-2</v>
      </c>
      <c r="M213" s="147" t="s">
        <v>428</v>
      </c>
      <c r="N213" s="147" t="s">
        <v>428</v>
      </c>
      <c r="O213" s="145">
        <f ca="1">(IF(B213="STORAGE SITE",((100-'User Inputs'!$D$37)/100)* 'User Inputs'!$D$27*'Exit Prices'!H213/'User Inputs'!$D$7, IF(B213="INTERCONNECTOR", ((100-'User Inputs'!$D$39)/100)*'User Inputs'!$D$33*'Exit Prices'!H213/'User Inputs'!$D$7,  'User Inputs'!$D$27*'Exit Prices'!H213/'User Inputs'!$D$7)))</f>
        <v>1.9820323133808871E-2</v>
      </c>
      <c r="P213" s="147" t="s">
        <v>428</v>
      </c>
      <c r="Q213" s="145">
        <f ca="1">(100-(VLOOKUP(A213,'Exit Interruption Prob''s'!$A:$E,5,FALSE)))*O213/100</f>
        <v>1.7838290820427986E-2</v>
      </c>
    </row>
    <row r="214" spans="1:17">
      <c r="A214" s="2" t="s">
        <v>230</v>
      </c>
      <c r="B214" s="12" t="str">
        <f>VLOOKUP(A214,'Locations &amp; Types'!$E:$I,5,FALSE)</f>
        <v>DNO</v>
      </c>
      <c r="C214" s="39">
        <f ca="1">(VLOOKUP(A214, INDIRECT("'"&amp;'Drop Down Inputs'!$B$10&amp;"'!"&amp;" $A:$H"),MATCH('User Inputs'!$D$19, INDIRECT("'"&amp;'Drop Down Inputs'!$B$10&amp;"'!"&amp;"$A$1:$H$1"),0), FALSE))*'User Inputs'!$D$20/100</f>
        <v>107742621</v>
      </c>
      <c r="D214" s="146">
        <f t="array" aca="1" ref="D214" ca="1">SUMPRODUCT('Entry Prices'!$C$3:$C$29, TRANSPOSE(INDEX('Distance Matrix'!$C$3:$AC$231,MATCH(A214,'Distance Matrix'!$B$3:$B$231,0),0)) /SUM('Entry Prices'!$C$3:$C$29))</f>
        <v>363.74538747174984</v>
      </c>
      <c r="E214" s="145">
        <f t="shared" ca="1" si="3"/>
        <v>1.5009548805449014E-2</v>
      </c>
      <c r="F214" s="39">
        <f ca="1">E214*'Revenue Input'!$B$6</f>
        <v>705261700.76513565</v>
      </c>
      <c r="G214" s="148">
        <f ca="1">IF('User Inputs'!$D$4="PS",('Revenue Input'!$B$6/SUM($C$3:$C$231)),IF(ISERR(F214/C214),0,(F214/C214)))</f>
        <v>7.2344179438402385</v>
      </c>
      <c r="H214" s="148">
        <f ca="1">((IF(G214&gt;0,G214,VLOOKUP(A214,'Nearest Location Prices'!$M$1:$O$231,3,FALSE))))</f>
        <v>7.2344179438402385</v>
      </c>
      <c r="I214" s="171"/>
      <c r="K214" s="171"/>
      <c r="L214" s="145">
        <f ca="1">(IF(B214="STORAGE SITE",((100-'User Inputs'!$D$37)/100)*H214/'User Inputs'!$D$7,(IF(B214="INTERCONNECTOR",((100-'User Inputs'!$D$39)/100)*H214/'User Inputs'!$D$7,H214/'User Inputs'!$D$7))))</f>
        <v>1.9820323133808871E-2</v>
      </c>
      <c r="M214" s="147" t="s">
        <v>428</v>
      </c>
      <c r="N214" s="147" t="s">
        <v>428</v>
      </c>
      <c r="O214" s="145">
        <f ca="1">(IF(B214="STORAGE SITE",((100-'User Inputs'!$D$37)/100)* 'User Inputs'!$D$27*'Exit Prices'!H214/'User Inputs'!$D$7, IF(B214="INTERCONNECTOR", ((100-'User Inputs'!$D$39)/100)*'User Inputs'!$D$33*'Exit Prices'!H214/'User Inputs'!$D$7,  'User Inputs'!$D$27*'Exit Prices'!H214/'User Inputs'!$D$7)))</f>
        <v>1.9820323133808871E-2</v>
      </c>
      <c r="P214" s="147" t="s">
        <v>428</v>
      </c>
      <c r="Q214" s="145">
        <f ca="1">(100-(VLOOKUP(A214,'Exit Interruption Prob''s'!$A:$E,5,FALSE)))*O214/100</f>
        <v>1.7838290820427986E-2</v>
      </c>
    </row>
    <row r="215" spans="1:17">
      <c r="A215" s="2" t="s">
        <v>231</v>
      </c>
      <c r="B215" s="12" t="str">
        <f>VLOOKUP(A215,'Locations &amp; Types'!$E:$I,5,FALSE)</f>
        <v>POWER STATION</v>
      </c>
      <c r="C215" s="39">
        <f ca="1">(VLOOKUP(A215, INDIRECT("'"&amp;'Drop Down Inputs'!$B$10&amp;"'!"&amp;" $A:$H"),MATCH('User Inputs'!$D$19, INDIRECT("'"&amp;'Drop Down Inputs'!$B$10&amp;"'!"&amp;"$A$1:$H$1"),0), FALSE))*'User Inputs'!$D$20/100</f>
        <v>0</v>
      </c>
      <c r="D215" s="146">
        <f t="array" aca="1" ref="D215" ca="1">SUMPRODUCT('Entry Prices'!$C$3:$C$29, TRANSPOSE(INDEX('Distance Matrix'!$C$3:$AC$231,MATCH(A215,'Distance Matrix'!$B$3:$B$231,0),0)) /SUM('Entry Prices'!$C$3:$C$29))</f>
        <v>337.4520597374231</v>
      </c>
      <c r="E215" s="145">
        <f t="shared" ca="1" si="3"/>
        <v>0</v>
      </c>
      <c r="F215" s="39">
        <f ca="1">E215*'Revenue Input'!$B$6</f>
        <v>0</v>
      </c>
      <c r="G215" s="148">
        <f ca="1">IF('User Inputs'!$D$4="PS",('Revenue Input'!$B$6/SUM($C$3:$C$231)),IF(ISERR(F215/C215),0,(F215/C215)))</f>
        <v>7.2344179438402385</v>
      </c>
      <c r="H215" s="148">
        <f ca="1">((IF(G215&gt;0,G215,VLOOKUP(A215,'Nearest Location Prices'!$M$1:$O$231,3,FALSE))))</f>
        <v>7.2344179438402385</v>
      </c>
      <c r="I215" s="171"/>
      <c r="K215" s="171"/>
      <c r="L215" s="145">
        <f ca="1">(IF(B215="STORAGE SITE",((100-'User Inputs'!$D$37)/100)*H215/'User Inputs'!$D$7,(IF(B215="INTERCONNECTOR",((100-'User Inputs'!$D$39)/100)*H215/'User Inputs'!$D$7,H215/'User Inputs'!$D$7))))</f>
        <v>1.9820323133808871E-2</v>
      </c>
      <c r="M215" s="147" t="s">
        <v>428</v>
      </c>
      <c r="N215" s="147" t="s">
        <v>428</v>
      </c>
      <c r="O215" s="145">
        <f ca="1">(IF(B215="STORAGE SITE",((100-'User Inputs'!$D$37)/100)* 'User Inputs'!$D$27*'Exit Prices'!H215/'User Inputs'!$D$7, IF(B215="INTERCONNECTOR", ((100-'User Inputs'!$D$39)/100)*'User Inputs'!$D$33*'Exit Prices'!H215/'User Inputs'!$D$7,  'User Inputs'!$D$27*'Exit Prices'!H215/'User Inputs'!$D$7)))</f>
        <v>1.9820323133808871E-2</v>
      </c>
      <c r="P215" s="147" t="s">
        <v>428</v>
      </c>
      <c r="Q215" s="145">
        <f ca="1">(100-(VLOOKUP(A215,'Exit Interruption Prob''s'!$A:$E,5,FALSE)))*O215/100</f>
        <v>1.7838290820427986E-2</v>
      </c>
    </row>
    <row r="216" spans="1:17">
      <c r="A216" s="2" t="s">
        <v>232</v>
      </c>
      <c r="B216" s="12" t="str">
        <f>VLOOKUP(A216,'Locations &amp; Types'!$E:$I,5,FALSE)</f>
        <v>DNO</v>
      </c>
      <c r="C216" s="39">
        <f ca="1">(VLOOKUP(A216, INDIRECT("'"&amp;'Drop Down Inputs'!$B$10&amp;"'!"&amp;" $A:$H"),MATCH('User Inputs'!$D$19, INDIRECT("'"&amp;'Drop Down Inputs'!$B$10&amp;"'!"&amp;"$A$1:$H$1"),0), FALSE))*'User Inputs'!$D$20/100</f>
        <v>100000</v>
      </c>
      <c r="D216" s="146">
        <f t="array" aca="1" ref="D216" ca="1">SUMPRODUCT('Entry Prices'!$C$3:$C$29, TRANSPOSE(INDEX('Distance Matrix'!$C$3:$AC$231,MATCH(A216,'Distance Matrix'!$B$3:$B$231,0),0)) /SUM('Entry Prices'!$C$3:$C$29))</f>
        <v>457.99190242990835</v>
      </c>
      <c r="E216" s="145">
        <f t="shared" ca="1" si="3"/>
        <v>1.7540436862977008E-5</v>
      </c>
      <c r="F216" s="39">
        <f ca="1">E216*'Revenue Input'!$B$6</f>
        <v>824181.89210695436</v>
      </c>
      <c r="G216" s="148">
        <f ca="1">IF('User Inputs'!$D$4="PS",('Revenue Input'!$B$6/SUM($C$3:$C$231)),IF(ISERR(F216/C216),0,(F216/C216)))</f>
        <v>7.2344179438402385</v>
      </c>
      <c r="H216" s="148">
        <f ca="1">((IF(G216&gt;0,G216,VLOOKUP(A216,'Nearest Location Prices'!$M$1:$O$231,3,FALSE))))</f>
        <v>7.2344179438402385</v>
      </c>
      <c r="I216" s="171"/>
      <c r="K216" s="171"/>
      <c r="L216" s="145">
        <f ca="1">(IF(B216="STORAGE SITE",((100-'User Inputs'!$D$37)/100)*H216/'User Inputs'!$D$7,(IF(B216="INTERCONNECTOR",((100-'User Inputs'!$D$39)/100)*H216/'User Inputs'!$D$7,H216/'User Inputs'!$D$7))))</f>
        <v>1.9820323133808871E-2</v>
      </c>
      <c r="M216" s="147" t="s">
        <v>428</v>
      </c>
      <c r="N216" s="147" t="s">
        <v>428</v>
      </c>
      <c r="O216" s="145">
        <f ca="1">(IF(B216="STORAGE SITE",((100-'User Inputs'!$D$37)/100)* 'User Inputs'!$D$27*'Exit Prices'!H216/'User Inputs'!$D$7, IF(B216="INTERCONNECTOR", ((100-'User Inputs'!$D$39)/100)*'User Inputs'!$D$33*'Exit Prices'!H216/'User Inputs'!$D$7,  'User Inputs'!$D$27*'Exit Prices'!H216/'User Inputs'!$D$7)))</f>
        <v>1.9820323133808871E-2</v>
      </c>
      <c r="P216" s="147" t="s">
        <v>428</v>
      </c>
      <c r="Q216" s="145">
        <f ca="1">(100-(VLOOKUP(A216,'Exit Interruption Prob''s'!$A:$E,5,FALSE)))*O216/100</f>
        <v>1.7838290820427986E-2</v>
      </c>
    </row>
    <row r="217" spans="1:17">
      <c r="A217" s="2" t="s">
        <v>233</v>
      </c>
      <c r="B217" s="12" t="str">
        <f>VLOOKUP(A217,'Locations &amp; Types'!$E:$I,5,FALSE)</f>
        <v>DNO</v>
      </c>
      <c r="C217" s="39">
        <f ca="1">(VLOOKUP(A217, INDIRECT("'"&amp;'Drop Down Inputs'!$B$10&amp;"'!"&amp;" $A:$H"),MATCH('User Inputs'!$D$19, INDIRECT("'"&amp;'Drop Down Inputs'!$B$10&amp;"'!"&amp;"$A$1:$H$1"),0), FALSE))*'User Inputs'!$D$20/100</f>
        <v>106260000</v>
      </c>
      <c r="D217" s="146">
        <f t="array" aca="1" ref="D217" ca="1">SUMPRODUCT('Entry Prices'!$C$3:$C$29, TRANSPOSE(INDEX('Distance Matrix'!$C$3:$AC$231,MATCH(A217,'Distance Matrix'!$B$3:$B$231,0),0)) /SUM('Entry Prices'!$C$3:$C$29))</f>
        <v>457.99190242990835</v>
      </c>
      <c r="E217" s="145">
        <f t="shared" ca="1" si="3"/>
        <v>1.863846821059937E-2</v>
      </c>
      <c r="F217" s="39">
        <f ca="1">E217*'Revenue Input'!$B$6</f>
        <v>875775678.55284977</v>
      </c>
      <c r="G217" s="148">
        <f ca="1">IF('User Inputs'!$D$4="PS",('Revenue Input'!$B$6/SUM($C$3:$C$231)),IF(ISERR(F217/C217),0,(F217/C217)))</f>
        <v>7.2344179438402385</v>
      </c>
      <c r="H217" s="148">
        <f ca="1">((IF(G217&gt;0,G217,VLOOKUP(A217,'Nearest Location Prices'!$M$1:$O$231,3,FALSE))))</f>
        <v>7.2344179438402385</v>
      </c>
      <c r="I217" s="171"/>
      <c r="K217" s="171"/>
      <c r="L217" s="145">
        <f ca="1">(IF(B217="STORAGE SITE",((100-'User Inputs'!$D$37)/100)*H217/'User Inputs'!$D$7,(IF(B217="INTERCONNECTOR",((100-'User Inputs'!$D$39)/100)*H217/'User Inputs'!$D$7,H217/'User Inputs'!$D$7))))</f>
        <v>1.9820323133808871E-2</v>
      </c>
      <c r="M217" s="147" t="s">
        <v>428</v>
      </c>
      <c r="N217" s="147" t="s">
        <v>428</v>
      </c>
      <c r="O217" s="145">
        <f ca="1">(IF(B217="STORAGE SITE",((100-'User Inputs'!$D$37)/100)* 'User Inputs'!$D$27*'Exit Prices'!H217/'User Inputs'!$D$7, IF(B217="INTERCONNECTOR", ((100-'User Inputs'!$D$39)/100)*'User Inputs'!$D$33*'Exit Prices'!H217/'User Inputs'!$D$7,  'User Inputs'!$D$27*'Exit Prices'!H217/'User Inputs'!$D$7)))</f>
        <v>1.9820323133808871E-2</v>
      </c>
      <c r="P217" s="147" t="s">
        <v>428</v>
      </c>
      <c r="Q217" s="145">
        <f ca="1">(100-(VLOOKUP(A217,'Exit Interruption Prob''s'!$A:$E,5,FALSE)))*O217/100</f>
        <v>1.7838290820427986E-2</v>
      </c>
    </row>
    <row r="218" spans="1:17">
      <c r="A218" s="2" t="s">
        <v>234</v>
      </c>
      <c r="B218" s="12" t="str">
        <f>VLOOKUP(A218,'Locations &amp; Types'!$E:$I,5,FALSE)</f>
        <v>DNO</v>
      </c>
      <c r="C218" s="39">
        <f ca="1">(VLOOKUP(A218, INDIRECT("'"&amp;'Drop Down Inputs'!$B$10&amp;"'!"&amp;" $A:$H"),MATCH('User Inputs'!$D$19, INDIRECT("'"&amp;'Drop Down Inputs'!$B$10&amp;"'!"&amp;"$A$1:$H$1"),0), FALSE))*'User Inputs'!$D$20/100</f>
        <v>36499431</v>
      </c>
      <c r="D218" s="146">
        <f t="array" aca="1" ref="D218" ca="1">SUMPRODUCT('Entry Prices'!$C$3:$C$29, TRANSPOSE(INDEX('Distance Matrix'!$C$3:$AC$231,MATCH(A218,'Distance Matrix'!$B$3:$B$231,0),0)) /SUM('Entry Prices'!$C$3:$C$29))</f>
        <v>457.99190242990835</v>
      </c>
      <c r="E218" s="145">
        <f t="shared" ca="1" si="3"/>
        <v>6.4021596499008572E-3</v>
      </c>
      <c r="F218" s="39">
        <f ca="1">E218*'Revenue Input'!$B$6</f>
        <v>300821701.02407223</v>
      </c>
      <c r="G218" s="148">
        <f ca="1">IF('User Inputs'!$D$4="PS",('Revenue Input'!$B$6/SUM($C$3:$C$231)),IF(ISERR(F218/C218),0,(F218/C218)))</f>
        <v>7.2344179438402385</v>
      </c>
      <c r="H218" s="148">
        <f ca="1">((IF(G218&gt;0,G218,VLOOKUP(A218,'Nearest Location Prices'!$M$1:$O$231,3,FALSE))))</f>
        <v>7.2344179438402385</v>
      </c>
      <c r="I218" s="171"/>
      <c r="K218" s="171"/>
      <c r="L218" s="145">
        <f ca="1">(IF(B218="STORAGE SITE",((100-'User Inputs'!$D$37)/100)*H218/'User Inputs'!$D$7,(IF(B218="INTERCONNECTOR",((100-'User Inputs'!$D$39)/100)*H218/'User Inputs'!$D$7,H218/'User Inputs'!$D$7))))</f>
        <v>1.9820323133808871E-2</v>
      </c>
      <c r="M218" s="147" t="s">
        <v>428</v>
      </c>
      <c r="N218" s="147" t="s">
        <v>428</v>
      </c>
      <c r="O218" s="145">
        <f ca="1">(IF(B218="STORAGE SITE",((100-'User Inputs'!$D$37)/100)* 'User Inputs'!$D$27*'Exit Prices'!H218/'User Inputs'!$D$7, IF(B218="INTERCONNECTOR", ((100-'User Inputs'!$D$39)/100)*'User Inputs'!$D$33*'Exit Prices'!H218/'User Inputs'!$D$7,  'User Inputs'!$D$27*'Exit Prices'!H218/'User Inputs'!$D$7)))</f>
        <v>1.9820323133808871E-2</v>
      </c>
      <c r="P218" s="147" t="s">
        <v>428</v>
      </c>
      <c r="Q218" s="145">
        <f ca="1">(100-(VLOOKUP(A218,'Exit Interruption Prob''s'!$A:$E,5,FALSE)))*O218/100</f>
        <v>1.7838290820427986E-2</v>
      </c>
    </row>
    <row r="219" spans="1:17">
      <c r="A219" s="2" t="s">
        <v>235</v>
      </c>
      <c r="B219" s="12" t="str">
        <f>VLOOKUP(A219,'Locations &amp; Types'!$E:$I,5,FALSE)</f>
        <v>POWER STATION</v>
      </c>
      <c r="C219" s="39">
        <f ca="1">(VLOOKUP(A219, INDIRECT("'"&amp;'Drop Down Inputs'!$B$10&amp;"'!"&amp;" $A:$H"),MATCH('User Inputs'!$D$19, INDIRECT("'"&amp;'Drop Down Inputs'!$B$10&amp;"'!"&amp;"$A$1:$H$1"),0), FALSE))*'User Inputs'!$D$20/100</f>
        <v>19188380.10958904</v>
      </c>
      <c r="D219" s="146">
        <f t="array" aca="1" ref="D219" ca="1">SUMPRODUCT('Entry Prices'!$C$3:$C$29, TRANSPOSE(INDEX('Distance Matrix'!$C$3:$AC$231,MATCH(A219,'Distance Matrix'!$B$3:$B$231,0),0)) /SUM('Entry Prices'!$C$3:$C$29))</f>
        <v>296.70085522369192</v>
      </c>
      <c r="E219" s="145">
        <f t="shared" ca="1" si="3"/>
        <v>2.1804177929596502E-3</v>
      </c>
      <c r="F219" s="39">
        <f ca="1">E219*'Revenue Input'!$B$6</f>
        <v>102452457.49712487</v>
      </c>
      <c r="G219" s="148">
        <f ca="1">IF('User Inputs'!$D$4="PS",('Revenue Input'!$B$6/SUM($C$3:$C$231)),IF(ISERR(F219/C219),0,(F219/C219)))</f>
        <v>7.2344179438402385</v>
      </c>
      <c r="H219" s="148">
        <f ca="1">((IF(G219&gt;0,G219,VLOOKUP(A219,'Nearest Location Prices'!$M$1:$O$231,3,FALSE))))</f>
        <v>7.2344179438402385</v>
      </c>
      <c r="I219" s="171"/>
      <c r="K219" s="171"/>
      <c r="L219" s="145">
        <f ca="1">(IF(B219="STORAGE SITE",((100-'User Inputs'!$D$37)/100)*H219/'User Inputs'!$D$7,(IF(B219="INTERCONNECTOR",((100-'User Inputs'!$D$39)/100)*H219/'User Inputs'!$D$7,H219/'User Inputs'!$D$7))))</f>
        <v>1.9820323133808871E-2</v>
      </c>
      <c r="M219" s="147" t="s">
        <v>428</v>
      </c>
      <c r="N219" s="147" t="s">
        <v>428</v>
      </c>
      <c r="O219" s="145">
        <f ca="1">(IF(B219="STORAGE SITE",((100-'User Inputs'!$D$37)/100)* 'User Inputs'!$D$27*'Exit Prices'!H219/'User Inputs'!$D$7, IF(B219="INTERCONNECTOR", ((100-'User Inputs'!$D$39)/100)*'User Inputs'!$D$33*'Exit Prices'!H219/'User Inputs'!$D$7,  'User Inputs'!$D$27*'Exit Prices'!H219/'User Inputs'!$D$7)))</f>
        <v>1.9820323133808871E-2</v>
      </c>
      <c r="P219" s="147" t="s">
        <v>428</v>
      </c>
      <c r="Q219" s="145">
        <f ca="1">(100-(VLOOKUP(A219,'Exit Interruption Prob''s'!$A:$E,5,FALSE)))*O219/100</f>
        <v>1.7838290820427986E-2</v>
      </c>
    </row>
    <row r="220" spans="1:17">
      <c r="A220" s="2" t="s">
        <v>236</v>
      </c>
      <c r="B220" s="12" t="str">
        <f>VLOOKUP(A220,'Locations &amp; Types'!$E:$I,5,FALSE)</f>
        <v>POWER STATION</v>
      </c>
      <c r="C220" s="39">
        <f ca="1">(VLOOKUP(A220, INDIRECT("'"&amp;'Drop Down Inputs'!$B$10&amp;"'!"&amp;" $A:$H"),MATCH('User Inputs'!$D$19, INDIRECT("'"&amp;'Drop Down Inputs'!$B$10&amp;"'!"&amp;"$A$1:$H$1"),0), FALSE))*'User Inputs'!$D$20/100</f>
        <v>0</v>
      </c>
      <c r="D220" s="146">
        <f t="array" aca="1" ref="D220" ca="1">SUMPRODUCT('Entry Prices'!$C$3:$C$29, TRANSPOSE(INDEX('Distance Matrix'!$C$3:$AC$231,MATCH(A220,'Distance Matrix'!$B$3:$B$231,0),0)) /SUM('Entry Prices'!$C$3:$C$29))</f>
        <v>369.09677081697305</v>
      </c>
      <c r="E220" s="145">
        <f t="shared" ca="1" si="3"/>
        <v>0</v>
      </c>
      <c r="F220" s="39">
        <f ca="1">E220*'Revenue Input'!$B$6</f>
        <v>0</v>
      </c>
      <c r="G220" s="148">
        <f ca="1">IF('User Inputs'!$D$4="PS",('Revenue Input'!$B$6/SUM($C$3:$C$231)),IF(ISERR(F220/C220),0,(F220/C220)))</f>
        <v>7.2344179438402385</v>
      </c>
      <c r="H220" s="148">
        <f ca="1">((IF(G220&gt;0,G220,VLOOKUP(A220,'Nearest Location Prices'!$M$1:$O$231,3,FALSE))))</f>
        <v>7.2344179438402385</v>
      </c>
      <c r="I220" s="171"/>
      <c r="K220" s="171"/>
      <c r="L220" s="145">
        <f ca="1">(IF(B220="STORAGE SITE",((100-'User Inputs'!$D$37)/100)*H220/'User Inputs'!$D$7,(IF(B220="INTERCONNECTOR",((100-'User Inputs'!$D$39)/100)*H220/'User Inputs'!$D$7,H220/'User Inputs'!$D$7))))</f>
        <v>1.9820323133808871E-2</v>
      </c>
      <c r="M220" s="147" t="s">
        <v>428</v>
      </c>
      <c r="N220" s="147" t="s">
        <v>428</v>
      </c>
      <c r="O220" s="145">
        <f ca="1">(IF(B220="STORAGE SITE",((100-'User Inputs'!$D$37)/100)* 'User Inputs'!$D$27*'Exit Prices'!H220/'User Inputs'!$D$7, IF(B220="INTERCONNECTOR", ((100-'User Inputs'!$D$39)/100)*'User Inputs'!$D$33*'Exit Prices'!H220/'User Inputs'!$D$7,  'User Inputs'!$D$27*'Exit Prices'!H220/'User Inputs'!$D$7)))</f>
        <v>1.9820323133808871E-2</v>
      </c>
      <c r="P220" s="147" t="s">
        <v>428</v>
      </c>
      <c r="Q220" s="145">
        <f ca="1">(100-(VLOOKUP(A220,'Exit Interruption Prob''s'!$A:$E,5,FALSE)))*O220/100</f>
        <v>1.7838290820427986E-2</v>
      </c>
    </row>
    <row r="221" spans="1:17">
      <c r="A221" s="2" t="s">
        <v>237</v>
      </c>
      <c r="B221" s="12" t="str">
        <f>VLOOKUP(A221,'Locations &amp; Types'!$E:$I,5,FALSE)</f>
        <v>DNO</v>
      </c>
      <c r="C221" s="39">
        <f ca="1">(VLOOKUP(A221, INDIRECT("'"&amp;'Drop Down Inputs'!$B$10&amp;"'!"&amp;" $A:$H"),MATCH('User Inputs'!$D$19, INDIRECT("'"&amp;'Drop Down Inputs'!$B$10&amp;"'!"&amp;"$A$1:$H$1"),0), FALSE))*'User Inputs'!$D$20/100</f>
        <v>72938900</v>
      </c>
      <c r="D221" s="146">
        <f t="array" aca="1" ref="D221" ca="1">SUMPRODUCT('Entry Prices'!$C$3:$C$29, TRANSPOSE(INDEX('Distance Matrix'!$C$3:$AC$231,MATCH(A221,'Distance Matrix'!$B$3:$B$231,0),0)) /SUM('Entry Prices'!$C$3:$C$29))</f>
        <v>372.32766399693571</v>
      </c>
      <c r="E221" s="145">
        <f t="shared" ca="1" si="3"/>
        <v>1.0400809002219447E-2</v>
      </c>
      <c r="F221" s="39">
        <f ca="1">E221*'Revenue Input'!$B$6</f>
        <v>488708377.66793108</v>
      </c>
      <c r="G221" s="148">
        <f ca="1">IF('User Inputs'!$D$4="PS",('Revenue Input'!$B$6/SUM($C$3:$C$231)),IF(ISERR(F221/C221),0,(F221/C221)))</f>
        <v>7.2344179438402385</v>
      </c>
      <c r="H221" s="148">
        <f ca="1">((IF(G221&gt;0,G221,VLOOKUP(A221,'Nearest Location Prices'!$M$1:$O$231,3,FALSE))))</f>
        <v>7.2344179438402385</v>
      </c>
      <c r="I221" s="171"/>
      <c r="K221" s="171"/>
      <c r="L221" s="145">
        <f ca="1">(IF(B221="STORAGE SITE",((100-'User Inputs'!$D$37)/100)*H221/'User Inputs'!$D$7,(IF(B221="INTERCONNECTOR",((100-'User Inputs'!$D$39)/100)*H221/'User Inputs'!$D$7,H221/'User Inputs'!$D$7))))</f>
        <v>1.9820323133808871E-2</v>
      </c>
      <c r="M221" s="147" t="s">
        <v>428</v>
      </c>
      <c r="N221" s="147" t="s">
        <v>428</v>
      </c>
      <c r="O221" s="145">
        <f ca="1">(IF(B221="STORAGE SITE",((100-'User Inputs'!$D$37)/100)* 'User Inputs'!$D$27*'Exit Prices'!H221/'User Inputs'!$D$7, IF(B221="INTERCONNECTOR", ((100-'User Inputs'!$D$39)/100)*'User Inputs'!$D$33*'Exit Prices'!H221/'User Inputs'!$D$7,  'User Inputs'!$D$27*'Exit Prices'!H221/'User Inputs'!$D$7)))</f>
        <v>1.9820323133808871E-2</v>
      </c>
      <c r="P221" s="147" t="s">
        <v>428</v>
      </c>
      <c r="Q221" s="145">
        <f ca="1">(100-(VLOOKUP(A221,'Exit Interruption Prob''s'!$A:$E,5,FALSE)))*O221/100</f>
        <v>1.7838290820427986E-2</v>
      </c>
    </row>
    <row r="222" spans="1:17">
      <c r="A222" s="2" t="s">
        <v>238</v>
      </c>
      <c r="B222" s="12" t="str">
        <f>VLOOKUP(A222,'Locations &amp; Types'!$E:$I,5,FALSE)</f>
        <v>INDUSTRIAL</v>
      </c>
      <c r="C222" s="39">
        <f ca="1">(VLOOKUP(A222, INDIRECT("'"&amp;'Drop Down Inputs'!$B$10&amp;"'!"&amp;" $A:$H"),MATCH('User Inputs'!$D$19, INDIRECT("'"&amp;'Drop Down Inputs'!$B$10&amp;"'!"&amp;"$A$1:$H$1"),0), FALSE))*'User Inputs'!$D$20/100</f>
        <v>278415.38161643839</v>
      </c>
      <c r="D222" s="146">
        <f t="array" aca="1" ref="D222" ca="1">SUMPRODUCT('Entry Prices'!$C$3:$C$29, TRANSPOSE(INDEX('Distance Matrix'!$C$3:$AC$231,MATCH(A222,'Distance Matrix'!$B$3:$B$231,0),0)) /SUM('Entry Prices'!$C$3:$C$29))</f>
        <v>364.51490367235488</v>
      </c>
      <c r="E222" s="145">
        <f t="shared" ca="1" si="3"/>
        <v>3.8867903967388674E-5</v>
      </c>
      <c r="F222" s="39">
        <f ca="1">E222*'Revenue Input'!$B$6</f>
        <v>1826307.000465259</v>
      </c>
      <c r="G222" s="148">
        <f ca="1">IF('User Inputs'!$D$4="PS",('Revenue Input'!$B$6/SUM($C$3:$C$231)),IF(ISERR(F222/C222),0,(F222/C222)))</f>
        <v>7.2344179438402385</v>
      </c>
      <c r="H222" s="148">
        <f ca="1">((IF(G222&gt;0,G222,VLOOKUP(A222,'Nearest Location Prices'!$M$1:$O$231,3,FALSE))))</f>
        <v>7.2344179438402385</v>
      </c>
      <c r="I222" s="171"/>
      <c r="K222" s="171"/>
      <c r="L222" s="145">
        <f ca="1">(IF(B222="STORAGE SITE",((100-'User Inputs'!$D$37)/100)*H222/'User Inputs'!$D$7,(IF(B222="INTERCONNECTOR",((100-'User Inputs'!$D$39)/100)*H222/'User Inputs'!$D$7,H222/'User Inputs'!$D$7))))</f>
        <v>1.9820323133808871E-2</v>
      </c>
      <c r="M222" s="147" t="s">
        <v>428</v>
      </c>
      <c r="N222" s="147" t="s">
        <v>428</v>
      </c>
      <c r="O222" s="145">
        <f ca="1">(IF(B222="STORAGE SITE",((100-'User Inputs'!$D$37)/100)* 'User Inputs'!$D$27*'Exit Prices'!H222/'User Inputs'!$D$7, IF(B222="INTERCONNECTOR", ((100-'User Inputs'!$D$39)/100)*'User Inputs'!$D$33*'Exit Prices'!H222/'User Inputs'!$D$7,  'User Inputs'!$D$27*'Exit Prices'!H222/'User Inputs'!$D$7)))</f>
        <v>1.9820323133808871E-2</v>
      </c>
      <c r="P222" s="147" t="s">
        <v>428</v>
      </c>
      <c r="Q222" s="145">
        <f ca="1">(100-(VLOOKUP(A222,'Exit Interruption Prob''s'!$A:$E,5,FALSE)))*O222/100</f>
        <v>1.7838290820427986E-2</v>
      </c>
    </row>
    <row r="223" spans="1:17">
      <c r="A223" s="2" t="s">
        <v>534</v>
      </c>
      <c r="B223" s="12" t="str">
        <f>VLOOKUP(A223,'Locations &amp; Types'!$E:$I,5,FALSE)</f>
        <v>INDUSTRIAL</v>
      </c>
      <c r="C223" s="39">
        <f ca="1">(VLOOKUP(A223, INDIRECT("'"&amp;'Drop Down Inputs'!$B$10&amp;"'!"&amp;" $A:$H"),MATCH('User Inputs'!$D$19, INDIRECT("'"&amp;'Drop Down Inputs'!$B$10&amp;"'!"&amp;"$A$1:$H$1"),0), FALSE))*'User Inputs'!$D$20/100</f>
        <v>0</v>
      </c>
      <c r="D223" s="146">
        <f t="array" aca="1" ref="D223" ca="1">SUMPRODUCT('Entry Prices'!$C$3:$C$29, TRANSPOSE(INDEX('Distance Matrix'!$C$3:$AC$231,MATCH(A223,'Distance Matrix'!$B$3:$B$231,0),0)) /SUM('Entry Prices'!$C$3:$C$29))</f>
        <v>366.63662441434838</v>
      </c>
      <c r="E223" s="145">
        <f t="shared" ca="1" si="3"/>
        <v>0</v>
      </c>
      <c r="F223" s="39">
        <f ca="1">E223*'Revenue Input'!$B$6</f>
        <v>0</v>
      </c>
      <c r="G223" s="148">
        <f ca="1">IF('User Inputs'!$D$4="PS",('Revenue Input'!$B$6/SUM($C$3:$C$231)),IF(ISERR(F223/C223),0,(F223/C223)))</f>
        <v>7.2344179438402385</v>
      </c>
      <c r="H223" s="148">
        <f ca="1">((IF(G223&gt;0,G223,VLOOKUP(A223,'Nearest Location Prices'!$M$1:$O$231,3,FALSE))))</f>
        <v>7.2344179438402385</v>
      </c>
      <c r="L223" s="145">
        <f ca="1">(IF(B223="STORAGE SITE",((100-'User Inputs'!$D$37)/100)*H223/'User Inputs'!$D$7,(IF(B223="INTERCONNECTOR",((100-'User Inputs'!$D$39)/100)*H223/'User Inputs'!$D$7,H223/'User Inputs'!$D$7))))</f>
        <v>1.9820323133808871E-2</v>
      </c>
      <c r="M223" s="147" t="s">
        <v>428</v>
      </c>
      <c r="N223" s="147" t="s">
        <v>428</v>
      </c>
      <c r="O223" s="145">
        <f ca="1">(IF(B223="STORAGE SITE",((100-'User Inputs'!$D$37)/100)* 'User Inputs'!$D$27*'Exit Prices'!H223/'User Inputs'!$D$7, IF(B223="INTERCONNECTOR", ((100-'User Inputs'!$D$39)/100)*'User Inputs'!$D$33*'Exit Prices'!H223/'User Inputs'!$D$7,  'User Inputs'!$D$27*'Exit Prices'!H223/'User Inputs'!$D$7)))</f>
        <v>1.9820323133808871E-2</v>
      </c>
      <c r="P223" s="147" t="s">
        <v>428</v>
      </c>
      <c r="Q223" s="145">
        <f ca="1">(100-(VLOOKUP(A223,'Exit Interruption Prob''s'!$A:$E,5,FALSE)))*O223/100</f>
        <v>1.7838290820427986E-2</v>
      </c>
    </row>
    <row r="224" spans="1:17">
      <c r="A224" s="2" t="s">
        <v>535</v>
      </c>
      <c r="B224" s="12" t="str">
        <f>VLOOKUP(A224,'Locations &amp; Types'!$E:$I,5,FALSE)</f>
        <v>INDUSTRIAL</v>
      </c>
      <c r="C224" s="39">
        <f ca="1">(VLOOKUP(A224, INDIRECT("'"&amp;'Drop Down Inputs'!$B$10&amp;"'!"&amp;" $A:$H"),MATCH('User Inputs'!$D$19, INDIRECT("'"&amp;'Drop Down Inputs'!$B$10&amp;"'!"&amp;"$A$1:$H$1"),0), FALSE))*'User Inputs'!$D$20/100</f>
        <v>1173840</v>
      </c>
      <c r="D224" s="146">
        <f t="array" aca="1" ref="D224" ca="1">SUMPRODUCT('Entry Prices'!$C$3:$C$29, TRANSPOSE(INDEX('Distance Matrix'!$C$3:$AC$231,MATCH(A224,'Distance Matrix'!$B$3:$B$231,0),0)) /SUM('Entry Prices'!$C$3:$C$29))</f>
        <v>626.82907380622805</v>
      </c>
      <c r="E224" s="145">
        <f t="shared" ca="1" si="3"/>
        <v>2.8179977540111019E-4</v>
      </c>
      <c r="F224" s="39">
        <f ca="1">E224*'Revenue Input'!$B$6</f>
        <v>13241076.827204119</v>
      </c>
      <c r="G224" s="148">
        <f ca="1">IF('User Inputs'!$D$4="PS",('Revenue Input'!$B$6/SUM($C$3:$C$231)),IF(ISERR(F224/C224),0,(F224/C224)))</f>
        <v>7.2344179438402385</v>
      </c>
      <c r="H224" s="148">
        <f ca="1">((IF(G224&gt;0,G224,VLOOKUP(A224,'Nearest Location Prices'!$M$1:$O$231,3,FALSE))))</f>
        <v>7.2344179438402385</v>
      </c>
      <c r="L224" s="145">
        <f ca="1">(IF(B224="STORAGE SITE",((100-'User Inputs'!$D$37)/100)*H224/'User Inputs'!$D$7,(IF(B224="INTERCONNECTOR",((100-'User Inputs'!$D$39)/100)*H224/'User Inputs'!$D$7,H224/'User Inputs'!$D$7))))</f>
        <v>1.9820323133808871E-2</v>
      </c>
      <c r="M224" s="147" t="s">
        <v>428</v>
      </c>
      <c r="N224" s="147" t="s">
        <v>428</v>
      </c>
      <c r="O224" s="145">
        <f ca="1">(IF(B224="STORAGE SITE",((100-'User Inputs'!$D$37)/100)* 'User Inputs'!$D$27*'Exit Prices'!H224/'User Inputs'!$D$7, IF(B224="INTERCONNECTOR", ((100-'User Inputs'!$D$39)/100)*'User Inputs'!$D$33*'Exit Prices'!H224/'User Inputs'!$D$7,  'User Inputs'!$D$27*'Exit Prices'!H224/'User Inputs'!$D$7)))</f>
        <v>1.9820323133808871E-2</v>
      </c>
      <c r="P224" s="147" t="s">
        <v>428</v>
      </c>
      <c r="Q224" s="145">
        <f ca="1">(100-(VLOOKUP(A224,'Exit Interruption Prob''s'!$A:$E,5,FALSE)))*O224/100</f>
        <v>1.7838290820427986E-2</v>
      </c>
    </row>
    <row r="225" spans="1:17">
      <c r="A225" s="2" t="s">
        <v>536</v>
      </c>
      <c r="B225" s="12" t="str">
        <f>VLOOKUP(A225,'Locations &amp; Types'!$E:$I,5,FALSE)</f>
        <v>POWER STATION</v>
      </c>
      <c r="C225" s="39">
        <f ca="1">(VLOOKUP(A225, INDIRECT("'"&amp;'Drop Down Inputs'!$B$10&amp;"'!"&amp;" $A:$H"),MATCH('User Inputs'!$D$19, INDIRECT("'"&amp;'Drop Down Inputs'!$B$10&amp;"'!"&amp;"$A$1:$H$1"),0), FALSE))*'User Inputs'!$D$20/100</f>
        <v>4200000</v>
      </c>
      <c r="D225" s="146">
        <f t="array" aca="1" ref="D225" ca="1">SUMPRODUCT('Entry Prices'!$C$3:$C$29, TRANSPOSE(INDEX('Distance Matrix'!$C$3:$AC$231,MATCH(A225,'Distance Matrix'!$B$3:$B$231,0),0)) /SUM('Entry Prices'!$C$3:$C$29))</f>
        <v>308.25484623204989</v>
      </c>
      <c r="E225" s="145">
        <f t="shared" ca="1" si="3"/>
        <v>4.9584028637369298E-4</v>
      </c>
      <c r="F225" s="39">
        <f ca="1">E225*'Revenue Input'!$B$6</f>
        <v>23298312.841278065</v>
      </c>
      <c r="G225" s="148">
        <f ca="1">IF('User Inputs'!$D$4="PS",('Revenue Input'!$B$6/SUM($C$3:$C$231)),IF(ISERR(F225/C225),0,(F225/C225)))</f>
        <v>7.2344179438402385</v>
      </c>
      <c r="H225" s="148">
        <f ca="1">((IF(G225&gt;0,G225,VLOOKUP(A225,'Nearest Location Prices'!$M$1:$O$231,3,FALSE))))</f>
        <v>7.2344179438402385</v>
      </c>
      <c r="L225" s="145">
        <f ca="1">(IF(B225="STORAGE SITE",((100-'User Inputs'!$D$37)/100)*H225/'User Inputs'!$D$7,(IF(B225="INTERCONNECTOR",((100-'User Inputs'!$D$39)/100)*H225/'User Inputs'!$D$7,H225/'User Inputs'!$D$7))))</f>
        <v>1.9820323133808871E-2</v>
      </c>
      <c r="M225" s="147" t="s">
        <v>428</v>
      </c>
      <c r="N225" s="147" t="s">
        <v>428</v>
      </c>
      <c r="O225" s="145">
        <f ca="1">(IF(B225="STORAGE SITE",((100-'User Inputs'!$D$37)/100)* 'User Inputs'!$D$27*'Exit Prices'!H225/'User Inputs'!$D$7, IF(B225="INTERCONNECTOR", ((100-'User Inputs'!$D$39)/100)*'User Inputs'!$D$33*'Exit Prices'!H225/'User Inputs'!$D$7,  'User Inputs'!$D$27*'Exit Prices'!H225/'User Inputs'!$D$7)))</f>
        <v>1.9820323133808871E-2</v>
      </c>
      <c r="P225" s="147" t="s">
        <v>428</v>
      </c>
      <c r="Q225" s="145">
        <f ca="1">(100-(VLOOKUP(A225,'Exit Interruption Prob''s'!$A:$E,5,FALSE)))*O225/100</f>
        <v>1.7838290820427986E-2</v>
      </c>
    </row>
    <row r="226" spans="1:17">
      <c r="A226" s="2" t="s">
        <v>537</v>
      </c>
      <c r="B226" s="12" t="str">
        <f>VLOOKUP(A226,'Locations &amp; Types'!$E:$I,5,FALSE)</f>
        <v>INDUSTRIAL</v>
      </c>
      <c r="C226" s="39">
        <f ca="1">(VLOOKUP(A226, INDIRECT("'"&amp;'Drop Down Inputs'!$B$10&amp;"'!"&amp;" $A:$H"),MATCH('User Inputs'!$D$19, INDIRECT("'"&amp;'Drop Down Inputs'!$B$10&amp;"'!"&amp;"$A$1:$H$1"),0), FALSE))*'User Inputs'!$D$20/100</f>
        <v>3779832.6575342487</v>
      </c>
      <c r="D226" s="146">
        <f t="array" aca="1" ref="D226" ca="1">SUMPRODUCT('Entry Prices'!$C$3:$C$29, TRANSPOSE(INDEX('Distance Matrix'!$C$3:$AC$231,MATCH(A226,'Distance Matrix'!$B$3:$B$231,0),0)) /SUM('Entry Prices'!$C$3:$C$29))</f>
        <v>657.75857619711337</v>
      </c>
      <c r="E226" s="145">
        <f t="shared" ca="1" si="3"/>
        <v>9.5218579570460781E-4</v>
      </c>
      <c r="F226" s="39">
        <f ca="1">E226*'Revenue Input'!$B$6</f>
        <v>44740863.461481407</v>
      </c>
      <c r="G226" s="148">
        <f ca="1">IF('User Inputs'!$D$4="PS",('Revenue Input'!$B$6/SUM($C$3:$C$231)),IF(ISERR(F226/C226),0,(F226/C226)))</f>
        <v>7.2344179438402385</v>
      </c>
      <c r="H226" s="148">
        <f ca="1">((IF(G226&gt;0,G226,VLOOKUP(A226,'Nearest Location Prices'!$M$1:$O$231,3,FALSE))))</f>
        <v>7.2344179438402385</v>
      </c>
      <c r="L226" s="145">
        <f ca="1">(IF(B226="STORAGE SITE",((100-'User Inputs'!$D$37)/100)*H226/'User Inputs'!$D$7,(IF(B226="INTERCONNECTOR",((100-'User Inputs'!$D$39)/100)*H226/'User Inputs'!$D$7,H226/'User Inputs'!$D$7))))</f>
        <v>1.9820323133808871E-2</v>
      </c>
      <c r="M226" s="147" t="s">
        <v>428</v>
      </c>
      <c r="N226" s="147" t="s">
        <v>428</v>
      </c>
      <c r="O226" s="145">
        <f ca="1">(IF(B226="STORAGE SITE",((100-'User Inputs'!$D$37)/100)* 'User Inputs'!$D$27*'Exit Prices'!H226/'User Inputs'!$D$7, IF(B226="INTERCONNECTOR", ((100-'User Inputs'!$D$39)/100)*'User Inputs'!$D$33*'Exit Prices'!H226/'User Inputs'!$D$7,  'User Inputs'!$D$27*'Exit Prices'!H226/'User Inputs'!$D$7)))</f>
        <v>1.9820323133808871E-2</v>
      </c>
      <c r="P226" s="147" t="s">
        <v>428</v>
      </c>
      <c r="Q226" s="145">
        <f ca="1">(100-(VLOOKUP(A226,'Exit Interruption Prob''s'!$A:$E,5,FALSE)))*O226/100</f>
        <v>1.7838290820427986E-2</v>
      </c>
    </row>
    <row r="227" spans="1:17">
      <c r="A227" s="2" t="s">
        <v>538</v>
      </c>
      <c r="B227" s="12" t="str">
        <f>VLOOKUP(A227,'Locations &amp; Types'!$E:$I,5,FALSE)</f>
        <v>INDUSTRIAL</v>
      </c>
      <c r="C227" s="39">
        <f ca="1">(VLOOKUP(A227, INDIRECT("'"&amp;'Drop Down Inputs'!$B$10&amp;"'!"&amp;" $A:$H"),MATCH('User Inputs'!$D$19, INDIRECT("'"&amp;'Drop Down Inputs'!$B$10&amp;"'!"&amp;"$A$1:$H$1"),0), FALSE))*'User Inputs'!$D$20/100</f>
        <v>0</v>
      </c>
      <c r="D227" s="146">
        <f t="array" aca="1" ref="D227" ca="1">SUMPRODUCT('Entry Prices'!$C$3:$C$29, TRANSPOSE(INDEX('Distance Matrix'!$C$3:$AC$231,MATCH(A227,'Distance Matrix'!$B$3:$B$231,0),0)) /SUM('Entry Prices'!$C$3:$C$29))</f>
        <v>519.12033267961522</v>
      </c>
      <c r="E227" s="145">
        <f t="shared" ca="1" si="3"/>
        <v>0</v>
      </c>
      <c r="F227" s="39">
        <f ca="1">E227*'Revenue Input'!$B$6</f>
        <v>0</v>
      </c>
      <c r="G227" s="148">
        <f ca="1">IF('User Inputs'!$D$4="PS",('Revenue Input'!$B$6/SUM($C$3:$C$231)),IF(ISERR(F227/C227),0,(F227/C227)))</f>
        <v>7.2344179438402385</v>
      </c>
      <c r="H227" s="148">
        <f ca="1">((IF(G227&gt;0,G227,VLOOKUP(A227,'Nearest Location Prices'!$M$1:$O$231,3,FALSE))))</f>
        <v>7.2344179438402385</v>
      </c>
      <c r="L227" s="145">
        <f ca="1">(IF(B227="STORAGE SITE",((100-'User Inputs'!$D$37)/100)*H227/'User Inputs'!$D$7,(IF(B227="INTERCONNECTOR",((100-'User Inputs'!$D$39)/100)*H227/'User Inputs'!$D$7,H227/'User Inputs'!$D$7))))</f>
        <v>1.9820323133808871E-2</v>
      </c>
      <c r="M227" s="147" t="s">
        <v>428</v>
      </c>
      <c r="N227" s="147" t="s">
        <v>428</v>
      </c>
      <c r="O227" s="145">
        <f ca="1">(IF(B227="STORAGE SITE",((100-'User Inputs'!$D$37)/100)* 'User Inputs'!$D$27*'Exit Prices'!H227/'User Inputs'!$D$7, IF(B227="INTERCONNECTOR", ((100-'User Inputs'!$D$39)/100)*'User Inputs'!$D$33*'Exit Prices'!H227/'User Inputs'!$D$7,  'User Inputs'!$D$27*'Exit Prices'!H227/'User Inputs'!$D$7)))</f>
        <v>1.9820323133808871E-2</v>
      </c>
      <c r="P227" s="147" t="s">
        <v>428</v>
      </c>
      <c r="Q227" s="145">
        <f ca="1">(100-(VLOOKUP(A227,'Exit Interruption Prob''s'!$A:$E,5,FALSE)))*O227/100</f>
        <v>1.7838290820427986E-2</v>
      </c>
    </row>
    <row r="228" spans="1:17">
      <c r="A228" s="2" t="s">
        <v>545</v>
      </c>
      <c r="B228" s="12" t="str">
        <f>VLOOKUP(A228,'Locations &amp; Types'!$E:$I,5,FALSE)</f>
        <v>POWER STATION</v>
      </c>
      <c r="C228" s="39">
        <f ca="1">(VLOOKUP(A228, INDIRECT("'"&amp;'Drop Down Inputs'!$B$10&amp;"'!"&amp;" $A:$H"),MATCH('User Inputs'!$D$19, INDIRECT("'"&amp;'Drop Down Inputs'!$B$10&amp;"'!"&amp;"$A$1:$H$1"),0), FALSE))*'User Inputs'!$D$20/100</f>
        <v>7310160</v>
      </c>
      <c r="D228" s="146">
        <f t="array" aca="1" ref="D228" ca="1">SUMPRODUCT('Entry Prices'!$C$3:$C$29, TRANSPOSE(INDEX('Distance Matrix'!$C$3:$AC$231,MATCH(A228,'Distance Matrix'!$B$3:$B$231,0),0)) /SUM('Entry Prices'!$C$3:$C$29))</f>
        <v>363.27680653913518</v>
      </c>
      <c r="E228" s="145">
        <f t="shared" ca="1" si="3"/>
        <v>1.0170613717409599E-3</v>
      </c>
      <c r="F228" s="39">
        <f ca="1">E228*'Revenue Input'!$B$6</f>
        <v>47789206.865175538</v>
      </c>
      <c r="G228" s="148">
        <f ca="1">IF('User Inputs'!$D$4="PS",('Revenue Input'!$B$6/SUM($C$3:$C$231)),IF(ISERR(F228/C228),0,(F228/C228)))</f>
        <v>7.2344179438402385</v>
      </c>
      <c r="H228" s="148">
        <f ca="1">((IF(G228&gt;0,G228,VLOOKUP(A228,'Nearest Location Prices'!$M$1:$O$231,3,FALSE))))</f>
        <v>7.2344179438402385</v>
      </c>
      <c r="L228" s="145">
        <f ca="1">(IF(B228="STORAGE SITE",((100-'User Inputs'!$D$37)/100)*H228/'User Inputs'!$D$7,(IF(B228="INTERCONNECTOR",((100-'User Inputs'!$D$39)/100)*H228/'User Inputs'!$D$7,H228/'User Inputs'!$D$7))))</f>
        <v>1.9820323133808871E-2</v>
      </c>
      <c r="M228" s="147" t="s">
        <v>428</v>
      </c>
      <c r="N228" s="147" t="s">
        <v>428</v>
      </c>
      <c r="O228" s="145">
        <f ca="1">(IF(B228="STORAGE SITE",((100-'User Inputs'!$D$37)/100)* 'User Inputs'!$D$27*'Exit Prices'!H228/'User Inputs'!$D$7, IF(B228="INTERCONNECTOR", ((100-'User Inputs'!$D$39)/100)*'User Inputs'!$D$33*'Exit Prices'!H228/'User Inputs'!$D$7,  'User Inputs'!$D$27*'Exit Prices'!H228/'User Inputs'!$D$7)))</f>
        <v>1.9820323133808871E-2</v>
      </c>
      <c r="P228" s="147" t="s">
        <v>428</v>
      </c>
      <c r="Q228" s="145">
        <f ca="1">(100-(VLOOKUP(A228,'Exit Interruption Prob''s'!$A:$E,5,FALSE)))*O228/100</f>
        <v>1.7838290820427986E-2</v>
      </c>
    </row>
    <row r="229" spans="1:17">
      <c r="A229" s="2" t="s">
        <v>539</v>
      </c>
      <c r="B229" s="12" t="str">
        <f>VLOOKUP(A229,'Locations &amp; Types'!$E:$I,5,FALSE)</f>
        <v>POWER STATION</v>
      </c>
      <c r="C229" s="39">
        <f ca="1">(VLOOKUP(A229, INDIRECT("'"&amp;'Drop Down Inputs'!$B$10&amp;"'!"&amp;" $A:$H"),MATCH('User Inputs'!$D$19, INDIRECT("'"&amp;'Drop Down Inputs'!$B$10&amp;"'!"&amp;"$A$1:$H$1"),0), FALSE))*'User Inputs'!$D$20/100</f>
        <v>0</v>
      </c>
      <c r="D229" s="146">
        <f t="array" aca="1" ref="D229" ca="1">SUMPRODUCT('Entry Prices'!$C$3:$C$29, TRANSPOSE(INDEX('Distance Matrix'!$C$3:$AC$231,MATCH(A229,'Distance Matrix'!$B$3:$B$231,0),0)) /SUM('Entry Prices'!$C$3:$C$29))</f>
        <v>311.69584884092978</v>
      </c>
      <c r="E229" s="145">
        <f t="shared" ca="1" si="3"/>
        <v>0</v>
      </c>
      <c r="F229" s="39">
        <f ca="1">E229*'Revenue Input'!$B$6</f>
        <v>0</v>
      </c>
      <c r="G229" s="148">
        <f ca="1">IF('User Inputs'!$D$4="PS",('Revenue Input'!$B$6/SUM($C$3:$C$231)),IF(ISERR(F229/C229),0,(F229/C229)))</f>
        <v>7.2344179438402385</v>
      </c>
      <c r="H229" s="148">
        <f ca="1">((IF(G229&gt;0,G229,VLOOKUP(A229,'Nearest Location Prices'!$M$1:$O$231,3,FALSE))))</f>
        <v>7.2344179438402385</v>
      </c>
      <c r="L229" s="145">
        <f ca="1">(IF(B229="STORAGE SITE",((100-'User Inputs'!$D$37)/100)*H229/'User Inputs'!$D$7,(IF(B229="INTERCONNECTOR",((100-'User Inputs'!$D$39)/100)*H229/'User Inputs'!$D$7,H229/'User Inputs'!$D$7))))</f>
        <v>1.9820323133808871E-2</v>
      </c>
      <c r="M229" s="147" t="s">
        <v>428</v>
      </c>
      <c r="N229" s="147" t="s">
        <v>428</v>
      </c>
      <c r="O229" s="145">
        <f ca="1">(IF(B229="STORAGE SITE",((100-'User Inputs'!$D$37)/100)* 'User Inputs'!$D$27*'Exit Prices'!H229/'User Inputs'!$D$7, IF(B229="INTERCONNECTOR", ((100-'User Inputs'!$D$39)/100)*'User Inputs'!$D$33*'Exit Prices'!H229/'User Inputs'!$D$7,  'User Inputs'!$D$27*'Exit Prices'!H229/'User Inputs'!$D$7)))</f>
        <v>1.9820323133808871E-2</v>
      </c>
      <c r="P229" s="147" t="s">
        <v>428</v>
      </c>
      <c r="Q229" s="145">
        <f ca="1">(100-(VLOOKUP(A229,'Exit Interruption Prob''s'!$A:$E,5,FALSE)))*O229/100</f>
        <v>1.7838290820427986E-2</v>
      </c>
    </row>
    <row r="230" spans="1:17">
      <c r="A230" s="2" t="s">
        <v>540</v>
      </c>
      <c r="B230" s="12" t="str">
        <f>VLOOKUP(A230,'Locations &amp; Types'!$E:$I,5,FALSE)</f>
        <v>POWER STATION</v>
      </c>
      <c r="C230" s="39">
        <f ca="1">(VLOOKUP(A230, INDIRECT("'"&amp;'Drop Down Inputs'!$B$10&amp;"'!"&amp;" $A:$H"),MATCH('User Inputs'!$D$19, INDIRECT("'"&amp;'Drop Down Inputs'!$B$10&amp;"'!"&amp;"$A$1:$H$1"),0), FALSE))*'User Inputs'!$D$20/100</f>
        <v>33128628.208219182</v>
      </c>
      <c r="D230" s="146">
        <f t="array" aca="1" ref="D230" ca="1">SUMPRODUCT('Entry Prices'!$C$3:$C$29, TRANSPOSE(INDEX('Distance Matrix'!$C$3:$AC$231,MATCH(A230,'Distance Matrix'!$B$3:$B$231,0),0)) /SUM('Entry Prices'!$C$3:$C$29))</f>
        <v>311.16669844203551</v>
      </c>
      <c r="E230" s="145">
        <f t="shared" ca="1" si="3"/>
        <v>3.9480184278181665E-3</v>
      </c>
      <c r="F230" s="39">
        <f ca="1">E230*'Revenue Input'!$B$6</f>
        <v>185507654.30365923</v>
      </c>
      <c r="G230" s="148">
        <f ca="1">IF('User Inputs'!$D$4="PS",('Revenue Input'!$B$6/SUM($C$3:$C$231)),IF(ISERR(F230/C230),0,(F230/C230)))</f>
        <v>7.2344179438402385</v>
      </c>
      <c r="H230" s="148">
        <f ca="1">((IF(G230&gt;0,G230,VLOOKUP(A230,'Nearest Location Prices'!$M$1:$O$231,3,FALSE))))</f>
        <v>7.2344179438402385</v>
      </c>
      <c r="L230" s="145">
        <f ca="1">(IF(B230="STORAGE SITE",((100-'User Inputs'!$D$37)/100)*H230/'User Inputs'!$D$7,(IF(B230="INTERCONNECTOR",((100-'User Inputs'!$D$39)/100)*H230/'User Inputs'!$D$7,H230/'User Inputs'!$D$7))))</f>
        <v>1.9820323133808871E-2</v>
      </c>
      <c r="M230" s="147" t="s">
        <v>428</v>
      </c>
      <c r="N230" s="147" t="s">
        <v>428</v>
      </c>
      <c r="O230" s="145">
        <f ca="1">(IF(B230="STORAGE SITE",((100-'User Inputs'!$D$37)/100)* 'User Inputs'!$D$27*'Exit Prices'!H230/'User Inputs'!$D$7, IF(B230="INTERCONNECTOR", ((100-'User Inputs'!$D$39)/100)*'User Inputs'!$D$33*'Exit Prices'!H230/'User Inputs'!$D$7,  'User Inputs'!$D$27*'Exit Prices'!H230/'User Inputs'!$D$7)))</f>
        <v>1.9820323133808871E-2</v>
      </c>
      <c r="P230" s="147" t="s">
        <v>428</v>
      </c>
      <c r="Q230" s="145">
        <f ca="1">(100-(VLOOKUP(A230,'Exit Interruption Prob''s'!$A:$E,5,FALSE)))*O230/100</f>
        <v>1.7838290820427986E-2</v>
      </c>
    </row>
    <row r="231" spans="1:17">
      <c r="A231" s="2" t="s">
        <v>176</v>
      </c>
      <c r="B231" s="12" t="str">
        <f>VLOOKUP(A231,'Locations &amp; Types'!$E:$I,5,FALSE)</f>
        <v>STORAGE SITE</v>
      </c>
      <c r="C231" s="39">
        <f ca="1">(VLOOKUP(A231, INDIRECT("'"&amp;'Drop Down Inputs'!$B$10&amp;"'!"&amp;" $A:$H"),MATCH('User Inputs'!$D$19, INDIRECT("'"&amp;'Drop Down Inputs'!$B$10&amp;"'!"&amp;"$A$1:$H$1"),0), FALSE))*'User Inputs'!$D$20/100</f>
        <v>6538325.5616438352</v>
      </c>
      <c r="D231" s="146">
        <f t="array" aca="1" ref="D231" ca="1">SUMPRODUCT('Entry Prices'!$C$3:$C$29, TRANSPOSE(INDEX('Distance Matrix'!$C$3:$AC$231,MATCH(A231,'Distance Matrix'!$B$3:$B$231,0),0)) /SUM('Entry Prices'!$C$3:$C$29))</f>
        <v>311.04628566134295</v>
      </c>
      <c r="E231" s="145">
        <f t="shared" ca="1" si="3"/>
        <v>7.7888648359593945E-4</v>
      </c>
      <c r="F231" s="39">
        <f ca="1">E231*'Revenue Input'!$B$6</f>
        <v>36597955.957505226</v>
      </c>
      <c r="G231" s="148">
        <f ca="1">IF('User Inputs'!$D$4="PS",('Revenue Input'!$B$6/SUM($C$3:$C$231)),IF(ISERR(F231/C231),0,(F231/C231)))</f>
        <v>7.2344179438402385</v>
      </c>
      <c r="H231" s="148">
        <f ca="1">((IF(G231&gt;0,G231,VLOOKUP(A231,'Nearest Location Prices'!$M$1:$O$231,3,FALSE))))</f>
        <v>7.2344179438402385</v>
      </c>
      <c r="L231" s="145">
        <f ca="1">(IF(B231="STORAGE SITE",((100-'User Inputs'!$D$37)/100)*H231/'User Inputs'!$D$7,(IF(B231="INTERCONNECTOR",((100-'User Inputs'!$D$39)/100)*H231/'User Inputs'!$D$7,H231/'User Inputs'!$D$7))))</f>
        <v>9.9101615669044355E-3</v>
      </c>
      <c r="M231" s="147" t="s">
        <v>428</v>
      </c>
      <c r="N231" s="147" t="s">
        <v>428</v>
      </c>
      <c r="O231" s="145">
        <f ca="1">(IF(B231="STORAGE SITE",((100-'User Inputs'!$D$37)/100)* 'User Inputs'!$D$27*'Exit Prices'!H231/'User Inputs'!$D$7, IF(B231="INTERCONNECTOR", ((100-'User Inputs'!$D$39)/100)*'User Inputs'!$D$33*'Exit Prices'!H231/'User Inputs'!$D$7,  'User Inputs'!$D$27*'Exit Prices'!H231/'User Inputs'!$D$7)))</f>
        <v>9.9101615669044355E-3</v>
      </c>
      <c r="P231" s="147" t="s">
        <v>428</v>
      </c>
      <c r="Q231" s="145">
        <f ca="1">(100-(VLOOKUP(A231,'Exit Interruption Prob''s'!$A:$E,5,FALSE)))*O231/100</f>
        <v>8.9191454102139928E-3</v>
      </c>
    </row>
    <row r="233" spans="1:17">
      <c r="C233" s="137"/>
    </row>
  </sheetData>
  <conditionalFormatting sqref="Q3:Q231 L3:L231 O3:O231 G3:H231">
    <cfRule type="cellIs" dxfId="17" priority="6" operator="equal">
      <formula>0</formula>
    </cfRule>
  </conditionalFormatting>
  <conditionalFormatting sqref="M18:N18 M20:N20 M135:N135 P135 P20 P18">
    <cfRule type="cellIs" dxfId="16"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Button 2">
              <controlPr defaultSize="0" print="0" autoFill="0" autoPict="0" macro="[0]!UserInputSelect">
                <anchor moveWithCells="1" sizeWithCells="1">
                  <from>
                    <xdr:col>8</xdr:col>
                    <xdr:colOff>228600</xdr:colOff>
                    <xdr:row>230</xdr:row>
                    <xdr:rowOff>38100</xdr:rowOff>
                  </from>
                  <to>
                    <xdr:col>10</xdr:col>
                    <xdr:colOff>180975</xdr:colOff>
                    <xdr:row>232</xdr:row>
                    <xdr:rowOff>47625</xdr:rowOff>
                  </to>
                </anchor>
              </controlPr>
            </control>
          </mc:Choice>
        </mc:AlternateContent>
        <mc:AlternateContent xmlns:mc="http://schemas.openxmlformats.org/markup-compatibility/2006">
          <mc:Choice Requires="x14">
            <control shapeId="44035" r:id="rId5" name="Button 3">
              <controlPr defaultSize="0" print="0" autoFill="0" autoPict="0" macro="[0]!UserInputSelect">
                <anchor moveWithCells="1" sizeWithCells="1">
                  <from>
                    <xdr:col>9</xdr:col>
                    <xdr:colOff>0</xdr:colOff>
                    <xdr:row>3</xdr:row>
                    <xdr:rowOff>104775</xdr:rowOff>
                  </from>
                  <to>
                    <xdr:col>9</xdr:col>
                    <xdr:colOff>828675</xdr:colOff>
                    <xdr:row>7</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F3894FA-5465-4057-A27C-90D402739FF7}">
            <xm:f>'User Inputs'!$D$4="PS"</xm:f>
            <x14:dxf>
              <font>
                <color theme="0" tint="-0.14996795556505021"/>
              </font>
              <fill>
                <patternFill patternType="none">
                  <bgColor auto="1"/>
                </patternFill>
              </fill>
            </x14:dxf>
          </x14:cfRule>
          <xm:sqref>D3:F231</xm:sqref>
        </x14:conditionalFormatting>
        <x14:conditionalFormatting xmlns:xm="http://schemas.microsoft.com/office/excel/2006/main">
          <x14:cfRule type="expression" priority="1" id="{6F5E60D4-CAF0-450F-8562-56ACAB55F9FC}">
            <xm:f>'User Inputs'!$D$4="PS"</xm:f>
            <x14:dxf>
              <font>
                <color theme="0" tint="-0.14996795556505021"/>
              </font>
              <fill>
                <patternFill>
                  <bgColor theme="6" tint="0.79998168889431442"/>
                </patternFill>
              </fill>
            </x14:dxf>
          </x14:cfRule>
          <xm:sqref>D2:F2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6" tint="0.39997558519241921"/>
  </sheetPr>
  <dimension ref="A1:AA30"/>
  <sheetViews>
    <sheetView zoomScale="80" zoomScaleNormal="80" workbookViewId="0">
      <selection activeCell="Z11" sqref="Z11"/>
    </sheetView>
  </sheetViews>
  <sheetFormatPr defaultColWidth="9.140625" defaultRowHeight="15"/>
  <cols>
    <col min="1" max="1" width="22.42578125" bestFit="1" customWidth="1"/>
    <col min="2" max="2" width="32.7109375" customWidth="1"/>
    <col min="3" max="3" width="47.28515625" customWidth="1"/>
    <col min="4" max="4" width="17.7109375" customWidth="1"/>
    <col min="5" max="5" width="33.85546875" customWidth="1"/>
    <col min="6" max="6" width="29.85546875" bestFit="1" customWidth="1"/>
    <col min="7" max="7" width="14.140625" customWidth="1"/>
    <col min="8" max="8" width="14" customWidth="1"/>
    <col min="9" max="9" width="24.140625" customWidth="1"/>
    <col min="10" max="10" width="20.42578125" bestFit="1" customWidth="1"/>
    <col min="11" max="11" width="13.85546875" customWidth="1"/>
    <col min="12" max="12" width="16.28515625" customWidth="1"/>
    <col min="13" max="13" width="15.28515625" customWidth="1"/>
    <col min="14" max="14" width="15.7109375" customWidth="1"/>
    <col min="15" max="15" width="20" bestFit="1" customWidth="1"/>
    <col min="16" max="16" width="14" customWidth="1"/>
    <col min="17" max="17" width="14.42578125" customWidth="1"/>
    <col min="18" max="18" width="13.28515625" customWidth="1"/>
    <col min="19" max="19" width="14" customWidth="1"/>
    <col min="20" max="20" width="21.7109375" customWidth="1"/>
    <col min="21" max="21" width="18.28515625" customWidth="1"/>
    <col min="22" max="22" width="14" customWidth="1"/>
    <col min="23" max="23" width="21.7109375" customWidth="1"/>
    <col min="24" max="24" width="26.42578125" customWidth="1"/>
    <col min="25" max="25" width="44" bestFit="1" customWidth="1"/>
    <col min="27" max="27" width="10.140625" bestFit="1" customWidth="1"/>
  </cols>
  <sheetData>
    <row r="1" spans="1:27" ht="15.75" thickBot="1">
      <c r="A1" s="465" t="s">
        <v>342</v>
      </c>
      <c r="B1" s="466"/>
      <c r="C1" s="467"/>
      <c r="D1" s="42"/>
      <c r="E1" s="345"/>
      <c r="G1" s="474" t="s">
        <v>450</v>
      </c>
      <c r="H1" s="475"/>
      <c r="I1" s="476"/>
      <c r="J1" s="474" t="s">
        <v>451</v>
      </c>
      <c r="K1" s="475"/>
      <c r="L1" s="476"/>
      <c r="M1" s="474" t="s">
        <v>452</v>
      </c>
      <c r="N1" s="475"/>
      <c r="O1" s="476"/>
      <c r="P1" s="474" t="s">
        <v>455</v>
      </c>
      <c r="Q1" s="475"/>
      <c r="R1" s="476"/>
      <c r="S1" s="474" t="s">
        <v>453</v>
      </c>
      <c r="T1" s="475"/>
      <c r="U1" s="476"/>
      <c r="V1" s="474" t="s">
        <v>454</v>
      </c>
      <c r="W1" s="475"/>
      <c r="X1" s="476"/>
    </row>
    <row r="2" spans="1:27" ht="64.5" thickBot="1">
      <c r="A2" s="468" t="s">
        <v>420</v>
      </c>
      <c r="B2" s="469"/>
      <c r="C2" s="62" t="s">
        <v>516</v>
      </c>
      <c r="D2" s="42"/>
      <c r="E2" s="49"/>
      <c r="F2" s="49" t="s">
        <v>25</v>
      </c>
      <c r="G2" s="50" t="s">
        <v>375</v>
      </c>
      <c r="H2" s="43" t="s">
        <v>324</v>
      </c>
      <c r="I2" s="44" t="s">
        <v>344</v>
      </c>
      <c r="J2" s="50" t="s">
        <v>376</v>
      </c>
      <c r="K2" s="43" t="s">
        <v>325</v>
      </c>
      <c r="L2" s="44" t="s">
        <v>345</v>
      </c>
      <c r="M2" s="50" t="s">
        <v>377</v>
      </c>
      <c r="N2" s="43" t="s">
        <v>326</v>
      </c>
      <c r="O2" s="44" t="s">
        <v>346</v>
      </c>
      <c r="P2" s="50" t="s">
        <v>378</v>
      </c>
      <c r="Q2" s="43" t="s">
        <v>328</v>
      </c>
      <c r="R2" s="44" t="s">
        <v>347</v>
      </c>
      <c r="S2" s="51" t="s">
        <v>379</v>
      </c>
      <c r="T2" s="43" t="s">
        <v>348</v>
      </c>
      <c r="U2" s="44" t="s">
        <v>349</v>
      </c>
      <c r="V2" s="51" t="s">
        <v>380</v>
      </c>
      <c r="W2" s="43" t="s">
        <v>374</v>
      </c>
      <c r="X2" s="44" t="s">
        <v>381</v>
      </c>
      <c r="Y2" s="45" t="s">
        <v>507</v>
      </c>
    </row>
    <row r="3" spans="1:27">
      <c r="A3" s="472"/>
      <c r="B3" s="472"/>
      <c r="C3" s="333"/>
      <c r="D3" s="42"/>
      <c r="E3" s="349" t="s">
        <v>474</v>
      </c>
      <c r="F3" s="346" t="s">
        <v>1</v>
      </c>
      <c r="G3" s="52">
        <f ca="1">IF(((VLOOKUP(F3,'Anticipated Entry Bookings'!$A:$C,MATCH('Entry Anticipated Rev. Recovery'!$C$2,'Anticipated Entry Bookings'!$A$1:$C$1,0),FALSE)-VLOOKUP(F3,'Anticipated Entry Bookings'!$A:$C,2,FALSE))*VLOOKUP($F3, 'Entry Capacity Split'!$A$11:$H$38, 3, 0)/100)&lt;0,0,(VLOOKUP(F3,'Anticipated Entry Bookings'!$A:$C,MATCH('Entry Anticipated Rev. Recovery'!$C$2,'Anticipated Entry Bookings'!$A$1:$C$1,0),FALSE)-VLOOKUP(F3,'Anticipated Entry Bookings'!$A:$C,2,FALSE))*VLOOKUP($F3, 'Entry Capacity Split'!$A$11:$H$38, 3, 0)/100)</f>
        <v>0</v>
      </c>
      <c r="H3" s="152">
        <f ca="1">IF(VLOOKUP(F3,'Entry Prices'!$A:$R,13,FALSE)&gt;0,VLOOKUP(F3,'Entry Prices'!$A:$R,13,FALSE),0)</f>
        <v>3.5870816938962574E-2</v>
      </c>
      <c r="I3" s="153">
        <f ca="1">G3*H3*'User Inputs'!$D$7/100</f>
        <v>0</v>
      </c>
      <c r="J3" s="215">
        <f ca="1">IF(((VLOOKUP(F3,'Anticipated Entry Bookings'!$A:$C,MATCH('Entry Anticipated Rev. Recovery'!$C$2,'Anticipated Entry Bookings'!$A$1:$C$1,0),FALSE)-VLOOKUP(F3,'Anticipated Entry Bookings'!$A:$C,2,FALSE))*VLOOKUP($F3, 'Entry Capacity Split'!$A$11:$H$38, 4, 0)/100)&lt;0,0,(VLOOKUP(F3,'Anticipated Entry Bookings'!$A:$C,MATCH('Entry Anticipated Rev. Recovery'!$C$2,'Anticipated Entry Bookings'!$A$1:$C$1,0),FALSE)-VLOOKUP(F3,'Anticipated Entry Bookings'!$A:$C,2,FALSE))*VLOOKUP($F3, 'Entry Capacity Split'!$A$11:$H$38, 4, 0)/100)</f>
        <v>0</v>
      </c>
      <c r="K3" s="216" t="str">
        <f>IF(VLOOKUP(F3,'Entry Prices'!$A:$R,14,FALSE)&gt;0,VLOOKUP(F3,'Entry Prices'!$A:$R,14,FALSE),0)</f>
        <v>N/A</v>
      </c>
      <c r="L3" s="217" t="s">
        <v>428</v>
      </c>
      <c r="M3" s="52">
        <f ca="1">IF(((VLOOKUP(F3,'Anticipated Entry Bookings'!$A:$C,MATCH('Entry Anticipated Rev. Recovery'!$C$2,'Anticipated Entry Bookings'!$A$1:$C$1,0),FALSE)-VLOOKUP(F3,'Anticipated Entry Bookings'!$A:$C,2,FALSE))*VLOOKUP($F3, 'Entry Capacity Split'!$A$11:$H$38, 5, 0)/100)&lt;0,0,(VLOOKUP(F3,'Anticipated Entry Bookings'!$A:$C,MATCH('Entry Anticipated Rev. Recovery'!$C$2,'Anticipated Entry Bookings'!$A$1:$C$1,0),FALSE)-VLOOKUP(F3,'Anticipated Entry Bookings'!$A:$C,2,FALSE))*VLOOKUP($F3, 'Entry Capacity Split'!$A$11:$H$38, 5, 0)/100)</f>
        <v>0</v>
      </c>
      <c r="N3" s="152">
        <f ca="1">IF(VLOOKUP(F3,'Entry Prices'!$A:$R,15,FALSE)&gt;0,VLOOKUP(F3,'Entry Prices'!$A:$R,15,FALSE),0)</f>
        <v>3.5870816938962574E-2</v>
      </c>
      <c r="O3" s="153">
        <f ca="1">M3*N3*'User Inputs'!$D$7/100</f>
        <v>0</v>
      </c>
      <c r="P3" s="52">
        <f ca="1">IF(((VLOOKUP(F3,'Anticipated Entry Bookings'!$A:$C,MATCH('Entry Anticipated Rev. Recovery'!$C$2,'Anticipated Entry Bookings'!$A$1:$C$1,0),FALSE)-VLOOKUP(F3,'Anticipated Entry Bookings'!$A:$C,2,FALSE))*VLOOKUP($F3, 'Entry Capacity Split'!$A$11:$H$38, 6, 0)/100)&lt;0,0,(VLOOKUP(F3,'Anticipated Entry Bookings'!$A:$C,MATCH('Entry Anticipated Rev. Recovery'!$C$2,'Anticipated Entry Bookings'!$A$1:$C$1,0),FALSE)-VLOOKUP(F3,'Anticipated Entry Bookings'!$A:$C,2,FALSE))*VLOOKUP($F3, 'Entry Capacity Split'!$A$11:$H$38, 6, 0)/100)</f>
        <v>0</v>
      </c>
      <c r="Q3" s="152">
        <f ca="1">IF(VLOOKUP(F3,'Entry Prices'!$A:$R,16,FALSE)&gt;0,VLOOKUP(F3,'Entry Prices'!$A:$R,16,FALSE),0)</f>
        <v>3.5870816938962574E-2</v>
      </c>
      <c r="R3" s="153">
        <f ca="1">P3*Q3*'User Inputs'!$D$7/100</f>
        <v>0</v>
      </c>
      <c r="S3" s="52">
        <f ca="1">IF(((VLOOKUP(F3,'Anticipated Entry Bookings'!$A:$C,MATCH('Entry Anticipated Rev. Recovery'!$C$2,'Anticipated Entry Bookings'!$A$1:$C$1,0),FALSE)-VLOOKUP(F3,'Anticipated Entry Bookings'!$A:$C,2,FALSE))*VLOOKUP($F3, 'Entry Capacity Split'!$A$11:$H$38, 7, 0)/100)&lt;0,0,(VLOOKUP(F3,'Anticipated Entry Bookings'!$A:$C,MATCH('Entry Anticipated Rev. Recovery'!$C$2,'Anticipated Entry Bookings'!$A$1:$C$1,0),FALSE)-VLOOKUP(F3,'Anticipated Entry Bookings'!$A:$C,2,FALSE))*VLOOKUP($F3, 'Entry Capacity Split'!$A$11:$H$38, 7, 0)/100)</f>
        <v>0</v>
      </c>
      <c r="T3" s="152">
        <f ca="1">IF(VLOOKUP(F3,'Entry Prices'!$A:$R,17,FALSE)&gt;0,VLOOKUP(F3,'Entry Prices'!$A:$R,17,FALSE),0)</f>
        <v>3.5870816938962574E-2</v>
      </c>
      <c r="U3" s="153">
        <f ca="1">S3*T3*'User Inputs'!$D$7/100</f>
        <v>0</v>
      </c>
      <c r="V3" s="52">
        <f ca="1">IF(((VLOOKUP(F3,'Anticipated Entry Bookings'!$A:$C,MATCH('Entry Anticipated Rev. Recovery'!$C$2,'Anticipated Entry Bookings'!$A$1:$C$1,0),FALSE)-VLOOKUP(F3,'Anticipated Entry Bookings'!$A:$C,2,FALSE))*VLOOKUP($F3, 'Entry Capacity Split'!$A$11:$H$38, 8, 0)/100)&lt;0,0,(VLOOKUP(F3,'Anticipated Entry Bookings'!$A:$C,MATCH('Entry Anticipated Rev. Recovery'!$C$2,'Anticipated Entry Bookings'!$A$1:$C$1,0),FALSE)-VLOOKUP(F3,'Anticipated Entry Bookings'!$A:$C,2,FALSE))*VLOOKUP($F3, 'Entry Capacity Split'!$A$11:$H$38, 8, 0)/100)</f>
        <v>0</v>
      </c>
      <c r="W3" s="152">
        <f ca="1">IF(VLOOKUP(F3,'Entry Prices'!$A:$R,18,FALSE)&gt;0,VLOOKUP(F3,'Entry Prices'!$A:$R,18,FALSE),0)</f>
        <v>3.2283735245066315E-2</v>
      </c>
      <c r="X3" s="153">
        <f ca="1">V3*W3*'User Inputs'!$D$7/100</f>
        <v>0</v>
      </c>
      <c r="Y3" s="53">
        <f ca="1">I3+O3+R3+U3+X3</f>
        <v>0</v>
      </c>
    </row>
    <row r="4" spans="1:27">
      <c r="A4" s="473"/>
      <c r="B4" s="473"/>
      <c r="C4" s="332"/>
      <c r="D4" s="42"/>
      <c r="E4" s="350" t="s">
        <v>473</v>
      </c>
      <c r="F4" s="347" t="s">
        <v>2</v>
      </c>
      <c r="G4" s="52">
        <f ca="1">IF(((VLOOKUP(F4,'Anticipated Entry Bookings'!$A:$C,MATCH('Entry Anticipated Rev. Recovery'!$C$2,'Anticipated Entry Bookings'!$A$1:$C$1,0),FALSE)-VLOOKUP(F4,'Anticipated Entry Bookings'!$A:$C,2,FALSE))*VLOOKUP($F4, 'Entry Capacity Split'!$A$11:$H$38, 3, 0)/100)&lt;0,0,(VLOOKUP(F4,'Anticipated Entry Bookings'!$A:$C,MATCH('Entry Anticipated Rev. Recovery'!$C$2,'Anticipated Entry Bookings'!$A$1:$C$1,0),FALSE)-VLOOKUP(F4,'Anticipated Entry Bookings'!$A:$C,2,FALSE))*VLOOKUP($F4, 'Entry Capacity Split'!$A$11:$H$38, 3, 0)/100)</f>
        <v>13099896.152128307</v>
      </c>
      <c r="H4" s="152">
        <f ca="1">IF(VLOOKUP(F4,'Entry Prices'!$A:$R,13,FALSE)&gt;0,VLOOKUP(F4,'Entry Prices'!$A:$R,13,FALSE),0)</f>
        <v>7.1741633877925148E-2</v>
      </c>
      <c r="I4" s="153">
        <f ca="1">G4*H4*'User Inputs'!$D$7/100</f>
        <v>3430299.0305846273</v>
      </c>
      <c r="J4" s="153">
        <f ca="1">IF(((VLOOKUP(F4,'Anticipated Entry Bookings'!$A:$C,MATCH('Entry Anticipated Rev. Recovery'!$C$2,'Anticipated Entry Bookings'!$A$1:$C$1,0),FALSE)-VLOOKUP(F4,'Anticipated Entry Bookings'!$A:$C,2,FALSE))*VLOOKUP($F4, 'Entry Capacity Split'!$A$11:$H$38, 4, 0)/100)&lt;0,0,(VLOOKUP(F4,'Anticipated Entry Bookings'!$A:$C,MATCH('Entry Anticipated Rev. Recovery'!$C$2,'Anticipated Entry Bookings'!$A$1:$C$1,0),FALSE)-VLOOKUP(F4,'Anticipated Entry Bookings'!$A:$C,2,FALSE))*VLOOKUP($F4, 'Entry Capacity Split'!$A$11:$H$38, 4, 0)/100)</f>
        <v>10484580.825751767</v>
      </c>
      <c r="K4" s="325">
        <f ca="1">IF(VLOOKUP(F4,'Entry Prices'!$A:$R,14,FALSE)&gt;0,VLOOKUP(F4,'Entry Prices'!$A:$R,14,FALSE),0)</f>
        <v>7.1741633877925148E-2</v>
      </c>
      <c r="L4" s="153">
        <f ca="1">J4*K4*'User Inputs'!$D$7/100</f>
        <v>2745460.5002207803</v>
      </c>
      <c r="M4" s="52">
        <f ca="1">IF(((VLOOKUP(F4,'Anticipated Entry Bookings'!$A:$C,MATCH('Entry Anticipated Rev. Recovery'!$C$2,'Anticipated Entry Bookings'!$A$1:$C$1,0),FALSE)-VLOOKUP(F4,'Anticipated Entry Bookings'!$A:$C,2,FALSE))*VLOOKUP($F4, 'Entry Capacity Split'!$A$11:$H$38, 5, 0)/100)&lt;0,0,(VLOOKUP(F4,'Anticipated Entry Bookings'!$A:$C,MATCH('Entry Anticipated Rev. Recovery'!$C$2,'Anticipated Entry Bookings'!$A$1:$C$1,0),FALSE)-VLOOKUP(F4,'Anticipated Entry Bookings'!$A:$C,2,FALSE))*VLOOKUP($F4, 'Entry Capacity Split'!$A$11:$H$38, 5, 0)/100)</f>
        <v>2117372.7021587375</v>
      </c>
      <c r="N4" s="152">
        <f ca="1">IF(VLOOKUP(F4,'Entry Prices'!$A:$R,15,FALSE)&gt;0,VLOOKUP(F4,'Entry Prices'!$A:$R,15,FALSE),0)</f>
        <v>7.1741633877925148E-2</v>
      </c>
      <c r="O4" s="153">
        <f ca="1">M4*N4*'User Inputs'!$D$7/100</f>
        <v>554448.78671205591</v>
      </c>
      <c r="P4" s="52">
        <f ca="1">IF(((VLOOKUP(F4,'Anticipated Entry Bookings'!$A:$C,MATCH('Entry Anticipated Rev. Recovery'!$C$2,'Anticipated Entry Bookings'!$A$1:$C$1,0),FALSE)-VLOOKUP(F4,'Anticipated Entry Bookings'!$A:$C,2,FALSE))*VLOOKUP($F4, 'Entry Capacity Split'!$A$11:$H$38, 6, 0)/100)&lt;0,0,(VLOOKUP(F4,'Anticipated Entry Bookings'!$A:$C,MATCH('Entry Anticipated Rev. Recovery'!$C$2,'Anticipated Entry Bookings'!$A$1:$C$1,0),FALSE)-VLOOKUP(F4,'Anticipated Entry Bookings'!$A:$C,2,FALSE))*VLOOKUP($F4, 'Entry Capacity Split'!$A$11:$H$38, 6, 0)/100)</f>
        <v>91382.399489489297</v>
      </c>
      <c r="Q4" s="152">
        <f ca="1">IF(VLOOKUP(F4,'Entry Prices'!$A:$R,16,FALSE)&gt;0,VLOOKUP(F4,'Entry Prices'!$A:$R,16,FALSE),0)</f>
        <v>7.1741633877925148E-2</v>
      </c>
      <c r="R4" s="153">
        <f ca="1">P4*Q4*'User Inputs'!$D$7/100</f>
        <v>23929.117661773507</v>
      </c>
      <c r="S4" s="52">
        <f ca="1">IF(((VLOOKUP(F4,'Anticipated Entry Bookings'!$A:$C,MATCH('Entry Anticipated Rev. Recovery'!$C$2,'Anticipated Entry Bookings'!$A$1:$C$1,0),FALSE)-VLOOKUP(F4,'Anticipated Entry Bookings'!$A:$C,2,FALSE))*VLOOKUP($F4, 'Entry Capacity Split'!$A$11:$H$38, 7, 0)/100)&lt;0,0,(VLOOKUP(F4,'Anticipated Entry Bookings'!$A:$C,MATCH('Entry Anticipated Rev. Recovery'!$C$2,'Anticipated Entry Bookings'!$A$1:$C$1,0),FALSE)-VLOOKUP(F4,'Anticipated Entry Bookings'!$A:$C,2,FALSE))*VLOOKUP($F4, 'Entry Capacity Split'!$A$11:$H$38, 7, 0)/100)</f>
        <v>17625637.345006172</v>
      </c>
      <c r="T4" s="152">
        <f ca="1">IF(VLOOKUP(F4,'Entry Prices'!$A:$R,17,FALSE)&gt;0,VLOOKUP(F4,'Entry Prices'!$A:$R,17,FALSE),0)</f>
        <v>7.1741633877925148E-2</v>
      </c>
      <c r="U4" s="153">
        <f ca="1">S4*T4*'User Inputs'!$D$7/100</f>
        <v>4615395.8776373891</v>
      </c>
      <c r="V4" s="52">
        <f ca="1">IF(((VLOOKUP(F4,'Anticipated Entry Bookings'!$A:$C,MATCH('Entry Anticipated Rev. Recovery'!$C$2,'Anticipated Entry Bookings'!$A$1:$C$1,0),FALSE)-VLOOKUP(F4,'Anticipated Entry Bookings'!$A:$C,2,FALSE))*VLOOKUP($F4, 'Entry Capacity Split'!$A$11:$H$38, 8, 0)/100)&lt;0,0,(VLOOKUP(F4,'Anticipated Entry Bookings'!$A:$C,MATCH('Entry Anticipated Rev. Recovery'!$C$2,'Anticipated Entry Bookings'!$A$1:$C$1,0),FALSE)-VLOOKUP(F4,'Anticipated Entry Bookings'!$A:$C,2,FALSE))*VLOOKUP($F4, 'Entry Capacity Split'!$A$11:$H$38, 8, 0)/100)</f>
        <v>43045901.649438143</v>
      </c>
      <c r="W4" s="152">
        <f ca="1">IF(VLOOKUP(F4,'Entry Prices'!$A:$R,18,FALSE)&gt;0,VLOOKUP(F4,'Entry Prices'!$A:$R,18,FALSE),0)</f>
        <v>6.4567470490132631E-2</v>
      </c>
      <c r="X4" s="153">
        <f ca="1">V4*W4*'User Inputs'!$D$7/100</f>
        <v>10144682.193320058</v>
      </c>
      <c r="Y4" s="53">
        <f ca="1">I4+L4+O4+R4+U4+X4</f>
        <v>21514215.506136686</v>
      </c>
    </row>
    <row r="5" spans="1:27" ht="15.75" customHeight="1">
      <c r="A5" s="473"/>
      <c r="B5" s="473"/>
      <c r="C5" s="332"/>
      <c r="D5" s="42"/>
      <c r="E5" s="350" t="s">
        <v>474</v>
      </c>
      <c r="F5" s="347" t="s">
        <v>3</v>
      </c>
      <c r="G5" s="52">
        <f ca="1">IF(((VLOOKUP(F5,'Anticipated Entry Bookings'!$A:$C,MATCH('Entry Anticipated Rev. Recovery'!$C$2,'Anticipated Entry Bookings'!$A$1:$C$1,0),FALSE)-VLOOKUP(F5,'Anticipated Entry Bookings'!$A:$C,2,FALSE))*VLOOKUP($F5, 'Entry Capacity Split'!$A$11:$H$38, 3, 0)/100)&lt;0,0,(VLOOKUP(F5,'Anticipated Entry Bookings'!$A:$C,MATCH('Entry Anticipated Rev. Recovery'!$C$2,'Anticipated Entry Bookings'!$A$1:$C$1,0),FALSE)-VLOOKUP(F5,'Anticipated Entry Bookings'!$A:$C,2,FALSE))*VLOOKUP($F5, 'Entry Capacity Split'!$A$11:$H$38, 3, 0)/100)</f>
        <v>107842259.81848334</v>
      </c>
      <c r="H5" s="152">
        <f ca="1">IF(VLOOKUP(F5,'Entry Prices'!$A:$R,13,FALSE)&gt;0,VLOOKUP(F5,'Entry Prices'!$A:$R,13,FALSE),0)</f>
        <v>7.1741633877925148E-2</v>
      </c>
      <c r="I5" s="153">
        <f ca="1">G5*H5*'User Inputs'!$D$7/100</f>
        <v>28239246.709699847</v>
      </c>
      <c r="J5" s="215">
        <f ca="1">IF(((VLOOKUP(F5,'Anticipated Entry Bookings'!$A:$C,MATCH('Entry Anticipated Rev. Recovery'!$C$2,'Anticipated Entry Bookings'!$A$1:$C$1,0),FALSE)-VLOOKUP(F5,'Anticipated Entry Bookings'!$A:$C,2,FALSE))*VLOOKUP($F5, 'Entry Capacity Split'!$A$11:$H$38, 4, 0)/100)&lt;0,0,(VLOOKUP(F5,'Anticipated Entry Bookings'!$A:$C,MATCH('Entry Anticipated Rev. Recovery'!$C$2,'Anticipated Entry Bookings'!$A$1:$C$1,0),FALSE)-VLOOKUP(F5,'Anticipated Entry Bookings'!$A:$C,2,FALSE))*VLOOKUP($F5, 'Entry Capacity Split'!$A$11:$H$38, 4, 0)/100)</f>
        <v>0</v>
      </c>
      <c r="K5" s="216" t="str">
        <f>IF(VLOOKUP(F5,'Entry Prices'!$A:$R,14,FALSE)&gt;0,VLOOKUP(F5,'Entry Prices'!$A:$R,14,FALSE),0)</f>
        <v>N/A</v>
      </c>
      <c r="L5" s="217" t="s">
        <v>428</v>
      </c>
      <c r="M5" s="52">
        <f ca="1">IF(((VLOOKUP(F5,'Anticipated Entry Bookings'!$A:$C,MATCH('Entry Anticipated Rev. Recovery'!$C$2,'Anticipated Entry Bookings'!$A$1:$C$1,0),FALSE)-VLOOKUP(F5,'Anticipated Entry Bookings'!$A:$C,2,FALSE))*VLOOKUP($F5, 'Entry Capacity Split'!$A$11:$H$38, 5, 0)/100)&lt;0,0,(VLOOKUP(F5,'Anticipated Entry Bookings'!$A:$C,MATCH('Entry Anticipated Rev. Recovery'!$C$2,'Anticipated Entry Bookings'!$A$1:$C$1,0),FALSE)-VLOOKUP(F5,'Anticipated Entry Bookings'!$A:$C,2,FALSE))*VLOOKUP($F5, 'Entry Capacity Split'!$A$11:$H$38, 5, 0)/100)</f>
        <v>13733121.695242168</v>
      </c>
      <c r="N5" s="152">
        <f ca="1">IF(VLOOKUP(F5,'Entry Prices'!$A:$R,15,FALSE)&gt;0,VLOOKUP(F5,'Entry Prices'!$A:$R,15,FALSE),0)</f>
        <v>7.1741633877925148E-2</v>
      </c>
      <c r="O5" s="153">
        <f ca="1">M5*N5*'User Inputs'!$D$7/100</f>
        <v>3596113.5486128484</v>
      </c>
      <c r="P5" s="52">
        <f ca="1">IF(((VLOOKUP(F5,'Anticipated Entry Bookings'!$A:$C,MATCH('Entry Anticipated Rev. Recovery'!$C$2,'Anticipated Entry Bookings'!$A$1:$C$1,0),FALSE)-VLOOKUP(F5,'Anticipated Entry Bookings'!$A:$C,2,FALSE))*VLOOKUP($F5, 'Entry Capacity Split'!$A$11:$H$38, 6, 0)/100)&lt;0,0,(VLOOKUP(F5,'Anticipated Entry Bookings'!$A:$C,MATCH('Entry Anticipated Rev. Recovery'!$C$2,'Anticipated Entry Bookings'!$A$1:$C$1,0),FALSE)-VLOOKUP(F5,'Anticipated Entry Bookings'!$A:$C,2,FALSE))*VLOOKUP($F5, 'Entry Capacity Split'!$A$11:$H$38, 6, 0)/100)</f>
        <v>2747.9739847042497</v>
      </c>
      <c r="Q5" s="152">
        <f ca="1">IF(VLOOKUP(F5,'Entry Prices'!$A:$R,16,FALSE)&gt;0,VLOOKUP(F5,'Entry Prices'!$A:$R,16,FALSE),0)</f>
        <v>7.1741633877925148E-2</v>
      </c>
      <c r="R5" s="153">
        <f ca="1">P5*Q5*'User Inputs'!$D$7/100</f>
        <v>719.57612383601111</v>
      </c>
      <c r="S5" s="52">
        <f ca="1">IF(((VLOOKUP(F5,'Anticipated Entry Bookings'!$A:$C,MATCH('Entry Anticipated Rev. Recovery'!$C$2,'Anticipated Entry Bookings'!$A$1:$C$1,0),FALSE)-VLOOKUP(F5,'Anticipated Entry Bookings'!$A:$C,2,FALSE))*VLOOKUP($F5, 'Entry Capacity Split'!$A$11:$H$38, 7, 0)/100)&lt;0,0,(VLOOKUP(F5,'Anticipated Entry Bookings'!$A:$C,MATCH('Entry Anticipated Rev. Recovery'!$C$2,'Anticipated Entry Bookings'!$A$1:$C$1,0),FALSE)-VLOOKUP(F5,'Anticipated Entry Bookings'!$A:$C,2,FALSE))*VLOOKUP($F5, 'Entry Capacity Split'!$A$11:$H$38, 7, 0)/100)</f>
        <v>186322257.32176036</v>
      </c>
      <c r="T5" s="152">
        <f ca="1">IF(VLOOKUP(F5,'Entry Prices'!$A:$R,17,FALSE)&gt;0,VLOOKUP(F5,'Entry Prices'!$A:$R,17,FALSE),0)</f>
        <v>7.1741633877925148E-2</v>
      </c>
      <c r="U5" s="153">
        <f ca="1">S5*T5*'User Inputs'!$D$7/100</f>
        <v>48789780.563514955</v>
      </c>
      <c r="V5" s="52">
        <f ca="1">IF(((VLOOKUP(F5,'Anticipated Entry Bookings'!$A:$C,MATCH('Entry Anticipated Rev. Recovery'!$C$2,'Anticipated Entry Bookings'!$A$1:$C$1,0),FALSE)-VLOOKUP(F5,'Anticipated Entry Bookings'!$A:$C,2,FALSE))*VLOOKUP($F5, 'Entry Capacity Split'!$A$11:$H$38, 8, 0)/100)&lt;0,0,(VLOOKUP(F5,'Anticipated Entry Bookings'!$A:$C,MATCH('Entry Anticipated Rev. Recovery'!$C$2,'Anticipated Entry Bookings'!$A$1:$C$1,0),FALSE)-VLOOKUP(F5,'Anticipated Entry Bookings'!$A:$C,2,FALSE))*VLOOKUP($F5, 'Entry Capacity Split'!$A$11:$H$38, 8, 0)/100)</f>
        <v>130146486.15217325</v>
      </c>
      <c r="W5" s="152">
        <f ca="1">IF(VLOOKUP(F5,'Entry Prices'!$A:$R,18,FALSE)&gt;0,VLOOKUP(F5,'Entry Prices'!$A:$R,18,FALSE),0)</f>
        <v>6.4567470490132631E-2</v>
      </c>
      <c r="X5" s="153">
        <f ca="1">V5*W5*'User Inputs'!$D$7/100</f>
        <v>30671787.32469089</v>
      </c>
      <c r="Y5" s="53">
        <f t="shared" ref="Y5:Y15" ca="1" si="0">I5+O5+R5+U5+X5</f>
        <v>111297647.72264238</v>
      </c>
    </row>
    <row r="6" spans="1:27">
      <c r="A6" s="42"/>
      <c r="B6" s="42"/>
      <c r="C6" s="42"/>
      <c r="D6" s="42"/>
      <c r="E6" s="350" t="s">
        <v>474</v>
      </c>
      <c r="F6" s="347" t="s">
        <v>4</v>
      </c>
      <c r="G6" s="52">
        <f ca="1">IF(((VLOOKUP(F6,'Anticipated Entry Bookings'!$A:$C,MATCH('Entry Anticipated Rev. Recovery'!$C$2,'Anticipated Entry Bookings'!$A$1:$C$1,0),FALSE)-VLOOKUP(F6,'Anticipated Entry Bookings'!$A:$C,2,FALSE))*VLOOKUP($F6, 'Entry Capacity Split'!$A$11:$H$38, 3, 0)/100)&lt;0,0,(VLOOKUP(F6,'Anticipated Entry Bookings'!$A:$C,MATCH('Entry Anticipated Rev. Recovery'!$C$2,'Anticipated Entry Bookings'!$A$1:$C$1,0),FALSE)-VLOOKUP(F6,'Anticipated Entry Bookings'!$A:$C,2,FALSE))*VLOOKUP($F6, 'Entry Capacity Split'!$A$11:$H$38, 3, 0)/100)</f>
        <v>7015689.3926811554</v>
      </c>
      <c r="H6" s="152">
        <f ca="1">IF(VLOOKUP(F6,'Entry Prices'!$A:$R,13,FALSE)&gt;0,VLOOKUP(F6,'Entry Prices'!$A:$R,13,FALSE),0)</f>
        <v>7.1741633877925148E-2</v>
      </c>
      <c r="I6" s="153">
        <f ca="1">G6*H6*'User Inputs'!$D$7/100</f>
        <v>1837107.122310057</v>
      </c>
      <c r="J6" s="215">
        <f ca="1">IF(((VLOOKUP(F6,'Anticipated Entry Bookings'!$A:$C,MATCH('Entry Anticipated Rev. Recovery'!$C$2,'Anticipated Entry Bookings'!$A$1:$C$1,0),FALSE)-VLOOKUP(F6,'Anticipated Entry Bookings'!$A:$C,2,FALSE))*VLOOKUP($F6, 'Entry Capacity Split'!$A$11:$H$38, 4, 0)/100)&lt;0,0,(VLOOKUP(F6,'Anticipated Entry Bookings'!$A:$C,MATCH('Entry Anticipated Rev. Recovery'!$C$2,'Anticipated Entry Bookings'!$A$1:$C$1,0),FALSE)-VLOOKUP(F6,'Anticipated Entry Bookings'!$A:$C,2,FALSE))*VLOOKUP($F6, 'Entry Capacity Split'!$A$11:$H$38, 4, 0)/100)</f>
        <v>0</v>
      </c>
      <c r="K6" s="216" t="str">
        <f>IF(VLOOKUP(F6,'Entry Prices'!$A:$R,14,FALSE)&gt;0,VLOOKUP(F6,'Entry Prices'!$A:$R,14,FALSE),0)</f>
        <v>N/A</v>
      </c>
      <c r="L6" s="217" t="s">
        <v>428</v>
      </c>
      <c r="M6" s="52">
        <f ca="1">IF(((VLOOKUP(F6,'Anticipated Entry Bookings'!$A:$C,MATCH('Entry Anticipated Rev. Recovery'!$C$2,'Anticipated Entry Bookings'!$A$1:$C$1,0),FALSE)-VLOOKUP(F6,'Anticipated Entry Bookings'!$A:$C,2,FALSE))*VLOOKUP($F6, 'Entry Capacity Split'!$A$11:$H$38, 5, 0)/100)&lt;0,0,(VLOOKUP(F6,'Anticipated Entry Bookings'!$A:$C,MATCH('Entry Anticipated Rev. Recovery'!$C$2,'Anticipated Entry Bookings'!$A$1:$C$1,0),FALSE)-VLOOKUP(F6,'Anticipated Entry Bookings'!$A:$C,2,FALSE))*VLOOKUP($F6, 'Entry Capacity Split'!$A$11:$H$38, 5, 0)/100)</f>
        <v>0</v>
      </c>
      <c r="N6" s="152">
        <f ca="1">IF(VLOOKUP(F6,'Entry Prices'!$A:$R,15,FALSE)&gt;0,VLOOKUP(F6,'Entry Prices'!$A:$R,15,FALSE),0)</f>
        <v>7.1741633877925148E-2</v>
      </c>
      <c r="O6" s="153">
        <f ca="1">M6*N6*'User Inputs'!$D$7/100</f>
        <v>0</v>
      </c>
      <c r="P6" s="52">
        <f ca="1">IF(((VLOOKUP(F6,'Anticipated Entry Bookings'!$A:$C,MATCH('Entry Anticipated Rev. Recovery'!$C$2,'Anticipated Entry Bookings'!$A$1:$C$1,0),FALSE)-VLOOKUP(F6,'Anticipated Entry Bookings'!$A:$C,2,FALSE))*VLOOKUP($F6, 'Entry Capacity Split'!$A$11:$H$38, 6, 0)/100)&lt;0,0,(VLOOKUP(F6,'Anticipated Entry Bookings'!$A:$C,MATCH('Entry Anticipated Rev. Recovery'!$C$2,'Anticipated Entry Bookings'!$A$1:$C$1,0),FALSE)-VLOOKUP(F6,'Anticipated Entry Bookings'!$A:$C,2,FALSE))*VLOOKUP($F6, 'Entry Capacity Split'!$A$11:$H$38, 6, 0)/100)</f>
        <v>0</v>
      </c>
      <c r="Q6" s="152">
        <f ca="1">IF(VLOOKUP(F6,'Entry Prices'!$A:$R,16,FALSE)&gt;0,VLOOKUP(F6,'Entry Prices'!$A:$R,16,FALSE),0)</f>
        <v>7.1741633877925148E-2</v>
      </c>
      <c r="R6" s="153">
        <f ca="1">P6*Q6*'User Inputs'!$D$7/100</f>
        <v>0</v>
      </c>
      <c r="S6" s="52">
        <f ca="1">IF(((VLOOKUP(F6,'Anticipated Entry Bookings'!$A:$C,MATCH('Entry Anticipated Rev. Recovery'!$C$2,'Anticipated Entry Bookings'!$A$1:$C$1,0),FALSE)-VLOOKUP(F6,'Anticipated Entry Bookings'!$A:$C,2,FALSE))*VLOOKUP($F6, 'Entry Capacity Split'!$A$11:$H$38, 7, 0)/100)&lt;0,0,(VLOOKUP(F6,'Anticipated Entry Bookings'!$A:$C,MATCH('Entry Anticipated Rev. Recovery'!$C$2,'Anticipated Entry Bookings'!$A$1:$C$1,0),FALSE)-VLOOKUP(F6,'Anticipated Entry Bookings'!$A:$C,2,FALSE))*VLOOKUP($F6, 'Entry Capacity Split'!$A$11:$H$38, 7, 0)/100)</f>
        <v>562442.35731009231</v>
      </c>
      <c r="T6" s="152">
        <f ca="1">IF(VLOOKUP(F6,'Entry Prices'!$A:$R,17,FALSE)&gt;0,VLOOKUP(F6,'Entry Prices'!$A:$R,17,FALSE),0)</f>
        <v>7.1741633877925148E-2</v>
      </c>
      <c r="U6" s="153">
        <f ca="1">S6*T6*'User Inputs'!$D$7/100</f>
        <v>147279.44791585897</v>
      </c>
      <c r="V6" s="52">
        <f ca="1">IF(((VLOOKUP(F6,'Anticipated Entry Bookings'!$A:$C,MATCH('Entry Anticipated Rev. Recovery'!$C$2,'Anticipated Entry Bookings'!$A$1:$C$1,0),FALSE)-VLOOKUP(F6,'Anticipated Entry Bookings'!$A:$C,2,FALSE))*VLOOKUP($F6, 'Entry Capacity Split'!$A$11:$H$38, 8, 0)/100)&lt;0,0,(VLOOKUP(F6,'Anticipated Entry Bookings'!$A:$C,MATCH('Entry Anticipated Rev. Recovery'!$C$2,'Anticipated Entry Bookings'!$A$1:$C$1,0),FALSE)-VLOOKUP(F6,'Anticipated Entry Bookings'!$A:$C,2,FALSE))*VLOOKUP($F6, 'Entry Capacity Split'!$A$11:$H$38, 8, 0)/100)</f>
        <v>224107.95137861534</v>
      </c>
      <c r="W6" s="152">
        <f ca="1">IF(VLOOKUP(F6,'Entry Prices'!$A:$R,18,FALSE)&gt;0,VLOOKUP(F6,'Entry Prices'!$A:$R,18,FALSE),0)</f>
        <v>6.4567470490132631E-2</v>
      </c>
      <c r="X6" s="153">
        <f ca="1">V6*W6*'User Inputs'!$D$7/100</f>
        <v>52815.804910936306</v>
      </c>
      <c r="Y6" s="53">
        <f t="shared" ca="1" si="0"/>
        <v>2037202.3751368525</v>
      </c>
    </row>
    <row r="7" spans="1:27">
      <c r="A7" s="470" t="s">
        <v>343</v>
      </c>
      <c r="B7" s="470"/>
      <c r="C7" s="470"/>
      <c r="D7" s="42"/>
      <c r="E7" s="350" t="s">
        <v>474</v>
      </c>
      <c r="F7" s="347" t="s">
        <v>5</v>
      </c>
      <c r="G7" s="52">
        <f ca="1">IF(((VLOOKUP(F7,'Anticipated Entry Bookings'!$A:$C,MATCH('Entry Anticipated Rev. Recovery'!$C$2,'Anticipated Entry Bookings'!$A$1:$C$1,0),FALSE)-VLOOKUP(F7,'Anticipated Entry Bookings'!$A:$C,2,FALSE))*VLOOKUP($F7, 'Entry Capacity Split'!$A$11:$H$38, 3, 0)/100)&lt;0,0,(VLOOKUP(F7,'Anticipated Entry Bookings'!$A:$C,MATCH('Entry Anticipated Rev. Recovery'!$C$2,'Anticipated Entry Bookings'!$A$1:$C$1,0),FALSE)-VLOOKUP(F7,'Anticipated Entry Bookings'!$A:$C,2,FALSE))*VLOOKUP($F7, 'Entry Capacity Split'!$A$11:$H$38, 3, 0)/100)</f>
        <v>11555988.076872576</v>
      </c>
      <c r="H7" s="152">
        <f ca="1">IF(VLOOKUP(F7,'Entry Prices'!$A:$R,13,FALSE)&gt;0,VLOOKUP(F7,'Entry Prices'!$A:$R,13,FALSE),0)</f>
        <v>7.1741633877925148E-2</v>
      </c>
      <c r="I7" s="153">
        <f ca="1">G7*H7*'User Inputs'!$D$7/100</f>
        <v>3026015.9498366113</v>
      </c>
      <c r="J7" s="215">
        <f ca="1">IF(((VLOOKUP(F7,'Anticipated Entry Bookings'!$A:$C,MATCH('Entry Anticipated Rev. Recovery'!$C$2,'Anticipated Entry Bookings'!$A$1:$C$1,0),FALSE)-VLOOKUP(F7,'Anticipated Entry Bookings'!$A:$C,2,FALSE))*VLOOKUP($F7, 'Entry Capacity Split'!$A$11:$H$38, 4, 0)/100)&lt;0,0,(VLOOKUP(F7,'Anticipated Entry Bookings'!$A:$C,MATCH('Entry Anticipated Rev. Recovery'!$C$2,'Anticipated Entry Bookings'!$A$1:$C$1,0),FALSE)-VLOOKUP(F7,'Anticipated Entry Bookings'!$A:$C,2,FALSE))*VLOOKUP($F7, 'Entry Capacity Split'!$A$11:$H$38, 4, 0)/100)</f>
        <v>0</v>
      </c>
      <c r="K7" s="216" t="str">
        <f>IF(VLOOKUP(F7,'Entry Prices'!$A:$R,14,FALSE)&gt;0,VLOOKUP(F7,'Entry Prices'!$A:$R,14,FALSE),0)</f>
        <v>N/A</v>
      </c>
      <c r="L7" s="217" t="s">
        <v>428</v>
      </c>
      <c r="M7" s="52">
        <f ca="1">IF(((VLOOKUP(F7,'Anticipated Entry Bookings'!$A:$C,MATCH('Entry Anticipated Rev. Recovery'!$C$2,'Anticipated Entry Bookings'!$A$1:$C$1,0),FALSE)-VLOOKUP(F7,'Anticipated Entry Bookings'!$A:$C,2,FALSE))*VLOOKUP($F7, 'Entry Capacity Split'!$A$11:$H$38, 5, 0)/100)&lt;0,0,(VLOOKUP(F7,'Anticipated Entry Bookings'!$A:$C,MATCH('Entry Anticipated Rev. Recovery'!$C$2,'Anticipated Entry Bookings'!$A$1:$C$1,0),FALSE)-VLOOKUP(F7,'Anticipated Entry Bookings'!$A:$C,2,FALSE))*VLOOKUP($F7, 'Entry Capacity Split'!$A$11:$H$38, 5, 0)/100)</f>
        <v>1471591.8493879579</v>
      </c>
      <c r="N7" s="152">
        <f ca="1">IF(VLOOKUP(F7,'Entry Prices'!$A:$R,15,FALSE)&gt;0,VLOOKUP(F7,'Entry Prices'!$A:$R,15,FALSE),0)</f>
        <v>7.1741633877925148E-2</v>
      </c>
      <c r="O7" s="153">
        <f ca="1">M7*N7*'User Inputs'!$D$7/100</f>
        <v>385346.57341933326</v>
      </c>
      <c r="P7" s="52">
        <f ca="1">IF(((VLOOKUP(F7,'Anticipated Entry Bookings'!$A:$C,MATCH('Entry Anticipated Rev. Recovery'!$C$2,'Anticipated Entry Bookings'!$A$1:$C$1,0),FALSE)-VLOOKUP(F7,'Anticipated Entry Bookings'!$A:$C,2,FALSE))*VLOOKUP($F7, 'Entry Capacity Split'!$A$11:$H$38, 6, 0)/100)&lt;0,0,(VLOOKUP(F7,'Anticipated Entry Bookings'!$A:$C,MATCH('Entry Anticipated Rev. Recovery'!$C$2,'Anticipated Entry Bookings'!$A$1:$C$1,0),FALSE)-VLOOKUP(F7,'Anticipated Entry Bookings'!$A:$C,2,FALSE))*VLOOKUP($F7, 'Entry Capacity Split'!$A$11:$H$38, 6, 0)/100)</f>
        <v>294.46299304417647</v>
      </c>
      <c r="Q7" s="152">
        <f ca="1">IF(VLOOKUP(F7,'Entry Prices'!$A:$R,16,FALSE)&gt;0,VLOOKUP(F7,'Entry Prices'!$A:$R,16,FALSE),0)</f>
        <v>7.1741633877925148E-2</v>
      </c>
      <c r="R7" s="153">
        <f ca="1">P7*Q7*'User Inputs'!$D$7/100</f>
        <v>77.107185267142654</v>
      </c>
      <c r="S7" s="52">
        <f ca="1">IF(((VLOOKUP(F7,'Anticipated Entry Bookings'!$A:$C,MATCH('Entry Anticipated Rev. Recovery'!$C$2,'Anticipated Entry Bookings'!$A$1:$C$1,0),FALSE)-VLOOKUP(F7,'Anticipated Entry Bookings'!$A:$C,2,FALSE))*VLOOKUP($F7, 'Entry Capacity Split'!$A$11:$H$38, 7, 0)/100)&lt;0,0,(VLOOKUP(F7,'Anticipated Entry Bookings'!$A:$C,MATCH('Entry Anticipated Rev. Recovery'!$C$2,'Anticipated Entry Bookings'!$A$1:$C$1,0),FALSE)-VLOOKUP(F7,'Anticipated Entry Bookings'!$A:$C,2,FALSE))*VLOOKUP($F7, 'Entry Capacity Split'!$A$11:$H$38, 7, 0)/100)</f>
        <v>19965621.897114728</v>
      </c>
      <c r="T7" s="152">
        <f ca="1">IF(VLOOKUP(F7,'Entry Prices'!$A:$R,17,FALSE)&gt;0,VLOOKUP(F7,'Entry Prices'!$A:$R,17,FALSE),0)</f>
        <v>7.1741633877925148E-2</v>
      </c>
      <c r="U7" s="153">
        <f ca="1">S7*T7*'User Inputs'!$D$7/100</f>
        <v>5228137.1274507986</v>
      </c>
      <c r="V7" s="52">
        <f ca="1">IF(((VLOOKUP(F7,'Anticipated Entry Bookings'!$A:$C,MATCH('Entry Anticipated Rev. Recovery'!$C$2,'Anticipated Entry Bookings'!$A$1:$C$1,0),FALSE)-VLOOKUP(F7,'Anticipated Entry Bookings'!$A:$C,2,FALSE))*VLOOKUP($F7, 'Entry Capacity Split'!$A$11:$H$38, 8, 0)/100)&lt;0,0,(VLOOKUP(F7,'Anticipated Entry Bookings'!$A:$C,MATCH('Entry Anticipated Rev. Recovery'!$C$2,'Anticipated Entry Bookings'!$A$1:$C$1,0),FALSE)-VLOOKUP(F7,'Anticipated Entry Bookings'!$A:$C,2,FALSE))*VLOOKUP($F7, 'Entry Capacity Split'!$A$11:$H$38, 8, 0)/100)</f>
        <v>13946028.623220734</v>
      </c>
      <c r="W7" s="152">
        <f ca="1">IF(VLOOKUP(F7,'Entry Prices'!$A:$R,18,FALSE)&gt;0,VLOOKUP(F7,'Entry Prices'!$A:$R,18,FALSE),0)</f>
        <v>6.4567470490132631E-2</v>
      </c>
      <c r="X7" s="153">
        <f ca="1">V7*W7*'User Inputs'!$D$7/100</f>
        <v>3286678.2392828767</v>
      </c>
      <c r="Y7" s="53">
        <f t="shared" ca="1" si="0"/>
        <v>11926254.997174887</v>
      </c>
    </row>
    <row r="8" spans="1:27">
      <c r="A8" s="471" t="s">
        <v>340</v>
      </c>
      <c r="B8" s="471"/>
      <c r="C8" s="218">
        <f ca="1">SUM(Y:Y)+('Revenue Input'!F3)</f>
        <v>504926658.15282029</v>
      </c>
      <c r="D8" s="42"/>
      <c r="E8" s="350" t="s">
        <v>474</v>
      </c>
      <c r="F8" s="347" t="s">
        <v>6</v>
      </c>
      <c r="G8" s="52">
        <f ca="1">IF(((VLOOKUP(F8,'Anticipated Entry Bookings'!$A:$C,MATCH('Entry Anticipated Rev. Recovery'!$C$2,'Anticipated Entry Bookings'!$A$1:$C$1,0),FALSE)-VLOOKUP(F8,'Anticipated Entry Bookings'!$A:$C,2,FALSE))*VLOOKUP($F8, 'Entry Capacity Split'!$A$11:$H$38, 3, 0)/100)&lt;0,0,(VLOOKUP(F8,'Anticipated Entry Bookings'!$A:$C,MATCH('Entry Anticipated Rev. Recovery'!$C$2,'Anticipated Entry Bookings'!$A$1:$C$1,0),FALSE)-VLOOKUP(F8,'Anticipated Entry Bookings'!$A:$C,2,FALSE))*VLOOKUP($F8, 'Entry Capacity Split'!$A$11:$H$38, 3, 0)/100)</f>
        <v>0</v>
      </c>
      <c r="H8" s="152">
        <f ca="1">IF(VLOOKUP(F8,'Entry Prices'!$A:$R,13,FALSE)&gt;0,VLOOKUP(F8,'Entry Prices'!$A:$R,13,FALSE),0)</f>
        <v>3.5870816938962574E-2</v>
      </c>
      <c r="I8" s="153">
        <f ca="1">G8*H8*'User Inputs'!$D$7/100</f>
        <v>0</v>
      </c>
      <c r="J8" s="215">
        <f ca="1">IF(((VLOOKUP(F8,'Anticipated Entry Bookings'!$A:$C,MATCH('Entry Anticipated Rev. Recovery'!$C$2,'Anticipated Entry Bookings'!$A$1:$C$1,0),FALSE)-VLOOKUP(F8,'Anticipated Entry Bookings'!$A:$C,2,FALSE))*VLOOKUP($F8, 'Entry Capacity Split'!$A$11:$H$38, 4, 0)/100)&lt;0,0,(VLOOKUP(F8,'Anticipated Entry Bookings'!$A:$C,MATCH('Entry Anticipated Rev. Recovery'!$C$2,'Anticipated Entry Bookings'!$A$1:$C$1,0),FALSE)-VLOOKUP(F8,'Anticipated Entry Bookings'!$A:$C,2,FALSE))*VLOOKUP($F8, 'Entry Capacity Split'!$A$11:$H$38, 4, 0)/100)</f>
        <v>0</v>
      </c>
      <c r="K8" s="216" t="str">
        <f>IF(VLOOKUP(F8,'Entry Prices'!$A:$R,14,FALSE)&gt;0,VLOOKUP(F8,'Entry Prices'!$A:$R,14,FALSE),0)</f>
        <v>N/A</v>
      </c>
      <c r="L8" s="217" t="s">
        <v>428</v>
      </c>
      <c r="M8" s="52">
        <f ca="1">IF(((VLOOKUP(F8,'Anticipated Entry Bookings'!$A:$C,MATCH('Entry Anticipated Rev. Recovery'!$C$2,'Anticipated Entry Bookings'!$A$1:$C$1,0),FALSE)-VLOOKUP(F8,'Anticipated Entry Bookings'!$A:$C,2,FALSE))*VLOOKUP($F8, 'Entry Capacity Split'!$A$11:$H$38, 5, 0)/100)&lt;0,0,(VLOOKUP(F8,'Anticipated Entry Bookings'!$A:$C,MATCH('Entry Anticipated Rev. Recovery'!$C$2,'Anticipated Entry Bookings'!$A$1:$C$1,0),FALSE)-VLOOKUP(F8,'Anticipated Entry Bookings'!$A:$C,2,FALSE))*VLOOKUP($F8, 'Entry Capacity Split'!$A$11:$H$38, 5, 0)/100)</f>
        <v>0</v>
      </c>
      <c r="N8" s="152">
        <f ca="1">IF(VLOOKUP(F8,'Entry Prices'!$A:$R,15,FALSE)&gt;0,VLOOKUP(F8,'Entry Prices'!$A:$R,15,FALSE),0)</f>
        <v>3.5870816938962574E-2</v>
      </c>
      <c r="O8" s="153">
        <f ca="1">M8*N8*'User Inputs'!$D$7/100</f>
        <v>0</v>
      </c>
      <c r="P8" s="52">
        <f ca="1">IF(((VLOOKUP(F8,'Anticipated Entry Bookings'!$A:$C,MATCH('Entry Anticipated Rev. Recovery'!$C$2,'Anticipated Entry Bookings'!$A$1:$C$1,0),FALSE)-VLOOKUP(F8,'Anticipated Entry Bookings'!$A:$C,2,FALSE))*VLOOKUP($F8, 'Entry Capacity Split'!$A$11:$H$38, 6, 0)/100)&lt;0,0,(VLOOKUP(F8,'Anticipated Entry Bookings'!$A:$C,MATCH('Entry Anticipated Rev. Recovery'!$C$2,'Anticipated Entry Bookings'!$A$1:$C$1,0),FALSE)-VLOOKUP(F8,'Anticipated Entry Bookings'!$A:$C,2,FALSE))*VLOOKUP($F8, 'Entry Capacity Split'!$A$11:$H$38, 6, 0)/100)</f>
        <v>0</v>
      </c>
      <c r="Q8" s="152">
        <f ca="1">IF(VLOOKUP(F8,'Entry Prices'!$A:$R,16,FALSE)&gt;0,VLOOKUP(F8,'Entry Prices'!$A:$R,16,FALSE),0)</f>
        <v>3.5870816938962574E-2</v>
      </c>
      <c r="R8" s="153">
        <f ca="1">P8*Q8*'User Inputs'!$D$7/100</f>
        <v>0</v>
      </c>
      <c r="S8" s="52">
        <f ca="1">IF(((VLOOKUP(F8,'Anticipated Entry Bookings'!$A:$C,MATCH('Entry Anticipated Rev. Recovery'!$C$2,'Anticipated Entry Bookings'!$A$1:$C$1,0),FALSE)-VLOOKUP(F8,'Anticipated Entry Bookings'!$A:$C,2,FALSE))*VLOOKUP($F8, 'Entry Capacity Split'!$A$11:$H$38, 7, 0)/100)&lt;0,0,(VLOOKUP(F8,'Anticipated Entry Bookings'!$A:$C,MATCH('Entry Anticipated Rev. Recovery'!$C$2,'Anticipated Entry Bookings'!$A$1:$C$1,0),FALSE)-VLOOKUP(F8,'Anticipated Entry Bookings'!$A:$C,2,FALSE))*VLOOKUP($F8, 'Entry Capacity Split'!$A$11:$H$38, 7, 0)/100)</f>
        <v>0</v>
      </c>
      <c r="T8" s="152">
        <f ca="1">IF(VLOOKUP(F8,'Entry Prices'!$A:$R,17,FALSE)&gt;0,VLOOKUP(F8,'Entry Prices'!$A:$R,17,FALSE),0)</f>
        <v>3.5870816938962574E-2</v>
      </c>
      <c r="U8" s="153">
        <f ca="1">S8*T8*'User Inputs'!$D$7/100</f>
        <v>0</v>
      </c>
      <c r="V8" s="52">
        <f ca="1">IF(((VLOOKUP(F8,'Anticipated Entry Bookings'!$A:$C,MATCH('Entry Anticipated Rev. Recovery'!$C$2,'Anticipated Entry Bookings'!$A$1:$C$1,0),FALSE)-VLOOKUP(F8,'Anticipated Entry Bookings'!$A:$C,2,FALSE))*VLOOKUP($F8, 'Entry Capacity Split'!$A$11:$H$38, 8, 0)/100)&lt;0,0,(VLOOKUP(F8,'Anticipated Entry Bookings'!$A:$C,MATCH('Entry Anticipated Rev. Recovery'!$C$2,'Anticipated Entry Bookings'!$A$1:$C$1,0),FALSE)-VLOOKUP(F8,'Anticipated Entry Bookings'!$A:$C,2,FALSE))*VLOOKUP($F8, 'Entry Capacity Split'!$A$11:$H$38, 8, 0)/100)</f>
        <v>0</v>
      </c>
      <c r="W8" s="152">
        <f ca="1">IF(VLOOKUP(F8,'Entry Prices'!$A:$R,18,FALSE)&gt;0,VLOOKUP(F8,'Entry Prices'!$A:$R,18,FALSE),0)</f>
        <v>3.2283735245066315E-2</v>
      </c>
      <c r="X8" s="153">
        <f ca="1">V8*W8*'User Inputs'!$D$7/100</f>
        <v>0</v>
      </c>
      <c r="Y8" s="53">
        <f t="shared" ca="1" si="0"/>
        <v>0</v>
      </c>
      <c r="AA8" s="164"/>
    </row>
    <row r="9" spans="1:27">
      <c r="A9" s="471" t="s">
        <v>352</v>
      </c>
      <c r="B9" s="471"/>
      <c r="C9" s="219">
        <f>('User Inputs'!C13/100)* 'Revenue Input'!B3+'User Inputs'!C16</f>
        <v>504926658.15282059</v>
      </c>
      <c r="D9" s="42"/>
      <c r="E9" s="350" t="s">
        <v>474</v>
      </c>
      <c r="F9" s="347" t="s">
        <v>7</v>
      </c>
      <c r="G9" s="52">
        <f ca="1">IF(((VLOOKUP(F9,'Anticipated Entry Bookings'!$A:$C,MATCH('Entry Anticipated Rev. Recovery'!$C$2,'Anticipated Entry Bookings'!$A$1:$C$1,0),FALSE)-VLOOKUP(F9,'Anticipated Entry Bookings'!$A:$C,2,FALSE))*VLOOKUP($F9, 'Entry Capacity Split'!$A$11:$H$38, 3, 0)/100)&lt;0,0,(VLOOKUP(F9,'Anticipated Entry Bookings'!$A:$C,MATCH('Entry Anticipated Rev. Recovery'!$C$2,'Anticipated Entry Bookings'!$A$1:$C$1,0),FALSE)-VLOOKUP(F9,'Anticipated Entry Bookings'!$A:$C,2,FALSE))*VLOOKUP($F9, 'Entry Capacity Split'!$A$11:$H$38, 3, 0)/100)</f>
        <v>0</v>
      </c>
      <c r="H9" s="152">
        <f ca="1">IF(VLOOKUP(F9,'Entry Prices'!$A:$R,13,FALSE)&gt;0,VLOOKUP(F9,'Entry Prices'!$A:$R,13,FALSE),0)</f>
        <v>7.1741633877925148E-2</v>
      </c>
      <c r="I9" s="153">
        <f ca="1">G9*H9*'User Inputs'!$D$7/100</f>
        <v>0</v>
      </c>
      <c r="J9" s="215">
        <f ca="1">IF(((VLOOKUP(F9,'Anticipated Entry Bookings'!$A:$C,MATCH('Entry Anticipated Rev. Recovery'!$C$2,'Anticipated Entry Bookings'!$A$1:$C$1,0),FALSE)-VLOOKUP(F9,'Anticipated Entry Bookings'!$A:$C,2,FALSE))*VLOOKUP($F9, 'Entry Capacity Split'!$A$11:$H$38, 4, 0)/100)&lt;0,0,(VLOOKUP(F9,'Anticipated Entry Bookings'!$A:$C,MATCH('Entry Anticipated Rev. Recovery'!$C$2,'Anticipated Entry Bookings'!$A$1:$C$1,0),FALSE)-VLOOKUP(F9,'Anticipated Entry Bookings'!$A:$C,2,FALSE))*VLOOKUP($F9, 'Entry Capacity Split'!$A$11:$H$38, 4, 0)/100)</f>
        <v>0</v>
      </c>
      <c r="K9" s="216" t="str">
        <f>IF(VLOOKUP(F9,'Entry Prices'!$A:$R,14,FALSE)&gt;0,VLOOKUP(F9,'Entry Prices'!$A:$R,14,FALSE),0)</f>
        <v>N/A</v>
      </c>
      <c r="L9" s="217" t="s">
        <v>428</v>
      </c>
      <c r="M9" s="52">
        <f ca="1">IF(((VLOOKUP(F9,'Anticipated Entry Bookings'!$A:$C,MATCH('Entry Anticipated Rev. Recovery'!$C$2,'Anticipated Entry Bookings'!$A$1:$C$1,0),FALSE)-VLOOKUP(F9,'Anticipated Entry Bookings'!$A:$C,2,FALSE))*VLOOKUP($F9, 'Entry Capacity Split'!$A$11:$H$38, 5, 0)/100)&lt;0,0,(VLOOKUP(F9,'Anticipated Entry Bookings'!$A:$C,MATCH('Entry Anticipated Rev. Recovery'!$C$2,'Anticipated Entry Bookings'!$A$1:$C$1,0),FALSE)-VLOOKUP(F9,'Anticipated Entry Bookings'!$A:$C,2,FALSE))*VLOOKUP($F9, 'Entry Capacity Split'!$A$11:$H$38, 5, 0)/100)</f>
        <v>0</v>
      </c>
      <c r="N9" s="152">
        <f ca="1">IF(VLOOKUP(F9,'Entry Prices'!$A:$R,15,FALSE)&gt;0,VLOOKUP(F9,'Entry Prices'!$A:$R,15,FALSE),0)</f>
        <v>7.1741633877925148E-2</v>
      </c>
      <c r="O9" s="153">
        <f ca="1">M9*N9*'User Inputs'!$D$7/100</f>
        <v>0</v>
      </c>
      <c r="P9" s="52">
        <f ca="1">IF(((VLOOKUP(F9,'Anticipated Entry Bookings'!$A:$C,MATCH('Entry Anticipated Rev. Recovery'!$C$2,'Anticipated Entry Bookings'!$A$1:$C$1,0),FALSE)-VLOOKUP(F9,'Anticipated Entry Bookings'!$A:$C,2,FALSE))*VLOOKUP($F9, 'Entry Capacity Split'!$A$11:$H$38, 6, 0)/100)&lt;0,0,(VLOOKUP(F9,'Anticipated Entry Bookings'!$A:$C,MATCH('Entry Anticipated Rev. Recovery'!$C$2,'Anticipated Entry Bookings'!$A$1:$C$1,0),FALSE)-VLOOKUP(F9,'Anticipated Entry Bookings'!$A:$C,2,FALSE))*VLOOKUP($F9, 'Entry Capacity Split'!$A$11:$H$38, 6, 0)/100)</f>
        <v>0</v>
      </c>
      <c r="Q9" s="152">
        <f ca="1">IF(VLOOKUP(F9,'Entry Prices'!$A:$R,16,FALSE)&gt;0,VLOOKUP(F9,'Entry Prices'!$A:$R,16,FALSE),0)</f>
        <v>7.1741633877925148E-2</v>
      </c>
      <c r="R9" s="153">
        <f ca="1">P9*Q9*'User Inputs'!$D$7/100</f>
        <v>0</v>
      </c>
      <c r="S9" s="52">
        <f ca="1">IF(((VLOOKUP(F9,'Anticipated Entry Bookings'!$A:$C,MATCH('Entry Anticipated Rev. Recovery'!$C$2,'Anticipated Entry Bookings'!$A$1:$C$1,0),FALSE)-VLOOKUP(F9,'Anticipated Entry Bookings'!$A:$C,2,FALSE))*VLOOKUP($F9, 'Entry Capacity Split'!$A$11:$H$38, 7, 0)/100)&lt;0,0,(VLOOKUP(F9,'Anticipated Entry Bookings'!$A:$C,MATCH('Entry Anticipated Rev. Recovery'!$C$2,'Anticipated Entry Bookings'!$A$1:$C$1,0),FALSE)-VLOOKUP(F9,'Anticipated Entry Bookings'!$A:$C,2,FALSE))*VLOOKUP($F9, 'Entry Capacity Split'!$A$11:$H$38, 7, 0)/100)</f>
        <v>0</v>
      </c>
      <c r="T9" s="152">
        <f ca="1">IF(VLOOKUP(F9,'Entry Prices'!$A:$R,17,FALSE)&gt;0,VLOOKUP(F9,'Entry Prices'!$A:$R,17,FALSE),0)</f>
        <v>7.1741633877925148E-2</v>
      </c>
      <c r="U9" s="153">
        <f ca="1">S9*T9*'User Inputs'!$D$7/100</f>
        <v>0</v>
      </c>
      <c r="V9" s="52">
        <f ca="1">IF(((VLOOKUP(F9,'Anticipated Entry Bookings'!$A:$C,MATCH('Entry Anticipated Rev. Recovery'!$C$2,'Anticipated Entry Bookings'!$A$1:$C$1,0),FALSE)-VLOOKUP(F9,'Anticipated Entry Bookings'!$A:$C,2,FALSE))*VLOOKUP($F9, 'Entry Capacity Split'!$A$11:$H$38, 8, 0)/100)&lt;0,0,(VLOOKUP(F9,'Anticipated Entry Bookings'!$A:$C,MATCH('Entry Anticipated Rev. Recovery'!$C$2,'Anticipated Entry Bookings'!$A$1:$C$1,0),FALSE)-VLOOKUP(F9,'Anticipated Entry Bookings'!$A:$C,2,FALSE))*VLOOKUP($F9, 'Entry Capacity Split'!$A$11:$H$38, 8, 0)/100)</f>
        <v>0</v>
      </c>
      <c r="W9" s="152">
        <f ca="1">IF(VLOOKUP(F9,'Entry Prices'!$A:$R,18,FALSE)&gt;0,VLOOKUP(F9,'Entry Prices'!$A:$R,18,FALSE),0)</f>
        <v>6.4567470490132631E-2</v>
      </c>
      <c r="X9" s="153">
        <f ca="1">V9*W9*'User Inputs'!$D$7/100</f>
        <v>0</v>
      </c>
      <c r="Y9" s="53">
        <f t="shared" ca="1" si="0"/>
        <v>0</v>
      </c>
    </row>
    <row r="10" spans="1:27">
      <c r="A10" s="471" t="s">
        <v>339</v>
      </c>
      <c r="B10" s="471"/>
      <c r="C10" s="220">
        <f ca="1">C8-C9</f>
        <v>0</v>
      </c>
      <c r="D10" s="253"/>
      <c r="E10" s="350" t="s">
        <v>474</v>
      </c>
      <c r="F10" s="347" t="s">
        <v>8</v>
      </c>
      <c r="G10" s="52">
        <f ca="1">IF(((VLOOKUP(F10,'Anticipated Entry Bookings'!$A:$C,MATCH('Entry Anticipated Rev. Recovery'!$C$2,'Anticipated Entry Bookings'!$A$1:$C$1,0),FALSE)-VLOOKUP(F10,'Anticipated Entry Bookings'!$A:$C,2,FALSE))*VLOOKUP($F10, 'Entry Capacity Split'!$A$11:$H$38, 3, 0)/100)&lt;0,0,(VLOOKUP(F10,'Anticipated Entry Bookings'!$A:$C,MATCH('Entry Anticipated Rev. Recovery'!$C$2,'Anticipated Entry Bookings'!$A$1:$C$1,0),FALSE)-VLOOKUP(F10,'Anticipated Entry Bookings'!$A:$C,2,FALSE))*VLOOKUP($F10, 'Entry Capacity Split'!$A$11:$H$38, 3, 0)/100)</f>
        <v>21503169.844395451</v>
      </c>
      <c r="H10" s="152">
        <f ca="1">IF(VLOOKUP(F10,'Entry Prices'!$A:$R,13,FALSE)&gt;0,VLOOKUP(F10,'Entry Prices'!$A:$R,13,FALSE),0)</f>
        <v>3.5870816938962574E-2</v>
      </c>
      <c r="I10" s="153">
        <f ca="1">G10*H10*'User Inputs'!$D$7/100</f>
        <v>2815377.3821994131</v>
      </c>
      <c r="J10" s="215">
        <f ca="1">IF(((VLOOKUP(F10,'Anticipated Entry Bookings'!$A:$C,MATCH('Entry Anticipated Rev. Recovery'!$C$2,'Anticipated Entry Bookings'!$A$1:$C$1,0),FALSE)-VLOOKUP(F10,'Anticipated Entry Bookings'!$A:$C,2,FALSE))*VLOOKUP($F10, 'Entry Capacity Split'!$A$11:$H$38, 4, 0)/100)&lt;0,0,(VLOOKUP(F10,'Anticipated Entry Bookings'!$A:$C,MATCH('Entry Anticipated Rev. Recovery'!$C$2,'Anticipated Entry Bookings'!$A$1:$C$1,0),FALSE)-VLOOKUP(F10,'Anticipated Entry Bookings'!$A:$C,2,FALSE))*VLOOKUP($F10, 'Entry Capacity Split'!$A$11:$H$38, 4, 0)/100)</f>
        <v>0</v>
      </c>
      <c r="K10" s="216" t="str">
        <f>IF(VLOOKUP(F10,'Entry Prices'!$A:$R,14,FALSE)&gt;0,VLOOKUP(F10,'Entry Prices'!$A:$R,14,FALSE),0)</f>
        <v>N/A</v>
      </c>
      <c r="L10" s="217" t="s">
        <v>428</v>
      </c>
      <c r="M10" s="52">
        <f ca="1">IF(((VLOOKUP(F10,'Anticipated Entry Bookings'!$A:$C,MATCH('Entry Anticipated Rev. Recovery'!$C$2,'Anticipated Entry Bookings'!$A$1:$C$1,0),FALSE)-VLOOKUP(F10,'Anticipated Entry Bookings'!$A:$C,2,FALSE))*VLOOKUP($F10, 'Entry Capacity Split'!$A$11:$H$38, 5, 0)/100)&lt;0,0,(VLOOKUP(F10,'Anticipated Entry Bookings'!$A:$C,MATCH('Entry Anticipated Rev. Recovery'!$C$2,'Anticipated Entry Bookings'!$A$1:$C$1,0),FALSE)-VLOOKUP(F10,'Anticipated Entry Bookings'!$A:$C,2,FALSE))*VLOOKUP($F10, 'Entry Capacity Split'!$A$11:$H$38, 5, 0)/100)</f>
        <v>0</v>
      </c>
      <c r="N10" s="152">
        <f ca="1">IF(VLOOKUP(F10,'Entry Prices'!$A:$R,15,FALSE)&gt;0,VLOOKUP(F10,'Entry Prices'!$A:$R,15,FALSE),0)</f>
        <v>3.5870816938962574E-2</v>
      </c>
      <c r="O10" s="153">
        <f ca="1">M10*N10*'User Inputs'!$D$7/100</f>
        <v>0</v>
      </c>
      <c r="P10" s="52">
        <f ca="1">IF(((VLOOKUP(F10,'Anticipated Entry Bookings'!$A:$C,MATCH('Entry Anticipated Rev. Recovery'!$C$2,'Anticipated Entry Bookings'!$A$1:$C$1,0),FALSE)-VLOOKUP(F10,'Anticipated Entry Bookings'!$A:$C,2,FALSE))*VLOOKUP($F10, 'Entry Capacity Split'!$A$11:$H$38, 6, 0)/100)&lt;0,0,(VLOOKUP(F10,'Anticipated Entry Bookings'!$A:$C,MATCH('Entry Anticipated Rev. Recovery'!$C$2,'Anticipated Entry Bookings'!$A$1:$C$1,0),FALSE)-VLOOKUP(F10,'Anticipated Entry Bookings'!$A:$C,2,FALSE))*VLOOKUP($F10, 'Entry Capacity Split'!$A$11:$H$38, 6, 0)/100)</f>
        <v>54.100697155253322</v>
      </c>
      <c r="Q10" s="152">
        <f ca="1">IF(VLOOKUP(F10,'Entry Prices'!$A:$R,16,FALSE)&gt;0,VLOOKUP(F10,'Entry Prices'!$A:$R,16,FALSE),0)</f>
        <v>3.5870816938962574E-2</v>
      </c>
      <c r="R10" s="153">
        <f ca="1">P10*Q10*'User Inputs'!$D$7/100</f>
        <v>7.0833221443311594</v>
      </c>
      <c r="S10" s="52">
        <f ca="1">IF(((VLOOKUP(F10,'Anticipated Entry Bookings'!$A:$C,MATCH('Entry Anticipated Rev. Recovery'!$C$2,'Anticipated Entry Bookings'!$A$1:$C$1,0),FALSE)-VLOOKUP(F10,'Anticipated Entry Bookings'!$A:$C,2,FALSE))*VLOOKUP($F10, 'Entry Capacity Split'!$A$11:$H$38, 7, 0)/100)&lt;0,0,(VLOOKUP(F10,'Anticipated Entry Bookings'!$A:$C,MATCH('Entry Anticipated Rev. Recovery'!$C$2,'Anticipated Entry Bookings'!$A$1:$C$1,0),FALSE)-VLOOKUP(F10,'Anticipated Entry Bookings'!$A:$C,2,FALSE))*VLOOKUP($F10, 'Entry Capacity Split'!$A$11:$H$38, 7, 0)/100)</f>
        <v>1791635.6953968946</v>
      </c>
      <c r="T10" s="152">
        <f ca="1">IF(VLOOKUP(F10,'Entry Prices'!$A:$R,17,FALSE)&gt;0,VLOOKUP(F10,'Entry Prices'!$A:$R,17,FALSE),0)</f>
        <v>3.5870816938962574E-2</v>
      </c>
      <c r="U10" s="153">
        <f ca="1">S10*T10*'User Inputs'!$D$7/100</f>
        <v>234576.14158575915</v>
      </c>
      <c r="V10" s="52">
        <f ca="1">IF(((VLOOKUP(F10,'Anticipated Entry Bookings'!$A:$C,MATCH('Entry Anticipated Rev. Recovery'!$C$2,'Anticipated Entry Bookings'!$A$1:$C$1,0),FALSE)-VLOOKUP(F10,'Anticipated Entry Bookings'!$A:$C,2,FALSE))*VLOOKUP($F10, 'Entry Capacity Split'!$A$11:$H$38, 8, 0)/100)&lt;0,0,(VLOOKUP(F10,'Anticipated Entry Bookings'!$A:$C,MATCH('Entry Anticipated Rev. Recovery'!$C$2,'Anticipated Entry Bookings'!$A$1:$C$1,0),FALSE)-VLOOKUP(F10,'Anticipated Entry Bookings'!$A:$C,2,FALSE))*VLOOKUP($F10, 'Entry Capacity Split'!$A$11:$H$38, 8, 0)/100)</f>
        <v>3840140.3595104991</v>
      </c>
      <c r="W10" s="152">
        <f ca="1">IF(VLOOKUP(F10,'Entry Prices'!$A:$R,18,FALSE)&gt;0,VLOOKUP(F10,'Entry Prices'!$A:$R,18,FALSE),0)</f>
        <v>3.2283735245066315E-2</v>
      </c>
      <c r="X10" s="153">
        <f ca="1">V10*W10*'User Inputs'!$D$7/100</f>
        <v>452505.37254670716</v>
      </c>
      <c r="Y10" s="53">
        <f t="shared" ca="1" si="0"/>
        <v>3502465.9796540239</v>
      </c>
    </row>
    <row r="11" spans="1:27">
      <c r="A11" s="471" t="s">
        <v>341</v>
      </c>
      <c r="B11" s="471"/>
      <c r="C11" s="220">
        <f ca="1">C10/1000000</f>
        <v>0</v>
      </c>
      <c r="D11" s="254"/>
      <c r="E11" s="350" t="s">
        <v>474</v>
      </c>
      <c r="F11" s="347" t="s">
        <v>9</v>
      </c>
      <c r="G11" s="52">
        <f ca="1">IF(((VLOOKUP(F11,'Anticipated Entry Bookings'!$A:$C,MATCH('Entry Anticipated Rev. Recovery'!$C$2,'Anticipated Entry Bookings'!$A$1:$C$1,0),FALSE)-VLOOKUP(F11,'Anticipated Entry Bookings'!$A:$C,2,FALSE))*VLOOKUP($F11, 'Entry Capacity Split'!$A$11:$H$38, 3, 0)/100)&lt;0,0,(VLOOKUP(F11,'Anticipated Entry Bookings'!$A:$C,MATCH('Entry Anticipated Rev. Recovery'!$C$2,'Anticipated Entry Bookings'!$A$1:$C$1,0),FALSE)-VLOOKUP(F11,'Anticipated Entry Bookings'!$A:$C,2,FALSE))*VLOOKUP($F11, 'Entry Capacity Split'!$A$11:$H$38, 3, 0)/100)</f>
        <v>0</v>
      </c>
      <c r="H11" s="152">
        <f ca="1">IF(VLOOKUP(F11,'Entry Prices'!$A:$R,13,FALSE)&gt;0,VLOOKUP(F11,'Entry Prices'!$A:$R,13,FALSE),0)</f>
        <v>3.5870816938962574E-2</v>
      </c>
      <c r="I11" s="153">
        <f ca="1">G11*H11*'User Inputs'!$D$7/100</f>
        <v>0</v>
      </c>
      <c r="J11" s="215">
        <f ca="1">IF(((VLOOKUP(F11,'Anticipated Entry Bookings'!$A:$C,MATCH('Entry Anticipated Rev. Recovery'!$C$2,'Anticipated Entry Bookings'!$A$1:$C$1,0),FALSE)-VLOOKUP(F11,'Anticipated Entry Bookings'!$A:$C,2,FALSE))*VLOOKUP($F11, 'Entry Capacity Split'!$A$11:$H$38, 4, 0)/100)&lt;0,0,(VLOOKUP(F11,'Anticipated Entry Bookings'!$A:$C,MATCH('Entry Anticipated Rev. Recovery'!$C$2,'Anticipated Entry Bookings'!$A$1:$C$1,0),FALSE)-VLOOKUP(F11,'Anticipated Entry Bookings'!$A:$C,2,FALSE))*VLOOKUP($F11, 'Entry Capacity Split'!$A$11:$H$38, 4, 0)/100)</f>
        <v>0</v>
      </c>
      <c r="K11" s="216" t="str">
        <f>IF(VLOOKUP(F11,'Entry Prices'!$A:$R,14,FALSE)&gt;0,VLOOKUP(F11,'Entry Prices'!$A:$R,14,FALSE),0)</f>
        <v>N/A</v>
      </c>
      <c r="L11" s="217" t="s">
        <v>428</v>
      </c>
      <c r="M11" s="52">
        <f ca="1">IF(((VLOOKUP(F11,'Anticipated Entry Bookings'!$A:$C,MATCH('Entry Anticipated Rev. Recovery'!$C$2,'Anticipated Entry Bookings'!$A$1:$C$1,0),FALSE)-VLOOKUP(F11,'Anticipated Entry Bookings'!$A:$C,2,FALSE))*VLOOKUP($F11, 'Entry Capacity Split'!$A$11:$H$38, 5, 0)/100)&lt;0,0,(VLOOKUP(F11,'Anticipated Entry Bookings'!$A:$C,MATCH('Entry Anticipated Rev. Recovery'!$C$2,'Anticipated Entry Bookings'!$A$1:$C$1,0),FALSE)-VLOOKUP(F11,'Anticipated Entry Bookings'!$A:$C,2,FALSE))*VLOOKUP($F11, 'Entry Capacity Split'!$A$11:$H$38, 5, 0)/100)</f>
        <v>0</v>
      </c>
      <c r="N11" s="152">
        <f ca="1">IF(VLOOKUP(F11,'Entry Prices'!$A:$R,15,FALSE)&gt;0,VLOOKUP(F11,'Entry Prices'!$A:$R,15,FALSE),0)</f>
        <v>3.5870816938962574E-2</v>
      </c>
      <c r="O11" s="153">
        <f ca="1">M11*N11*'User Inputs'!$D$7/100</f>
        <v>0</v>
      </c>
      <c r="P11" s="52">
        <f ca="1">IF(((VLOOKUP(F11,'Anticipated Entry Bookings'!$A:$C,MATCH('Entry Anticipated Rev. Recovery'!$C$2,'Anticipated Entry Bookings'!$A$1:$C$1,0),FALSE)-VLOOKUP(F11,'Anticipated Entry Bookings'!$A:$C,2,FALSE))*VLOOKUP($F11, 'Entry Capacity Split'!$A$11:$H$38, 6, 0)/100)&lt;0,0,(VLOOKUP(F11,'Anticipated Entry Bookings'!$A:$C,MATCH('Entry Anticipated Rev. Recovery'!$C$2,'Anticipated Entry Bookings'!$A$1:$C$1,0),FALSE)-VLOOKUP(F11,'Anticipated Entry Bookings'!$A:$C,2,FALSE))*VLOOKUP($F11, 'Entry Capacity Split'!$A$11:$H$38, 6, 0)/100)</f>
        <v>0</v>
      </c>
      <c r="Q11" s="152">
        <f ca="1">IF(VLOOKUP(F11,'Entry Prices'!$A:$R,16,FALSE)&gt;0,VLOOKUP(F11,'Entry Prices'!$A:$R,16,FALSE),0)</f>
        <v>3.5870816938962574E-2</v>
      </c>
      <c r="R11" s="153">
        <f ca="1">P11*Q11*'User Inputs'!$D$7/100</f>
        <v>0</v>
      </c>
      <c r="S11" s="52">
        <f ca="1">IF(((VLOOKUP(F11,'Anticipated Entry Bookings'!$A:$C,MATCH('Entry Anticipated Rev. Recovery'!$C$2,'Anticipated Entry Bookings'!$A$1:$C$1,0),FALSE)-VLOOKUP(F11,'Anticipated Entry Bookings'!$A:$C,2,FALSE))*VLOOKUP($F11, 'Entry Capacity Split'!$A$11:$H$38, 7, 0)/100)&lt;0,0,(VLOOKUP(F11,'Anticipated Entry Bookings'!$A:$C,MATCH('Entry Anticipated Rev. Recovery'!$C$2,'Anticipated Entry Bookings'!$A$1:$C$1,0),FALSE)-VLOOKUP(F11,'Anticipated Entry Bookings'!$A:$C,2,FALSE))*VLOOKUP($F11, 'Entry Capacity Split'!$A$11:$H$38, 7, 0)/100)</f>
        <v>0</v>
      </c>
      <c r="T11" s="152">
        <f ca="1">IF(VLOOKUP(F11,'Entry Prices'!$A:$R,17,FALSE)&gt;0,VLOOKUP(F11,'Entry Prices'!$A:$R,17,FALSE),0)</f>
        <v>3.5870816938962574E-2</v>
      </c>
      <c r="U11" s="153">
        <f ca="1">S11*T11*'User Inputs'!$D$7/100</f>
        <v>0</v>
      </c>
      <c r="V11" s="52">
        <f ca="1">IF(((VLOOKUP(F11,'Anticipated Entry Bookings'!$A:$C,MATCH('Entry Anticipated Rev. Recovery'!$C$2,'Anticipated Entry Bookings'!$A$1:$C$1,0),FALSE)-VLOOKUP(F11,'Anticipated Entry Bookings'!$A:$C,2,FALSE))*VLOOKUP($F11, 'Entry Capacity Split'!$A$11:$H$38, 8, 0)/100)&lt;0,0,(VLOOKUP(F11,'Anticipated Entry Bookings'!$A:$C,MATCH('Entry Anticipated Rev. Recovery'!$C$2,'Anticipated Entry Bookings'!$A$1:$C$1,0),FALSE)-VLOOKUP(F11,'Anticipated Entry Bookings'!$A:$C,2,FALSE))*VLOOKUP($F11, 'Entry Capacity Split'!$A$11:$H$38, 8, 0)/100)</f>
        <v>0</v>
      </c>
      <c r="W11" s="152">
        <f ca="1">IF(VLOOKUP(F11,'Entry Prices'!$A:$R,18,FALSE)&gt;0,VLOOKUP(F11,'Entry Prices'!$A:$R,18,FALSE),0)</f>
        <v>3.2283735245066315E-2</v>
      </c>
      <c r="X11" s="153">
        <f ca="1">V11*W11*'User Inputs'!$D$7/100</f>
        <v>0</v>
      </c>
      <c r="Y11" s="53">
        <f t="shared" ca="1" si="0"/>
        <v>0</v>
      </c>
    </row>
    <row r="12" spans="1:27">
      <c r="A12" s="42"/>
      <c r="B12" s="42"/>
      <c r="C12" s="42"/>
      <c r="D12" s="42"/>
      <c r="E12" s="350" t="s">
        <v>474</v>
      </c>
      <c r="F12" s="347" t="s">
        <v>10</v>
      </c>
      <c r="G12" s="52">
        <f ca="1">IF(((VLOOKUP(F12,'Anticipated Entry Bookings'!$A:$C,MATCH('Entry Anticipated Rev. Recovery'!$C$2,'Anticipated Entry Bookings'!$A$1:$C$1,0),FALSE)-VLOOKUP(F12,'Anticipated Entry Bookings'!$A:$C,2,FALSE))*VLOOKUP($F12, 'Entry Capacity Split'!$A$11:$H$38, 3, 0)/100)&lt;0,0,(VLOOKUP(F12,'Anticipated Entry Bookings'!$A:$C,MATCH('Entry Anticipated Rev. Recovery'!$C$2,'Anticipated Entry Bookings'!$A$1:$C$1,0),FALSE)-VLOOKUP(F12,'Anticipated Entry Bookings'!$A:$C,2,FALSE))*VLOOKUP($F12, 'Entry Capacity Split'!$A$11:$H$38, 3, 0)/100)</f>
        <v>0</v>
      </c>
      <c r="H12" s="152">
        <f ca="1">IF(VLOOKUP(F12,'Entry Prices'!$A:$R,13,FALSE)&gt;0,VLOOKUP(F12,'Entry Prices'!$A:$R,13,FALSE),0)</f>
        <v>3.5870816938962574E-2</v>
      </c>
      <c r="I12" s="153">
        <f ca="1">G12*H12*'User Inputs'!$D$7/100</f>
        <v>0</v>
      </c>
      <c r="J12" s="215">
        <f ca="1">IF(((VLOOKUP(F12,'Anticipated Entry Bookings'!$A:$C,MATCH('Entry Anticipated Rev. Recovery'!$C$2,'Anticipated Entry Bookings'!$A$1:$C$1,0),FALSE)-VLOOKUP(F12,'Anticipated Entry Bookings'!$A:$C,2,FALSE))*VLOOKUP($F12, 'Entry Capacity Split'!$A$11:$H$38, 4, 0)/100)&lt;0,0,(VLOOKUP(F12,'Anticipated Entry Bookings'!$A:$C,MATCH('Entry Anticipated Rev. Recovery'!$C$2,'Anticipated Entry Bookings'!$A$1:$C$1,0),FALSE)-VLOOKUP(F12,'Anticipated Entry Bookings'!$A:$C,2,FALSE))*VLOOKUP($F12, 'Entry Capacity Split'!$A$11:$H$38, 4, 0)/100)</f>
        <v>0</v>
      </c>
      <c r="K12" s="216" t="str">
        <f>IF(VLOOKUP(F12,'Entry Prices'!$A:$R,14,FALSE)&gt;0,VLOOKUP(F12,'Entry Prices'!$A:$R,14,FALSE),0)</f>
        <v>N/A</v>
      </c>
      <c r="L12" s="217" t="s">
        <v>428</v>
      </c>
      <c r="M12" s="52">
        <f ca="1">IF(((VLOOKUP(F12,'Anticipated Entry Bookings'!$A:$C,MATCH('Entry Anticipated Rev. Recovery'!$C$2,'Anticipated Entry Bookings'!$A$1:$C$1,0),FALSE)-VLOOKUP(F12,'Anticipated Entry Bookings'!$A:$C,2,FALSE))*VLOOKUP($F12, 'Entry Capacity Split'!$A$11:$H$38, 5, 0)/100)&lt;0,0,(VLOOKUP(F12,'Anticipated Entry Bookings'!$A:$C,MATCH('Entry Anticipated Rev. Recovery'!$C$2,'Anticipated Entry Bookings'!$A$1:$C$1,0),FALSE)-VLOOKUP(F12,'Anticipated Entry Bookings'!$A:$C,2,FALSE))*VLOOKUP($F12, 'Entry Capacity Split'!$A$11:$H$38, 5, 0)/100)</f>
        <v>0</v>
      </c>
      <c r="N12" s="152">
        <f ca="1">IF(VLOOKUP(F12,'Entry Prices'!$A:$R,15,FALSE)&gt;0,VLOOKUP(F12,'Entry Prices'!$A:$R,15,FALSE),0)</f>
        <v>3.5870816938962574E-2</v>
      </c>
      <c r="O12" s="153">
        <f ca="1">M12*N12*'User Inputs'!$D$7/100</f>
        <v>0</v>
      </c>
      <c r="P12" s="52">
        <f ca="1">IF(((VLOOKUP(F12,'Anticipated Entry Bookings'!$A:$C,MATCH('Entry Anticipated Rev. Recovery'!$C$2,'Anticipated Entry Bookings'!$A$1:$C$1,0),FALSE)-VLOOKUP(F12,'Anticipated Entry Bookings'!$A:$C,2,FALSE))*VLOOKUP($F12, 'Entry Capacity Split'!$A$11:$H$38, 6, 0)/100)&lt;0,0,(VLOOKUP(F12,'Anticipated Entry Bookings'!$A:$C,MATCH('Entry Anticipated Rev. Recovery'!$C$2,'Anticipated Entry Bookings'!$A$1:$C$1,0),FALSE)-VLOOKUP(F12,'Anticipated Entry Bookings'!$A:$C,2,FALSE))*VLOOKUP($F12, 'Entry Capacity Split'!$A$11:$H$38, 6, 0)/100)</f>
        <v>0</v>
      </c>
      <c r="Q12" s="152">
        <f ca="1">IF(VLOOKUP(F12,'Entry Prices'!$A:$R,16,FALSE)&gt;0,VLOOKUP(F12,'Entry Prices'!$A:$R,16,FALSE),0)</f>
        <v>3.5870816938962574E-2</v>
      </c>
      <c r="R12" s="153">
        <f ca="1">P12*Q12*'User Inputs'!$D$7/100</f>
        <v>0</v>
      </c>
      <c r="S12" s="52">
        <f ca="1">IF(((VLOOKUP(F12,'Anticipated Entry Bookings'!$A:$C,MATCH('Entry Anticipated Rev. Recovery'!$C$2,'Anticipated Entry Bookings'!$A$1:$C$1,0),FALSE)-VLOOKUP(F12,'Anticipated Entry Bookings'!$A:$C,2,FALSE))*VLOOKUP($F12, 'Entry Capacity Split'!$A$11:$H$38, 7, 0)/100)&lt;0,0,(VLOOKUP(F12,'Anticipated Entry Bookings'!$A:$C,MATCH('Entry Anticipated Rev. Recovery'!$C$2,'Anticipated Entry Bookings'!$A$1:$C$1,0),FALSE)-VLOOKUP(F12,'Anticipated Entry Bookings'!$A:$C,2,FALSE))*VLOOKUP($F12, 'Entry Capacity Split'!$A$11:$H$38, 7, 0)/100)</f>
        <v>0</v>
      </c>
      <c r="T12" s="152">
        <f ca="1">IF(VLOOKUP(F12,'Entry Prices'!$A:$R,17,FALSE)&gt;0,VLOOKUP(F12,'Entry Prices'!$A:$R,17,FALSE),0)</f>
        <v>3.5870816938962574E-2</v>
      </c>
      <c r="U12" s="153">
        <f ca="1">S12*T12*'User Inputs'!$D$7/100</f>
        <v>0</v>
      </c>
      <c r="V12" s="52">
        <f ca="1">IF(((VLOOKUP(F12,'Anticipated Entry Bookings'!$A:$C,MATCH('Entry Anticipated Rev. Recovery'!$C$2,'Anticipated Entry Bookings'!$A$1:$C$1,0),FALSE)-VLOOKUP(F12,'Anticipated Entry Bookings'!$A:$C,2,FALSE))*VLOOKUP($F12, 'Entry Capacity Split'!$A$11:$H$38, 8, 0)/100)&lt;0,0,(VLOOKUP(F12,'Anticipated Entry Bookings'!$A:$C,MATCH('Entry Anticipated Rev. Recovery'!$C$2,'Anticipated Entry Bookings'!$A$1:$C$1,0),FALSE)-VLOOKUP(F12,'Anticipated Entry Bookings'!$A:$C,2,FALSE))*VLOOKUP($F12, 'Entry Capacity Split'!$A$11:$H$38, 8, 0)/100)</f>
        <v>0</v>
      </c>
      <c r="W12" s="152">
        <f ca="1">IF(VLOOKUP(F12,'Entry Prices'!$A:$R,18,FALSE)&gt;0,VLOOKUP(F12,'Entry Prices'!$A:$R,18,FALSE),0)</f>
        <v>3.2283735245066315E-2</v>
      </c>
      <c r="X12" s="153">
        <f ca="1">V12*W12*'User Inputs'!$D$7/100</f>
        <v>0</v>
      </c>
      <c r="Y12" s="53">
        <f t="shared" ca="1" si="0"/>
        <v>0</v>
      </c>
    </row>
    <row r="13" spans="1:27" ht="27.75" customHeight="1">
      <c r="A13" s="479"/>
      <c r="B13" s="479"/>
      <c r="C13" s="479"/>
      <c r="D13" s="42"/>
      <c r="E13" s="350" t="s">
        <v>474</v>
      </c>
      <c r="F13" s="347" t="s">
        <v>477</v>
      </c>
      <c r="G13" s="52">
        <f ca="1">IF(((VLOOKUP(F13,'Anticipated Entry Bookings'!$A:$C,MATCH('Entry Anticipated Rev. Recovery'!$C$2,'Anticipated Entry Bookings'!$A$1:$C$1,0),FALSE)-VLOOKUP(F13,'Anticipated Entry Bookings'!$A:$C,2,FALSE))*VLOOKUP($F13, 'Entry Capacity Split'!$A$11:$H$38, 3, 0)/100)&lt;0,0,(VLOOKUP(F13,'Anticipated Entry Bookings'!$A:$C,MATCH('Entry Anticipated Rev. Recovery'!$C$2,'Anticipated Entry Bookings'!$A$1:$C$1,0),FALSE)-VLOOKUP(F13,'Anticipated Entry Bookings'!$A:$C,2,FALSE))*VLOOKUP($F13, 'Entry Capacity Split'!$A$11:$H$38, 3, 0)/100)</f>
        <v>39657919.4940053</v>
      </c>
      <c r="H13" s="152">
        <f ca="1">IF(VLOOKUP(F13,'Entry Prices'!$A:$R,13,FALSE)&gt;0,VLOOKUP(F13,'Entry Prices'!$A:$R,13,FALSE),0)</f>
        <v>7.1741633877925148E-2</v>
      </c>
      <c r="I13" s="153">
        <f ca="1">G13*H13*'User Inputs'!$D$7/100</f>
        <v>10384702.383551929</v>
      </c>
      <c r="J13" s="215">
        <f ca="1">IF(((VLOOKUP(F13,'Anticipated Entry Bookings'!$A:$C,MATCH('Entry Anticipated Rev. Recovery'!$C$2,'Anticipated Entry Bookings'!$A$1:$C$1,0),FALSE)-VLOOKUP(F13,'Anticipated Entry Bookings'!$A:$C,2,FALSE))*VLOOKUP($F13, 'Entry Capacity Split'!$A$11:$H$38, 4, 0)/100)&lt;0,0,(VLOOKUP(F13,'Anticipated Entry Bookings'!$A:$C,MATCH('Entry Anticipated Rev. Recovery'!$C$2,'Anticipated Entry Bookings'!$A$1:$C$1,0),FALSE)-VLOOKUP(F13,'Anticipated Entry Bookings'!$A:$C,2,FALSE))*VLOOKUP($F13, 'Entry Capacity Split'!$A$11:$H$38, 4, 0)/100)</f>
        <v>0</v>
      </c>
      <c r="K13" s="216" t="str">
        <f>IF(VLOOKUP(F13,'Entry Prices'!$A:$R,14,FALSE)&gt;0,VLOOKUP(F13,'Entry Prices'!$A:$R,14,FALSE),0)</f>
        <v>N/A</v>
      </c>
      <c r="L13" s="217" t="s">
        <v>428</v>
      </c>
      <c r="M13" s="52">
        <f ca="1">IF(((VLOOKUP(F13,'Anticipated Entry Bookings'!$A:$C,MATCH('Entry Anticipated Rev. Recovery'!$C$2,'Anticipated Entry Bookings'!$A$1:$C$1,0),FALSE)-VLOOKUP(F13,'Anticipated Entry Bookings'!$A:$C,2,FALSE))*VLOOKUP($F13, 'Entry Capacity Split'!$A$11:$H$38, 5, 0)/100)&lt;0,0,(VLOOKUP(F13,'Anticipated Entry Bookings'!$A:$C,MATCH('Entry Anticipated Rev. Recovery'!$C$2,'Anticipated Entry Bookings'!$A$1:$C$1,0),FALSE)-VLOOKUP(F13,'Anticipated Entry Bookings'!$A:$C,2,FALSE))*VLOOKUP($F13, 'Entry Capacity Split'!$A$11:$H$38, 5, 0)/100)</f>
        <v>5050219.0468559396</v>
      </c>
      <c r="N13" s="152">
        <f ca="1">IF(VLOOKUP(F13,'Entry Prices'!$A:$R,15,FALSE)&gt;0,VLOOKUP(F13,'Entry Prices'!$A:$R,15,FALSE),0)</f>
        <v>7.1741633877925148E-2</v>
      </c>
      <c r="O13" s="153">
        <f ca="1">M13*N13*'User Inputs'!$D$7/100</f>
        <v>1322435.0253994497</v>
      </c>
      <c r="P13" s="52">
        <f ca="1">IF(((VLOOKUP(F13,'Anticipated Entry Bookings'!$A:$C,MATCH('Entry Anticipated Rev. Recovery'!$C$2,'Anticipated Entry Bookings'!$A$1:$C$1,0),FALSE)-VLOOKUP(F13,'Anticipated Entry Bookings'!$A:$C,2,FALSE))*VLOOKUP($F13, 'Entry Capacity Split'!$A$11:$H$38, 6, 0)/100)&lt;0,0,(VLOOKUP(F13,'Anticipated Entry Bookings'!$A:$C,MATCH('Entry Anticipated Rev. Recovery'!$C$2,'Anticipated Entry Bookings'!$A$1:$C$1,0),FALSE)-VLOOKUP(F13,'Anticipated Entry Bookings'!$A:$C,2,FALSE))*VLOOKUP($F13, 'Entry Capacity Split'!$A$11:$H$38, 6, 0)/100)</f>
        <v>1010.5401281506151</v>
      </c>
      <c r="Q13" s="152">
        <f ca="1">IF(VLOOKUP(F13,'Entry Prices'!$A:$R,16,FALSE)&gt;0,VLOOKUP(F13,'Entry Prices'!$A:$R,16,FALSE),0)</f>
        <v>7.1741633877925148E-2</v>
      </c>
      <c r="R13" s="153">
        <f ca="1">P13*Q13*'User Inputs'!$D$7/100</f>
        <v>264.61696960847547</v>
      </c>
      <c r="S13" s="52">
        <f ca="1">IF(((VLOOKUP(F13,'Anticipated Entry Bookings'!$A:$C,MATCH('Entry Anticipated Rev. Recovery'!$C$2,'Anticipated Entry Bookings'!$A$1:$C$1,0),FALSE)-VLOOKUP(F13,'Anticipated Entry Bookings'!$A:$C,2,FALSE))*VLOOKUP($F13, 'Entry Capacity Split'!$A$11:$H$38, 7, 0)/100)&lt;0,0,(VLOOKUP(F13,'Anticipated Entry Bookings'!$A:$C,MATCH('Entry Anticipated Rev. Recovery'!$C$2,'Anticipated Entry Bookings'!$A$1:$C$1,0),FALSE)-VLOOKUP(F13,'Anticipated Entry Bookings'!$A:$C,2,FALSE))*VLOOKUP($F13, 'Entry Capacity Split'!$A$11:$H$38, 7, 0)/100)</f>
        <v>68518158.774166077</v>
      </c>
      <c r="T13" s="152">
        <f ca="1">IF(VLOOKUP(F13,'Entry Prices'!$A:$R,17,FALSE)&gt;0,VLOOKUP(F13,'Entry Prices'!$A:$R,17,FALSE),0)</f>
        <v>7.1741633877925148E-2</v>
      </c>
      <c r="U13" s="153">
        <f ca="1">S13*T13*'User Inputs'!$D$7/100</f>
        <v>17941957.011795048</v>
      </c>
      <c r="V13" s="52">
        <f ca="1">IF(((VLOOKUP(F13,'Anticipated Entry Bookings'!$A:$C,MATCH('Entry Anticipated Rev. Recovery'!$C$2,'Anticipated Entry Bookings'!$A$1:$C$1,0),FALSE)-VLOOKUP(F13,'Anticipated Entry Bookings'!$A:$C,2,FALSE))*VLOOKUP($F13, 'Entry Capacity Split'!$A$11:$H$38, 8, 0)/100)&lt;0,0,(VLOOKUP(F13,'Anticipated Entry Bookings'!$A:$C,MATCH('Entry Anticipated Rev. Recovery'!$C$2,'Anticipated Entry Bookings'!$A$1:$C$1,0),FALSE)-VLOOKUP(F13,'Anticipated Entry Bookings'!$A:$C,2,FALSE))*VLOOKUP($F13, 'Entry Capacity Split'!$A$11:$H$38, 8, 0)/100)</f>
        <v>47860077.106488355</v>
      </c>
      <c r="W13" s="152">
        <f ca="1">IF(VLOOKUP(F13,'Entry Prices'!$A:$R,18,FALSE)&gt;0,VLOOKUP(F13,'Entry Prices'!$A:$R,18,FALSE),0)</f>
        <v>6.4567470490132631E-2</v>
      </c>
      <c r="X13" s="153">
        <f ca="1">V13*W13*'User Inputs'!$D$7/100</f>
        <v>11279245.024234604</v>
      </c>
      <c r="Y13" s="53">
        <f t="shared" ca="1" si="0"/>
        <v>40928604.061950639</v>
      </c>
    </row>
    <row r="14" spans="1:27" ht="15.75" customHeight="1">
      <c r="A14" s="465" t="s">
        <v>519</v>
      </c>
      <c r="B14" s="466"/>
      <c r="C14" s="467"/>
      <c r="D14" s="288"/>
      <c r="E14" s="350" t="s">
        <v>474</v>
      </c>
      <c r="F14" s="347" t="s">
        <v>11</v>
      </c>
      <c r="G14" s="52">
        <f ca="1">IF(((VLOOKUP(F14,'Anticipated Entry Bookings'!$A:$C,MATCH('Entry Anticipated Rev. Recovery'!$C$2,'Anticipated Entry Bookings'!$A$1:$C$1,0),FALSE)-VLOOKUP(F14,'Anticipated Entry Bookings'!$A:$C,2,FALSE))*VLOOKUP($F14, 'Entry Capacity Split'!$A$11:$H$38, 3, 0)/100)&lt;0,0,(VLOOKUP(F14,'Anticipated Entry Bookings'!$A:$C,MATCH('Entry Anticipated Rev. Recovery'!$C$2,'Anticipated Entry Bookings'!$A$1:$C$1,0),FALSE)-VLOOKUP(F14,'Anticipated Entry Bookings'!$A:$C,2,FALSE))*VLOOKUP($F14, 'Entry Capacity Split'!$A$11:$H$38, 3, 0)/100)</f>
        <v>0</v>
      </c>
      <c r="H14" s="152">
        <f ca="1">IF(VLOOKUP(F14,'Entry Prices'!$A:$R,13,FALSE)&gt;0,VLOOKUP(F14,'Entry Prices'!$A:$R,13,FALSE),0)</f>
        <v>3.5870816938962574E-2</v>
      </c>
      <c r="I14" s="153">
        <f ca="1">G14*H14*'User Inputs'!$D$7/100</f>
        <v>0</v>
      </c>
      <c r="J14" s="215">
        <f ca="1">IF(((VLOOKUP(F14,'Anticipated Entry Bookings'!$A:$C,MATCH('Entry Anticipated Rev. Recovery'!$C$2,'Anticipated Entry Bookings'!$A$1:$C$1,0),FALSE)-VLOOKUP(F14,'Anticipated Entry Bookings'!$A:$C,2,FALSE))*VLOOKUP($F14, 'Entry Capacity Split'!$A$11:$H$38, 4, 0)/100)&lt;0,0,(VLOOKUP(F14,'Anticipated Entry Bookings'!$A:$C,MATCH('Entry Anticipated Rev. Recovery'!$C$2,'Anticipated Entry Bookings'!$A$1:$C$1,0),FALSE)-VLOOKUP(F14,'Anticipated Entry Bookings'!$A:$C,2,FALSE))*VLOOKUP($F14, 'Entry Capacity Split'!$A$11:$H$38, 4, 0)/100)</f>
        <v>0</v>
      </c>
      <c r="K14" s="216" t="str">
        <f>IF(VLOOKUP(F14,'Entry Prices'!$A:$R,14,FALSE)&gt;0,VLOOKUP(F14,'Entry Prices'!$A:$R,14,FALSE),0)</f>
        <v>N/A</v>
      </c>
      <c r="L14" s="217" t="s">
        <v>428</v>
      </c>
      <c r="M14" s="52">
        <f ca="1">IF(((VLOOKUP(F14,'Anticipated Entry Bookings'!$A:$C,MATCH('Entry Anticipated Rev. Recovery'!$C$2,'Anticipated Entry Bookings'!$A$1:$C$1,0),FALSE)-VLOOKUP(F14,'Anticipated Entry Bookings'!$A:$C,2,FALSE))*VLOOKUP($F14, 'Entry Capacity Split'!$A$11:$H$38, 5, 0)/100)&lt;0,0,(VLOOKUP(F14,'Anticipated Entry Bookings'!$A:$C,MATCH('Entry Anticipated Rev. Recovery'!$C$2,'Anticipated Entry Bookings'!$A$1:$C$1,0),FALSE)-VLOOKUP(F14,'Anticipated Entry Bookings'!$A:$C,2,FALSE))*VLOOKUP($F14, 'Entry Capacity Split'!$A$11:$H$38, 5, 0)/100)</f>
        <v>0</v>
      </c>
      <c r="N14" s="152">
        <f ca="1">IF(VLOOKUP(F14,'Entry Prices'!$A:$R,15,FALSE)&gt;0,VLOOKUP(F14,'Entry Prices'!$A:$R,15,FALSE),0)</f>
        <v>3.5870816938962574E-2</v>
      </c>
      <c r="O14" s="153">
        <f ca="1">M14*N14*'User Inputs'!$D$7/100</f>
        <v>0</v>
      </c>
      <c r="P14" s="52">
        <f ca="1">IF(((VLOOKUP(F14,'Anticipated Entry Bookings'!$A:$C,MATCH('Entry Anticipated Rev. Recovery'!$C$2,'Anticipated Entry Bookings'!$A$1:$C$1,0),FALSE)-VLOOKUP(F14,'Anticipated Entry Bookings'!$A:$C,2,FALSE))*VLOOKUP($F14, 'Entry Capacity Split'!$A$11:$H$38, 6, 0)/100)&lt;0,0,(VLOOKUP(F14,'Anticipated Entry Bookings'!$A:$C,MATCH('Entry Anticipated Rev. Recovery'!$C$2,'Anticipated Entry Bookings'!$A$1:$C$1,0),FALSE)-VLOOKUP(F14,'Anticipated Entry Bookings'!$A:$C,2,FALSE))*VLOOKUP($F14, 'Entry Capacity Split'!$A$11:$H$38, 6, 0)/100)</f>
        <v>0</v>
      </c>
      <c r="Q14" s="152">
        <f ca="1">IF(VLOOKUP(F14,'Entry Prices'!$A:$R,16,FALSE)&gt;0,VLOOKUP(F14,'Entry Prices'!$A:$R,16,FALSE),0)</f>
        <v>3.5870816938962574E-2</v>
      </c>
      <c r="R14" s="153">
        <f ca="1">P14*Q14*'User Inputs'!$D$7/100</f>
        <v>0</v>
      </c>
      <c r="S14" s="52">
        <f ca="1">IF(((VLOOKUP(F14,'Anticipated Entry Bookings'!$A:$C,MATCH('Entry Anticipated Rev. Recovery'!$C$2,'Anticipated Entry Bookings'!$A$1:$C$1,0),FALSE)-VLOOKUP(F14,'Anticipated Entry Bookings'!$A:$C,2,FALSE))*VLOOKUP($F14, 'Entry Capacity Split'!$A$11:$H$38, 7, 0)/100)&lt;0,0,(VLOOKUP(F14,'Anticipated Entry Bookings'!$A:$C,MATCH('Entry Anticipated Rev. Recovery'!$C$2,'Anticipated Entry Bookings'!$A$1:$C$1,0),FALSE)-VLOOKUP(F14,'Anticipated Entry Bookings'!$A:$C,2,FALSE))*VLOOKUP($F14, 'Entry Capacity Split'!$A$11:$H$38, 7, 0)/100)</f>
        <v>0</v>
      </c>
      <c r="T14" s="152">
        <f ca="1">IF(VLOOKUP(F14,'Entry Prices'!$A:$R,17,FALSE)&gt;0,VLOOKUP(F14,'Entry Prices'!$A:$R,17,FALSE),0)</f>
        <v>3.5870816938962574E-2</v>
      </c>
      <c r="U14" s="153">
        <f ca="1">S14*T14*'User Inputs'!$D$7/100</f>
        <v>0</v>
      </c>
      <c r="V14" s="52">
        <f ca="1">IF(((VLOOKUP(F14,'Anticipated Entry Bookings'!$A:$C,MATCH('Entry Anticipated Rev. Recovery'!$C$2,'Anticipated Entry Bookings'!$A$1:$C$1,0),FALSE)-VLOOKUP(F14,'Anticipated Entry Bookings'!$A:$C,2,FALSE))*VLOOKUP($F14, 'Entry Capacity Split'!$A$11:$H$38, 8, 0)/100)&lt;0,0,(VLOOKUP(F14,'Anticipated Entry Bookings'!$A:$C,MATCH('Entry Anticipated Rev. Recovery'!$C$2,'Anticipated Entry Bookings'!$A$1:$C$1,0),FALSE)-VLOOKUP(F14,'Anticipated Entry Bookings'!$A:$C,2,FALSE))*VLOOKUP($F14, 'Entry Capacity Split'!$A$11:$H$38, 8, 0)/100)</f>
        <v>0</v>
      </c>
      <c r="W14" s="152">
        <f ca="1">IF(VLOOKUP(F14,'Entry Prices'!$A:$R,18,FALSE)&gt;0,VLOOKUP(F14,'Entry Prices'!$A:$R,18,FALSE),0)</f>
        <v>3.2283735245066315E-2</v>
      </c>
      <c r="X14" s="153">
        <f ca="1">V14*W14*'User Inputs'!$D$7/100</f>
        <v>0</v>
      </c>
      <c r="Y14" s="53">
        <f t="shared" ca="1" si="0"/>
        <v>0</v>
      </c>
    </row>
    <row r="15" spans="1:27" ht="31.5" customHeight="1">
      <c r="A15" s="477" t="s">
        <v>528</v>
      </c>
      <c r="B15" s="478"/>
      <c r="C15" s="175">
        <f ca="1">ROUND(-($C$10*100)/((SUM('Entry Prices'!$C$3:$C$29)-HLOOKUP('User Inputs'!C7,'Existing Contracts - Entry'!$B$1:$Q$31,30))*'User Inputs'!$D$7),10)</f>
        <v>0</v>
      </c>
      <c r="D15" s="42"/>
      <c r="E15" s="350" t="s">
        <v>474</v>
      </c>
      <c r="F15" s="347" t="s">
        <v>12</v>
      </c>
      <c r="G15" s="52">
        <f ca="1">IF(((VLOOKUP(F15,'Anticipated Entry Bookings'!$A:$C,MATCH('Entry Anticipated Rev. Recovery'!$C$2,'Anticipated Entry Bookings'!$A$1:$C$1,0),FALSE)-VLOOKUP(F15,'Anticipated Entry Bookings'!$A:$C,2,FALSE))*VLOOKUP($F15, 'Entry Capacity Split'!$A$11:$H$38, 3, 0)/100)&lt;0,0,(VLOOKUP(F15,'Anticipated Entry Bookings'!$A:$C,MATCH('Entry Anticipated Rev. Recovery'!$C$2,'Anticipated Entry Bookings'!$A$1:$C$1,0),FALSE)-VLOOKUP(F15,'Anticipated Entry Bookings'!$A:$C,2,FALSE))*VLOOKUP($F15, 'Entry Capacity Split'!$A$11:$H$38, 3, 0)/100)</f>
        <v>0</v>
      </c>
      <c r="H15" s="152">
        <f ca="1">IF(VLOOKUP(F15,'Entry Prices'!$A:$R,13,FALSE)&gt;0,VLOOKUP(F15,'Entry Prices'!$A:$R,13,FALSE),0)</f>
        <v>3.5870816938962574E-2</v>
      </c>
      <c r="I15" s="153">
        <f ca="1">G15*H15*'User Inputs'!$D$7/100</f>
        <v>0</v>
      </c>
      <c r="J15" s="215">
        <f ca="1">IF(((VLOOKUP(F15,'Anticipated Entry Bookings'!$A:$C,MATCH('Entry Anticipated Rev. Recovery'!$C$2,'Anticipated Entry Bookings'!$A$1:$C$1,0),FALSE)-VLOOKUP(F15,'Anticipated Entry Bookings'!$A:$C,2,FALSE))*VLOOKUP($F15, 'Entry Capacity Split'!$A$11:$H$38, 4, 0)/100)&lt;0,0,(VLOOKUP(F15,'Anticipated Entry Bookings'!$A:$C,MATCH('Entry Anticipated Rev. Recovery'!$C$2,'Anticipated Entry Bookings'!$A$1:$C$1,0),FALSE)-VLOOKUP(F15,'Anticipated Entry Bookings'!$A:$C,2,FALSE))*VLOOKUP($F15, 'Entry Capacity Split'!$A$11:$H$38, 4, 0)/100)</f>
        <v>0</v>
      </c>
      <c r="K15" s="216" t="str">
        <f>IF(VLOOKUP(F15,'Entry Prices'!$A:$R,14,FALSE)&gt;0,VLOOKUP(F15,'Entry Prices'!$A:$R,14,FALSE),0)</f>
        <v>N/A</v>
      </c>
      <c r="L15" s="217" t="s">
        <v>428</v>
      </c>
      <c r="M15" s="52">
        <f ca="1">IF(((VLOOKUP(F15,'Anticipated Entry Bookings'!$A:$C,MATCH('Entry Anticipated Rev. Recovery'!$C$2,'Anticipated Entry Bookings'!$A$1:$C$1,0),FALSE)-VLOOKUP(F15,'Anticipated Entry Bookings'!$A:$C,2,FALSE))*VLOOKUP($F15, 'Entry Capacity Split'!$A$11:$H$38, 5, 0)/100)&lt;0,0,(VLOOKUP(F15,'Anticipated Entry Bookings'!$A:$C,MATCH('Entry Anticipated Rev. Recovery'!$C$2,'Anticipated Entry Bookings'!$A$1:$C$1,0),FALSE)-VLOOKUP(F15,'Anticipated Entry Bookings'!$A:$C,2,FALSE))*VLOOKUP($F15, 'Entry Capacity Split'!$A$11:$H$38, 5, 0)/100)</f>
        <v>0</v>
      </c>
      <c r="N15" s="152">
        <f ca="1">IF(VLOOKUP(F15,'Entry Prices'!$A:$R,15,FALSE)&gt;0,VLOOKUP(F15,'Entry Prices'!$A:$R,15,FALSE),0)</f>
        <v>3.5870816938962574E-2</v>
      </c>
      <c r="O15" s="153">
        <f ca="1">M15*N15*'User Inputs'!$D$7/100</f>
        <v>0</v>
      </c>
      <c r="P15" s="52">
        <f ca="1">IF(((VLOOKUP(F15,'Anticipated Entry Bookings'!$A:$C,MATCH('Entry Anticipated Rev. Recovery'!$C$2,'Anticipated Entry Bookings'!$A$1:$C$1,0),FALSE)-VLOOKUP(F15,'Anticipated Entry Bookings'!$A:$C,2,FALSE))*VLOOKUP($F15, 'Entry Capacity Split'!$A$11:$H$38, 6, 0)/100)&lt;0,0,(VLOOKUP(F15,'Anticipated Entry Bookings'!$A:$C,MATCH('Entry Anticipated Rev. Recovery'!$C$2,'Anticipated Entry Bookings'!$A$1:$C$1,0),FALSE)-VLOOKUP(F15,'Anticipated Entry Bookings'!$A:$C,2,FALSE))*VLOOKUP($F15, 'Entry Capacity Split'!$A$11:$H$38, 6, 0)/100)</f>
        <v>0</v>
      </c>
      <c r="Q15" s="152">
        <f ca="1">IF(VLOOKUP(F15,'Entry Prices'!$A:$R,16,FALSE)&gt;0,VLOOKUP(F15,'Entry Prices'!$A:$R,16,FALSE),0)</f>
        <v>3.5870816938962574E-2</v>
      </c>
      <c r="R15" s="153">
        <f ca="1">P15*Q15*'User Inputs'!$D$7/100</f>
        <v>0</v>
      </c>
      <c r="S15" s="52">
        <f ca="1">IF(((VLOOKUP(F15,'Anticipated Entry Bookings'!$A:$C,MATCH('Entry Anticipated Rev. Recovery'!$C$2,'Anticipated Entry Bookings'!$A$1:$C$1,0),FALSE)-VLOOKUP(F15,'Anticipated Entry Bookings'!$A:$C,2,FALSE))*VLOOKUP($F15, 'Entry Capacity Split'!$A$11:$H$38, 7, 0)/100)&lt;0,0,(VLOOKUP(F15,'Anticipated Entry Bookings'!$A:$C,MATCH('Entry Anticipated Rev. Recovery'!$C$2,'Anticipated Entry Bookings'!$A$1:$C$1,0),FALSE)-VLOOKUP(F15,'Anticipated Entry Bookings'!$A:$C,2,FALSE))*VLOOKUP($F15, 'Entry Capacity Split'!$A$11:$H$38, 7, 0)/100)</f>
        <v>0</v>
      </c>
      <c r="T15" s="152">
        <f ca="1">IF(VLOOKUP(F15,'Entry Prices'!$A:$R,17,FALSE)&gt;0,VLOOKUP(F15,'Entry Prices'!$A:$R,17,FALSE),0)</f>
        <v>3.5870816938962574E-2</v>
      </c>
      <c r="U15" s="153">
        <f ca="1">S15*T15*'User Inputs'!$D$7/100</f>
        <v>0</v>
      </c>
      <c r="V15" s="52">
        <f ca="1">IF(((VLOOKUP(F15,'Anticipated Entry Bookings'!$A:$C,MATCH('Entry Anticipated Rev. Recovery'!$C$2,'Anticipated Entry Bookings'!$A$1:$C$1,0),FALSE)-VLOOKUP(F15,'Anticipated Entry Bookings'!$A:$C,2,FALSE))*VLOOKUP($F15, 'Entry Capacity Split'!$A$11:$H$38, 8, 0)/100)&lt;0,0,(VLOOKUP(F15,'Anticipated Entry Bookings'!$A:$C,MATCH('Entry Anticipated Rev. Recovery'!$C$2,'Anticipated Entry Bookings'!$A$1:$C$1,0),FALSE)-VLOOKUP(F15,'Anticipated Entry Bookings'!$A:$C,2,FALSE))*VLOOKUP($F15, 'Entry Capacity Split'!$A$11:$H$38, 8, 0)/100)</f>
        <v>0</v>
      </c>
      <c r="W15" s="152">
        <f ca="1">IF(VLOOKUP(F15,'Entry Prices'!$A:$R,18,FALSE)&gt;0,VLOOKUP(F15,'Entry Prices'!$A:$R,18,FALSE),0)</f>
        <v>3.2283735245066315E-2</v>
      </c>
      <c r="X15" s="153">
        <f ca="1">V15*W15*'User Inputs'!$D$7/100</f>
        <v>0</v>
      </c>
      <c r="Y15" s="53">
        <f t="shared" ca="1" si="0"/>
        <v>0</v>
      </c>
    </row>
    <row r="16" spans="1:27" ht="15.75" customHeight="1">
      <c r="A16" s="320"/>
      <c r="B16" s="320"/>
      <c r="C16" s="320"/>
      <c r="D16" s="42"/>
      <c r="E16" s="350" t="s">
        <v>474</v>
      </c>
      <c r="F16" s="347" t="s">
        <v>13</v>
      </c>
      <c r="G16" s="52">
        <f ca="1">IF(((VLOOKUP(F16,'Anticipated Entry Bookings'!$A:$C,MATCH('Entry Anticipated Rev. Recovery'!$C$2,'Anticipated Entry Bookings'!$A$1:$C$1,0),FALSE)-VLOOKUP(F16,'Anticipated Entry Bookings'!$A:$C,2,FALSE))*VLOOKUP($F16, 'Entry Capacity Split'!$A$11:$H$38, 3, 0)/100)&lt;0,0,(VLOOKUP(F16,'Anticipated Entry Bookings'!$A:$C,MATCH('Entry Anticipated Rev. Recovery'!$C$2,'Anticipated Entry Bookings'!$A$1:$C$1,0),FALSE)-VLOOKUP(F16,'Anticipated Entry Bookings'!$A:$C,2,FALSE))*VLOOKUP($F16, 'Entry Capacity Split'!$A$11:$H$38, 3, 0)/100)</f>
        <v>0</v>
      </c>
      <c r="H16" s="152">
        <f ca="1">IF(VLOOKUP(F16,'Entry Prices'!$A:$R,13,FALSE)&gt;0,VLOOKUP(F16,'Entry Prices'!$A:$R,13,FALSE),0)</f>
        <v>3.5870816938962574E-2</v>
      </c>
      <c r="I16" s="153">
        <f ca="1">G16*H16*'User Inputs'!$D$7/100</f>
        <v>0</v>
      </c>
      <c r="J16" s="215">
        <f ca="1">IF(((VLOOKUP(F16,'Anticipated Entry Bookings'!$A:$C,MATCH('Entry Anticipated Rev. Recovery'!$C$2,'Anticipated Entry Bookings'!$A$1:$C$1,0),FALSE)-VLOOKUP(F16,'Anticipated Entry Bookings'!$A:$C,2,FALSE))*VLOOKUP($F16, 'Entry Capacity Split'!$A$11:$H$38, 4, 0)/100)&lt;0,0,(VLOOKUP(F16,'Anticipated Entry Bookings'!$A:$C,MATCH('Entry Anticipated Rev. Recovery'!$C$2,'Anticipated Entry Bookings'!$A$1:$C$1,0),FALSE)-VLOOKUP(F16,'Anticipated Entry Bookings'!$A:$C,2,FALSE))*VLOOKUP($F16, 'Entry Capacity Split'!$A$11:$H$38, 4, 0)/100)</f>
        <v>0</v>
      </c>
      <c r="K16" s="216" t="str">
        <f>IF(VLOOKUP(F16,'Entry Prices'!$A:$R,14,FALSE)&gt;0,VLOOKUP(F16,'Entry Prices'!$A:$R,14,FALSE),0)</f>
        <v>N/A</v>
      </c>
      <c r="L16" s="217" t="s">
        <v>428</v>
      </c>
      <c r="M16" s="52">
        <f ca="1">IF(((VLOOKUP(F16,'Anticipated Entry Bookings'!$A:$C,MATCH('Entry Anticipated Rev. Recovery'!$C$2,'Anticipated Entry Bookings'!$A$1:$C$1,0),FALSE)-VLOOKUP(F16,'Anticipated Entry Bookings'!$A:$C,2,FALSE))*VLOOKUP($F16, 'Entry Capacity Split'!$A$11:$H$38, 5, 0)/100)&lt;0,0,(VLOOKUP(F16,'Anticipated Entry Bookings'!$A:$C,MATCH('Entry Anticipated Rev. Recovery'!$C$2,'Anticipated Entry Bookings'!$A$1:$C$1,0),FALSE)-VLOOKUP(F16,'Anticipated Entry Bookings'!$A:$C,2,FALSE))*VLOOKUP($F16, 'Entry Capacity Split'!$A$11:$H$38, 5, 0)/100)</f>
        <v>0</v>
      </c>
      <c r="N16" s="152">
        <f ca="1">IF(VLOOKUP(F16,'Entry Prices'!$A:$R,15,FALSE)&gt;0,VLOOKUP(F16,'Entry Prices'!$A:$R,15,FALSE),0)</f>
        <v>3.5870816938962574E-2</v>
      </c>
      <c r="O16" s="153">
        <f ca="1">M16*N16*'User Inputs'!$D$7/100</f>
        <v>0</v>
      </c>
      <c r="P16" s="52">
        <f ca="1">IF(((VLOOKUP(F16,'Anticipated Entry Bookings'!$A:$C,MATCH('Entry Anticipated Rev. Recovery'!$C$2,'Anticipated Entry Bookings'!$A$1:$C$1,0),FALSE)-VLOOKUP(F16,'Anticipated Entry Bookings'!$A:$C,2,FALSE))*VLOOKUP($F16, 'Entry Capacity Split'!$A$11:$H$38, 6, 0)/100)&lt;0,0,(VLOOKUP(F16,'Anticipated Entry Bookings'!$A:$C,MATCH('Entry Anticipated Rev. Recovery'!$C$2,'Anticipated Entry Bookings'!$A$1:$C$1,0),FALSE)-VLOOKUP(F16,'Anticipated Entry Bookings'!$A:$C,2,FALSE))*VLOOKUP($F16, 'Entry Capacity Split'!$A$11:$H$38, 6, 0)/100)</f>
        <v>0</v>
      </c>
      <c r="Q16" s="152">
        <f ca="1">IF(VLOOKUP(F16,'Entry Prices'!$A:$R,16,FALSE)&gt;0,VLOOKUP(F16,'Entry Prices'!$A:$R,16,FALSE),0)</f>
        <v>3.5870816938962574E-2</v>
      </c>
      <c r="R16" s="153">
        <f ca="1">P16*Q16*'User Inputs'!$D$7/100</f>
        <v>0</v>
      </c>
      <c r="S16" s="52">
        <f ca="1">IF(((VLOOKUP(F16,'Anticipated Entry Bookings'!$A:$C,MATCH('Entry Anticipated Rev. Recovery'!$C$2,'Anticipated Entry Bookings'!$A$1:$C$1,0),FALSE)-VLOOKUP(F16,'Anticipated Entry Bookings'!$A:$C,2,FALSE))*VLOOKUP($F16, 'Entry Capacity Split'!$A$11:$H$38, 7, 0)/100)&lt;0,0,(VLOOKUP(F16,'Anticipated Entry Bookings'!$A:$C,MATCH('Entry Anticipated Rev. Recovery'!$C$2,'Anticipated Entry Bookings'!$A$1:$C$1,0),FALSE)-VLOOKUP(F16,'Anticipated Entry Bookings'!$A:$C,2,FALSE))*VLOOKUP($F16, 'Entry Capacity Split'!$A$11:$H$38, 7, 0)/100)</f>
        <v>0</v>
      </c>
      <c r="T16" s="152">
        <f ca="1">IF(VLOOKUP(F16,'Entry Prices'!$A:$R,17,FALSE)&gt;0,VLOOKUP(F16,'Entry Prices'!$A:$R,17,FALSE),0)</f>
        <v>3.5870816938962574E-2</v>
      </c>
      <c r="U16" s="153">
        <f ca="1">S16*T16*'User Inputs'!$D$7/100</f>
        <v>0</v>
      </c>
      <c r="V16" s="52">
        <f ca="1">IF(((VLOOKUP(F16,'Anticipated Entry Bookings'!$A:$C,MATCH('Entry Anticipated Rev. Recovery'!$C$2,'Anticipated Entry Bookings'!$A$1:$C$1,0),FALSE)-VLOOKUP(F16,'Anticipated Entry Bookings'!$A:$C,2,FALSE))*VLOOKUP($F16, 'Entry Capacity Split'!$A$11:$H$38, 8, 0)/100)&lt;0,0,(VLOOKUP(F16,'Anticipated Entry Bookings'!$A:$C,MATCH('Entry Anticipated Rev. Recovery'!$C$2,'Anticipated Entry Bookings'!$A$1:$C$1,0),FALSE)-VLOOKUP(F16,'Anticipated Entry Bookings'!$A:$C,2,FALSE))*VLOOKUP($F16, 'Entry Capacity Split'!$A$11:$H$38, 8, 0)/100)</f>
        <v>0</v>
      </c>
      <c r="W16" s="152">
        <f ca="1">IF(VLOOKUP(F16,'Entry Prices'!$A:$R,18,FALSE)&gt;0,VLOOKUP(F16,'Entry Prices'!$A:$R,18,FALSE),0)</f>
        <v>3.2283735245066315E-2</v>
      </c>
      <c r="X16" s="153">
        <f ca="1">V16*W16*'User Inputs'!$D$7/100</f>
        <v>0</v>
      </c>
      <c r="Y16" s="53">
        <f ca="1">I16+O16+R16+U16+X16</f>
        <v>0</v>
      </c>
    </row>
    <row r="17" spans="1:25" ht="90.75" customHeight="1">
      <c r="A17" s="42"/>
      <c r="B17" s="42"/>
      <c r="C17" s="42"/>
      <c r="D17" s="42"/>
      <c r="E17" s="350" t="s">
        <v>474</v>
      </c>
      <c r="F17" s="347" t="s">
        <v>14</v>
      </c>
      <c r="G17" s="52">
        <f ca="1">IF(((VLOOKUP(F17,'Anticipated Entry Bookings'!$A:$C,MATCH('Entry Anticipated Rev. Recovery'!$C$2,'Anticipated Entry Bookings'!$A$1:$C$1,0),FALSE)-VLOOKUP(F17,'Anticipated Entry Bookings'!$A:$C,2,FALSE))*VLOOKUP($F17, 'Entry Capacity Split'!$A$11:$H$38, 3, 0)/100)&lt;0,0,(VLOOKUP(F17,'Anticipated Entry Bookings'!$A:$C,MATCH('Entry Anticipated Rev. Recovery'!$C$2,'Anticipated Entry Bookings'!$A$1:$C$1,0),FALSE)-VLOOKUP(F17,'Anticipated Entry Bookings'!$A:$C,2,FALSE))*VLOOKUP($F17, 'Entry Capacity Split'!$A$11:$H$38, 3, 0)/100)</f>
        <v>0</v>
      </c>
      <c r="H17" s="152">
        <f ca="1">IF(VLOOKUP(F17,'Entry Prices'!$A:$R,13,FALSE)&gt;0,VLOOKUP(F17,'Entry Prices'!$A:$R,13,FALSE),0)</f>
        <v>3.5870816938962574E-2</v>
      </c>
      <c r="I17" s="153">
        <f ca="1">G17*H17*'User Inputs'!$D$7/100</f>
        <v>0</v>
      </c>
      <c r="J17" s="215">
        <f ca="1">IF(((VLOOKUP(F17,'Anticipated Entry Bookings'!$A:$C,MATCH('Entry Anticipated Rev. Recovery'!$C$2,'Anticipated Entry Bookings'!$A$1:$C$1,0),FALSE)-VLOOKUP(F17,'Anticipated Entry Bookings'!$A:$C,2,FALSE))*VLOOKUP($F17, 'Entry Capacity Split'!$A$11:$H$38, 4, 0)/100)&lt;0,0,(VLOOKUP(F17,'Anticipated Entry Bookings'!$A:$C,MATCH('Entry Anticipated Rev. Recovery'!$C$2,'Anticipated Entry Bookings'!$A$1:$C$1,0),FALSE)-VLOOKUP(F17,'Anticipated Entry Bookings'!$A:$C,2,FALSE))*VLOOKUP($F17, 'Entry Capacity Split'!$A$11:$H$38, 4, 0)/100)</f>
        <v>0</v>
      </c>
      <c r="K17" s="216" t="str">
        <f>IF(VLOOKUP(F17,'Entry Prices'!$A:$R,14,FALSE)&gt;0,VLOOKUP(F17,'Entry Prices'!$A:$R,14,FALSE),0)</f>
        <v>N/A</v>
      </c>
      <c r="L17" s="217" t="s">
        <v>428</v>
      </c>
      <c r="M17" s="52">
        <f ca="1">IF(((VLOOKUP(F17,'Anticipated Entry Bookings'!$A:$C,MATCH('Entry Anticipated Rev. Recovery'!$C$2,'Anticipated Entry Bookings'!$A$1:$C$1,0),FALSE)-VLOOKUP(F17,'Anticipated Entry Bookings'!$A:$C,2,FALSE))*VLOOKUP($F17, 'Entry Capacity Split'!$A$11:$H$38, 5, 0)/100)&lt;0,0,(VLOOKUP(F17,'Anticipated Entry Bookings'!$A:$C,MATCH('Entry Anticipated Rev. Recovery'!$C$2,'Anticipated Entry Bookings'!$A$1:$C$1,0),FALSE)-VLOOKUP(F17,'Anticipated Entry Bookings'!$A:$C,2,FALSE))*VLOOKUP($F17, 'Entry Capacity Split'!$A$11:$H$38, 5, 0)/100)</f>
        <v>0</v>
      </c>
      <c r="N17" s="152">
        <f ca="1">IF(VLOOKUP(F17,'Entry Prices'!$A:$R,15,FALSE)&gt;0,VLOOKUP(F17,'Entry Prices'!$A:$R,15,FALSE),0)</f>
        <v>3.5870816938962574E-2</v>
      </c>
      <c r="O17" s="153">
        <f ca="1">M17*N17*'User Inputs'!$D$7/100</f>
        <v>0</v>
      </c>
      <c r="P17" s="52">
        <f ca="1">IF(((VLOOKUP(F17,'Anticipated Entry Bookings'!$A:$C,MATCH('Entry Anticipated Rev. Recovery'!$C$2,'Anticipated Entry Bookings'!$A$1:$C$1,0),FALSE)-VLOOKUP(F17,'Anticipated Entry Bookings'!$A:$C,2,FALSE))*VLOOKUP($F17, 'Entry Capacity Split'!$A$11:$H$38, 6, 0)/100)&lt;0,0,(VLOOKUP(F17,'Anticipated Entry Bookings'!$A:$C,MATCH('Entry Anticipated Rev. Recovery'!$C$2,'Anticipated Entry Bookings'!$A$1:$C$1,0),FALSE)-VLOOKUP(F17,'Anticipated Entry Bookings'!$A:$C,2,FALSE))*VLOOKUP($F17, 'Entry Capacity Split'!$A$11:$H$38, 6, 0)/100)</f>
        <v>0</v>
      </c>
      <c r="Q17" s="152">
        <f ca="1">IF(VLOOKUP(F17,'Entry Prices'!$A:$R,16,FALSE)&gt;0,VLOOKUP(F17,'Entry Prices'!$A:$R,16,FALSE),0)</f>
        <v>3.5870816938962574E-2</v>
      </c>
      <c r="R17" s="153">
        <f ca="1">P17*Q17*'User Inputs'!$D$7/100</f>
        <v>0</v>
      </c>
      <c r="S17" s="52">
        <f ca="1">IF(((VLOOKUP(F17,'Anticipated Entry Bookings'!$A:$C,MATCH('Entry Anticipated Rev. Recovery'!$C$2,'Anticipated Entry Bookings'!$A$1:$C$1,0),FALSE)-VLOOKUP(F17,'Anticipated Entry Bookings'!$A:$C,2,FALSE))*VLOOKUP($F17, 'Entry Capacity Split'!$A$11:$H$38, 7, 0)/100)&lt;0,0,(VLOOKUP(F17,'Anticipated Entry Bookings'!$A:$C,MATCH('Entry Anticipated Rev. Recovery'!$C$2,'Anticipated Entry Bookings'!$A$1:$C$1,0),FALSE)-VLOOKUP(F17,'Anticipated Entry Bookings'!$A:$C,2,FALSE))*VLOOKUP($F17, 'Entry Capacity Split'!$A$11:$H$38, 7, 0)/100)</f>
        <v>0</v>
      </c>
      <c r="T17" s="152">
        <f ca="1">IF(VLOOKUP(F17,'Entry Prices'!$A:$R,17,FALSE)&gt;0,VLOOKUP(F17,'Entry Prices'!$A:$R,17,FALSE),0)</f>
        <v>3.5870816938962574E-2</v>
      </c>
      <c r="U17" s="153">
        <f ca="1">S17*T17*'User Inputs'!$D$7/100</f>
        <v>0</v>
      </c>
      <c r="V17" s="52">
        <f ca="1">IF(((VLOOKUP(F17,'Anticipated Entry Bookings'!$A:$C,MATCH('Entry Anticipated Rev. Recovery'!$C$2,'Anticipated Entry Bookings'!$A$1:$C$1,0),FALSE)-VLOOKUP(F17,'Anticipated Entry Bookings'!$A:$C,2,FALSE))*VLOOKUP($F17, 'Entry Capacity Split'!$A$11:$H$38, 8, 0)/100)&lt;0,0,(VLOOKUP(F17,'Anticipated Entry Bookings'!$A:$C,MATCH('Entry Anticipated Rev. Recovery'!$C$2,'Anticipated Entry Bookings'!$A$1:$C$1,0),FALSE)-VLOOKUP(F17,'Anticipated Entry Bookings'!$A:$C,2,FALSE))*VLOOKUP($F17, 'Entry Capacity Split'!$A$11:$H$38, 8, 0)/100)</f>
        <v>0</v>
      </c>
      <c r="W17" s="152">
        <f ca="1">IF(VLOOKUP(F17,'Entry Prices'!$A:$R,18,FALSE)&gt;0,VLOOKUP(F17,'Entry Prices'!$A:$R,18,FALSE),0)</f>
        <v>3.2283735245066315E-2</v>
      </c>
      <c r="X17" s="153">
        <f ca="1">V17*W17*'User Inputs'!$D$7/100</f>
        <v>0</v>
      </c>
      <c r="Y17" s="53">
        <f ca="1">I17+O17+R17+U17+X17</f>
        <v>0</v>
      </c>
    </row>
    <row r="18" spans="1:25">
      <c r="A18" s="42"/>
      <c r="B18" s="42"/>
      <c r="C18" s="42"/>
      <c r="D18" s="42"/>
      <c r="E18" s="350" t="s">
        <v>474</v>
      </c>
      <c r="F18" s="347" t="s">
        <v>15</v>
      </c>
      <c r="G18" s="52">
        <f ca="1">IF(((VLOOKUP(F18,'Anticipated Entry Bookings'!$A:$C,MATCH('Entry Anticipated Rev. Recovery'!$C$2,'Anticipated Entry Bookings'!$A$1:$C$1,0),FALSE)-VLOOKUP(F18,'Anticipated Entry Bookings'!$A:$C,2,FALSE))*VLOOKUP($F18, 'Entry Capacity Split'!$A$11:$H$38, 3, 0)/100)&lt;0,0,(VLOOKUP(F18,'Anticipated Entry Bookings'!$A:$C,MATCH('Entry Anticipated Rev. Recovery'!$C$2,'Anticipated Entry Bookings'!$A$1:$C$1,0),FALSE)-VLOOKUP(F18,'Anticipated Entry Bookings'!$A:$C,2,FALSE))*VLOOKUP($F18, 'Entry Capacity Split'!$A$11:$H$38, 3, 0)/100)</f>
        <v>0</v>
      </c>
      <c r="H18" s="152">
        <f ca="1">IF(VLOOKUP(F18,'Entry Prices'!$A:$R,13,FALSE)&gt;0,VLOOKUP(F18,'Entry Prices'!$A:$R,13,FALSE),0)</f>
        <v>7.1741633877925148E-2</v>
      </c>
      <c r="I18" s="153">
        <f ca="1">G18*H18*'User Inputs'!$D$7/100</f>
        <v>0</v>
      </c>
      <c r="J18" s="215">
        <f ca="1">IF(((VLOOKUP(F18,'Anticipated Entry Bookings'!$A:$C,MATCH('Entry Anticipated Rev. Recovery'!$C$2,'Anticipated Entry Bookings'!$A$1:$C$1,0),FALSE)-VLOOKUP(F18,'Anticipated Entry Bookings'!$A:$C,2,FALSE))*VLOOKUP($F18, 'Entry Capacity Split'!$A$11:$H$38, 4, 0)/100)&lt;0,0,(VLOOKUP(F18,'Anticipated Entry Bookings'!$A:$C,MATCH('Entry Anticipated Rev. Recovery'!$C$2,'Anticipated Entry Bookings'!$A$1:$C$1,0),FALSE)-VLOOKUP(F18,'Anticipated Entry Bookings'!$A:$C,2,FALSE))*VLOOKUP($F18, 'Entry Capacity Split'!$A$11:$H$38, 4, 0)/100)</f>
        <v>0</v>
      </c>
      <c r="K18" s="216" t="str">
        <f>IF(VLOOKUP(F18,'Entry Prices'!$A:$R,14,FALSE)&gt;0,VLOOKUP(F18,'Entry Prices'!$A:$R,14,FALSE),0)</f>
        <v>N/A</v>
      </c>
      <c r="L18" s="217" t="s">
        <v>428</v>
      </c>
      <c r="M18" s="52">
        <f ca="1">IF(((VLOOKUP(F18,'Anticipated Entry Bookings'!$A:$C,MATCH('Entry Anticipated Rev. Recovery'!$C$2,'Anticipated Entry Bookings'!$A$1:$C$1,0),FALSE)-VLOOKUP(F18,'Anticipated Entry Bookings'!$A:$C,2,FALSE))*VLOOKUP($F18, 'Entry Capacity Split'!$A$11:$H$38, 5, 0)/100)&lt;0,0,(VLOOKUP(F18,'Anticipated Entry Bookings'!$A:$C,MATCH('Entry Anticipated Rev. Recovery'!$C$2,'Anticipated Entry Bookings'!$A$1:$C$1,0),FALSE)-VLOOKUP(F18,'Anticipated Entry Bookings'!$A:$C,2,FALSE))*VLOOKUP($F18, 'Entry Capacity Split'!$A$11:$H$38, 5, 0)/100)</f>
        <v>0</v>
      </c>
      <c r="N18" s="152">
        <f ca="1">IF(VLOOKUP(F18,'Entry Prices'!$A:$R,15,FALSE)&gt;0,VLOOKUP(F18,'Entry Prices'!$A:$R,15,FALSE),0)</f>
        <v>7.1741633877925148E-2</v>
      </c>
      <c r="O18" s="153">
        <f ca="1">M18*N18*'User Inputs'!$D$7/100</f>
        <v>0</v>
      </c>
      <c r="P18" s="52">
        <f ca="1">IF(((VLOOKUP(F18,'Anticipated Entry Bookings'!$A:$C,MATCH('Entry Anticipated Rev. Recovery'!$C$2,'Anticipated Entry Bookings'!$A$1:$C$1,0),FALSE)-VLOOKUP(F18,'Anticipated Entry Bookings'!$A:$C,2,FALSE))*VLOOKUP($F18, 'Entry Capacity Split'!$A$11:$H$38, 6, 0)/100)&lt;0,0,(VLOOKUP(F18,'Anticipated Entry Bookings'!$A:$C,MATCH('Entry Anticipated Rev. Recovery'!$C$2,'Anticipated Entry Bookings'!$A$1:$C$1,0),FALSE)-VLOOKUP(F18,'Anticipated Entry Bookings'!$A:$C,2,FALSE))*VLOOKUP($F18, 'Entry Capacity Split'!$A$11:$H$38, 6, 0)/100)</f>
        <v>0</v>
      </c>
      <c r="Q18" s="152">
        <f ca="1">IF(VLOOKUP(F18,'Entry Prices'!$A:$R,16,FALSE)&gt;0,VLOOKUP(F18,'Entry Prices'!$A:$R,16,FALSE),0)</f>
        <v>7.1741633877925148E-2</v>
      </c>
      <c r="R18" s="153">
        <f ca="1">P18*Q18*'User Inputs'!$D$7/100</f>
        <v>0</v>
      </c>
      <c r="S18" s="52">
        <f ca="1">IF(((VLOOKUP(F18,'Anticipated Entry Bookings'!$A:$C,MATCH('Entry Anticipated Rev. Recovery'!$C$2,'Anticipated Entry Bookings'!$A$1:$C$1,0),FALSE)-VLOOKUP(F18,'Anticipated Entry Bookings'!$A:$C,2,FALSE))*VLOOKUP($F18, 'Entry Capacity Split'!$A$11:$H$38, 7, 0)/100)&lt;0,0,(VLOOKUP(F18,'Anticipated Entry Bookings'!$A:$C,MATCH('Entry Anticipated Rev. Recovery'!$C$2,'Anticipated Entry Bookings'!$A$1:$C$1,0),FALSE)-VLOOKUP(F18,'Anticipated Entry Bookings'!$A:$C,2,FALSE))*VLOOKUP($F18, 'Entry Capacity Split'!$A$11:$H$38, 7, 0)/100)</f>
        <v>0</v>
      </c>
      <c r="T18" s="152">
        <f ca="1">IF(VLOOKUP(F18,'Entry Prices'!$A:$R,17,FALSE)&gt;0,VLOOKUP(F18,'Entry Prices'!$A:$R,17,FALSE),0)</f>
        <v>7.1741633877925148E-2</v>
      </c>
      <c r="U18" s="153">
        <f ca="1">S18*T18*'User Inputs'!$D$7/100</f>
        <v>0</v>
      </c>
      <c r="V18" s="52">
        <f ca="1">IF(((VLOOKUP(F18,'Anticipated Entry Bookings'!$A:$C,MATCH('Entry Anticipated Rev. Recovery'!$C$2,'Anticipated Entry Bookings'!$A$1:$C$1,0),FALSE)-VLOOKUP(F18,'Anticipated Entry Bookings'!$A:$C,2,FALSE))*VLOOKUP($F18, 'Entry Capacity Split'!$A$11:$H$38, 8, 0)/100)&lt;0,0,(VLOOKUP(F18,'Anticipated Entry Bookings'!$A:$C,MATCH('Entry Anticipated Rev. Recovery'!$C$2,'Anticipated Entry Bookings'!$A$1:$C$1,0),FALSE)-VLOOKUP(F18,'Anticipated Entry Bookings'!$A:$C,2,FALSE))*VLOOKUP($F18, 'Entry Capacity Split'!$A$11:$H$38, 8, 0)/100)</f>
        <v>0</v>
      </c>
      <c r="W18" s="152">
        <f ca="1">IF(VLOOKUP(F18,'Entry Prices'!$A:$R,18,FALSE)&gt;0,VLOOKUP(F18,'Entry Prices'!$A:$R,18,FALSE),0)</f>
        <v>6.4567470490132631E-2</v>
      </c>
      <c r="X18" s="153">
        <f ca="1">V18*W18*'User Inputs'!$D$7/100</f>
        <v>0</v>
      </c>
      <c r="Y18" s="53">
        <f ca="1">I18+O18+R18+U18+X18</f>
        <v>0</v>
      </c>
    </row>
    <row r="19" spans="1:25" ht="15.75" customHeight="1">
      <c r="A19" s="42"/>
      <c r="B19" s="42"/>
      <c r="C19" s="42"/>
      <c r="D19" s="42"/>
      <c r="E19" s="350" t="s">
        <v>474</v>
      </c>
      <c r="F19" s="347" t="s">
        <v>16</v>
      </c>
      <c r="G19" s="52">
        <f ca="1">IF(((VLOOKUP(F19,'Anticipated Entry Bookings'!$A:$C,MATCH('Entry Anticipated Rev. Recovery'!$C$2,'Anticipated Entry Bookings'!$A$1:$C$1,0),FALSE)-VLOOKUP(F19,'Anticipated Entry Bookings'!$A:$C,2,FALSE))*VLOOKUP($F19, 'Entry Capacity Split'!$A$11:$H$38, 3, 0)/100)&lt;0,0,(VLOOKUP(F19,'Anticipated Entry Bookings'!$A:$C,MATCH('Entry Anticipated Rev. Recovery'!$C$2,'Anticipated Entry Bookings'!$A$1:$C$1,0),FALSE)-VLOOKUP(F19,'Anticipated Entry Bookings'!$A:$C,2,FALSE))*VLOOKUP($F19, 'Entry Capacity Split'!$A$11:$H$38, 3, 0)/100)</f>
        <v>21273577.048298039</v>
      </c>
      <c r="H19" s="152">
        <f ca="1">IF(VLOOKUP(F19,'Entry Prices'!$A:$R,13,FALSE)&gt;0,VLOOKUP(F19,'Entry Prices'!$A:$R,13,FALSE),0)</f>
        <v>3.5870816938962574E-2</v>
      </c>
      <c r="I19" s="153">
        <f ca="1">G19*H19*'User Inputs'!$D$7/100</f>
        <v>2785317.1459679138</v>
      </c>
      <c r="J19" s="215">
        <f ca="1">IF(((VLOOKUP(F19,'Anticipated Entry Bookings'!$A:$C,MATCH('Entry Anticipated Rev. Recovery'!$C$2,'Anticipated Entry Bookings'!$A$1:$C$1,0),FALSE)-VLOOKUP(F19,'Anticipated Entry Bookings'!$A:$C,2,FALSE))*VLOOKUP($F19, 'Entry Capacity Split'!$A$11:$H$38, 4, 0)/100)&lt;0,0,(VLOOKUP(F19,'Anticipated Entry Bookings'!$A:$C,MATCH('Entry Anticipated Rev. Recovery'!$C$2,'Anticipated Entry Bookings'!$A$1:$C$1,0),FALSE)-VLOOKUP(F19,'Anticipated Entry Bookings'!$A:$C,2,FALSE))*VLOOKUP($F19, 'Entry Capacity Split'!$A$11:$H$38, 4, 0)/100)</f>
        <v>0</v>
      </c>
      <c r="K19" s="216" t="str">
        <f>IF(VLOOKUP(F19,'Entry Prices'!$A:$R,14,FALSE)&gt;0,VLOOKUP(F19,'Entry Prices'!$A:$R,14,FALSE),0)</f>
        <v>N/A</v>
      </c>
      <c r="L19" s="217" t="s">
        <v>428</v>
      </c>
      <c r="M19" s="52">
        <f ca="1">IF(((VLOOKUP(F19,'Anticipated Entry Bookings'!$A:$C,MATCH('Entry Anticipated Rev. Recovery'!$C$2,'Anticipated Entry Bookings'!$A$1:$C$1,0),FALSE)-VLOOKUP(F19,'Anticipated Entry Bookings'!$A:$C,2,FALSE))*VLOOKUP($F19, 'Entry Capacity Split'!$A$11:$H$38, 5, 0)/100)&lt;0,0,(VLOOKUP(F19,'Anticipated Entry Bookings'!$A:$C,MATCH('Entry Anticipated Rev. Recovery'!$C$2,'Anticipated Entry Bookings'!$A$1:$C$1,0),FALSE)-VLOOKUP(F19,'Anticipated Entry Bookings'!$A:$C,2,FALSE))*VLOOKUP($F19, 'Entry Capacity Split'!$A$11:$H$38, 5, 0)/100)</f>
        <v>0</v>
      </c>
      <c r="N19" s="152">
        <f ca="1">IF(VLOOKUP(F19,'Entry Prices'!$A:$R,15,FALSE)&gt;0,VLOOKUP(F19,'Entry Prices'!$A:$R,15,FALSE),0)</f>
        <v>3.5870816938962574E-2</v>
      </c>
      <c r="O19" s="153">
        <f ca="1">M19*N19*'User Inputs'!$D$7/100</f>
        <v>0</v>
      </c>
      <c r="P19" s="52">
        <f ca="1">IF(((VLOOKUP(F19,'Anticipated Entry Bookings'!$A:$C,MATCH('Entry Anticipated Rev. Recovery'!$C$2,'Anticipated Entry Bookings'!$A$1:$C$1,0),FALSE)-VLOOKUP(F19,'Anticipated Entry Bookings'!$A:$C,2,FALSE))*VLOOKUP($F19, 'Entry Capacity Split'!$A$11:$H$38, 6, 0)/100)&lt;0,0,(VLOOKUP(F19,'Anticipated Entry Bookings'!$A:$C,MATCH('Entry Anticipated Rev. Recovery'!$C$2,'Anticipated Entry Bookings'!$A$1:$C$1,0),FALSE)-VLOOKUP(F19,'Anticipated Entry Bookings'!$A:$C,2,FALSE))*VLOOKUP($F19, 'Entry Capacity Split'!$A$11:$H$38, 6, 0)/100)</f>
        <v>53.52305532753315</v>
      </c>
      <c r="Q19" s="152">
        <f ca="1">IF(VLOOKUP(F19,'Entry Prices'!$A:$R,16,FALSE)&gt;0,VLOOKUP(F19,'Entry Prices'!$A:$R,16,FALSE),0)</f>
        <v>3.5870816938962574E-2</v>
      </c>
      <c r="R19" s="153">
        <f ca="1">P19*Q19*'User Inputs'!$D$7/100</f>
        <v>7.0076923767878609</v>
      </c>
      <c r="S19" s="52">
        <f ca="1">IF(((VLOOKUP(F19,'Anticipated Entry Bookings'!$A:$C,MATCH('Entry Anticipated Rev. Recovery'!$C$2,'Anticipated Entry Bookings'!$A$1:$C$1,0),FALSE)-VLOOKUP(F19,'Anticipated Entry Bookings'!$A:$C,2,FALSE))*VLOOKUP($F19, 'Entry Capacity Split'!$A$11:$H$38, 7, 0)/100)&lt;0,0,(VLOOKUP(F19,'Anticipated Entry Bookings'!$A:$C,MATCH('Entry Anticipated Rev. Recovery'!$C$2,'Anticipated Entry Bookings'!$A$1:$C$1,0),FALSE)-VLOOKUP(F19,'Anticipated Entry Bookings'!$A:$C,2,FALSE))*VLOOKUP($F19, 'Entry Capacity Split'!$A$11:$H$38, 7, 0)/100)</f>
        <v>1772506.1134854483</v>
      </c>
      <c r="T19" s="152">
        <f ca="1">IF(VLOOKUP(F19,'Entry Prices'!$A:$R,17,FALSE)&gt;0,VLOOKUP(F19,'Entry Prices'!$A:$R,17,FALSE),0)</f>
        <v>3.5870816938962574E-2</v>
      </c>
      <c r="U19" s="153">
        <f ca="1">S19*T19*'User Inputs'!$D$7/100</f>
        <v>232071.53446810416</v>
      </c>
      <c r="V19" s="52">
        <f ca="1">IF(((VLOOKUP(F19,'Anticipated Entry Bookings'!$A:$C,MATCH('Entry Anticipated Rev. Recovery'!$C$2,'Anticipated Entry Bookings'!$A$1:$C$1,0),FALSE)-VLOOKUP(F19,'Anticipated Entry Bookings'!$A:$C,2,FALSE))*VLOOKUP($F19, 'Entry Capacity Split'!$A$11:$H$38, 8, 0)/100)&lt;0,0,(VLOOKUP(F19,'Anticipated Entry Bookings'!$A:$C,MATCH('Entry Anticipated Rev. Recovery'!$C$2,'Anticipated Entry Bookings'!$A$1:$C$1,0),FALSE)-VLOOKUP(F19,'Anticipated Entry Bookings'!$A:$C,2,FALSE))*VLOOKUP($F19, 'Entry Capacity Split'!$A$11:$H$38, 8, 0)/100)</f>
        <v>3799138.5644762511</v>
      </c>
      <c r="W19" s="152">
        <f ca="1">IF(VLOOKUP(F19,'Entry Prices'!$A:$R,18,FALSE)&gt;0,VLOOKUP(F19,'Entry Prices'!$A:$R,18,FALSE),0)</f>
        <v>3.2283735245066315E-2</v>
      </c>
      <c r="X19" s="153">
        <f ca="1">V19*W19*'User Inputs'!$D$7/100</f>
        <v>447673.90004828497</v>
      </c>
      <c r="Y19" s="53">
        <f ca="1">I19+O19+R19+U19+X19</f>
        <v>3465069.5881766793</v>
      </c>
    </row>
    <row r="20" spans="1:25" ht="15.75" customHeight="1">
      <c r="A20" s="42"/>
      <c r="B20" s="42"/>
      <c r="C20" s="42"/>
      <c r="D20" s="264"/>
      <c r="E20" s="350" t="s">
        <v>474</v>
      </c>
      <c r="F20" s="347" t="s">
        <v>17</v>
      </c>
      <c r="G20" s="52">
        <f ca="1">IF(((VLOOKUP(F20,'Anticipated Entry Bookings'!$A:$C,MATCH('Entry Anticipated Rev. Recovery'!$C$2,'Anticipated Entry Bookings'!$A$1:$C$1,0),FALSE)-VLOOKUP(F20,'Anticipated Entry Bookings'!$A:$C,2,FALSE))*VLOOKUP($F20, 'Entry Capacity Split'!$A$11:$H$38, 3, 0)/100)&lt;0,0,(VLOOKUP(F20,'Anticipated Entry Bookings'!$A:$C,MATCH('Entry Anticipated Rev. Recovery'!$C$2,'Anticipated Entry Bookings'!$A$1:$C$1,0),FALSE)-VLOOKUP(F20,'Anticipated Entry Bookings'!$A:$C,2,FALSE))*VLOOKUP($F20, 'Entry Capacity Split'!$A$11:$H$38, 3, 0)/100)</f>
        <v>0</v>
      </c>
      <c r="H20" s="152">
        <f ca="1">IF(VLOOKUP(F20,'Entry Prices'!$A:$R,13,FALSE)&gt;0,VLOOKUP(F20,'Entry Prices'!$A:$R,13,FALSE),0)</f>
        <v>3.5870816938962574E-2</v>
      </c>
      <c r="I20" s="153">
        <f ca="1">G20*H20*'User Inputs'!$D$7/100</f>
        <v>0</v>
      </c>
      <c r="J20" s="215">
        <f ca="1">IF(((VLOOKUP(F20,'Anticipated Entry Bookings'!$A:$C,MATCH('Entry Anticipated Rev. Recovery'!$C$2,'Anticipated Entry Bookings'!$A$1:$C$1,0),FALSE)-VLOOKUP(F20,'Anticipated Entry Bookings'!$A:$C,2,FALSE))*VLOOKUP($F20, 'Entry Capacity Split'!$A$11:$H$38, 4, 0)/100)&lt;0,0,(VLOOKUP(F20,'Anticipated Entry Bookings'!$A:$C,MATCH('Entry Anticipated Rev. Recovery'!$C$2,'Anticipated Entry Bookings'!$A$1:$C$1,0),FALSE)-VLOOKUP(F20,'Anticipated Entry Bookings'!$A:$C,2,FALSE))*VLOOKUP($F20, 'Entry Capacity Split'!$A$11:$H$38, 4, 0)/100)</f>
        <v>0</v>
      </c>
      <c r="K20" s="216" t="str">
        <f>IF(VLOOKUP(F20,'Entry Prices'!$A:$R,14,FALSE)&gt;0,VLOOKUP(F20,'Entry Prices'!$A:$R,14,FALSE),0)</f>
        <v>N/A</v>
      </c>
      <c r="L20" s="217" t="s">
        <v>428</v>
      </c>
      <c r="M20" s="52">
        <f ca="1">IF(((VLOOKUP(F20,'Anticipated Entry Bookings'!$A:$C,MATCH('Entry Anticipated Rev. Recovery'!$C$2,'Anticipated Entry Bookings'!$A$1:$C$1,0),FALSE)-VLOOKUP(F20,'Anticipated Entry Bookings'!$A:$C,2,FALSE))*VLOOKUP($F20, 'Entry Capacity Split'!$A$11:$H$38, 5, 0)/100)&lt;0,0,(VLOOKUP(F20,'Anticipated Entry Bookings'!$A:$C,MATCH('Entry Anticipated Rev. Recovery'!$C$2,'Anticipated Entry Bookings'!$A$1:$C$1,0),FALSE)-VLOOKUP(F20,'Anticipated Entry Bookings'!$A:$C,2,FALSE))*VLOOKUP($F20, 'Entry Capacity Split'!$A$11:$H$38, 5, 0)/100)</f>
        <v>0</v>
      </c>
      <c r="N20" s="152">
        <f ca="1">IF(VLOOKUP(F20,'Entry Prices'!$A:$R,15,FALSE)&gt;0,VLOOKUP(F20,'Entry Prices'!$A:$R,15,FALSE),0)</f>
        <v>3.5870816938962574E-2</v>
      </c>
      <c r="O20" s="153">
        <f ca="1">M20*N20*'User Inputs'!$D$7/100</f>
        <v>0</v>
      </c>
      <c r="P20" s="52">
        <f ca="1">IF(((VLOOKUP(F20,'Anticipated Entry Bookings'!$A:$C,MATCH('Entry Anticipated Rev. Recovery'!$C$2,'Anticipated Entry Bookings'!$A$1:$C$1,0),FALSE)-VLOOKUP(F20,'Anticipated Entry Bookings'!$A:$C,2,FALSE))*VLOOKUP($F20, 'Entry Capacity Split'!$A$11:$H$38, 6, 0)/100)&lt;0,0,(VLOOKUP(F20,'Anticipated Entry Bookings'!$A:$C,MATCH('Entry Anticipated Rev. Recovery'!$C$2,'Anticipated Entry Bookings'!$A$1:$C$1,0),FALSE)-VLOOKUP(F20,'Anticipated Entry Bookings'!$A:$C,2,FALSE))*VLOOKUP($F20, 'Entry Capacity Split'!$A$11:$H$38, 6, 0)/100)</f>
        <v>0</v>
      </c>
      <c r="Q20" s="152">
        <f ca="1">IF(VLOOKUP(F20,'Entry Prices'!$A:$R,16,FALSE)&gt;0,VLOOKUP(F20,'Entry Prices'!$A:$R,16,FALSE),0)</f>
        <v>3.5870816938962574E-2</v>
      </c>
      <c r="R20" s="153">
        <f ca="1">P20*Q20*'User Inputs'!$D$7/100</f>
        <v>0</v>
      </c>
      <c r="S20" s="52">
        <f ca="1">IF(((VLOOKUP(F20,'Anticipated Entry Bookings'!$A:$C,MATCH('Entry Anticipated Rev. Recovery'!$C$2,'Anticipated Entry Bookings'!$A$1:$C$1,0),FALSE)-VLOOKUP(F20,'Anticipated Entry Bookings'!$A:$C,2,FALSE))*VLOOKUP($F20, 'Entry Capacity Split'!$A$11:$H$38, 7, 0)/100)&lt;0,0,(VLOOKUP(F20,'Anticipated Entry Bookings'!$A:$C,MATCH('Entry Anticipated Rev. Recovery'!$C$2,'Anticipated Entry Bookings'!$A$1:$C$1,0),FALSE)-VLOOKUP(F20,'Anticipated Entry Bookings'!$A:$C,2,FALSE))*VLOOKUP($F20, 'Entry Capacity Split'!$A$11:$H$38, 7, 0)/100)</f>
        <v>0</v>
      </c>
      <c r="T20" s="152">
        <f ca="1">IF(VLOOKUP(F20,'Entry Prices'!$A:$R,17,FALSE)&gt;0,VLOOKUP(F20,'Entry Prices'!$A:$R,17,FALSE),0)</f>
        <v>3.5870816938962574E-2</v>
      </c>
      <c r="U20" s="153">
        <f ca="1">S20*T20*'User Inputs'!$D$7/100</f>
        <v>0</v>
      </c>
      <c r="V20" s="52">
        <f ca="1">IF(((VLOOKUP(F20,'Anticipated Entry Bookings'!$A:$C,MATCH('Entry Anticipated Rev. Recovery'!$C$2,'Anticipated Entry Bookings'!$A$1:$C$1,0),FALSE)-VLOOKUP(F20,'Anticipated Entry Bookings'!$A:$C,2,FALSE))*VLOOKUP($F20, 'Entry Capacity Split'!$A$11:$H$38, 8, 0)/100)&lt;0,0,(VLOOKUP(F20,'Anticipated Entry Bookings'!$A:$C,MATCH('Entry Anticipated Rev. Recovery'!$C$2,'Anticipated Entry Bookings'!$A$1:$C$1,0),FALSE)-VLOOKUP(F20,'Anticipated Entry Bookings'!$A:$C,2,FALSE))*VLOOKUP($F20, 'Entry Capacity Split'!$A$11:$H$38, 8, 0)/100)</f>
        <v>0</v>
      </c>
      <c r="W20" s="152">
        <f ca="1">IF(VLOOKUP(F20,'Entry Prices'!$A:$R,18,FALSE)&gt;0,VLOOKUP(F20,'Entry Prices'!$A:$R,18,FALSE),0)</f>
        <v>3.2283735245066315E-2</v>
      </c>
      <c r="X20" s="153">
        <f ca="1">V20*W20*'User Inputs'!$D$7/100</f>
        <v>0</v>
      </c>
      <c r="Y20" s="53">
        <f ca="1">I20+O20+R20+U20+X20</f>
        <v>0</v>
      </c>
    </row>
    <row r="21" spans="1:25" ht="15.75" customHeight="1">
      <c r="A21" s="42"/>
      <c r="B21" s="42"/>
      <c r="C21" s="42"/>
      <c r="D21" s="263"/>
      <c r="E21" s="350" t="s">
        <v>474</v>
      </c>
      <c r="F21" s="347" t="s">
        <v>18</v>
      </c>
      <c r="G21" s="52">
        <f ca="1">IF(((VLOOKUP(F21,'Anticipated Entry Bookings'!$A:$C,MATCH('Entry Anticipated Rev. Recovery'!$C$2,'Anticipated Entry Bookings'!$A$1:$C$1,0),FALSE)-VLOOKUP(F21,'Anticipated Entry Bookings'!$A:$C,2,FALSE))*VLOOKUP($F21, 'Entry Capacity Split'!$A$11:$H$38, 3, 0)/100)&lt;0,0,(VLOOKUP(F21,'Anticipated Entry Bookings'!$A:$C,MATCH('Entry Anticipated Rev. Recovery'!$C$2,'Anticipated Entry Bookings'!$A$1:$C$1,0),FALSE)-VLOOKUP(F21,'Anticipated Entry Bookings'!$A:$C,2,FALSE))*VLOOKUP($F21, 'Entry Capacity Split'!$A$11:$H$38, 3, 0)/100)</f>
        <v>139638.8554416789</v>
      </c>
      <c r="H21" s="152">
        <f ca="1">IF(VLOOKUP(F21,'Entry Prices'!$A:$R,13,FALSE)&gt;0,VLOOKUP(F21,'Entry Prices'!$A:$R,13,FALSE),0)</f>
        <v>7.1741633877925148E-2</v>
      </c>
      <c r="I21" s="153">
        <f ca="1">G21*H21*'User Inputs'!$D$7/100</f>
        <v>36565.406694137462</v>
      </c>
      <c r="J21" s="215">
        <f ca="1">IF(((VLOOKUP(F21,'Anticipated Entry Bookings'!$A:$C,MATCH('Entry Anticipated Rev. Recovery'!$C$2,'Anticipated Entry Bookings'!$A$1:$C$1,0),FALSE)-VLOOKUP(F21,'Anticipated Entry Bookings'!$A:$C,2,FALSE))*VLOOKUP($F21, 'Entry Capacity Split'!$A$11:$H$38, 4, 0)/100)&lt;0,0,(VLOOKUP(F21,'Anticipated Entry Bookings'!$A:$C,MATCH('Entry Anticipated Rev. Recovery'!$C$2,'Anticipated Entry Bookings'!$A$1:$C$1,0),FALSE)-VLOOKUP(F21,'Anticipated Entry Bookings'!$A:$C,2,FALSE))*VLOOKUP($F21, 'Entry Capacity Split'!$A$11:$H$38, 4, 0)/100)</f>
        <v>0</v>
      </c>
      <c r="K21" s="216" t="str">
        <f>IF(VLOOKUP(F21,'Entry Prices'!$A:$R,14,FALSE)&gt;0,VLOOKUP(F21,'Entry Prices'!$A:$R,14,FALSE),0)</f>
        <v>N/A</v>
      </c>
      <c r="L21" s="217" t="s">
        <v>428</v>
      </c>
      <c r="M21" s="52">
        <f ca="1">IF(((VLOOKUP(F21,'Anticipated Entry Bookings'!$A:$C,MATCH('Entry Anticipated Rev. Recovery'!$C$2,'Anticipated Entry Bookings'!$A$1:$C$1,0),FALSE)-VLOOKUP(F21,'Anticipated Entry Bookings'!$A:$C,2,FALSE))*VLOOKUP($F21, 'Entry Capacity Split'!$A$11:$H$38, 5, 0)/100)&lt;0,0,(VLOOKUP(F21,'Anticipated Entry Bookings'!$A:$C,MATCH('Entry Anticipated Rev. Recovery'!$C$2,'Anticipated Entry Bookings'!$A$1:$C$1,0),FALSE)-VLOOKUP(F21,'Anticipated Entry Bookings'!$A:$C,2,FALSE))*VLOOKUP($F21, 'Entry Capacity Split'!$A$11:$H$38, 5, 0)/100)</f>
        <v>0</v>
      </c>
      <c r="N21" s="152">
        <f ca="1">IF(VLOOKUP(F21,'Entry Prices'!$A:$R,15,FALSE)&gt;0,VLOOKUP(F21,'Entry Prices'!$A:$R,15,FALSE),0)</f>
        <v>7.1741633877925148E-2</v>
      </c>
      <c r="O21" s="153">
        <f ca="1">M21*N21*'User Inputs'!$D$7/100</f>
        <v>0</v>
      </c>
      <c r="P21" s="52">
        <f ca="1">IF(((VLOOKUP(F21,'Anticipated Entry Bookings'!$A:$C,MATCH('Entry Anticipated Rev. Recovery'!$C$2,'Anticipated Entry Bookings'!$A$1:$C$1,0),FALSE)-VLOOKUP(F21,'Anticipated Entry Bookings'!$A:$C,2,FALSE))*VLOOKUP($F21, 'Entry Capacity Split'!$A$11:$H$38, 6, 0)/100)&lt;0,0,(VLOOKUP(F21,'Anticipated Entry Bookings'!$A:$C,MATCH('Entry Anticipated Rev. Recovery'!$C$2,'Anticipated Entry Bookings'!$A$1:$C$1,0),FALSE)-VLOOKUP(F21,'Anticipated Entry Bookings'!$A:$C,2,FALSE))*VLOOKUP($F21, 'Entry Capacity Split'!$A$11:$H$38, 6, 0)/100)</f>
        <v>0</v>
      </c>
      <c r="Q21" s="152">
        <f ca="1">IF(VLOOKUP(F21,'Entry Prices'!$A:$R,16,FALSE)&gt;0,VLOOKUP(F21,'Entry Prices'!$A:$R,16,FALSE),0)</f>
        <v>7.1741633877925148E-2</v>
      </c>
      <c r="R21" s="153">
        <f ca="1">P21*Q21*'User Inputs'!$D$7/100</f>
        <v>0</v>
      </c>
      <c r="S21" s="52">
        <f ca="1">IF(((VLOOKUP(F21,'Anticipated Entry Bookings'!$A:$C,MATCH('Entry Anticipated Rev. Recovery'!$C$2,'Anticipated Entry Bookings'!$A$1:$C$1,0),FALSE)-VLOOKUP(F21,'Anticipated Entry Bookings'!$A:$C,2,FALSE))*VLOOKUP($F21, 'Entry Capacity Split'!$A$11:$H$38, 7, 0)/100)&lt;0,0,(VLOOKUP(F21,'Anticipated Entry Bookings'!$A:$C,MATCH('Entry Anticipated Rev. Recovery'!$C$2,'Anticipated Entry Bookings'!$A$1:$C$1,0),FALSE)-VLOOKUP(F21,'Anticipated Entry Bookings'!$A:$C,2,FALSE))*VLOOKUP($F21, 'Entry Capacity Split'!$A$11:$H$38, 7, 0)/100)</f>
        <v>4578.0370193746567</v>
      </c>
      <c r="T21" s="152">
        <f ca="1">IF(VLOOKUP(F21,'Entry Prices'!$A:$R,17,FALSE)&gt;0,VLOOKUP(F21,'Entry Prices'!$A:$R,17,FALSE),0)</f>
        <v>7.1741633877925148E-2</v>
      </c>
      <c r="U21" s="153">
        <f ca="1">S21*T21*'User Inputs'!$D$7/100</f>
        <v>1198.7908733910099</v>
      </c>
      <c r="V21" s="52">
        <f ca="1">IF(((VLOOKUP(F21,'Anticipated Entry Bookings'!$A:$C,MATCH('Entry Anticipated Rev. Recovery'!$C$2,'Anticipated Entry Bookings'!$A$1:$C$1,0),FALSE)-VLOOKUP(F21,'Anticipated Entry Bookings'!$A:$C,2,FALSE))*VLOOKUP($F21, 'Entry Capacity Split'!$A$11:$H$38, 8, 0)/100)&lt;0,0,(VLOOKUP(F21,'Anticipated Entry Bookings'!$A:$C,MATCH('Entry Anticipated Rev. Recovery'!$C$2,'Anticipated Entry Bookings'!$A$1:$C$1,0),FALSE)-VLOOKUP(F21,'Anticipated Entry Bookings'!$A:$C,2,FALSE))*VLOOKUP($F21, 'Entry Capacity Split'!$A$11:$H$38, 8, 0)/100)</f>
        <v>53043.381511576961</v>
      </c>
      <c r="W21" s="152">
        <f ca="1">IF(VLOOKUP(F21,'Entry Prices'!$A:$R,18,FALSE)&gt;0,VLOOKUP(F21,'Entry Prices'!$A:$R,18,FALSE),0)</f>
        <v>6.4567470490132631E-2</v>
      </c>
      <c r="X21" s="153">
        <f ca="1">V21*W21*'User Inputs'!$D$7/100</f>
        <v>12500.800942126412</v>
      </c>
      <c r="Y21" s="53">
        <f t="shared" ref="Y21:Y29" ca="1" si="1">I21+O21+R21+U21+X21</f>
        <v>50264.998509654884</v>
      </c>
    </row>
    <row r="22" spans="1:25" ht="15.75" customHeight="1">
      <c r="A22" s="42"/>
      <c r="B22" s="42"/>
      <c r="C22" s="42"/>
      <c r="D22" s="42"/>
      <c r="E22" s="350" t="s">
        <v>474</v>
      </c>
      <c r="F22" s="347" t="s">
        <v>19</v>
      </c>
      <c r="G22" s="52">
        <f ca="1">IF(((VLOOKUP(F22,'Anticipated Entry Bookings'!$A:$C,MATCH('Entry Anticipated Rev. Recovery'!$C$2,'Anticipated Entry Bookings'!$A$1:$C$1,0),FALSE)-VLOOKUP(F22,'Anticipated Entry Bookings'!$A:$C,2,FALSE))*VLOOKUP($F22, 'Entry Capacity Split'!$A$11:$H$38, 3, 0)/100)&lt;0,0,(VLOOKUP(F22,'Anticipated Entry Bookings'!$A:$C,MATCH('Entry Anticipated Rev. Recovery'!$C$2,'Anticipated Entry Bookings'!$A$1:$C$1,0),FALSE)-VLOOKUP(F22,'Anticipated Entry Bookings'!$A:$C,2,FALSE))*VLOOKUP($F22, 'Entry Capacity Split'!$A$11:$H$38, 3, 0)/100)</f>
        <v>0</v>
      </c>
      <c r="H22" s="152">
        <f ca="1">IF(VLOOKUP(F22,'Entry Prices'!$A:$R,13,FALSE)&gt;0,VLOOKUP(F22,'Entry Prices'!$A:$R,13,FALSE),0)</f>
        <v>7.1741633877925148E-2</v>
      </c>
      <c r="I22" s="153">
        <f ca="1">G22*H22*'User Inputs'!$D$7/100</f>
        <v>0</v>
      </c>
      <c r="J22" s="215">
        <f ca="1">IF(((VLOOKUP(F22,'Anticipated Entry Bookings'!$A:$C,MATCH('Entry Anticipated Rev. Recovery'!$C$2,'Anticipated Entry Bookings'!$A$1:$C$1,0),FALSE)-VLOOKUP(F22,'Anticipated Entry Bookings'!$A:$C,2,FALSE))*VLOOKUP($F22, 'Entry Capacity Split'!$A$11:$H$38, 4, 0)/100)&lt;0,0,(VLOOKUP(F22,'Anticipated Entry Bookings'!$A:$C,MATCH('Entry Anticipated Rev. Recovery'!$C$2,'Anticipated Entry Bookings'!$A$1:$C$1,0),FALSE)-VLOOKUP(F22,'Anticipated Entry Bookings'!$A:$C,2,FALSE))*VLOOKUP($F22, 'Entry Capacity Split'!$A$11:$H$38, 4, 0)/100)</f>
        <v>0</v>
      </c>
      <c r="K22" s="216" t="str">
        <f>IF(VLOOKUP(F22,'Entry Prices'!$A:$R,14,FALSE)&gt;0,VLOOKUP(F22,'Entry Prices'!$A:$R,14,FALSE),0)</f>
        <v>N/A</v>
      </c>
      <c r="L22" s="217" t="s">
        <v>428</v>
      </c>
      <c r="M22" s="52">
        <f ca="1">IF(((VLOOKUP(F22,'Anticipated Entry Bookings'!$A:$C,MATCH('Entry Anticipated Rev. Recovery'!$C$2,'Anticipated Entry Bookings'!$A$1:$C$1,0),FALSE)-VLOOKUP(F22,'Anticipated Entry Bookings'!$A:$C,2,FALSE))*VLOOKUP($F22, 'Entry Capacity Split'!$A$11:$H$38, 5, 0)/100)&lt;0,0,(VLOOKUP(F22,'Anticipated Entry Bookings'!$A:$C,MATCH('Entry Anticipated Rev. Recovery'!$C$2,'Anticipated Entry Bookings'!$A$1:$C$1,0),FALSE)-VLOOKUP(F22,'Anticipated Entry Bookings'!$A:$C,2,FALSE))*VLOOKUP($F22, 'Entry Capacity Split'!$A$11:$H$38, 5, 0)/100)</f>
        <v>0</v>
      </c>
      <c r="N22" s="152">
        <f ca="1">IF(VLOOKUP(F22,'Entry Prices'!$A:$R,15,FALSE)&gt;0,VLOOKUP(F22,'Entry Prices'!$A:$R,15,FALSE),0)</f>
        <v>7.1741633877925148E-2</v>
      </c>
      <c r="O22" s="153">
        <f ca="1">M22*N22*'User Inputs'!$D$7/100</f>
        <v>0</v>
      </c>
      <c r="P22" s="52">
        <f ca="1">IF(((VLOOKUP(F22,'Anticipated Entry Bookings'!$A:$C,MATCH('Entry Anticipated Rev. Recovery'!$C$2,'Anticipated Entry Bookings'!$A$1:$C$1,0),FALSE)-VLOOKUP(F22,'Anticipated Entry Bookings'!$A:$C,2,FALSE))*VLOOKUP($F22, 'Entry Capacity Split'!$A$11:$H$38, 6, 0)/100)&lt;0,0,(VLOOKUP(F22,'Anticipated Entry Bookings'!$A:$C,MATCH('Entry Anticipated Rev. Recovery'!$C$2,'Anticipated Entry Bookings'!$A$1:$C$1,0),FALSE)-VLOOKUP(F22,'Anticipated Entry Bookings'!$A:$C,2,FALSE))*VLOOKUP($F22, 'Entry Capacity Split'!$A$11:$H$38, 6, 0)/100)</f>
        <v>0</v>
      </c>
      <c r="Q22" s="152">
        <f ca="1">IF(VLOOKUP(F22,'Entry Prices'!$A:$R,16,FALSE)&gt;0,VLOOKUP(F22,'Entry Prices'!$A:$R,16,FALSE),0)</f>
        <v>7.1741633877925148E-2</v>
      </c>
      <c r="R22" s="153">
        <f ca="1">P22*Q22*'User Inputs'!$D$7/100</f>
        <v>0</v>
      </c>
      <c r="S22" s="52">
        <f ca="1">IF(((VLOOKUP(F22,'Anticipated Entry Bookings'!$A:$C,MATCH('Entry Anticipated Rev. Recovery'!$C$2,'Anticipated Entry Bookings'!$A$1:$C$1,0),FALSE)-VLOOKUP(F22,'Anticipated Entry Bookings'!$A:$C,2,FALSE))*VLOOKUP($F22, 'Entry Capacity Split'!$A$11:$H$38, 7, 0)/100)&lt;0,0,(VLOOKUP(F22,'Anticipated Entry Bookings'!$A:$C,MATCH('Entry Anticipated Rev. Recovery'!$C$2,'Anticipated Entry Bookings'!$A$1:$C$1,0),FALSE)-VLOOKUP(F22,'Anticipated Entry Bookings'!$A:$C,2,FALSE))*VLOOKUP($F22, 'Entry Capacity Split'!$A$11:$H$38, 7, 0)/100)</f>
        <v>0</v>
      </c>
      <c r="T22" s="152">
        <f ca="1">IF(VLOOKUP(F22,'Entry Prices'!$A:$R,17,FALSE)&gt;0,VLOOKUP(F22,'Entry Prices'!$A:$R,17,FALSE),0)</f>
        <v>7.1741633877925148E-2</v>
      </c>
      <c r="U22" s="153">
        <f ca="1">S22*T22*'User Inputs'!$D$7/100</f>
        <v>0</v>
      </c>
      <c r="V22" s="52">
        <f ca="1">IF(((VLOOKUP(F22,'Anticipated Entry Bookings'!$A:$C,MATCH('Entry Anticipated Rev. Recovery'!$C$2,'Anticipated Entry Bookings'!$A$1:$C$1,0),FALSE)-VLOOKUP(F22,'Anticipated Entry Bookings'!$A:$C,2,FALSE))*VLOOKUP($F22, 'Entry Capacity Split'!$A$11:$H$38, 8, 0)/100)&lt;0,0,(VLOOKUP(F22,'Anticipated Entry Bookings'!$A:$C,MATCH('Entry Anticipated Rev. Recovery'!$C$2,'Anticipated Entry Bookings'!$A$1:$C$1,0),FALSE)-VLOOKUP(F22,'Anticipated Entry Bookings'!$A:$C,2,FALSE))*VLOOKUP($F22, 'Entry Capacity Split'!$A$11:$H$38, 8, 0)/100)</f>
        <v>0</v>
      </c>
      <c r="W22" s="152">
        <f ca="1">IF(VLOOKUP(F22,'Entry Prices'!$A:$R,18,FALSE)&gt;0,VLOOKUP(F22,'Entry Prices'!$A:$R,18,FALSE),0)</f>
        <v>6.4567470490132631E-2</v>
      </c>
      <c r="X22" s="153">
        <f ca="1">V22*W22*'User Inputs'!$D$7/100</f>
        <v>0</v>
      </c>
      <c r="Y22" s="53">
        <f t="shared" ca="1" si="1"/>
        <v>0</v>
      </c>
    </row>
    <row r="23" spans="1:25" ht="15.75" customHeight="1">
      <c r="A23" s="42"/>
      <c r="B23" s="42"/>
      <c r="C23" s="42"/>
      <c r="D23" s="241"/>
      <c r="E23" s="350" t="s">
        <v>474</v>
      </c>
      <c r="F23" s="347" t="s">
        <v>20</v>
      </c>
      <c r="G23" s="52">
        <f ca="1">IF(((VLOOKUP(F23,'Anticipated Entry Bookings'!$A:$C,MATCH('Entry Anticipated Rev. Recovery'!$C$2,'Anticipated Entry Bookings'!$A$1:$C$1,0),FALSE)-VLOOKUP(F23,'Anticipated Entry Bookings'!$A:$C,2,FALSE))*VLOOKUP($F23, 'Entry Capacity Split'!$A$11:$H$38, 3, 0)/100)&lt;0,0,(VLOOKUP(F23,'Anticipated Entry Bookings'!$A:$C,MATCH('Entry Anticipated Rev. Recovery'!$C$2,'Anticipated Entry Bookings'!$A$1:$C$1,0),FALSE)-VLOOKUP(F23,'Anticipated Entry Bookings'!$A:$C,2,FALSE))*VLOOKUP($F23, 'Entry Capacity Split'!$A$11:$H$38, 3, 0)/100)</f>
        <v>31814.320025780882</v>
      </c>
      <c r="H23" s="152">
        <f ca="1">IF(VLOOKUP(F23,'Entry Prices'!$A:$R,13,FALSE)&gt;0,VLOOKUP(F23,'Entry Prices'!$A:$R,13,FALSE),0)</f>
        <v>3.5870816938962574E-2</v>
      </c>
      <c r="I23" s="153">
        <f ca="1">G23*H23*'User Inputs'!$D$7/100</f>
        <v>4165.4006213406028</v>
      </c>
      <c r="J23" s="215">
        <f ca="1">IF(((VLOOKUP(F23,'Anticipated Entry Bookings'!$A:$C,MATCH('Entry Anticipated Rev. Recovery'!$C$2,'Anticipated Entry Bookings'!$A$1:$C$1,0),FALSE)-VLOOKUP(F23,'Anticipated Entry Bookings'!$A:$C,2,FALSE))*VLOOKUP($F23, 'Entry Capacity Split'!$A$11:$H$38, 4, 0)/100)&lt;0,0,(VLOOKUP(F23,'Anticipated Entry Bookings'!$A:$C,MATCH('Entry Anticipated Rev. Recovery'!$C$2,'Anticipated Entry Bookings'!$A$1:$C$1,0),FALSE)-VLOOKUP(F23,'Anticipated Entry Bookings'!$A:$C,2,FALSE))*VLOOKUP($F23, 'Entry Capacity Split'!$A$11:$H$38, 4, 0)/100)</f>
        <v>0</v>
      </c>
      <c r="K23" s="216" t="str">
        <f>IF(VLOOKUP(F23,'Entry Prices'!$A:$R,14,FALSE)&gt;0,VLOOKUP(F23,'Entry Prices'!$A:$R,14,FALSE),0)</f>
        <v>N/A</v>
      </c>
      <c r="L23" s="217" t="s">
        <v>428</v>
      </c>
      <c r="M23" s="52">
        <f ca="1">IF(((VLOOKUP(F23,'Anticipated Entry Bookings'!$A:$C,MATCH('Entry Anticipated Rev. Recovery'!$C$2,'Anticipated Entry Bookings'!$A$1:$C$1,0),FALSE)-VLOOKUP(F23,'Anticipated Entry Bookings'!$A:$C,2,FALSE))*VLOOKUP($F23, 'Entry Capacity Split'!$A$11:$H$38, 5, 0)/100)&lt;0,0,(VLOOKUP(F23,'Anticipated Entry Bookings'!$A:$C,MATCH('Entry Anticipated Rev. Recovery'!$C$2,'Anticipated Entry Bookings'!$A$1:$C$1,0),FALSE)-VLOOKUP(F23,'Anticipated Entry Bookings'!$A:$C,2,FALSE))*VLOOKUP($F23, 'Entry Capacity Split'!$A$11:$H$38, 5, 0)/100)</f>
        <v>0</v>
      </c>
      <c r="N23" s="152">
        <f ca="1">IF(VLOOKUP(F23,'Entry Prices'!$A:$R,15,FALSE)&gt;0,VLOOKUP(F23,'Entry Prices'!$A:$R,15,FALSE),0)</f>
        <v>3.5870816938962574E-2</v>
      </c>
      <c r="O23" s="153">
        <f ca="1">M23*N23*'User Inputs'!$D$7/100</f>
        <v>0</v>
      </c>
      <c r="P23" s="52">
        <f ca="1">IF(((VLOOKUP(F23,'Anticipated Entry Bookings'!$A:$C,MATCH('Entry Anticipated Rev. Recovery'!$C$2,'Anticipated Entry Bookings'!$A$1:$C$1,0),FALSE)-VLOOKUP(F23,'Anticipated Entry Bookings'!$A:$C,2,FALSE))*VLOOKUP($F23, 'Entry Capacity Split'!$A$11:$H$38, 6, 0)/100)&lt;0,0,(VLOOKUP(F23,'Anticipated Entry Bookings'!$A:$C,MATCH('Entry Anticipated Rev. Recovery'!$C$2,'Anticipated Entry Bookings'!$A$1:$C$1,0),FALSE)-VLOOKUP(F23,'Anticipated Entry Bookings'!$A:$C,2,FALSE))*VLOOKUP($F23, 'Entry Capacity Split'!$A$11:$H$38, 6, 0)/100)</f>
        <v>8.004293810494581E-2</v>
      </c>
      <c r="Q23" s="152">
        <f ca="1">IF(VLOOKUP(F23,'Entry Prices'!$A:$R,16,FALSE)&gt;0,VLOOKUP(F23,'Entry Prices'!$A:$R,16,FALSE),0)</f>
        <v>3.5870816938962574E-2</v>
      </c>
      <c r="R23" s="153">
        <f ca="1">P23*Q23*'User Inputs'!$D$7/100</f>
        <v>1.0479900367070165E-2</v>
      </c>
      <c r="S23" s="52">
        <f ca="1">IF(((VLOOKUP(F23,'Anticipated Entry Bookings'!$A:$C,MATCH('Entry Anticipated Rev. Recovery'!$C$2,'Anticipated Entry Bookings'!$A$1:$C$1,0),FALSE)-VLOOKUP(F23,'Anticipated Entry Bookings'!$A:$C,2,FALSE))*VLOOKUP($F23, 'Entry Capacity Split'!$A$11:$H$38, 7, 0)/100)&lt;0,0,(VLOOKUP(F23,'Anticipated Entry Bookings'!$A:$C,MATCH('Entry Anticipated Rev. Recovery'!$C$2,'Anticipated Entry Bookings'!$A$1:$C$1,0),FALSE)-VLOOKUP(F23,'Anticipated Entry Bookings'!$A:$C,2,FALSE))*VLOOKUP($F23, 'Entry Capacity Split'!$A$11:$H$38, 7, 0)/100)</f>
        <v>2650.756692870822</v>
      </c>
      <c r="T23" s="152">
        <f ca="1">IF(VLOOKUP(F23,'Entry Prices'!$A:$R,17,FALSE)&gt;0,VLOOKUP(F23,'Entry Prices'!$A:$R,17,FALSE),0)</f>
        <v>3.5870816938962574E-2</v>
      </c>
      <c r="U23" s="153">
        <f ca="1">S23*T23*'User Inputs'!$D$7/100</f>
        <v>347.0595494909017</v>
      </c>
      <c r="V23" s="52">
        <f ca="1">IF(((VLOOKUP(F23,'Anticipated Entry Bookings'!$A:$C,MATCH('Entry Anticipated Rev. Recovery'!$C$2,'Anticipated Entry Bookings'!$A$1:$C$1,0),FALSE)-VLOOKUP(F23,'Anticipated Entry Bookings'!$A:$C,2,FALSE))*VLOOKUP($F23, 'Entry Capacity Split'!$A$11:$H$38, 8, 0)/100)&lt;0,0,(VLOOKUP(F23,'Anticipated Entry Bookings'!$A:$C,MATCH('Entry Anticipated Rev. Recovery'!$C$2,'Anticipated Entry Bookings'!$A$1:$C$1,0),FALSE)-VLOOKUP(F23,'Anticipated Entry Bookings'!$A:$C,2,FALSE))*VLOOKUP($F23, 'Entry Capacity Split'!$A$11:$H$38, 8, 0)/100)</f>
        <v>5681.5555671773118</v>
      </c>
      <c r="W23" s="152">
        <f ca="1">IF(VLOOKUP(F23,'Entry Prices'!$A:$R,18,FALSE)&gt;0,VLOOKUP(F23,'Entry Prices'!$A:$R,18,FALSE),0)</f>
        <v>3.2283735245066315E-2</v>
      </c>
      <c r="X23" s="153">
        <f ca="1">V23*W23*'User Inputs'!$D$7/100</f>
        <v>669.48970034472995</v>
      </c>
      <c r="Y23" s="53">
        <f t="shared" ca="1" si="1"/>
        <v>5181.9603510766028</v>
      </c>
    </row>
    <row r="24" spans="1:25">
      <c r="A24" s="42"/>
      <c r="B24" s="42"/>
      <c r="C24" s="42"/>
      <c r="D24" s="241"/>
      <c r="E24" s="350" t="s">
        <v>474</v>
      </c>
      <c r="F24" s="347" t="s">
        <v>155</v>
      </c>
      <c r="G24" s="52">
        <f ca="1">IF(((VLOOKUP(F24,'Anticipated Entry Bookings'!$A:$C,MATCH('Entry Anticipated Rev. Recovery'!$C$2,'Anticipated Entry Bookings'!$A$1:$C$1,0),FALSE)-VLOOKUP(F24,'Anticipated Entry Bookings'!$A:$C,2,FALSE))*VLOOKUP($F24, 'Entry Capacity Split'!$A$11:$H$38, 3, 0)/100)&lt;0,0,(VLOOKUP(F24,'Anticipated Entry Bookings'!$A:$C,MATCH('Entry Anticipated Rev. Recovery'!$C$2,'Anticipated Entry Bookings'!$A$1:$C$1,0),FALSE)-VLOOKUP(F24,'Anticipated Entry Bookings'!$A:$C,2,FALSE))*VLOOKUP($F24, 'Entry Capacity Split'!$A$11:$H$38, 3, 0)/100)</f>
        <v>0</v>
      </c>
      <c r="H24" s="152">
        <f ca="1">IF(VLOOKUP(F24,'Entry Prices'!$A:$R,13,FALSE)&gt;0,VLOOKUP(F24,'Entry Prices'!$A:$R,13,FALSE),0)</f>
        <v>7.1741633877925148E-2</v>
      </c>
      <c r="I24" s="153">
        <f ca="1">G24*H24*'User Inputs'!$D$7/100</f>
        <v>0</v>
      </c>
      <c r="J24" s="215">
        <f ca="1">IF(((VLOOKUP(F24,'Anticipated Entry Bookings'!$A:$C,MATCH('Entry Anticipated Rev. Recovery'!$C$2,'Anticipated Entry Bookings'!$A$1:$C$1,0),FALSE)-VLOOKUP(F24,'Anticipated Entry Bookings'!$A:$C,2,FALSE))*VLOOKUP($F24, 'Entry Capacity Split'!$A$11:$H$38, 4, 0)/100)&lt;0,0,(VLOOKUP(F24,'Anticipated Entry Bookings'!$A:$C,MATCH('Entry Anticipated Rev. Recovery'!$C$2,'Anticipated Entry Bookings'!$A$1:$C$1,0),FALSE)-VLOOKUP(F24,'Anticipated Entry Bookings'!$A:$C,2,FALSE))*VLOOKUP($F24, 'Entry Capacity Split'!$A$11:$H$38, 4, 0)/100)</f>
        <v>0</v>
      </c>
      <c r="K24" s="216" t="str">
        <f>IF(VLOOKUP(F24,'Entry Prices'!$A:$R,14,FALSE)&gt;0,VLOOKUP(F24,'Entry Prices'!$A:$R,14,FALSE),0)</f>
        <v>N/A</v>
      </c>
      <c r="L24" s="217" t="s">
        <v>428</v>
      </c>
      <c r="M24" s="52">
        <f ca="1">IF(((VLOOKUP(F24,'Anticipated Entry Bookings'!$A:$C,MATCH('Entry Anticipated Rev. Recovery'!$C$2,'Anticipated Entry Bookings'!$A$1:$C$1,0),FALSE)-VLOOKUP(F24,'Anticipated Entry Bookings'!$A:$C,2,FALSE))*VLOOKUP($F24, 'Entry Capacity Split'!$A$11:$H$38, 5, 0)/100)&lt;0,0,(VLOOKUP(F24,'Anticipated Entry Bookings'!$A:$C,MATCH('Entry Anticipated Rev. Recovery'!$C$2,'Anticipated Entry Bookings'!$A$1:$C$1,0),FALSE)-VLOOKUP(F24,'Anticipated Entry Bookings'!$A:$C,2,FALSE))*VLOOKUP($F24, 'Entry Capacity Split'!$A$11:$H$38, 5, 0)/100)</f>
        <v>0</v>
      </c>
      <c r="N24" s="152">
        <f ca="1">IF(VLOOKUP(F24,'Entry Prices'!$A:$R,15,FALSE)&gt;0,VLOOKUP(F24,'Entry Prices'!$A:$R,15,FALSE),0)</f>
        <v>7.1741633877925148E-2</v>
      </c>
      <c r="O24" s="153">
        <f ca="1">M24*N24*'User Inputs'!$D$7/100</f>
        <v>0</v>
      </c>
      <c r="P24" s="52">
        <f ca="1">IF(((VLOOKUP(F24,'Anticipated Entry Bookings'!$A:$C,MATCH('Entry Anticipated Rev. Recovery'!$C$2,'Anticipated Entry Bookings'!$A$1:$C$1,0),FALSE)-VLOOKUP(F24,'Anticipated Entry Bookings'!$A:$C,2,FALSE))*VLOOKUP($F24, 'Entry Capacity Split'!$A$11:$H$38, 6, 0)/100)&lt;0,0,(VLOOKUP(F24,'Anticipated Entry Bookings'!$A:$C,MATCH('Entry Anticipated Rev. Recovery'!$C$2,'Anticipated Entry Bookings'!$A$1:$C$1,0),FALSE)-VLOOKUP(F24,'Anticipated Entry Bookings'!$A:$C,2,FALSE))*VLOOKUP($F24, 'Entry Capacity Split'!$A$11:$H$38, 6, 0)/100)</f>
        <v>0</v>
      </c>
      <c r="Q24" s="152">
        <f ca="1">IF(VLOOKUP(F24,'Entry Prices'!$A:$R,16,FALSE)&gt;0,VLOOKUP(F24,'Entry Prices'!$A:$R,16,FALSE),0)</f>
        <v>7.1741633877925148E-2</v>
      </c>
      <c r="R24" s="153">
        <f ca="1">P24*Q24*'User Inputs'!$D$7/100</f>
        <v>0</v>
      </c>
      <c r="S24" s="52">
        <f ca="1">IF(((VLOOKUP(F24,'Anticipated Entry Bookings'!$A:$C,MATCH('Entry Anticipated Rev. Recovery'!$C$2,'Anticipated Entry Bookings'!$A$1:$C$1,0),FALSE)-VLOOKUP(F24,'Anticipated Entry Bookings'!$A:$C,2,FALSE))*VLOOKUP($F24, 'Entry Capacity Split'!$A$11:$H$38, 7, 0)/100)&lt;0,0,(VLOOKUP(F24,'Anticipated Entry Bookings'!$A:$C,MATCH('Entry Anticipated Rev. Recovery'!$C$2,'Anticipated Entry Bookings'!$A$1:$C$1,0),FALSE)-VLOOKUP(F24,'Anticipated Entry Bookings'!$A:$C,2,FALSE))*VLOOKUP($F24, 'Entry Capacity Split'!$A$11:$H$38, 7, 0)/100)</f>
        <v>0</v>
      </c>
      <c r="T24" s="152">
        <f ca="1">IF(VLOOKUP(F24,'Entry Prices'!$A:$R,17,FALSE)&gt;0,VLOOKUP(F24,'Entry Prices'!$A:$R,17,FALSE),0)</f>
        <v>7.1741633877925148E-2</v>
      </c>
      <c r="U24" s="153">
        <f ca="1">S24*T24*'User Inputs'!$D$7/100</f>
        <v>0</v>
      </c>
      <c r="V24" s="52">
        <f ca="1">IF(((VLOOKUP(F24,'Anticipated Entry Bookings'!$A:$C,MATCH('Entry Anticipated Rev. Recovery'!$C$2,'Anticipated Entry Bookings'!$A$1:$C$1,0),FALSE)-VLOOKUP(F24,'Anticipated Entry Bookings'!$A:$C,2,FALSE))*VLOOKUP($F24, 'Entry Capacity Split'!$A$11:$H$38, 8, 0)/100)&lt;0,0,(VLOOKUP(F24,'Anticipated Entry Bookings'!$A:$C,MATCH('Entry Anticipated Rev. Recovery'!$C$2,'Anticipated Entry Bookings'!$A$1:$C$1,0),FALSE)-VLOOKUP(F24,'Anticipated Entry Bookings'!$A:$C,2,FALSE))*VLOOKUP($F24, 'Entry Capacity Split'!$A$11:$H$38, 8, 0)/100)</f>
        <v>0</v>
      </c>
      <c r="W24" s="152">
        <f ca="1">IF(VLOOKUP(F24,'Entry Prices'!$A:$R,18,FALSE)&gt;0,VLOOKUP(F24,'Entry Prices'!$A:$R,18,FALSE),0)</f>
        <v>6.4567470490132631E-2</v>
      </c>
      <c r="X24" s="153">
        <f ca="1">V24*W24*'User Inputs'!$D$7/100</f>
        <v>0</v>
      </c>
      <c r="Y24" s="53">
        <f t="shared" ca="1" si="1"/>
        <v>0</v>
      </c>
    </row>
    <row r="25" spans="1:25">
      <c r="A25" s="42"/>
      <c r="B25" s="42"/>
      <c r="C25" s="42"/>
      <c r="D25" s="241"/>
      <c r="E25" s="350" t="s">
        <v>474</v>
      </c>
      <c r="F25" s="347" t="s">
        <v>533</v>
      </c>
      <c r="G25" s="52">
        <f ca="1">IF(((VLOOKUP(F25,'Anticipated Entry Bookings'!$A:$C,MATCH('Entry Anticipated Rev. Recovery'!$C$2,'Anticipated Entry Bookings'!$A$1:$C$1,0),FALSE)-VLOOKUP(F25,'Anticipated Entry Bookings'!$A:$C,2,FALSE))*VLOOKUP($F25, 'Entry Capacity Split'!$A$11:$H$38, 3, 0)/100)&lt;0,0,(VLOOKUP(F25,'Anticipated Entry Bookings'!$A:$C,MATCH('Entry Anticipated Rev. Recovery'!$C$2,'Anticipated Entry Bookings'!$A$1:$C$1,0),FALSE)-VLOOKUP(F25,'Anticipated Entry Bookings'!$A:$C,2,FALSE))*VLOOKUP($F25, 'Entry Capacity Split'!$A$11:$H$38, 3, 0)/100)</f>
        <v>289994.09230481938</v>
      </c>
      <c r="H25" s="152">
        <f ca="1">IF(VLOOKUP(F25,'Entry Prices'!$A:$R,13,FALSE)&gt;0,VLOOKUP(F25,'Entry Prices'!$A:$R,13,FALSE),0)</f>
        <v>7.1741633877925148E-2</v>
      </c>
      <c r="I25" s="153">
        <f ca="1">G25*H25*'User Inputs'!$D$7/100</f>
        <v>75936.972488661573</v>
      </c>
      <c r="J25" s="215">
        <f ca="1">IF(((VLOOKUP(F25,'Anticipated Entry Bookings'!$A:$C,MATCH('Entry Anticipated Rev. Recovery'!$C$2,'Anticipated Entry Bookings'!$A$1:$C$1,0),FALSE)-VLOOKUP(F25,'Anticipated Entry Bookings'!$A:$C,2,FALSE))*VLOOKUP($F25, 'Entry Capacity Split'!$A$11:$H$38, 4, 0)/100)&lt;0,0,(VLOOKUP(F25,'Anticipated Entry Bookings'!$A:$C,MATCH('Entry Anticipated Rev. Recovery'!$C$2,'Anticipated Entry Bookings'!$A$1:$C$1,0),FALSE)-VLOOKUP(F25,'Anticipated Entry Bookings'!$A:$C,2,FALSE))*VLOOKUP($F25, 'Entry Capacity Split'!$A$11:$H$38, 4, 0)/100)</f>
        <v>0</v>
      </c>
      <c r="K25" s="216" t="str">
        <f>IF(VLOOKUP(F25,'Entry Prices'!$A:$R,14,FALSE)&gt;0,VLOOKUP(F25,'Entry Prices'!$A:$R,14,FALSE),0)</f>
        <v>N/A</v>
      </c>
      <c r="L25" s="217" t="s">
        <v>428</v>
      </c>
      <c r="M25" s="52">
        <f ca="1">IF(((VLOOKUP(F25,'Anticipated Entry Bookings'!$A:$C,MATCH('Entry Anticipated Rev. Recovery'!$C$2,'Anticipated Entry Bookings'!$A$1:$C$1,0),FALSE)-VLOOKUP(F25,'Anticipated Entry Bookings'!$A:$C,2,FALSE))*VLOOKUP($F25, 'Entry Capacity Split'!$A$11:$H$38, 5, 0)/100)&lt;0,0,(VLOOKUP(F25,'Anticipated Entry Bookings'!$A:$C,MATCH('Entry Anticipated Rev. Recovery'!$C$2,'Anticipated Entry Bookings'!$A$1:$C$1,0),FALSE)-VLOOKUP(F25,'Anticipated Entry Bookings'!$A:$C,2,FALSE))*VLOOKUP($F25, 'Entry Capacity Split'!$A$11:$H$38, 5, 0)/100)</f>
        <v>0</v>
      </c>
      <c r="N25" s="152">
        <f ca="1">IF(VLOOKUP(F25,'Entry Prices'!$A:$R,15,FALSE)&gt;0,VLOOKUP(F25,'Entry Prices'!$A:$R,15,FALSE),0)</f>
        <v>7.1741633877925148E-2</v>
      </c>
      <c r="O25" s="153">
        <f ca="1">M25*N25*'User Inputs'!$D$7/100</f>
        <v>0</v>
      </c>
      <c r="P25" s="52">
        <f ca="1">IF(((VLOOKUP(F25,'Anticipated Entry Bookings'!$A:$C,MATCH('Entry Anticipated Rev. Recovery'!$C$2,'Anticipated Entry Bookings'!$A$1:$C$1,0),FALSE)-VLOOKUP(F25,'Anticipated Entry Bookings'!$A:$C,2,FALSE))*VLOOKUP($F25, 'Entry Capacity Split'!$A$11:$H$38, 6, 0)/100)&lt;0,0,(VLOOKUP(F25,'Anticipated Entry Bookings'!$A:$C,MATCH('Entry Anticipated Rev. Recovery'!$C$2,'Anticipated Entry Bookings'!$A$1:$C$1,0),FALSE)-VLOOKUP(F25,'Anticipated Entry Bookings'!$A:$C,2,FALSE))*VLOOKUP($F25, 'Entry Capacity Split'!$A$11:$H$38, 6, 0)/100)</f>
        <v>110.42534639952393</v>
      </c>
      <c r="Q25" s="152">
        <f ca="1">IF(VLOOKUP(F25,'Entry Prices'!$A:$R,16,FALSE)&gt;0,VLOOKUP(F25,'Entry Prices'!$A:$R,16,FALSE),0)</f>
        <v>7.1741633877925148E-2</v>
      </c>
      <c r="R25" s="153">
        <f ca="1">P25*Q25*'User Inputs'!$D$7/100</f>
        <v>28.915645918667629</v>
      </c>
      <c r="S25" s="52">
        <f ca="1">IF(((VLOOKUP(F25,'Anticipated Entry Bookings'!$A:$C,MATCH('Entry Anticipated Rev. Recovery'!$C$2,'Anticipated Entry Bookings'!$A$1:$C$1,0),FALSE)-VLOOKUP(F25,'Anticipated Entry Bookings'!$A:$C,2,FALSE))*VLOOKUP($F25, 'Entry Capacity Split'!$A$11:$H$38, 7, 0)/100)&lt;0,0,(VLOOKUP(F25,'Anticipated Entry Bookings'!$A:$C,MATCH('Entry Anticipated Rev. Recovery'!$C$2,'Anticipated Entry Bookings'!$A$1:$C$1,0),FALSE)-VLOOKUP(F25,'Anticipated Entry Bookings'!$A:$C,2,FALSE))*VLOOKUP($F25, 'Entry Capacity Split'!$A$11:$H$38, 7, 0)/100)</f>
        <v>81954.540720580131</v>
      </c>
      <c r="T25" s="152">
        <f ca="1">IF(VLOOKUP(F25,'Entry Prices'!$A:$R,17,FALSE)&gt;0,VLOOKUP(F25,'Entry Prices'!$A:$R,17,FALSE),0)</f>
        <v>7.1741633877925148E-2</v>
      </c>
      <c r="U25" s="153">
        <f ca="1">S25*T25*'User Inputs'!$D$7/100</f>
        <v>21460.367190784193</v>
      </c>
      <c r="V25" s="52">
        <f ca="1">IF(((VLOOKUP(F25,'Anticipated Entry Bookings'!$A:$C,MATCH('Entry Anticipated Rev. Recovery'!$C$2,'Anticipated Entry Bookings'!$A$1:$C$1,0),FALSE)-VLOOKUP(F25,'Anticipated Entry Bookings'!$A:$C,2,FALSE))*VLOOKUP($F25, 'Entry Capacity Split'!$A$11:$H$38, 8, 0)/100)&lt;0,0,(VLOOKUP(F25,'Anticipated Entry Bookings'!$A:$C,MATCH('Entry Anticipated Rev. Recovery'!$C$2,'Anticipated Entry Bookings'!$A$1:$C$1,0),FALSE)-VLOOKUP(F25,'Anticipated Entry Bookings'!$A:$C,2,FALSE))*VLOOKUP($F25, 'Entry Capacity Split'!$A$11:$H$38, 8, 0)/100)</f>
        <v>127940.94162820098</v>
      </c>
      <c r="W25" s="152">
        <f ca="1">IF(VLOOKUP(F25,'Entry Prices'!$A:$R,18,FALSE)&gt;0,VLOOKUP(F25,'Entry Prices'!$A:$R,18,FALSE),0)</f>
        <v>6.4567470490132631E-2</v>
      </c>
      <c r="X25" s="153">
        <f ca="1">V25*W25*'User Inputs'!$D$7/100</f>
        <v>30152.003851664067</v>
      </c>
      <c r="Y25" s="53">
        <f ca="1">I25+O25+R25+U25+X25</f>
        <v>127578.25917702849</v>
      </c>
    </row>
    <row r="26" spans="1:25" ht="15.75" customHeight="1">
      <c r="A26" s="42"/>
      <c r="B26" s="42"/>
      <c r="C26" s="42"/>
      <c r="D26" s="262"/>
      <c r="E26" s="350" t="s">
        <v>474</v>
      </c>
      <c r="F26" s="347" t="s">
        <v>21</v>
      </c>
      <c r="G26" s="52">
        <f ca="1">IF(((VLOOKUP(F26,'Anticipated Entry Bookings'!$A:$C,MATCH('Entry Anticipated Rev. Recovery'!$C$2,'Anticipated Entry Bookings'!$A$1:$C$1,0),FALSE)-VLOOKUP(F26,'Anticipated Entry Bookings'!$A:$C,2,FALSE))*VLOOKUP($F26, 'Entry Capacity Split'!$A$11:$H$38, 3, 0)/100)&lt;0,0,(VLOOKUP(F26,'Anticipated Entry Bookings'!$A:$C,MATCH('Entry Anticipated Rev. Recovery'!$C$2,'Anticipated Entry Bookings'!$A$1:$C$1,0),FALSE)-VLOOKUP(F26,'Anticipated Entry Bookings'!$A:$C,2,FALSE))*VLOOKUP($F26, 'Entry Capacity Split'!$A$11:$H$38, 3, 0)/100)</f>
        <v>180285551.10959825</v>
      </c>
      <c r="H26" s="152">
        <f ca="1">IF(VLOOKUP(F26,'Entry Prices'!$A:$R,13,FALSE)&gt;0,VLOOKUP(F26,'Entry Prices'!$A:$R,13,FALSE),0)</f>
        <v>7.1741633877925148E-2</v>
      </c>
      <c r="I26" s="153">
        <f ca="1">G26*H26*'User Inputs'!$D$7/100</f>
        <v>47209027.004324369</v>
      </c>
      <c r="J26" s="215">
        <f ca="1">IF(((VLOOKUP(F26,'Anticipated Entry Bookings'!$A:$C,MATCH('Entry Anticipated Rev. Recovery'!$C$2,'Anticipated Entry Bookings'!$A$1:$C$1,0),FALSE)-VLOOKUP(F26,'Anticipated Entry Bookings'!$A:$C,2,FALSE))*VLOOKUP($F26, 'Entry Capacity Split'!$A$11:$H$38, 4, 0)/100)&lt;0,0,(VLOOKUP(F26,'Anticipated Entry Bookings'!$A:$C,MATCH('Entry Anticipated Rev. Recovery'!$C$2,'Anticipated Entry Bookings'!$A$1:$C$1,0),FALSE)-VLOOKUP(F26,'Anticipated Entry Bookings'!$A:$C,2,FALSE))*VLOOKUP($F26, 'Entry Capacity Split'!$A$11:$H$38, 4, 0)/100)</f>
        <v>0</v>
      </c>
      <c r="K26" s="216" t="str">
        <f>IF(VLOOKUP(F26,'Entry Prices'!$A:$R,14,FALSE)&gt;0,VLOOKUP(F26,'Entry Prices'!$A:$R,14,FALSE),0)</f>
        <v>N/A</v>
      </c>
      <c r="L26" s="217" t="s">
        <v>428</v>
      </c>
      <c r="M26" s="52">
        <f ca="1">IF(((VLOOKUP(F26,'Anticipated Entry Bookings'!$A:$C,MATCH('Entry Anticipated Rev. Recovery'!$C$2,'Anticipated Entry Bookings'!$A$1:$C$1,0),FALSE)-VLOOKUP(F26,'Anticipated Entry Bookings'!$A:$C,2,FALSE))*VLOOKUP($F26, 'Entry Capacity Split'!$A$11:$H$38, 5, 0)/100)&lt;0,0,(VLOOKUP(F26,'Anticipated Entry Bookings'!$A:$C,MATCH('Entry Anticipated Rev. Recovery'!$C$2,'Anticipated Entry Bookings'!$A$1:$C$1,0),FALSE)-VLOOKUP(F26,'Anticipated Entry Bookings'!$A:$C,2,FALSE))*VLOOKUP($F26, 'Entry Capacity Split'!$A$11:$H$38, 5, 0)/100)</f>
        <v>22958378.445047818</v>
      </c>
      <c r="N26" s="152">
        <f ca="1">IF(VLOOKUP(F26,'Entry Prices'!$A:$R,15,FALSE)&gt;0,VLOOKUP(F26,'Entry Prices'!$A:$R,15,FALSE),0)</f>
        <v>7.1741633877925148E-2</v>
      </c>
      <c r="O26" s="153">
        <f ca="1">M26*N26*'User Inputs'!$D$7/100</f>
        <v>6011811.2700494621</v>
      </c>
      <c r="P26" s="52">
        <f ca="1">IF(((VLOOKUP(F26,'Anticipated Entry Bookings'!$A:$C,MATCH('Entry Anticipated Rev. Recovery'!$C$2,'Anticipated Entry Bookings'!$A$1:$C$1,0),FALSE)-VLOOKUP(F26,'Anticipated Entry Bookings'!$A:$C,2,FALSE))*VLOOKUP($F26, 'Entry Capacity Split'!$A$11:$H$38, 6, 0)/100)&lt;0,0,(VLOOKUP(F26,'Anticipated Entry Bookings'!$A:$C,MATCH('Entry Anticipated Rev. Recovery'!$C$2,'Anticipated Entry Bookings'!$A$1:$C$1,0),FALSE)-VLOOKUP(F26,'Anticipated Entry Bookings'!$A:$C,2,FALSE))*VLOOKUP($F26, 'Entry Capacity Split'!$A$11:$H$38, 6, 0)/100)</f>
        <v>4593.9319623041984</v>
      </c>
      <c r="Q26" s="152">
        <f ca="1">IF(VLOOKUP(F26,'Entry Prices'!$A:$R,16,FALSE)&gt;0,VLOOKUP(F26,'Entry Prices'!$A:$R,16,FALSE),0)</f>
        <v>7.1741633877925148E-2</v>
      </c>
      <c r="R26" s="153">
        <f ca="1">P26*Q26*'User Inputs'!$D$7/100</f>
        <v>1202.953074884</v>
      </c>
      <c r="S26" s="52">
        <f ca="1">IF(((VLOOKUP(F26,'Anticipated Entry Bookings'!$A:$C,MATCH('Entry Anticipated Rev. Recovery'!$C$2,'Anticipated Entry Bookings'!$A$1:$C$1,0),FALSE)-VLOOKUP(F26,'Anticipated Entry Bookings'!$A:$C,2,FALSE))*VLOOKUP($F26, 'Entry Capacity Split'!$A$11:$H$38, 7, 0)/100)&lt;0,0,(VLOOKUP(F26,'Anticipated Entry Bookings'!$A:$C,MATCH('Entry Anticipated Rev. Recovery'!$C$2,'Anticipated Entry Bookings'!$A$1:$C$1,0),FALSE)-VLOOKUP(F26,'Anticipated Entry Bookings'!$A:$C,2,FALSE))*VLOOKUP($F26, 'Entry Capacity Split'!$A$11:$H$38, 7, 0)/100)</f>
        <v>311484671.23906344</v>
      </c>
      <c r="T26" s="152">
        <f ca="1">IF(VLOOKUP(F26,'Entry Prices'!$A:$R,17,FALSE)&gt;0,VLOOKUP(F26,'Entry Prices'!$A:$R,17,FALSE),0)</f>
        <v>7.1741633877925148E-2</v>
      </c>
      <c r="U26" s="153">
        <f ca="1">S26*T26*'User Inputs'!$D$7/100</f>
        <v>81564430.23555851</v>
      </c>
      <c r="V26" s="52">
        <f ca="1">IF(((VLOOKUP(F26,'Anticipated Entry Bookings'!$A:$C,MATCH('Entry Anticipated Rev. Recovery'!$C$2,'Anticipated Entry Bookings'!$A$1:$C$1,0),FALSE)-VLOOKUP(F26,'Anticipated Entry Bookings'!$A:$C,2,FALSE))*VLOOKUP($F26, 'Entry Capacity Split'!$A$11:$H$38, 8, 0)/100)&lt;0,0,(VLOOKUP(F26,'Anticipated Entry Bookings'!$A:$C,MATCH('Entry Anticipated Rev. Recovery'!$C$2,'Anticipated Entry Bookings'!$A$1:$C$1,0),FALSE)-VLOOKUP(F26,'Anticipated Entry Bookings'!$A:$C,2,FALSE))*VLOOKUP($F26, 'Entry Capacity Split'!$A$11:$H$38, 8, 0)/100)</f>
        <v>217572693.8624554</v>
      </c>
      <c r="W26" s="152">
        <f ca="1">IF(VLOOKUP(F26,'Entry Prices'!$A:$R,18,FALSE)&gt;0,VLOOKUP(F26,'Entry Prices'!$A:$R,18,FALSE),0)</f>
        <v>6.4567470490132631E-2</v>
      </c>
      <c r="X26" s="153">
        <f ca="1">V26*W26*'User Inputs'!$D$7/100</f>
        <v>51275632.490043037</v>
      </c>
      <c r="Y26" s="53">
        <f t="shared" ca="1" si="1"/>
        <v>186062103.95305026</v>
      </c>
    </row>
    <row r="27" spans="1:25">
      <c r="A27" s="42"/>
      <c r="B27" s="42"/>
      <c r="C27" s="42"/>
      <c r="D27" s="241"/>
      <c r="E27" s="350" t="s">
        <v>474</v>
      </c>
      <c r="F27" s="347" t="s">
        <v>22</v>
      </c>
      <c r="G27" s="52">
        <f ca="1">IF(((VLOOKUP(F27,'Anticipated Entry Bookings'!$A:$C,MATCH('Entry Anticipated Rev. Recovery'!$C$2,'Anticipated Entry Bookings'!$A$1:$C$1,0),FALSE)-VLOOKUP(F27,'Anticipated Entry Bookings'!$A:$C,2,FALSE))*VLOOKUP($F27, 'Entry Capacity Split'!$A$11:$H$38, 3, 0)/100)&lt;0,0,(VLOOKUP(F27,'Anticipated Entry Bookings'!$A:$C,MATCH('Entry Anticipated Rev. Recovery'!$C$2,'Anticipated Entry Bookings'!$A$1:$C$1,0),FALSE)-VLOOKUP(F27,'Anticipated Entry Bookings'!$A:$C,2,FALSE))*VLOOKUP($F27, 'Entry Capacity Split'!$A$11:$H$38, 3, 0)/100)</f>
        <v>59361601.374516033</v>
      </c>
      <c r="H27" s="152">
        <f ca="1">IF(VLOOKUP(F27,'Entry Prices'!$A:$R,13,FALSE)&gt;0,VLOOKUP(F27,'Entry Prices'!$A:$R,13,FALSE),0)</f>
        <v>7.1741633877925148E-2</v>
      </c>
      <c r="I27" s="153">
        <f ca="1">G27*H27*'User Inputs'!$D$7/100</f>
        <v>15544248.693595219</v>
      </c>
      <c r="J27" s="215">
        <f ca="1">IF(((VLOOKUP(F27,'Anticipated Entry Bookings'!$A:$C,MATCH('Entry Anticipated Rev. Recovery'!$C$2,'Anticipated Entry Bookings'!$A$1:$C$1,0),FALSE)-VLOOKUP(F27,'Anticipated Entry Bookings'!$A:$C,2,FALSE))*VLOOKUP($F27, 'Entry Capacity Split'!$A$11:$H$38, 4, 0)/100)&lt;0,0,(VLOOKUP(F27,'Anticipated Entry Bookings'!$A:$C,MATCH('Entry Anticipated Rev. Recovery'!$C$2,'Anticipated Entry Bookings'!$A$1:$C$1,0),FALSE)-VLOOKUP(F27,'Anticipated Entry Bookings'!$A:$C,2,FALSE))*VLOOKUP($F27, 'Entry Capacity Split'!$A$11:$H$38, 4, 0)/100)</f>
        <v>0</v>
      </c>
      <c r="K27" s="216" t="str">
        <f>IF(VLOOKUP(F27,'Entry Prices'!$A:$R,14,FALSE)&gt;0,VLOOKUP(F27,'Entry Prices'!$A:$R,14,FALSE),0)</f>
        <v>N/A</v>
      </c>
      <c r="L27" s="217" t="s">
        <v>428</v>
      </c>
      <c r="M27" s="52">
        <f ca="1">IF(((VLOOKUP(F27,'Anticipated Entry Bookings'!$A:$C,MATCH('Entry Anticipated Rev. Recovery'!$C$2,'Anticipated Entry Bookings'!$A$1:$C$1,0),FALSE)-VLOOKUP(F27,'Anticipated Entry Bookings'!$A:$C,2,FALSE))*VLOOKUP($F27, 'Entry Capacity Split'!$A$11:$H$38, 5, 0)/100)&lt;0,0,(VLOOKUP(F27,'Anticipated Entry Bookings'!$A:$C,MATCH('Entry Anticipated Rev. Recovery'!$C$2,'Anticipated Entry Bookings'!$A$1:$C$1,0),FALSE)-VLOOKUP(F27,'Anticipated Entry Bookings'!$A:$C,2,FALSE))*VLOOKUP($F27, 'Entry Capacity Split'!$A$11:$H$38, 5, 0)/100)</f>
        <v>7559375.1194831776</v>
      </c>
      <c r="N27" s="152">
        <f ca="1">IF(VLOOKUP(F27,'Entry Prices'!$A:$R,15,FALSE)&gt;0,VLOOKUP(F27,'Entry Prices'!$A:$R,15,FALSE),0)</f>
        <v>7.1741633877925148E-2</v>
      </c>
      <c r="O27" s="153">
        <f ca="1">M27*N27*'User Inputs'!$D$7/100</f>
        <v>1979475.0159126846</v>
      </c>
      <c r="P27" s="52">
        <f ca="1">IF(((VLOOKUP(F27,'Anticipated Entry Bookings'!$A:$C,MATCH('Entry Anticipated Rev. Recovery'!$C$2,'Anticipated Entry Bookings'!$A$1:$C$1,0),FALSE)-VLOOKUP(F27,'Anticipated Entry Bookings'!$A:$C,2,FALSE))*VLOOKUP($F27, 'Entry Capacity Split'!$A$11:$H$38, 6, 0)/100)&lt;0,0,(VLOOKUP(F27,'Anticipated Entry Bookings'!$A:$C,MATCH('Entry Anticipated Rev. Recovery'!$C$2,'Anticipated Entry Bookings'!$A$1:$C$1,0),FALSE)-VLOOKUP(F27,'Anticipated Entry Bookings'!$A:$C,2,FALSE))*VLOOKUP($F27, 'Entry Capacity Split'!$A$11:$H$38, 6, 0)/100)</f>
        <v>1512.6179342135397</v>
      </c>
      <c r="Q27" s="152">
        <f ca="1">IF(VLOOKUP(F27,'Entry Prices'!$A:$R,16,FALSE)&gt;0,VLOOKUP(F27,'Entry Prices'!$A:$R,16,FALSE),0)</f>
        <v>7.1741633877925148E-2</v>
      </c>
      <c r="R27" s="153">
        <f ca="1">P27*Q27*'User Inputs'!$D$7/100</f>
        <v>396.08953942238901</v>
      </c>
      <c r="S27" s="52">
        <f ca="1">IF(((VLOOKUP(F27,'Anticipated Entry Bookings'!$A:$C,MATCH('Entry Anticipated Rev. Recovery'!$C$2,'Anticipated Entry Bookings'!$A$1:$C$1,0),FALSE)-VLOOKUP(F27,'Anticipated Entry Bookings'!$A:$C,2,FALSE))*VLOOKUP($F27, 'Entry Capacity Split'!$A$11:$H$38, 7, 0)/100)&lt;0,0,(VLOOKUP(F27,'Anticipated Entry Bookings'!$A:$C,MATCH('Entry Anticipated Rev. Recovery'!$C$2,'Anticipated Entry Bookings'!$A$1:$C$1,0),FALSE)-VLOOKUP(F27,'Anticipated Entry Bookings'!$A:$C,2,FALSE))*VLOOKUP($F27, 'Entry Capacity Split'!$A$11:$H$38, 7, 0)/100)</f>
        <v>102560791.8913312</v>
      </c>
      <c r="T27" s="152">
        <f ca="1">IF(VLOOKUP(F27,'Entry Prices'!$A:$R,17,FALSE)&gt;0,VLOOKUP(F27,'Entry Prices'!$A:$R,17,FALSE),0)</f>
        <v>7.1741633877925148E-2</v>
      </c>
      <c r="U27" s="153">
        <f ca="1">S27*T27*'User Inputs'!$D$7/100</f>
        <v>26856257.554657545</v>
      </c>
      <c r="V27" s="52">
        <f ca="1">IF(((VLOOKUP(F27,'Anticipated Entry Bookings'!$A:$C,MATCH('Entry Anticipated Rev. Recovery'!$C$2,'Anticipated Entry Bookings'!$A$1:$C$1,0),FALSE)-VLOOKUP(F27,'Anticipated Entry Bookings'!$A:$C,2,FALSE))*VLOOKUP($F27, 'Entry Capacity Split'!$A$11:$H$38, 8, 0)/100)&lt;0,0,(VLOOKUP(F27,'Anticipated Entry Bookings'!$A:$C,MATCH('Entry Anticipated Rev. Recovery'!$C$2,'Anticipated Entry Bookings'!$A$1:$C$1,0),FALSE)-VLOOKUP(F27,'Anticipated Entry Bookings'!$A:$C,2,FALSE))*VLOOKUP($F27, 'Entry Capacity Split'!$A$11:$H$38, 8, 0)/100)</f>
        <v>71638927.487822846</v>
      </c>
      <c r="W27" s="152">
        <f ca="1">IF(VLOOKUP(F27,'Entry Prices'!$A:$R,18,FALSE)&gt;0,VLOOKUP(F27,'Entry Prices'!$A:$R,18,FALSE),0)</f>
        <v>6.4567470490132631E-2</v>
      </c>
      <c r="X27" s="153">
        <f ca="1">V27*W27*'User Inputs'!$D$7/100</f>
        <v>16883236.828278851</v>
      </c>
      <c r="Y27" s="53">
        <f t="shared" ca="1" si="1"/>
        <v>61263614.181983724</v>
      </c>
    </row>
    <row r="28" spans="1:25">
      <c r="A28" s="42"/>
      <c r="B28" s="42"/>
      <c r="C28" s="42"/>
      <c r="D28" s="241"/>
      <c r="E28" s="350" t="s">
        <v>474</v>
      </c>
      <c r="F28" s="347" t="s">
        <v>23</v>
      </c>
      <c r="G28" s="52">
        <f ca="1">IF(((VLOOKUP(F28,'Anticipated Entry Bookings'!$A:$C,MATCH('Entry Anticipated Rev. Recovery'!$C$2,'Anticipated Entry Bookings'!$A$1:$C$1,0),FALSE)-VLOOKUP(F28,'Anticipated Entry Bookings'!$A:$C,2,FALSE))*VLOOKUP($F28, 'Entry Capacity Split'!$A$11:$H$38, 3, 0)/100)&lt;0,0,(VLOOKUP(F28,'Anticipated Entry Bookings'!$A:$C,MATCH('Entry Anticipated Rev. Recovery'!$C$2,'Anticipated Entry Bookings'!$A$1:$C$1,0),FALSE)-VLOOKUP(F28,'Anticipated Entry Bookings'!$A:$C,2,FALSE))*VLOOKUP($F28, 'Entry Capacity Split'!$A$11:$H$38, 3, 0)/100)</f>
        <v>2640088.8539156732</v>
      </c>
      <c r="H28" s="152">
        <f ca="1">IF(VLOOKUP(F28,'Entry Prices'!$A:$R,13,FALSE)&gt;0,VLOOKUP(F28,'Entry Prices'!$A:$R,13,FALSE),0)</f>
        <v>7.1741633877925148E-2</v>
      </c>
      <c r="I28" s="153">
        <f ca="1">G28*H28*'User Inputs'!$D$7/100</f>
        <v>691325.65106425376</v>
      </c>
      <c r="J28" s="215">
        <f ca="1">IF(((VLOOKUP(F28,'Anticipated Entry Bookings'!$A:$C,MATCH('Entry Anticipated Rev. Recovery'!$C$2,'Anticipated Entry Bookings'!$A$1:$C$1,0),FALSE)-VLOOKUP(F28,'Anticipated Entry Bookings'!$A:$C,2,FALSE))*VLOOKUP($F28, 'Entry Capacity Split'!$A$11:$H$38, 4, 0)/100)&lt;0,0,(VLOOKUP(F28,'Anticipated Entry Bookings'!$A:$C,MATCH('Entry Anticipated Rev. Recovery'!$C$2,'Anticipated Entry Bookings'!$A$1:$C$1,0),FALSE)-VLOOKUP(F28,'Anticipated Entry Bookings'!$A:$C,2,FALSE))*VLOOKUP($F28, 'Entry Capacity Split'!$A$11:$H$38, 4, 0)/100)</f>
        <v>0</v>
      </c>
      <c r="K28" s="216" t="str">
        <f>IF(VLOOKUP(F28,'Entry Prices'!$A:$R,14,FALSE)&gt;0,VLOOKUP(F28,'Entry Prices'!$A:$R,14,FALSE),0)</f>
        <v>N/A</v>
      </c>
      <c r="L28" s="217" t="s">
        <v>428</v>
      </c>
      <c r="M28" s="52">
        <f ca="1">IF(((VLOOKUP(F28,'Anticipated Entry Bookings'!$A:$C,MATCH('Entry Anticipated Rev. Recovery'!$C$2,'Anticipated Entry Bookings'!$A$1:$C$1,0),FALSE)-VLOOKUP(F28,'Anticipated Entry Bookings'!$A:$C,2,FALSE))*VLOOKUP($F28, 'Entry Capacity Split'!$A$11:$H$38, 5, 0)/100)&lt;0,0,(VLOOKUP(F28,'Anticipated Entry Bookings'!$A:$C,MATCH('Entry Anticipated Rev. Recovery'!$C$2,'Anticipated Entry Bookings'!$A$1:$C$1,0),FALSE)-VLOOKUP(F28,'Anticipated Entry Bookings'!$A:$C,2,FALSE))*VLOOKUP($F28, 'Entry Capacity Split'!$A$11:$H$38, 5, 0)/100)</f>
        <v>336200.869474568</v>
      </c>
      <c r="N28" s="152">
        <f ca="1">IF(VLOOKUP(F28,'Entry Prices'!$A:$R,15,FALSE)&gt;0,VLOOKUP(F28,'Entry Prices'!$A:$R,15,FALSE),0)</f>
        <v>7.1741633877925148E-2</v>
      </c>
      <c r="O28" s="153">
        <f ca="1">M28*N28*'User Inputs'!$D$7/100</f>
        <v>88036.538858588639</v>
      </c>
      <c r="P28" s="52">
        <f ca="1">IF(((VLOOKUP(F28,'Anticipated Entry Bookings'!$A:$C,MATCH('Entry Anticipated Rev. Recovery'!$C$2,'Anticipated Entry Bookings'!$A$1:$C$1,0),FALSE)-VLOOKUP(F28,'Anticipated Entry Bookings'!$A:$C,2,FALSE))*VLOOKUP($F28, 'Entry Capacity Split'!$A$11:$H$38, 6, 0)/100)&lt;0,0,(VLOOKUP(F28,'Anticipated Entry Bookings'!$A:$C,MATCH('Entry Anticipated Rev. Recovery'!$C$2,'Anticipated Entry Bookings'!$A$1:$C$1,0),FALSE)-VLOOKUP(F28,'Anticipated Entry Bookings'!$A:$C,2,FALSE))*VLOOKUP($F28, 'Entry Capacity Split'!$A$11:$H$38, 6, 0)/100)</f>
        <v>67.27321460139224</v>
      </c>
      <c r="Q28" s="152">
        <f ca="1">IF(VLOOKUP(F28,'Entry Prices'!$A:$R,16,FALSE)&gt;0,VLOOKUP(F28,'Entry Prices'!$A:$R,16,FALSE),0)</f>
        <v>7.1741633877925148E-2</v>
      </c>
      <c r="R28" s="153">
        <f ca="1">P28*Q28*'User Inputs'!$D$7/100</f>
        <v>17.61595971079322</v>
      </c>
      <c r="S28" s="52">
        <f ca="1">IF(((VLOOKUP(F28,'Anticipated Entry Bookings'!$A:$C,MATCH('Entry Anticipated Rev. Recovery'!$C$2,'Anticipated Entry Bookings'!$A$1:$C$1,0),FALSE)-VLOOKUP(F28,'Anticipated Entry Bookings'!$A:$C,2,FALSE))*VLOOKUP($F28, 'Entry Capacity Split'!$A$11:$H$38, 7, 0)/100)&lt;0,0,(VLOOKUP(F28,'Anticipated Entry Bookings'!$A:$C,MATCH('Entry Anticipated Rev. Recovery'!$C$2,'Anticipated Entry Bookings'!$A$1:$C$1,0),FALSE)-VLOOKUP(F28,'Anticipated Entry Bookings'!$A:$C,2,FALSE))*VLOOKUP($F28, 'Entry Capacity Split'!$A$11:$H$38, 7, 0)/100)</f>
        <v>4561359.4857855374</v>
      </c>
      <c r="T28" s="152">
        <f ca="1">IF(VLOOKUP(F28,'Entry Prices'!$A:$R,17,FALSE)&gt;0,VLOOKUP(F28,'Entry Prices'!$A:$R,17,FALSE),0)</f>
        <v>7.1741633877925148E-2</v>
      </c>
      <c r="U28" s="153">
        <f ca="1">S28*T28*'User Inputs'!$D$7/100</f>
        <v>1194423.7450841183</v>
      </c>
      <c r="V28" s="52">
        <f ca="1">IF(((VLOOKUP(F28,'Anticipated Entry Bookings'!$A:$C,MATCH('Entry Anticipated Rev. Recovery'!$C$2,'Anticipated Entry Bookings'!$A$1:$C$1,0),FALSE)-VLOOKUP(F28,'Anticipated Entry Bookings'!$A:$C,2,FALSE))*VLOOKUP($F28, 'Entry Capacity Split'!$A$11:$H$38, 8, 0)/100)&lt;0,0,(VLOOKUP(F28,'Anticipated Entry Bookings'!$A:$C,MATCH('Entry Anticipated Rev. Recovery'!$C$2,'Anticipated Entry Bookings'!$A$1:$C$1,0),FALSE)-VLOOKUP(F28,'Anticipated Entry Bookings'!$A:$C,2,FALSE))*VLOOKUP($F28, 'Entry Capacity Split'!$A$11:$H$38, 8, 0)/100)</f>
        <v>3186119.1340479772</v>
      </c>
      <c r="W28" s="152">
        <f ca="1">IF(VLOOKUP(F28,'Entry Prices'!$A:$R,18,FALSE)&gt;0,VLOOKUP(F28,'Entry Prices'!$A:$R,18,FALSE),0)</f>
        <v>6.4567470490132631E-2</v>
      </c>
      <c r="X28" s="153">
        <f ca="1">V28*W28*'User Inputs'!$D$7/100</f>
        <v>750876.73405476729</v>
      </c>
      <c r="Y28" s="53">
        <f t="shared" ca="1" si="1"/>
        <v>2724680.2850214392</v>
      </c>
    </row>
    <row r="29" spans="1:25" ht="15.75" thickBot="1">
      <c r="A29" s="42"/>
      <c r="B29" s="42"/>
      <c r="C29" s="42"/>
      <c r="D29" s="241"/>
      <c r="E29" s="351" t="s">
        <v>474</v>
      </c>
      <c r="F29" s="348" t="s">
        <v>24</v>
      </c>
      <c r="G29" s="52">
        <f ca="1">IF(((VLOOKUP(F29,'Anticipated Entry Bookings'!$A:$C,MATCH('Entry Anticipated Rev. Recovery'!$C$2,'Anticipated Entry Bookings'!$A$1:$C$1,0),FALSE)-VLOOKUP(F29,'Anticipated Entry Bookings'!$A:$C,2,FALSE))*VLOOKUP($F29, 'Entry Capacity Split'!$A$11:$H$38, 3, 0)/100)&lt;0,0,(VLOOKUP(F29,'Anticipated Entry Bookings'!$A:$C,MATCH('Entry Anticipated Rev. Recovery'!$C$2,'Anticipated Entry Bookings'!$A$1:$C$1,0),FALSE)-VLOOKUP(F29,'Anticipated Entry Bookings'!$A:$C,2,FALSE))*VLOOKUP($F29, 'Entry Capacity Split'!$A$11:$H$38, 3, 0)/100)</f>
        <v>0</v>
      </c>
      <c r="H29" s="152">
        <f ca="1">IF(VLOOKUP(F29,'Entry Prices'!$A:$R,13,FALSE)&gt;0,VLOOKUP(F29,'Entry Prices'!$A:$R,13,FALSE),0)</f>
        <v>7.1741633877925148E-2</v>
      </c>
      <c r="I29" s="153">
        <f ca="1">G29*H29*'User Inputs'!$D$7/100</f>
        <v>0</v>
      </c>
      <c r="J29" s="215">
        <f ca="1">IF(((VLOOKUP(F29,'Anticipated Entry Bookings'!$A:$C,MATCH('Entry Anticipated Rev. Recovery'!$C$2,'Anticipated Entry Bookings'!$A$1:$C$1,0),FALSE)-VLOOKUP(F29,'Anticipated Entry Bookings'!$A:$C,2,FALSE))*VLOOKUP($F29, 'Entry Capacity Split'!$A$11:$H$38, 4, 0)/100)&lt;0,0,(VLOOKUP(F29,'Anticipated Entry Bookings'!$A:$C,MATCH('Entry Anticipated Rev. Recovery'!$C$2,'Anticipated Entry Bookings'!$A$1:$C$1,0),FALSE)-VLOOKUP(F29,'Anticipated Entry Bookings'!$A:$C,2,FALSE))*VLOOKUP($F29, 'Entry Capacity Split'!$A$11:$H$38, 4, 0)/100)</f>
        <v>0</v>
      </c>
      <c r="K29" s="216" t="str">
        <f>IF(VLOOKUP(F29,'Entry Prices'!$A:$R,14,FALSE)&gt;0,VLOOKUP(F29,'Entry Prices'!$A:$R,14,FALSE),0)</f>
        <v>N/A</v>
      </c>
      <c r="L29" s="217" t="s">
        <v>428</v>
      </c>
      <c r="M29" s="52">
        <f ca="1">IF(((VLOOKUP(F29,'Anticipated Entry Bookings'!$A:$C,MATCH('Entry Anticipated Rev. Recovery'!$C$2,'Anticipated Entry Bookings'!$A$1:$C$1,0),FALSE)-VLOOKUP(F29,'Anticipated Entry Bookings'!$A:$C,2,FALSE))*VLOOKUP($F29, 'Entry Capacity Split'!$A$11:$H$38, 5, 0)/100)&lt;0,0,(VLOOKUP(F29,'Anticipated Entry Bookings'!$A:$C,MATCH('Entry Anticipated Rev. Recovery'!$C$2,'Anticipated Entry Bookings'!$A$1:$C$1,0),FALSE)-VLOOKUP(F29,'Anticipated Entry Bookings'!$A:$C,2,FALSE))*VLOOKUP($F29, 'Entry Capacity Split'!$A$11:$H$38, 5, 0)/100)</f>
        <v>0</v>
      </c>
      <c r="N29" s="152">
        <f ca="1">IF(VLOOKUP(F29,'Entry Prices'!$A:$R,15,FALSE)&gt;0,VLOOKUP(F29,'Entry Prices'!$A:$R,15,FALSE),0)</f>
        <v>7.1741633877925148E-2</v>
      </c>
      <c r="O29" s="153">
        <f ca="1">M29*N29*'User Inputs'!$D$7/100</f>
        <v>0</v>
      </c>
      <c r="P29" s="52">
        <f ca="1">IF(((VLOOKUP(F29,'Anticipated Entry Bookings'!$A:$C,MATCH('Entry Anticipated Rev. Recovery'!$C$2,'Anticipated Entry Bookings'!$A$1:$C$1,0),FALSE)-VLOOKUP(F29,'Anticipated Entry Bookings'!$A:$C,2,FALSE))*VLOOKUP($F29, 'Entry Capacity Split'!$A$11:$H$38, 6, 0)/100)&lt;0,0,(VLOOKUP(F29,'Anticipated Entry Bookings'!$A:$C,MATCH('Entry Anticipated Rev. Recovery'!$C$2,'Anticipated Entry Bookings'!$A$1:$C$1,0),FALSE)-VLOOKUP(F29,'Anticipated Entry Bookings'!$A:$C,2,FALSE))*VLOOKUP($F29, 'Entry Capacity Split'!$A$11:$H$38, 6, 0)/100)</f>
        <v>0</v>
      </c>
      <c r="Q29" s="152">
        <f ca="1">IF(VLOOKUP(F29,'Entry Prices'!$A:$R,16,FALSE)&gt;0,VLOOKUP(F29,'Entry Prices'!$A:$R,16,FALSE),0)</f>
        <v>7.1741633877925148E-2</v>
      </c>
      <c r="R29" s="153">
        <f ca="1">P29*Q29*'User Inputs'!$D$7/100</f>
        <v>0</v>
      </c>
      <c r="S29" s="52">
        <f ca="1">IF(((VLOOKUP(F29,'Anticipated Entry Bookings'!$A:$C,MATCH('Entry Anticipated Rev. Recovery'!$C$2,'Anticipated Entry Bookings'!$A$1:$C$1,0),FALSE)-VLOOKUP(F29,'Anticipated Entry Bookings'!$A:$C,2,FALSE))*VLOOKUP($F29, 'Entry Capacity Split'!$A$11:$H$38, 7, 0)/100)&lt;0,0,(VLOOKUP(F29,'Anticipated Entry Bookings'!$A:$C,MATCH('Entry Anticipated Rev. Recovery'!$C$2,'Anticipated Entry Bookings'!$A$1:$C$1,0),FALSE)-VLOOKUP(F29,'Anticipated Entry Bookings'!$A:$C,2,FALSE))*VLOOKUP($F29, 'Entry Capacity Split'!$A$11:$H$38, 7, 0)/100)</f>
        <v>0</v>
      </c>
      <c r="T29" s="152">
        <f ca="1">IF(VLOOKUP(F29,'Entry Prices'!$A:$R,17,FALSE)&gt;0,VLOOKUP(F29,'Entry Prices'!$A:$R,17,FALSE),0)</f>
        <v>7.1741633877925148E-2</v>
      </c>
      <c r="U29" s="153">
        <f ca="1">S29*T29*'User Inputs'!$D$7/100</f>
        <v>0</v>
      </c>
      <c r="V29" s="52">
        <f ca="1">IF(((VLOOKUP(F29,'Anticipated Entry Bookings'!$A:$C,MATCH('Entry Anticipated Rev. Recovery'!$C$2,'Anticipated Entry Bookings'!$A$1:$C$1,0),FALSE)-VLOOKUP(F29,'Anticipated Entry Bookings'!$A:$C,2,FALSE))*VLOOKUP($F29, 'Entry Capacity Split'!$A$11:$H$38, 8, 0)/100)&lt;0,0,(VLOOKUP(F29,'Anticipated Entry Bookings'!$A:$C,MATCH('Entry Anticipated Rev. Recovery'!$C$2,'Anticipated Entry Bookings'!$A$1:$C$1,0),FALSE)-VLOOKUP(F29,'Anticipated Entry Bookings'!$A:$C,2,FALSE))*VLOOKUP($F29, 'Entry Capacity Split'!$A$11:$H$38, 8, 0)/100)</f>
        <v>0</v>
      </c>
      <c r="W29" s="152">
        <f ca="1">IF(VLOOKUP(F29,'Entry Prices'!$A:$R,18,FALSE)&gt;0,VLOOKUP(F29,'Entry Prices'!$A:$R,18,FALSE),0)</f>
        <v>6.4567470490132631E-2</v>
      </c>
      <c r="X29" s="153">
        <f ca="1">V29*W29*'User Inputs'!$D$7/100</f>
        <v>0</v>
      </c>
      <c r="Y29" s="53">
        <f t="shared" ca="1" si="1"/>
        <v>0</v>
      </c>
    </row>
    <row r="30" spans="1:25">
      <c r="A30" s="352"/>
      <c r="B30" s="352"/>
      <c r="C30" s="352"/>
      <c r="D30" s="353"/>
      <c r="Y30" s="165"/>
    </row>
  </sheetData>
  <mergeCells count="19">
    <mergeCell ref="A15:B15"/>
    <mergeCell ref="A14:C14"/>
    <mergeCell ref="A10:B10"/>
    <mergeCell ref="A11:B11"/>
    <mergeCell ref="A5:B5"/>
    <mergeCell ref="A13:C13"/>
    <mergeCell ref="A9:B9"/>
    <mergeCell ref="V1:X1"/>
    <mergeCell ref="G1:I1"/>
    <mergeCell ref="J1:L1"/>
    <mergeCell ref="M1:O1"/>
    <mergeCell ref="P1:R1"/>
    <mergeCell ref="S1:U1"/>
    <mergeCell ref="A1:C1"/>
    <mergeCell ref="A2:B2"/>
    <mergeCell ref="A7:C7"/>
    <mergeCell ref="A8:B8"/>
    <mergeCell ref="A3:B3"/>
    <mergeCell ref="A4:B4"/>
  </mergeCells>
  <conditionalFormatting sqref="C10:C11">
    <cfRule type="cellIs" dxfId="13" priority="16" operator="greaterThan">
      <formula>0</formula>
    </cfRule>
    <cfRule type="cellIs" dxfId="12" priority="17" operator="lessThan">
      <formula>0</formula>
    </cfRule>
    <cfRule type="cellIs" dxfId="11" priority="18" operator="equal">
      <formula>0</formula>
    </cfRule>
  </conditionalFormatting>
  <dataValidations count="3">
    <dataValidation type="list" allowBlank="1" showInputMessage="1" showErrorMessage="1" sqref="C2">
      <formula1>Entry_Booking_Scenarios</formula1>
    </dataValidation>
    <dataValidation type="list" allowBlank="1" showInputMessage="1" showErrorMessage="1" error="Please enter a value between 0% and 100%" sqref="C3">
      <formula1>Entry_Flow_Scenarios</formula1>
    </dataValidation>
    <dataValidation type="list" allowBlank="1" showInputMessage="1" showErrorMessage="1" error="Please enter a value between 0% and 100%" sqref="C4">
      <formula1>Yes_or_No</formula1>
    </dataValidation>
  </dataValidations>
  <pageMargins left="0.7" right="0.7" top="0.75" bottom="0.75" header="0.3" footer="0.3"/>
  <pageSetup paperSize="9" orientation="portrait" r:id="rId1"/>
  <ignoredErrors>
    <ignoredError sqref="Y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1624" r:id="rId4" name="Button 8">
              <controlPr defaultSize="0" print="0" autoFill="0" autoPict="0" macro="[0]!UserInputSelect">
                <anchor moveWithCells="1" sizeWithCells="1">
                  <from>
                    <xdr:col>4</xdr:col>
                    <xdr:colOff>123825</xdr:colOff>
                    <xdr:row>1</xdr:row>
                    <xdr:rowOff>57150</xdr:rowOff>
                  </from>
                  <to>
                    <xdr:col>4</xdr:col>
                    <xdr:colOff>2076450</xdr:colOff>
                    <xdr:row>1</xdr:row>
                    <xdr:rowOff>790575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A9F50AD7-4AB8-4D60-9545-59E6C7638E28}">
            <xm:f>'Drop Down Inputs'!$E$10="Enduring"</xm:f>
            <x14:dxf>
              <font>
                <color theme="0" tint="-0.499984740745262"/>
              </font>
              <fill>
                <patternFill>
                  <bgColor theme="7" tint="0.79998168889431442"/>
                </patternFill>
              </fill>
            </x14:dxf>
          </x14:cfRule>
          <xm:sqref>A13:C13 A16:C16</xm:sqref>
        </x14:conditionalFormatting>
        <x14:conditionalFormatting xmlns:xm="http://schemas.microsoft.com/office/excel/2006/main">
          <x14:cfRule type="expression" priority="2" id="{68CDCFD2-6E2C-4C3E-9163-EA67D35D5EBA}">
            <xm:f>'Drop Down Inputs'!$E$10="Transitional"</xm:f>
            <x14:dxf>
              <font>
                <color theme="0" tint="-0.499984740745262"/>
              </font>
              <fill>
                <patternFill>
                  <fgColor auto="1"/>
                  <bgColor theme="7" tint="0.79998168889431442"/>
                </patternFill>
              </fill>
            </x14:dxf>
          </x14:cfRule>
          <xm:sqref>A14:C15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'Drop Down Inputs'!$A$33</xm:f>
          </x14:formula1>
          <xm:sqref>C21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6" tint="0.39997558519241921"/>
  </sheetPr>
  <dimension ref="A1:AA231"/>
  <sheetViews>
    <sheetView zoomScale="80" zoomScaleNormal="80" workbookViewId="0">
      <selection activeCell="F153" sqref="F153"/>
    </sheetView>
  </sheetViews>
  <sheetFormatPr defaultColWidth="9.140625" defaultRowHeight="15"/>
  <cols>
    <col min="1" max="1" width="23.42578125" customWidth="1"/>
    <col min="2" max="2" width="30.85546875" customWidth="1"/>
    <col min="3" max="3" width="44.42578125" customWidth="1"/>
    <col min="4" max="4" width="15" bestFit="1" customWidth="1"/>
    <col min="5" max="5" width="23.42578125" customWidth="1"/>
    <col min="6" max="6" width="57" bestFit="1" customWidth="1"/>
    <col min="7" max="7" width="15.28515625" customWidth="1"/>
    <col min="8" max="8" width="23" customWidth="1"/>
    <col min="9" max="24" width="14" customWidth="1"/>
    <col min="25" max="25" width="44" customWidth="1"/>
    <col min="27" max="27" width="12.7109375" bestFit="1" customWidth="1"/>
  </cols>
  <sheetData>
    <row r="1" spans="1:27" ht="15.75" thickBot="1">
      <c r="A1" s="480" t="s">
        <v>342</v>
      </c>
      <c r="B1" s="481"/>
      <c r="C1" s="482"/>
      <c r="D1" s="46"/>
      <c r="G1" s="490" t="s">
        <v>457</v>
      </c>
      <c r="H1" s="491"/>
      <c r="I1" s="492"/>
      <c r="J1" s="490" t="s">
        <v>451</v>
      </c>
      <c r="K1" s="491"/>
      <c r="L1" s="492"/>
      <c r="M1" s="490" t="s">
        <v>451</v>
      </c>
      <c r="N1" s="491"/>
      <c r="O1" s="492"/>
      <c r="P1" s="490" t="s">
        <v>458</v>
      </c>
      <c r="Q1" s="491"/>
      <c r="R1" s="492"/>
      <c r="S1" s="490" t="s">
        <v>451</v>
      </c>
      <c r="T1" s="491"/>
      <c r="U1" s="492"/>
      <c r="V1" s="490" t="s">
        <v>456</v>
      </c>
      <c r="W1" s="491"/>
      <c r="X1" s="492"/>
    </row>
    <row r="2" spans="1:27" ht="64.5" thickBot="1">
      <c r="A2" s="483" t="s">
        <v>420</v>
      </c>
      <c r="B2" s="484"/>
      <c r="C2" s="86" t="s">
        <v>516</v>
      </c>
      <c r="D2" s="46"/>
      <c r="E2" s="47"/>
      <c r="F2" s="47" t="s">
        <v>244</v>
      </c>
      <c r="G2" s="193" t="s">
        <v>375</v>
      </c>
      <c r="H2" s="194" t="s">
        <v>324</v>
      </c>
      <c r="I2" s="195" t="s">
        <v>344</v>
      </c>
      <c r="J2" s="193" t="s">
        <v>376</v>
      </c>
      <c r="K2" s="194" t="s">
        <v>325</v>
      </c>
      <c r="L2" s="211" t="s">
        <v>345</v>
      </c>
      <c r="M2" s="193" t="s">
        <v>377</v>
      </c>
      <c r="N2" s="194" t="s">
        <v>326</v>
      </c>
      <c r="O2" s="195" t="s">
        <v>346</v>
      </c>
      <c r="P2" s="210" t="s">
        <v>378</v>
      </c>
      <c r="Q2" s="194" t="s">
        <v>328</v>
      </c>
      <c r="R2" s="211" t="s">
        <v>347</v>
      </c>
      <c r="S2" s="193" t="s">
        <v>379</v>
      </c>
      <c r="T2" s="194" t="s">
        <v>348</v>
      </c>
      <c r="U2" s="195" t="s">
        <v>349</v>
      </c>
      <c r="V2" s="193" t="s">
        <v>380</v>
      </c>
      <c r="W2" s="194" t="s">
        <v>374</v>
      </c>
      <c r="X2" s="195" t="s">
        <v>381</v>
      </c>
      <c r="Y2" s="48" t="s">
        <v>422</v>
      </c>
    </row>
    <row r="3" spans="1:27">
      <c r="A3" s="485"/>
      <c r="B3" s="485"/>
      <c r="C3" s="322"/>
      <c r="D3" s="46"/>
      <c r="E3" s="212" t="s">
        <v>474</v>
      </c>
      <c r="F3" s="212" t="s">
        <v>26</v>
      </c>
      <c r="G3" s="196">
        <f ca="1">(VLOOKUP(F3,'Anticipated Exit Bookings'!$B:$C,MATCH('Exit Anticipated Rev. Recovery'!$C$2,'Anticipated Exit Bookings'!$B$1:$C$1,0), FALSE))*VLOOKUP($F3, 'Exit Capacity Split'!A:H, 3,0)/100</f>
        <v>21077646.655815255</v>
      </c>
      <c r="H3" s="201">
        <f ca="1">IF(VLOOKUP(F3,'Exit Prices'!$A:$Q,12,FALSE)&gt;0,VLOOKUP(F3,'Exit Prices'!$A:$Q,12,FALSE),0)</f>
        <v>1.9820323133808871E-2</v>
      </c>
      <c r="I3" s="178">
        <f ca="1">G3*H3*'User Inputs'!$D$7/100</f>
        <v>1524845.0518075407</v>
      </c>
      <c r="J3" s="208">
        <f ca="1">(VLOOKUP(F3,'Anticipated Exit Bookings'!$B:$C,MATCH('Exit Anticipated Rev. Recovery'!$C$2,'Anticipated Exit Bookings'!$B$1:$C$1,0), FALSE))*VLOOKUP($F3, 'Exit Capacity Split'!A:H, 4,0)/100</f>
        <v>0</v>
      </c>
      <c r="K3" s="206" t="str">
        <f>IF(VLOOKUP(F3,'Exit Prices'!$A:$Q,13,FALSE)&gt;0,VLOOKUP(F3,'Exit Prices'!$A:$Q,13,FALSE),0)</f>
        <v>N/A</v>
      </c>
      <c r="L3" s="179" t="s">
        <v>428</v>
      </c>
      <c r="M3" s="208">
        <f ca="1">(VLOOKUP(F3,'Anticipated Exit Bookings'!$B:$C,MATCH('Exit Anticipated Rev. Recovery'!$C$2,'Anticipated Exit Bookings'!$B$1:$C$1,0), FALSE))*VLOOKUP($F3, 'Exit Capacity Split'!A:H, 5,0)/100</f>
        <v>0</v>
      </c>
      <c r="N3" s="206" t="str">
        <f>IF(VLOOKUP(F3,'Exit Prices'!$A:$Q,14,FALSE)&gt;0,VLOOKUP(F3,'Exit Prices'!$A:$Q,14,FALSE),0)</f>
        <v>N/A</v>
      </c>
      <c r="O3" s="179" t="s">
        <v>428</v>
      </c>
      <c r="P3" s="203">
        <f ca="1">(VLOOKUP(F3,'Anticipated Exit Bookings'!$B:$C,MATCH('Exit Anticipated Rev. Recovery'!$C$2,'Anticipated Exit Bookings'!$B$1:$C$1,0), FALSE))*VLOOKUP($F3, 'Exit Capacity Split'!A:H, 6,0)/100</f>
        <v>0</v>
      </c>
      <c r="Q3" s="201">
        <f ca="1">IF(VLOOKUP(F3,'Exit Prices'!$A:$Q,15,FALSE)&gt;0,VLOOKUP(F3,'Exit Prices'!$A:$Q,15,FALSE),0)</f>
        <v>1.9820323133808871E-2</v>
      </c>
      <c r="R3" s="178">
        <f ca="1">P3*Q3*'User Inputs'!$D$7/100</f>
        <v>0</v>
      </c>
      <c r="S3" s="208">
        <f ca="1">(VLOOKUP(F3,'Anticipated Exit Bookings'!$B:$C,MATCH('Exit Anticipated Rev. Recovery'!$C$2,'Anticipated Exit Bookings'!$B$1:$C$1,0), FALSE))*VLOOKUP($F3, 'Exit Capacity Split'!A:H, 7,0)/100</f>
        <v>19927.00914533628</v>
      </c>
      <c r="T3" s="206" t="str">
        <f>IF(VLOOKUP(F3,'Exit Prices'!$A:$Q,16,FALSE)&gt;0,VLOOKUP(F3,'Exit Prices'!$A:$Q,16,FALSE),0)</f>
        <v>N/A</v>
      </c>
      <c r="U3" s="179" t="s">
        <v>428</v>
      </c>
      <c r="V3" s="203">
        <f ca="1">(VLOOKUP(F3,'Anticipated Exit Bookings'!$B:$C,MATCH('Exit Anticipated Rev. Recovery'!$C$2,'Anticipated Exit Bookings'!$B$1:$C$1,0), FALSE))*VLOOKUP($F3, 'Exit Capacity Split'!A:H, 8,0)/100</f>
        <v>541774.33503941121</v>
      </c>
      <c r="W3" s="201">
        <f ca="1">IF(VLOOKUP(F3,'Exit Prices'!$A:$Q,17,FALSE)&gt;0,VLOOKUP(F3,'Exit Prices'!$A:$Q,17,FALSE),0)</f>
        <v>1.7838290820427986E-2</v>
      </c>
      <c r="X3" s="178">
        <f ca="1">V3*W3*'User Inputs'!$D$7/100</f>
        <v>35274.797738291069</v>
      </c>
      <c r="Y3" s="198">
        <f ca="1">I3+R3+X3</f>
        <v>1560119.8495458318</v>
      </c>
      <c r="AA3" s="164"/>
    </row>
    <row r="4" spans="1:27">
      <c r="A4" s="486"/>
      <c r="B4" s="486"/>
      <c r="C4" s="323"/>
      <c r="D4" s="46"/>
      <c r="E4" s="213" t="s">
        <v>474</v>
      </c>
      <c r="F4" s="213" t="s">
        <v>27</v>
      </c>
      <c r="G4" s="197">
        <f ca="1">(VLOOKUP(F4,'Anticipated Exit Bookings'!$B:$C,MATCH('Exit Anticipated Rev. Recovery'!$C$2,'Anticipated Exit Bookings'!$B$1:$C$1,0), FALSE))*VLOOKUP($F4, 'Exit Capacity Split'!A:H, 3,0)/100</f>
        <v>13794550.081312304</v>
      </c>
      <c r="H4" s="200">
        <f ca="1">IF(VLOOKUP(F4,'Exit Prices'!$A:$Q,12,FALSE)&gt;0,VLOOKUP(F4,'Exit Prices'!$A:$Q,12,FALSE),0)</f>
        <v>1.9820323133808871E-2</v>
      </c>
      <c r="I4" s="202">
        <f ca="1">G4*H4*'User Inputs'!$D$7/100</f>
        <v>997955.40635448543</v>
      </c>
      <c r="J4" s="209">
        <f ca="1">(VLOOKUP(F4,'Anticipated Exit Bookings'!$B:$C,MATCH('Exit Anticipated Rev. Recovery'!$C$2,'Anticipated Exit Bookings'!$B$1:$C$1,0), FALSE))*VLOOKUP($F4, 'Exit Capacity Split'!A:H, 4,0)/100</f>
        <v>0</v>
      </c>
      <c r="K4" s="205" t="str">
        <f>IF(VLOOKUP(F4,'Exit Prices'!$A:$Q,13,FALSE)&gt;0,VLOOKUP(F4,'Exit Prices'!$A:$Q,13,FALSE),0)</f>
        <v>N/A</v>
      </c>
      <c r="L4" s="207" t="s">
        <v>428</v>
      </c>
      <c r="M4" s="209">
        <f ca="1">(VLOOKUP(F4,'Anticipated Exit Bookings'!$B:$C,MATCH('Exit Anticipated Rev. Recovery'!$C$2,'Anticipated Exit Bookings'!$B$1:$C$1,0), FALSE))*VLOOKUP($F4, 'Exit Capacity Split'!A:H, 5,0)/100</f>
        <v>0</v>
      </c>
      <c r="N4" s="205" t="str">
        <f>IF(VLOOKUP(F4,'Exit Prices'!$A:$Q,14,FALSE)&gt;0,VLOOKUP(F4,'Exit Prices'!$A:$Q,14,FALSE),0)</f>
        <v>N/A</v>
      </c>
      <c r="O4" s="207" t="s">
        <v>428</v>
      </c>
      <c r="P4" s="204">
        <f ca="1">(VLOOKUP(F4,'Anticipated Exit Bookings'!$B:$C,MATCH('Exit Anticipated Rev. Recovery'!$C$2,'Anticipated Exit Bookings'!$B$1:$C$1,0), FALSE))*VLOOKUP($F4, 'Exit Capacity Split'!A:H, 6,0)/100</f>
        <v>73103.0806413768</v>
      </c>
      <c r="Q4" s="200">
        <f ca="1">IF(VLOOKUP(F4,'Exit Prices'!$A:$Q,15,FALSE)&gt;0,VLOOKUP(F4,'Exit Prices'!$A:$Q,15,FALSE),0)</f>
        <v>1.9820323133808871E-2</v>
      </c>
      <c r="R4" s="202">
        <f ca="1">P4*Q4*'User Inputs'!$D$7/100</f>
        <v>5288.5823834197627</v>
      </c>
      <c r="S4" s="209">
        <f ca="1">(VLOOKUP(F4,'Anticipated Exit Bookings'!$B:$C,MATCH('Exit Anticipated Rev. Recovery'!$C$2,'Anticipated Exit Bookings'!$B$1:$C$1,0), FALSE))*VLOOKUP($F4, 'Exit Capacity Split'!A:H, 7,0)/100</f>
        <v>18611.964280956043</v>
      </c>
      <c r="T4" s="205" t="str">
        <f>IF(VLOOKUP(F4,'Exit Prices'!$A:$Q,16,FALSE)&gt;0,VLOOKUP(F4,'Exit Prices'!$A:$Q,16,FALSE),0)</f>
        <v>N/A</v>
      </c>
      <c r="U4" s="207" t="s">
        <v>428</v>
      </c>
      <c r="V4" s="204">
        <f ca="1">(VLOOKUP(F4,'Anticipated Exit Bookings'!$B:$C,MATCH('Exit Anticipated Rev. Recovery'!$C$2,'Anticipated Exit Bookings'!$B$1:$C$1,0), FALSE))*VLOOKUP($F4, 'Exit Capacity Split'!A:H, 8,0)/100</f>
        <v>14106030.049107825</v>
      </c>
      <c r="W4" s="200">
        <f ca="1">IF(VLOOKUP(F4,'Exit Prices'!$A:$Q,17,FALSE)&gt;0,VLOOKUP(F4,'Exit Prices'!$A:$Q,17,FALSE),0)</f>
        <v>1.7838290820427986E-2</v>
      </c>
      <c r="X4" s="202">
        <f ca="1">V4*W4*'User Inputs'!$D$7/100</f>
        <v>918440.25213253731</v>
      </c>
      <c r="Y4" s="199">
        <f ca="1">I4+R4+X4</f>
        <v>1921684.2408704425</v>
      </c>
      <c r="AA4" s="164"/>
    </row>
    <row r="5" spans="1:27">
      <c r="A5" s="46"/>
      <c r="B5" s="46"/>
      <c r="C5" s="46"/>
      <c r="D5" s="46"/>
      <c r="E5" s="213" t="s">
        <v>474</v>
      </c>
      <c r="F5" s="213" t="s">
        <v>28</v>
      </c>
      <c r="G5" s="197">
        <f ca="1">(VLOOKUP(F5,'Anticipated Exit Bookings'!$B:$C,MATCH('Exit Anticipated Rev. Recovery'!$C$2,'Anticipated Exit Bookings'!$B$1:$C$1,0), FALSE))*VLOOKUP($F5, 'Exit Capacity Split'!A:H, 3,0)/100</f>
        <v>63041095.460282728</v>
      </c>
      <c r="H5" s="200">
        <f ca="1">IF(VLOOKUP(F5,'Exit Prices'!$A:$Q,12,FALSE)&gt;0,VLOOKUP(F5,'Exit Prices'!$A:$Q,12,FALSE),0)</f>
        <v>1.9820323133808871E-2</v>
      </c>
      <c r="I5" s="202">
        <f ca="1">G5*H5*'User Inputs'!$D$7/100</f>
        <v>4560656.3219721476</v>
      </c>
      <c r="J5" s="209">
        <f ca="1">(VLOOKUP(F5,'Anticipated Exit Bookings'!$B:$C,MATCH('Exit Anticipated Rev. Recovery'!$C$2,'Anticipated Exit Bookings'!$B$1:$C$1,0), FALSE))*VLOOKUP($F5, 'Exit Capacity Split'!A:H, 4,0)/100</f>
        <v>0</v>
      </c>
      <c r="K5" s="205" t="str">
        <f>IF(VLOOKUP(F5,'Exit Prices'!$A:$Q,13,FALSE)&gt;0,VLOOKUP(F5,'Exit Prices'!$A:$Q,13,FALSE),0)</f>
        <v>N/A</v>
      </c>
      <c r="L5" s="207" t="s">
        <v>428</v>
      </c>
      <c r="M5" s="209">
        <f ca="1">(VLOOKUP(F5,'Anticipated Exit Bookings'!$B:$C,MATCH('Exit Anticipated Rev. Recovery'!$C$2,'Anticipated Exit Bookings'!$B$1:$C$1,0), FALSE))*VLOOKUP($F5, 'Exit Capacity Split'!A:H, 5,0)/100</f>
        <v>0</v>
      </c>
      <c r="N5" s="205" t="str">
        <f>IF(VLOOKUP(F5,'Exit Prices'!$A:$Q,14,FALSE)&gt;0,VLOOKUP(F5,'Exit Prices'!$A:$Q,14,FALSE),0)</f>
        <v>N/A</v>
      </c>
      <c r="O5" s="207" t="s">
        <v>428</v>
      </c>
      <c r="P5" s="204">
        <f ca="1">(VLOOKUP(F5,'Anticipated Exit Bookings'!$B:$C,MATCH('Exit Anticipated Rev. Recovery'!$C$2,'Anticipated Exit Bookings'!$B$1:$C$1,0), FALSE))*VLOOKUP($F5, 'Exit Capacity Split'!A:H, 6,0)/100</f>
        <v>0</v>
      </c>
      <c r="Q5" s="200">
        <f ca="1">IF(VLOOKUP(F5,'Exit Prices'!$A:$Q,15,FALSE)&gt;0,VLOOKUP(F5,'Exit Prices'!$A:$Q,15,FALSE),0)</f>
        <v>1.9820323133808871E-2</v>
      </c>
      <c r="R5" s="202">
        <f ca="1">P5*Q5*'User Inputs'!$D$7/100</f>
        <v>0</v>
      </c>
      <c r="S5" s="209">
        <f ca="1">(VLOOKUP(F5,'Anticipated Exit Bookings'!$B:$C,MATCH('Exit Anticipated Rev. Recovery'!$C$2,'Anticipated Exit Bookings'!$B$1:$C$1,0), FALSE))*VLOOKUP($F5, 'Exit Capacity Split'!A:H, 7,0)/100</f>
        <v>59599.655800401422</v>
      </c>
      <c r="T5" s="205" t="str">
        <f>IF(VLOOKUP(F5,'Exit Prices'!$A:$Q,16,FALSE)&gt;0,VLOOKUP(F5,'Exit Prices'!$A:$Q,16,FALSE),0)</f>
        <v>N/A</v>
      </c>
      <c r="U5" s="207" t="s">
        <v>428</v>
      </c>
      <c r="V5" s="204">
        <f ca="1">(VLOOKUP(F5,'Anticipated Exit Bookings'!$B:$C,MATCH('Exit Anticipated Rev. Recovery'!$C$2,'Anticipated Exit Bookings'!$B$1:$C$1,0), FALSE))*VLOOKUP($F5, 'Exit Capacity Split'!A:H, 8,0)/100</f>
        <v>1620391.883916876</v>
      </c>
      <c r="W5" s="200">
        <f ca="1">IF(VLOOKUP(F5,'Exit Prices'!$A:$Q,17,FALSE)&gt;0,VLOOKUP(F5,'Exit Prices'!$A:$Q,17,FALSE),0)</f>
        <v>1.7838290820427986E-2</v>
      </c>
      <c r="X5" s="202">
        <f ca="1">V5*W5*'User Inputs'!$D$7/100</f>
        <v>105503.32908955203</v>
      </c>
      <c r="Y5" s="199">
        <f t="shared" ref="Y5:Y17" ca="1" si="0">I5+R5+X5</f>
        <v>4666159.6510616997</v>
      </c>
      <c r="AA5" s="164"/>
    </row>
    <row r="6" spans="1:27">
      <c r="A6" s="480" t="s">
        <v>343</v>
      </c>
      <c r="B6" s="481"/>
      <c r="C6" s="482"/>
      <c r="D6" s="46"/>
      <c r="E6" s="213" t="s">
        <v>474</v>
      </c>
      <c r="F6" s="213" t="s">
        <v>29</v>
      </c>
      <c r="G6" s="197">
        <f ca="1">(VLOOKUP(F6,'Anticipated Exit Bookings'!$B:$C,MATCH('Exit Anticipated Rev. Recovery'!$C$2,'Anticipated Exit Bookings'!$B$1:$C$1,0), FALSE))*VLOOKUP($F6, 'Exit Capacity Split'!A:H, 3,0)/100</f>
        <v>70581356.910162687</v>
      </c>
      <c r="H6" s="200">
        <f ca="1">IF(VLOOKUP(F6,'Exit Prices'!$A:$Q,12,FALSE)&gt;0,VLOOKUP(F6,'Exit Prices'!$A:$Q,12,FALSE),0)</f>
        <v>1.9820323133808871E-2</v>
      </c>
      <c r="I6" s="202">
        <f ca="1">G6*H6*'User Inputs'!$D$7/100</f>
        <v>5106150.3493147315</v>
      </c>
      <c r="J6" s="209">
        <f ca="1">(VLOOKUP(F6,'Anticipated Exit Bookings'!$B:$C,MATCH('Exit Anticipated Rev. Recovery'!$C$2,'Anticipated Exit Bookings'!$B$1:$C$1,0), FALSE))*VLOOKUP($F6, 'Exit Capacity Split'!A:H, 4,0)/100</f>
        <v>0</v>
      </c>
      <c r="K6" s="205" t="str">
        <f>IF(VLOOKUP(F6,'Exit Prices'!$A:$Q,13,FALSE)&gt;0,VLOOKUP(F6,'Exit Prices'!$A:$Q,13,FALSE),0)</f>
        <v>N/A</v>
      </c>
      <c r="L6" s="207" t="s">
        <v>428</v>
      </c>
      <c r="M6" s="209">
        <f ca="1">(VLOOKUP(F6,'Anticipated Exit Bookings'!$B:$C,MATCH('Exit Anticipated Rev. Recovery'!$C$2,'Anticipated Exit Bookings'!$B$1:$C$1,0), FALSE))*VLOOKUP($F6, 'Exit Capacity Split'!A:H, 5,0)/100</f>
        <v>0</v>
      </c>
      <c r="N6" s="205" t="str">
        <f>IF(VLOOKUP(F6,'Exit Prices'!$A:$Q,14,FALSE)&gt;0,VLOOKUP(F6,'Exit Prices'!$A:$Q,14,FALSE),0)</f>
        <v>N/A</v>
      </c>
      <c r="O6" s="207" t="s">
        <v>428</v>
      </c>
      <c r="P6" s="204">
        <f ca="1">(VLOOKUP(F6,'Anticipated Exit Bookings'!$B:$C,MATCH('Exit Anticipated Rev. Recovery'!$C$2,'Anticipated Exit Bookings'!$B$1:$C$1,0), FALSE))*VLOOKUP($F6, 'Exit Capacity Split'!A:H, 6,0)/100</f>
        <v>0</v>
      </c>
      <c r="Q6" s="200">
        <f ca="1">IF(VLOOKUP(F6,'Exit Prices'!$A:$Q,15,FALSE)&gt;0,VLOOKUP(F6,'Exit Prices'!$A:$Q,15,FALSE),0)</f>
        <v>1.9820323133808871E-2</v>
      </c>
      <c r="R6" s="202">
        <f ca="1">P6*Q6*'User Inputs'!$D$7/100</f>
        <v>0</v>
      </c>
      <c r="S6" s="209">
        <f ca="1">(VLOOKUP(F6,'Anticipated Exit Bookings'!$B:$C,MATCH('Exit Anticipated Rev. Recovery'!$C$2,'Anticipated Exit Bookings'!$B$1:$C$1,0), FALSE))*VLOOKUP($F6, 'Exit Capacity Split'!A:H, 7,0)/100</f>
        <v>66728.291236963778</v>
      </c>
      <c r="T6" s="205" t="str">
        <f>IF(VLOOKUP(F6,'Exit Prices'!$A:$Q,16,FALSE)&gt;0,VLOOKUP(F6,'Exit Prices'!$A:$Q,16,FALSE),0)</f>
        <v>N/A</v>
      </c>
      <c r="U6" s="207" t="s">
        <v>428</v>
      </c>
      <c r="V6" s="204">
        <f ca="1">(VLOOKUP(F6,'Anticipated Exit Bookings'!$B:$C,MATCH('Exit Anticipated Rev. Recovery'!$C$2,'Anticipated Exit Bookings'!$B$1:$C$1,0), FALSE))*VLOOKUP($F6, 'Exit Capacity Split'!A:H, 8,0)/100</f>
        <v>1814204.7986003545</v>
      </c>
      <c r="W6" s="200">
        <f ca="1">IF(VLOOKUP(F6,'Exit Prices'!$A:$Q,17,FALSE)&gt;0,VLOOKUP(F6,'Exit Prices'!$A:$Q,17,FALSE),0)</f>
        <v>1.7838290820427986E-2</v>
      </c>
      <c r="X6" s="202">
        <f ca="1">V6*W6*'User Inputs'!$D$7/100</f>
        <v>118122.44173915923</v>
      </c>
      <c r="Y6" s="199">
        <f t="shared" ca="1" si="0"/>
        <v>5224272.7910538912</v>
      </c>
      <c r="AA6" s="164"/>
    </row>
    <row r="7" spans="1:27">
      <c r="A7" s="483" t="s">
        <v>340</v>
      </c>
      <c r="B7" s="484"/>
      <c r="C7" s="58">
        <f ca="1">SUM(Y:Y)</f>
        <v>443906165.84718019</v>
      </c>
      <c r="D7" s="46"/>
      <c r="E7" s="213" t="s">
        <v>474</v>
      </c>
      <c r="F7" s="213" t="s">
        <v>240</v>
      </c>
      <c r="G7" s="197">
        <f ca="1">(VLOOKUP(F7,'Anticipated Exit Bookings'!$B:$C,MATCH('Exit Anticipated Rev. Recovery'!$C$2,'Anticipated Exit Bookings'!$B$1:$C$1,0), FALSE))*VLOOKUP($F7, 'Exit Capacity Split'!A:H, 3,0)/100</f>
        <v>0</v>
      </c>
      <c r="H7" s="200">
        <f ca="1">IF(VLOOKUP(F7,'Exit Prices'!$A:$Q,12,FALSE)&gt;0,VLOOKUP(F7,'Exit Prices'!$A:$Q,12,FALSE),0)</f>
        <v>1.9820323133808871E-2</v>
      </c>
      <c r="I7" s="202">
        <f ca="1">G7*H7*'User Inputs'!$D$7/100</f>
        <v>0</v>
      </c>
      <c r="J7" s="209">
        <f ca="1">(VLOOKUP(F7,'Anticipated Exit Bookings'!$B:$C,MATCH('Exit Anticipated Rev. Recovery'!$C$2,'Anticipated Exit Bookings'!$B$1:$C$1,0), FALSE))*VLOOKUP($F7, 'Exit Capacity Split'!A:H, 4,0)/100</f>
        <v>0</v>
      </c>
      <c r="K7" s="205" t="str">
        <f>IF(VLOOKUP(F7,'Exit Prices'!$A:$Q,13,FALSE)&gt;0,VLOOKUP(F7,'Exit Prices'!$A:$Q,13,FALSE),0)</f>
        <v>N/A</v>
      </c>
      <c r="L7" s="207" t="s">
        <v>428</v>
      </c>
      <c r="M7" s="209">
        <f ca="1">(VLOOKUP(F7,'Anticipated Exit Bookings'!$B:$C,MATCH('Exit Anticipated Rev. Recovery'!$C$2,'Anticipated Exit Bookings'!$B$1:$C$1,0), FALSE))*VLOOKUP($F7, 'Exit Capacity Split'!A:H, 5,0)/100</f>
        <v>0</v>
      </c>
      <c r="N7" s="205" t="str">
        <f>IF(VLOOKUP(F7,'Exit Prices'!$A:$Q,14,FALSE)&gt;0,VLOOKUP(F7,'Exit Prices'!$A:$Q,14,FALSE),0)</f>
        <v>N/A</v>
      </c>
      <c r="O7" s="207" t="s">
        <v>428</v>
      </c>
      <c r="P7" s="204">
        <f ca="1">(VLOOKUP(F7,'Anticipated Exit Bookings'!$B:$C,MATCH('Exit Anticipated Rev. Recovery'!$C$2,'Anticipated Exit Bookings'!$B$1:$C$1,0), FALSE))*VLOOKUP($F7, 'Exit Capacity Split'!A:H, 6,0)/100</f>
        <v>0</v>
      </c>
      <c r="Q7" s="200">
        <f ca="1">IF(VLOOKUP(F7,'Exit Prices'!$A:$Q,15,FALSE)&gt;0,VLOOKUP(F7,'Exit Prices'!$A:$Q,15,FALSE),0)</f>
        <v>1.9820323133808871E-2</v>
      </c>
      <c r="R7" s="202">
        <f ca="1">P7*Q7*'User Inputs'!$D$7/100</f>
        <v>0</v>
      </c>
      <c r="S7" s="209">
        <f ca="1">(VLOOKUP(F7,'Anticipated Exit Bookings'!$B:$C,MATCH('Exit Anticipated Rev. Recovery'!$C$2,'Anticipated Exit Bookings'!$B$1:$C$1,0), FALSE))*VLOOKUP($F7, 'Exit Capacity Split'!A:H, 7,0)/100</f>
        <v>0</v>
      </c>
      <c r="T7" s="205" t="str">
        <f>IF(VLOOKUP(F7,'Exit Prices'!$A:$Q,16,FALSE)&gt;0,VLOOKUP(F7,'Exit Prices'!$A:$Q,16,FALSE),0)</f>
        <v>N/A</v>
      </c>
      <c r="U7" s="207" t="s">
        <v>428</v>
      </c>
      <c r="V7" s="204">
        <f ca="1">(VLOOKUP(F7,'Anticipated Exit Bookings'!$B:$C,MATCH('Exit Anticipated Rev. Recovery'!$C$2,'Anticipated Exit Bookings'!$B$1:$C$1,0), FALSE))*VLOOKUP($F7, 'Exit Capacity Split'!A:H, 8,0)/100</f>
        <v>0</v>
      </c>
      <c r="W7" s="200">
        <f ca="1">IF(VLOOKUP(F7,'Exit Prices'!$A:$Q,17,FALSE)&gt;0,VLOOKUP(F7,'Exit Prices'!$A:$Q,17,FALSE),0)</f>
        <v>1.7838290820427986E-2</v>
      </c>
      <c r="X7" s="202">
        <f ca="1">V7*W7*'User Inputs'!$D$7/100</f>
        <v>0</v>
      </c>
      <c r="Y7" s="199">
        <f t="shared" ca="1" si="0"/>
        <v>0</v>
      </c>
      <c r="AA7" s="164"/>
    </row>
    <row r="8" spans="1:27">
      <c r="A8" s="488" t="s">
        <v>358</v>
      </c>
      <c r="B8" s="489"/>
      <c r="C8" s="150">
        <f>('User Inputs'!D13/100)* 'Revenue Input'!B3+'User Inputs'!D16</f>
        <v>443906165.84717941</v>
      </c>
      <c r="D8" s="46"/>
      <c r="E8" s="213" t="s">
        <v>474</v>
      </c>
      <c r="F8" s="213" t="s">
        <v>30</v>
      </c>
      <c r="G8" s="197">
        <f ca="1">(VLOOKUP(F8,'Anticipated Exit Bookings'!$B:$C,MATCH('Exit Anticipated Rev. Recovery'!$C$2,'Anticipated Exit Bookings'!$B$1:$C$1,0), FALSE))*VLOOKUP($F8, 'Exit Capacity Split'!A:H, 3,0)/100</f>
        <v>7324337.6357535906</v>
      </c>
      <c r="H8" s="200">
        <f ca="1">IF(VLOOKUP(F8,'Exit Prices'!$A:$Q,12,FALSE)&gt;0,VLOOKUP(F8,'Exit Prices'!$A:$Q,12,FALSE),0)</f>
        <v>1.9820323133808871E-2</v>
      </c>
      <c r="I8" s="202">
        <f ca="1">G8*H8*'User Inputs'!$D$7/100</f>
        <v>529873.19618840155</v>
      </c>
      <c r="J8" s="209">
        <f ca="1">(VLOOKUP(F8,'Anticipated Exit Bookings'!$B:$C,MATCH('Exit Anticipated Rev. Recovery'!$C$2,'Anticipated Exit Bookings'!$B$1:$C$1,0), FALSE))*VLOOKUP($F8, 'Exit Capacity Split'!A:H, 4,0)/100</f>
        <v>0</v>
      </c>
      <c r="K8" s="205" t="str">
        <f>IF(VLOOKUP(F8,'Exit Prices'!$A:$Q,13,FALSE)&gt;0,VLOOKUP(F8,'Exit Prices'!$A:$Q,13,FALSE),0)</f>
        <v>N/A</v>
      </c>
      <c r="L8" s="207" t="s">
        <v>428</v>
      </c>
      <c r="M8" s="209">
        <f ca="1">(VLOOKUP(F8,'Anticipated Exit Bookings'!$B:$C,MATCH('Exit Anticipated Rev. Recovery'!$C$2,'Anticipated Exit Bookings'!$B$1:$C$1,0), FALSE))*VLOOKUP($F8, 'Exit Capacity Split'!A:H, 5,0)/100</f>
        <v>0</v>
      </c>
      <c r="N8" s="205" t="str">
        <f>IF(VLOOKUP(F8,'Exit Prices'!$A:$Q,14,FALSE)&gt;0,VLOOKUP(F8,'Exit Prices'!$A:$Q,14,FALSE),0)</f>
        <v>N/A</v>
      </c>
      <c r="O8" s="207" t="s">
        <v>428</v>
      </c>
      <c r="P8" s="204">
        <f ca="1">(VLOOKUP(F8,'Anticipated Exit Bookings'!$B:$C,MATCH('Exit Anticipated Rev. Recovery'!$C$2,'Anticipated Exit Bookings'!$B$1:$C$1,0), FALSE))*VLOOKUP($F8, 'Exit Capacity Split'!A:H, 6,0)/100</f>
        <v>0</v>
      </c>
      <c r="Q8" s="200">
        <f ca="1">IF(VLOOKUP(F8,'Exit Prices'!$A:$Q,15,FALSE)&gt;0,VLOOKUP(F8,'Exit Prices'!$A:$Q,15,FALSE),0)</f>
        <v>1.9820323133808871E-2</v>
      </c>
      <c r="R8" s="202">
        <f ca="1">P8*Q8*'User Inputs'!$D$7/100</f>
        <v>0</v>
      </c>
      <c r="S8" s="209">
        <f ca="1">(VLOOKUP(F8,'Anticipated Exit Bookings'!$B:$C,MATCH('Exit Anticipated Rev. Recovery'!$C$2,'Anticipated Exit Bookings'!$B$1:$C$1,0), FALSE))*VLOOKUP($F8, 'Exit Capacity Split'!A:H, 7,0)/100</f>
        <v>6924.4989933885608</v>
      </c>
      <c r="T8" s="205" t="str">
        <f>IF(VLOOKUP(F8,'Exit Prices'!$A:$Q,16,FALSE)&gt;0,VLOOKUP(F8,'Exit Prices'!$A:$Q,16,FALSE),0)</f>
        <v>N/A</v>
      </c>
      <c r="U8" s="207" t="s">
        <v>428</v>
      </c>
      <c r="V8" s="204">
        <f ca="1">(VLOOKUP(F8,'Anticipated Exit Bookings'!$B:$C,MATCH('Exit Anticipated Rev. Recovery'!$C$2,'Anticipated Exit Bookings'!$B$1:$C$1,0), FALSE))*VLOOKUP($F8, 'Exit Capacity Split'!A:H, 8,0)/100</f>
        <v>188262.86525302098</v>
      </c>
      <c r="W8" s="200">
        <f ca="1">IF(VLOOKUP(F8,'Exit Prices'!$A:$Q,17,FALSE)&gt;0,VLOOKUP(F8,'Exit Prices'!$A:$Q,17,FALSE),0)</f>
        <v>1.7838290820427986E-2</v>
      </c>
      <c r="X8" s="202">
        <f ca="1">V8*W8*'User Inputs'!$D$7/100</f>
        <v>12257.750254907089</v>
      </c>
      <c r="Y8" s="199">
        <f t="shared" ca="1" si="0"/>
        <v>542130.94644330861</v>
      </c>
      <c r="AA8" s="164"/>
    </row>
    <row r="9" spans="1:27">
      <c r="A9" s="483" t="s">
        <v>339</v>
      </c>
      <c r="B9" s="484"/>
      <c r="C9" s="151">
        <f ca="1">C7-C8</f>
        <v>7.7486038208007813E-7</v>
      </c>
      <c r="D9" s="46"/>
      <c r="E9" s="213" t="s">
        <v>474</v>
      </c>
      <c r="F9" s="213" t="s">
        <v>31</v>
      </c>
      <c r="G9" s="197">
        <f ca="1">(VLOOKUP(F9,'Anticipated Exit Bookings'!$B:$C,MATCH('Exit Anticipated Rev. Recovery'!$C$2,'Anticipated Exit Bookings'!$B$1:$C$1,0), FALSE))*VLOOKUP($F9, 'Exit Capacity Split'!A:H, 3,0)/100</f>
        <v>49573095.204479963</v>
      </c>
      <c r="H9" s="200">
        <f ca="1">IF(VLOOKUP(F9,'Exit Prices'!$A:$Q,12,FALSE)&gt;0,VLOOKUP(F9,'Exit Prices'!$A:$Q,12,FALSE),0)</f>
        <v>1.9820323133808871E-2</v>
      </c>
      <c r="I9" s="202">
        <f ca="1">G9*H9*'User Inputs'!$D$7/100</f>
        <v>3586324.8947899025</v>
      </c>
      <c r="J9" s="209">
        <f ca="1">(VLOOKUP(F9,'Anticipated Exit Bookings'!$B:$C,MATCH('Exit Anticipated Rev. Recovery'!$C$2,'Anticipated Exit Bookings'!$B$1:$C$1,0), FALSE))*VLOOKUP($F9, 'Exit Capacity Split'!A:H, 4,0)/100</f>
        <v>0</v>
      </c>
      <c r="K9" s="205" t="str">
        <f>IF(VLOOKUP(F9,'Exit Prices'!$A:$Q,13,FALSE)&gt;0,VLOOKUP(F9,'Exit Prices'!$A:$Q,13,FALSE),0)</f>
        <v>N/A</v>
      </c>
      <c r="L9" s="207" t="s">
        <v>428</v>
      </c>
      <c r="M9" s="209">
        <f ca="1">(VLOOKUP(F9,'Anticipated Exit Bookings'!$B:$C,MATCH('Exit Anticipated Rev. Recovery'!$C$2,'Anticipated Exit Bookings'!$B$1:$C$1,0), FALSE))*VLOOKUP($F9, 'Exit Capacity Split'!A:H, 5,0)/100</f>
        <v>0</v>
      </c>
      <c r="N9" s="205" t="str">
        <f>IF(VLOOKUP(F9,'Exit Prices'!$A:$Q,14,FALSE)&gt;0,VLOOKUP(F9,'Exit Prices'!$A:$Q,14,FALSE),0)</f>
        <v>N/A</v>
      </c>
      <c r="O9" s="207" t="s">
        <v>428</v>
      </c>
      <c r="P9" s="204">
        <f ca="1">(VLOOKUP(F9,'Anticipated Exit Bookings'!$B:$C,MATCH('Exit Anticipated Rev. Recovery'!$C$2,'Anticipated Exit Bookings'!$B$1:$C$1,0), FALSE))*VLOOKUP($F9, 'Exit Capacity Split'!A:H, 6,0)/100</f>
        <v>0</v>
      </c>
      <c r="Q9" s="200">
        <f ca="1">IF(VLOOKUP(F9,'Exit Prices'!$A:$Q,15,FALSE)&gt;0,VLOOKUP(F9,'Exit Prices'!$A:$Q,15,FALSE),0)</f>
        <v>1.9820323133808871E-2</v>
      </c>
      <c r="R9" s="202">
        <f ca="1">P9*Q9*'User Inputs'!$D$7/100</f>
        <v>0</v>
      </c>
      <c r="S9" s="209">
        <f ca="1">(VLOOKUP(F9,'Anticipated Exit Bookings'!$B:$C,MATCH('Exit Anticipated Rev. Recovery'!$C$2,'Anticipated Exit Bookings'!$B$1:$C$1,0), FALSE))*VLOOKUP($F9, 'Exit Capacity Split'!A:H, 7,0)/100</f>
        <v>46866.879288431155</v>
      </c>
      <c r="T9" s="205" t="str">
        <f>IF(VLOOKUP(F9,'Exit Prices'!$A:$Q,16,FALSE)&gt;0,VLOOKUP(F9,'Exit Prices'!$A:$Q,16,FALSE),0)</f>
        <v>N/A</v>
      </c>
      <c r="U9" s="207" t="s">
        <v>428</v>
      </c>
      <c r="V9" s="204">
        <f ca="1">(VLOOKUP(F9,'Anticipated Exit Bookings'!$B:$C,MATCH('Exit Anticipated Rev. Recovery'!$C$2,'Anticipated Exit Bookings'!$B$1:$C$1,0), FALSE))*VLOOKUP($F9, 'Exit Capacity Split'!A:H, 8,0)/100</f>
        <v>1274213.916231615</v>
      </c>
      <c r="W9" s="200">
        <f ca="1">IF(VLOOKUP(F9,'Exit Prices'!$A:$Q,17,FALSE)&gt;0,VLOOKUP(F9,'Exit Prices'!$A:$Q,17,FALSE),0)</f>
        <v>1.7838290820427986E-2</v>
      </c>
      <c r="X9" s="202">
        <f ca="1">V9*W9*'User Inputs'!$D$7/100</f>
        <v>82963.764178892437</v>
      </c>
      <c r="Y9" s="199">
        <f t="shared" ca="1" si="0"/>
        <v>3669288.6589687951</v>
      </c>
      <c r="AA9" s="164"/>
    </row>
    <row r="10" spans="1:27">
      <c r="A10" s="483" t="s">
        <v>341</v>
      </c>
      <c r="B10" s="484"/>
      <c r="C10" s="151">
        <f ca="1">C9/1000000</f>
        <v>7.7486038208007808E-13</v>
      </c>
      <c r="D10" s="46"/>
      <c r="E10" s="213" t="s">
        <v>474</v>
      </c>
      <c r="F10" s="213" t="s">
        <v>32</v>
      </c>
      <c r="G10" s="197">
        <f ca="1">(VLOOKUP(F10,'Anticipated Exit Bookings'!$B:$C,MATCH('Exit Anticipated Rev. Recovery'!$C$2,'Anticipated Exit Bookings'!$B$1:$C$1,0), FALSE))*VLOOKUP($F10, 'Exit Capacity Split'!A:H, 3,0)/100</f>
        <v>3493112.5242189048</v>
      </c>
      <c r="H10" s="200">
        <f ca="1">IF(VLOOKUP(F10,'Exit Prices'!$A:$Q,12,FALSE)&gt;0,VLOOKUP(F10,'Exit Prices'!$A:$Q,12,FALSE),0)</f>
        <v>1.9820323133808871E-2</v>
      </c>
      <c r="I10" s="202">
        <f ca="1">G10*H10*'User Inputs'!$D$7/100</f>
        <v>252706.35925062315</v>
      </c>
      <c r="J10" s="209">
        <f ca="1">(VLOOKUP(F10,'Anticipated Exit Bookings'!$B:$C,MATCH('Exit Anticipated Rev. Recovery'!$C$2,'Anticipated Exit Bookings'!$B$1:$C$1,0), FALSE))*VLOOKUP($F10, 'Exit Capacity Split'!A:H, 4,0)/100</f>
        <v>0</v>
      </c>
      <c r="K10" s="205" t="str">
        <f>IF(VLOOKUP(F10,'Exit Prices'!$A:$Q,13,FALSE)&gt;0,VLOOKUP(F10,'Exit Prices'!$A:$Q,13,FALSE),0)</f>
        <v>N/A</v>
      </c>
      <c r="L10" s="207" t="s">
        <v>428</v>
      </c>
      <c r="M10" s="209">
        <f ca="1">(VLOOKUP(F10,'Anticipated Exit Bookings'!$B:$C,MATCH('Exit Anticipated Rev. Recovery'!$C$2,'Anticipated Exit Bookings'!$B$1:$C$1,0), FALSE))*VLOOKUP($F10, 'Exit Capacity Split'!A:H, 5,0)/100</f>
        <v>0</v>
      </c>
      <c r="N10" s="205" t="str">
        <f>IF(VLOOKUP(F10,'Exit Prices'!$A:$Q,14,FALSE)&gt;0,VLOOKUP(F10,'Exit Prices'!$A:$Q,14,FALSE),0)</f>
        <v>N/A</v>
      </c>
      <c r="O10" s="207" t="s">
        <v>428</v>
      </c>
      <c r="P10" s="204">
        <f ca="1">(VLOOKUP(F10,'Anticipated Exit Bookings'!$B:$C,MATCH('Exit Anticipated Rev. Recovery'!$C$2,'Anticipated Exit Bookings'!$B$1:$C$1,0), FALSE))*VLOOKUP($F10, 'Exit Capacity Split'!A:H, 6,0)/100</f>
        <v>0</v>
      </c>
      <c r="Q10" s="200">
        <f ca="1">IF(VLOOKUP(F10,'Exit Prices'!$A:$Q,15,FALSE)&gt;0,VLOOKUP(F10,'Exit Prices'!$A:$Q,15,FALSE),0)</f>
        <v>1.9820323133808871E-2</v>
      </c>
      <c r="R10" s="202">
        <f ca="1">P10*Q10*'User Inputs'!$D$7/100</f>
        <v>0</v>
      </c>
      <c r="S10" s="209">
        <f ca="1">(VLOOKUP(F10,'Anticipated Exit Bookings'!$B:$C,MATCH('Exit Anticipated Rev. Recovery'!$C$2,'Anticipated Exit Bookings'!$B$1:$C$1,0), FALSE))*VLOOKUP($F10, 'Exit Capacity Split'!A:H, 7,0)/100</f>
        <v>3302.422056524721</v>
      </c>
      <c r="T10" s="205" t="str">
        <f>IF(VLOOKUP(F10,'Exit Prices'!$A:$Q,16,FALSE)&gt;0,VLOOKUP(F10,'Exit Prices'!$A:$Q,16,FALSE),0)</f>
        <v>N/A</v>
      </c>
      <c r="U10" s="207" t="s">
        <v>428</v>
      </c>
      <c r="V10" s="204">
        <f ca="1">(VLOOKUP(F10,'Anticipated Exit Bookings'!$B:$C,MATCH('Exit Anticipated Rev. Recovery'!$C$2,'Anticipated Exit Bookings'!$B$1:$C$1,0), FALSE))*VLOOKUP($F10, 'Exit Capacity Split'!A:H, 8,0)/100</f>
        <v>89786.053724570258</v>
      </c>
      <c r="W10" s="200">
        <f ca="1">IF(VLOOKUP(F10,'Exit Prices'!$A:$Q,17,FALSE)&gt;0,VLOOKUP(F10,'Exit Prices'!$A:$Q,17,FALSE),0)</f>
        <v>1.7838290820427986E-2</v>
      </c>
      <c r="X10" s="202">
        <f ca="1">V10*W10*'User Inputs'!$D$7/100</f>
        <v>5845.9485435447132</v>
      </c>
      <c r="Y10" s="199">
        <f t="shared" ca="1" si="0"/>
        <v>258552.30779416786</v>
      </c>
      <c r="AA10" s="164"/>
    </row>
    <row r="11" spans="1:27">
      <c r="A11" s="46"/>
      <c r="B11" s="46"/>
      <c r="C11" s="46"/>
      <c r="D11" s="46"/>
      <c r="E11" s="213" t="s">
        <v>474</v>
      </c>
      <c r="F11" s="213" t="s">
        <v>33</v>
      </c>
      <c r="G11" s="197">
        <f ca="1">(VLOOKUP(F11,'Anticipated Exit Bookings'!$B:$C,MATCH('Exit Anticipated Rev. Recovery'!$C$2,'Anticipated Exit Bookings'!$B$1:$C$1,0), FALSE))*VLOOKUP($F11, 'Exit Capacity Split'!A:H, 3,0)/100</f>
        <v>7828939.4274710882</v>
      </c>
      <c r="H11" s="200">
        <f ca="1">IF(VLOOKUP(F11,'Exit Prices'!$A:$Q,12,FALSE)&gt;0,VLOOKUP(F11,'Exit Prices'!$A:$Q,12,FALSE),0)</f>
        <v>1.9820323133808871E-2</v>
      </c>
      <c r="I11" s="202">
        <f ca="1">G11*H11*'User Inputs'!$D$7/100</f>
        <v>566378.19875335158</v>
      </c>
      <c r="J11" s="209">
        <f ca="1">(VLOOKUP(F11,'Anticipated Exit Bookings'!$B:$C,MATCH('Exit Anticipated Rev. Recovery'!$C$2,'Anticipated Exit Bookings'!$B$1:$C$1,0), FALSE))*VLOOKUP($F11, 'Exit Capacity Split'!A:H, 4,0)/100</f>
        <v>0</v>
      </c>
      <c r="K11" s="205" t="str">
        <f>IF(VLOOKUP(F11,'Exit Prices'!$A:$Q,13,FALSE)&gt;0,VLOOKUP(F11,'Exit Prices'!$A:$Q,13,FALSE),0)</f>
        <v>N/A</v>
      </c>
      <c r="L11" s="207" t="s">
        <v>428</v>
      </c>
      <c r="M11" s="209">
        <f ca="1">(VLOOKUP(F11,'Anticipated Exit Bookings'!$B:$C,MATCH('Exit Anticipated Rev. Recovery'!$C$2,'Anticipated Exit Bookings'!$B$1:$C$1,0), FALSE))*VLOOKUP($F11, 'Exit Capacity Split'!A:H, 5,0)/100</f>
        <v>0</v>
      </c>
      <c r="N11" s="205" t="str">
        <f>IF(VLOOKUP(F11,'Exit Prices'!$A:$Q,14,FALSE)&gt;0,VLOOKUP(F11,'Exit Prices'!$A:$Q,14,FALSE),0)</f>
        <v>N/A</v>
      </c>
      <c r="O11" s="207" t="s">
        <v>428</v>
      </c>
      <c r="P11" s="204">
        <f ca="1">(VLOOKUP(F11,'Anticipated Exit Bookings'!$B:$C,MATCH('Exit Anticipated Rev. Recovery'!$C$2,'Anticipated Exit Bookings'!$B$1:$C$1,0), FALSE))*VLOOKUP($F11, 'Exit Capacity Split'!A:H, 6,0)/100</f>
        <v>0</v>
      </c>
      <c r="Q11" s="200">
        <f ca="1">IF(VLOOKUP(F11,'Exit Prices'!$A:$Q,15,FALSE)&gt;0,VLOOKUP(F11,'Exit Prices'!$A:$Q,15,FALSE),0)</f>
        <v>1.9820323133808871E-2</v>
      </c>
      <c r="R11" s="202">
        <f ca="1">P11*Q11*'User Inputs'!$D$7/100</f>
        <v>0</v>
      </c>
      <c r="S11" s="209">
        <f ca="1">(VLOOKUP(F11,'Anticipated Exit Bookings'!$B:$C,MATCH('Exit Anticipated Rev. Recovery'!$C$2,'Anticipated Exit Bookings'!$B$1:$C$1,0), FALSE))*VLOOKUP($F11, 'Exit Capacity Split'!A:H, 7,0)/100</f>
        <v>7401.5543631128394</v>
      </c>
      <c r="T11" s="205" t="str">
        <f>IF(VLOOKUP(F11,'Exit Prices'!$A:$Q,16,FALSE)&gt;0,VLOOKUP(F11,'Exit Prices'!$A:$Q,16,FALSE),0)</f>
        <v>N/A</v>
      </c>
      <c r="U11" s="207" t="s">
        <v>428</v>
      </c>
      <c r="V11" s="204">
        <f ca="1">(VLOOKUP(F11,'Anticipated Exit Bookings'!$B:$C,MATCH('Exit Anticipated Rev. Recovery'!$C$2,'Anticipated Exit Bookings'!$B$1:$C$1,0), FALSE))*VLOOKUP($F11, 'Exit Capacity Split'!A:H, 8,0)/100</f>
        <v>201233.01816579967</v>
      </c>
      <c r="W11" s="200">
        <f ca="1">IF(VLOOKUP(F11,'Exit Prices'!$A:$Q,17,FALSE)&gt;0,VLOOKUP(F11,'Exit Prices'!$A:$Q,17,FALSE),0)</f>
        <v>1.7838290820427986E-2</v>
      </c>
      <c r="X11" s="202">
        <f ca="1">V11*W11*'User Inputs'!$D$7/100</f>
        <v>13102.233817606109</v>
      </c>
      <c r="Y11" s="199">
        <f t="shared" ca="1" si="0"/>
        <v>579480.4325709577</v>
      </c>
      <c r="AA11" s="164"/>
    </row>
    <row r="12" spans="1:27" ht="20.25" customHeight="1">
      <c r="A12" s="487"/>
      <c r="B12" s="487"/>
      <c r="C12" s="487"/>
      <c r="D12" s="46"/>
      <c r="E12" s="213" t="s">
        <v>474</v>
      </c>
      <c r="F12" s="213" t="s">
        <v>34</v>
      </c>
      <c r="G12" s="197">
        <f ca="1">(VLOOKUP(F12,'Anticipated Exit Bookings'!$B:$C,MATCH('Exit Anticipated Rev. Recovery'!$C$2,'Anticipated Exit Bookings'!$B$1:$C$1,0), FALSE))*VLOOKUP($F12, 'Exit Capacity Split'!A:H, 3,0)/100</f>
        <v>13220107.389702629</v>
      </c>
      <c r="H12" s="200">
        <f ca="1">IF(VLOOKUP(F12,'Exit Prices'!$A:$Q,12,FALSE)&gt;0,VLOOKUP(F12,'Exit Prices'!$A:$Q,12,FALSE),0)</f>
        <v>1.9820323133808871E-2</v>
      </c>
      <c r="I12" s="202">
        <f ca="1">G12*H12*'User Inputs'!$D$7/100</f>
        <v>956397.82119559636</v>
      </c>
      <c r="J12" s="209">
        <f ca="1">(VLOOKUP(F12,'Anticipated Exit Bookings'!$B:$C,MATCH('Exit Anticipated Rev. Recovery'!$C$2,'Anticipated Exit Bookings'!$B$1:$C$1,0), FALSE))*VLOOKUP($F12, 'Exit Capacity Split'!A:H, 4,0)/100</f>
        <v>0</v>
      </c>
      <c r="K12" s="205" t="str">
        <f>IF(VLOOKUP(F12,'Exit Prices'!$A:$Q,13,FALSE)&gt;0,VLOOKUP(F12,'Exit Prices'!$A:$Q,13,FALSE),0)</f>
        <v>N/A</v>
      </c>
      <c r="L12" s="207" t="s">
        <v>428</v>
      </c>
      <c r="M12" s="209">
        <f ca="1">(VLOOKUP(F12,'Anticipated Exit Bookings'!$B:$C,MATCH('Exit Anticipated Rev. Recovery'!$C$2,'Anticipated Exit Bookings'!$B$1:$C$1,0), FALSE))*VLOOKUP($F12, 'Exit Capacity Split'!A:H, 5,0)/100</f>
        <v>0</v>
      </c>
      <c r="N12" s="205" t="str">
        <f>IF(VLOOKUP(F12,'Exit Prices'!$A:$Q,14,FALSE)&gt;0,VLOOKUP(F12,'Exit Prices'!$A:$Q,14,FALSE),0)</f>
        <v>N/A</v>
      </c>
      <c r="O12" s="207" t="s">
        <v>428</v>
      </c>
      <c r="P12" s="204">
        <f ca="1">(VLOOKUP(F12,'Anticipated Exit Bookings'!$B:$C,MATCH('Exit Anticipated Rev. Recovery'!$C$2,'Anticipated Exit Bookings'!$B$1:$C$1,0), FALSE))*VLOOKUP($F12, 'Exit Capacity Split'!A:H, 6,0)/100</f>
        <v>0</v>
      </c>
      <c r="Q12" s="200">
        <f ca="1">IF(VLOOKUP(F12,'Exit Prices'!$A:$Q,15,FALSE)&gt;0,VLOOKUP(F12,'Exit Prices'!$A:$Q,15,FALSE),0)</f>
        <v>1.9820323133808871E-2</v>
      </c>
      <c r="R12" s="202">
        <f ca="1">P12*Q12*'User Inputs'!$D$7/100</f>
        <v>0</v>
      </c>
      <c r="S12" s="209">
        <f ca="1">(VLOOKUP(F12,'Anticipated Exit Bookings'!$B:$C,MATCH('Exit Anticipated Rev. Recovery'!$C$2,'Anticipated Exit Bookings'!$B$1:$C$1,0), FALSE))*VLOOKUP($F12, 'Exit Capacity Split'!A:H, 7,0)/100</f>
        <v>12498.416220686124</v>
      </c>
      <c r="T12" s="205" t="str">
        <f>IF(VLOOKUP(F12,'Exit Prices'!$A:$Q,16,FALSE)&gt;0,VLOOKUP(F12,'Exit Prices'!$A:$Q,16,FALSE),0)</f>
        <v>N/A</v>
      </c>
      <c r="U12" s="207" t="s">
        <v>428</v>
      </c>
      <c r="V12" s="204">
        <f ca="1">(VLOOKUP(F12,'Anticipated Exit Bookings'!$B:$C,MATCH('Exit Anticipated Rev. Recovery'!$C$2,'Anticipated Exit Bookings'!$B$1:$C$1,0), FALSE))*VLOOKUP($F12, 'Exit Capacity Split'!A:H, 8,0)/100</f>
        <v>339806.194076685</v>
      </c>
      <c r="W12" s="200">
        <f ca="1">IF(VLOOKUP(F12,'Exit Prices'!$A:$Q,17,FALSE)&gt;0,VLOOKUP(F12,'Exit Prices'!$A:$Q,17,FALSE),0)</f>
        <v>1.7838290820427986E-2</v>
      </c>
      <c r="X12" s="202">
        <f ca="1">V12*W12*'User Inputs'!$D$7/100</f>
        <v>22124.700250707861</v>
      </c>
      <c r="Y12" s="199">
        <f t="shared" ca="1" si="0"/>
        <v>978522.52144630428</v>
      </c>
      <c r="AA12" s="164"/>
    </row>
    <row r="13" spans="1:27">
      <c r="A13" s="480" t="s">
        <v>520</v>
      </c>
      <c r="B13" s="481"/>
      <c r="C13" s="482"/>
      <c r="D13" s="269"/>
      <c r="E13" s="213" t="s">
        <v>474</v>
      </c>
      <c r="F13" s="213" t="s">
        <v>35</v>
      </c>
      <c r="G13" s="197">
        <f ca="1">(VLOOKUP(F13,'Anticipated Exit Bookings'!$B:$C,MATCH('Exit Anticipated Rev. Recovery'!$C$2,'Anticipated Exit Bookings'!$B$1:$C$1,0), FALSE))*VLOOKUP($F13, 'Exit Capacity Split'!A:H, 3,0)/100</f>
        <v>58054118.160893261</v>
      </c>
      <c r="H13" s="200">
        <f ca="1">IF(VLOOKUP(F13,'Exit Prices'!$A:$Q,12,FALSE)&gt;0,VLOOKUP(F13,'Exit Prices'!$A:$Q,12,FALSE),0)</f>
        <v>1.9820323133808871E-2</v>
      </c>
      <c r="I13" s="202">
        <f ca="1">G13*H13*'User Inputs'!$D$7/100</f>
        <v>4199877.5413698768</v>
      </c>
      <c r="J13" s="209">
        <f ca="1">(VLOOKUP(F13,'Anticipated Exit Bookings'!$B:$C,MATCH('Exit Anticipated Rev. Recovery'!$C$2,'Anticipated Exit Bookings'!$B$1:$C$1,0), FALSE))*VLOOKUP($F13, 'Exit Capacity Split'!A:H, 4,0)/100</f>
        <v>0</v>
      </c>
      <c r="K13" s="205" t="str">
        <f>IF(VLOOKUP(F13,'Exit Prices'!$A:$Q,13,FALSE)&gt;0,VLOOKUP(F13,'Exit Prices'!$A:$Q,13,FALSE),0)</f>
        <v>N/A</v>
      </c>
      <c r="L13" s="207" t="s">
        <v>428</v>
      </c>
      <c r="M13" s="209">
        <f ca="1">(VLOOKUP(F13,'Anticipated Exit Bookings'!$B:$C,MATCH('Exit Anticipated Rev. Recovery'!$C$2,'Anticipated Exit Bookings'!$B$1:$C$1,0), FALSE))*VLOOKUP($F13, 'Exit Capacity Split'!A:H, 5,0)/100</f>
        <v>0</v>
      </c>
      <c r="N13" s="205" t="str">
        <f>IF(VLOOKUP(F13,'Exit Prices'!$A:$Q,14,FALSE)&gt;0,VLOOKUP(F13,'Exit Prices'!$A:$Q,14,FALSE),0)</f>
        <v>N/A</v>
      </c>
      <c r="O13" s="207" t="s">
        <v>428</v>
      </c>
      <c r="P13" s="204">
        <f ca="1">(VLOOKUP(F13,'Anticipated Exit Bookings'!$B:$C,MATCH('Exit Anticipated Rev. Recovery'!$C$2,'Anticipated Exit Bookings'!$B$1:$C$1,0), FALSE))*VLOOKUP($F13, 'Exit Capacity Split'!A:H, 6,0)/100</f>
        <v>0</v>
      </c>
      <c r="Q13" s="200">
        <f ca="1">IF(VLOOKUP(F13,'Exit Prices'!$A:$Q,15,FALSE)&gt;0,VLOOKUP(F13,'Exit Prices'!$A:$Q,15,FALSE),0)</f>
        <v>1.9820323133808871E-2</v>
      </c>
      <c r="R13" s="202">
        <f ca="1">P13*Q13*'User Inputs'!$D$7/100</f>
        <v>0</v>
      </c>
      <c r="S13" s="209">
        <f ca="1">(VLOOKUP(F13,'Anticipated Exit Bookings'!$B:$C,MATCH('Exit Anticipated Rev. Recovery'!$C$2,'Anticipated Exit Bookings'!$B$1:$C$1,0), FALSE))*VLOOKUP($F13, 'Exit Capacity Split'!A:H, 7,0)/100</f>
        <v>54884.919669026865</v>
      </c>
      <c r="T13" s="205" t="str">
        <f>IF(VLOOKUP(F13,'Exit Prices'!$A:$Q,16,FALSE)&gt;0,VLOOKUP(F13,'Exit Prices'!$A:$Q,16,FALSE),0)</f>
        <v>N/A</v>
      </c>
      <c r="U13" s="207" t="s">
        <v>428</v>
      </c>
      <c r="V13" s="204">
        <f ca="1">(VLOOKUP(F13,'Anticipated Exit Bookings'!$B:$C,MATCH('Exit Anticipated Rev. Recovery'!$C$2,'Anticipated Exit Bookings'!$B$1:$C$1,0), FALSE))*VLOOKUP($F13, 'Exit Capacity Split'!A:H, 8,0)/100</f>
        <v>1492207.9194377132</v>
      </c>
      <c r="W13" s="200">
        <f ca="1">IF(VLOOKUP(F13,'Exit Prices'!$A:$Q,17,FALSE)&gt;0,VLOOKUP(F13,'Exit Prices'!$A:$Q,17,FALSE),0)</f>
        <v>1.7838290820427986E-2</v>
      </c>
      <c r="X13" s="202">
        <f ca="1">V13*W13*'User Inputs'!$D$7/100</f>
        <v>97157.301734886321</v>
      </c>
      <c r="Y13" s="199">
        <f t="shared" ca="1" si="0"/>
        <v>4297034.843104763</v>
      </c>
      <c r="AA13" s="164"/>
    </row>
    <row r="14" spans="1:27">
      <c r="A14" s="483" t="s">
        <v>523</v>
      </c>
      <c r="B14" s="484"/>
      <c r="C14" s="143">
        <f ca="1">ROUND(-($C$9*100)/(SUM('Anticipated Exit Bookings'!C3:C231)*'User Inputs'!$D$7),10)</f>
        <v>0</v>
      </c>
      <c r="D14" s="46"/>
      <c r="E14" s="213" t="s">
        <v>474</v>
      </c>
      <c r="F14" s="213" t="s">
        <v>36</v>
      </c>
      <c r="G14" s="197">
        <f ca="1">(VLOOKUP(F14,'Anticipated Exit Bookings'!$B:$C,MATCH('Exit Anticipated Rev. Recovery'!$C$2,'Anticipated Exit Bookings'!$B$1:$C$1,0), FALSE))*VLOOKUP($F14, 'Exit Capacity Split'!A:H, 3,0)/100</f>
        <v>0</v>
      </c>
      <c r="H14" s="200">
        <f ca="1">IF(VLOOKUP(F14,'Exit Prices'!$A:$Q,12,FALSE)&gt;0,VLOOKUP(F14,'Exit Prices'!$A:$Q,12,FALSE),0)</f>
        <v>9.9101615669044355E-3</v>
      </c>
      <c r="I14" s="202">
        <f ca="1">G14*H14*'User Inputs'!$D$7/100</f>
        <v>0</v>
      </c>
      <c r="J14" s="209">
        <f ca="1">(VLOOKUP(F14,'Anticipated Exit Bookings'!$B:$C,MATCH('Exit Anticipated Rev. Recovery'!$C$2,'Anticipated Exit Bookings'!$B$1:$C$1,0), FALSE))*VLOOKUP($F14, 'Exit Capacity Split'!A:H, 4,0)/100</f>
        <v>0</v>
      </c>
      <c r="K14" s="205" t="str">
        <f>IF(VLOOKUP(F14,'Exit Prices'!$A:$Q,13,FALSE)&gt;0,VLOOKUP(F14,'Exit Prices'!$A:$Q,13,FALSE),0)</f>
        <v>N/A</v>
      </c>
      <c r="L14" s="207" t="s">
        <v>428</v>
      </c>
      <c r="M14" s="209">
        <f ca="1">(VLOOKUP(F14,'Anticipated Exit Bookings'!$B:$C,MATCH('Exit Anticipated Rev. Recovery'!$C$2,'Anticipated Exit Bookings'!$B$1:$C$1,0), FALSE))*VLOOKUP($F14, 'Exit Capacity Split'!A:H, 5,0)/100</f>
        <v>0</v>
      </c>
      <c r="N14" s="205" t="str">
        <f>IF(VLOOKUP(F14,'Exit Prices'!$A:$Q,14,FALSE)&gt;0,VLOOKUP(F14,'Exit Prices'!$A:$Q,14,FALSE),0)</f>
        <v>N/A</v>
      </c>
      <c r="O14" s="207" t="s">
        <v>428</v>
      </c>
      <c r="P14" s="204">
        <f ca="1">(VLOOKUP(F14,'Anticipated Exit Bookings'!$B:$C,MATCH('Exit Anticipated Rev. Recovery'!$C$2,'Anticipated Exit Bookings'!$B$1:$C$1,0), FALSE))*VLOOKUP($F14, 'Exit Capacity Split'!A:H, 6,0)/100</f>
        <v>0</v>
      </c>
      <c r="Q14" s="200">
        <f ca="1">IF(VLOOKUP(F14,'Exit Prices'!$A:$Q,15,FALSE)&gt;0,VLOOKUP(F14,'Exit Prices'!$A:$Q,15,FALSE),0)</f>
        <v>9.9101615669044355E-3</v>
      </c>
      <c r="R14" s="202">
        <f ca="1">P14*Q14*'User Inputs'!$D$7/100</f>
        <v>0</v>
      </c>
      <c r="S14" s="209">
        <f ca="1">(VLOOKUP(F14,'Anticipated Exit Bookings'!$B:$C,MATCH('Exit Anticipated Rev. Recovery'!$C$2,'Anticipated Exit Bookings'!$B$1:$C$1,0), FALSE))*VLOOKUP($F14, 'Exit Capacity Split'!A:H, 7,0)/100</f>
        <v>0</v>
      </c>
      <c r="T14" s="205" t="str">
        <f>IF(VLOOKUP(F14,'Exit Prices'!$A:$Q,16,FALSE)&gt;0,VLOOKUP(F14,'Exit Prices'!$A:$Q,16,FALSE),0)</f>
        <v>N/A</v>
      </c>
      <c r="U14" s="207" t="s">
        <v>428</v>
      </c>
      <c r="V14" s="204">
        <f ca="1">(VLOOKUP(F14,'Anticipated Exit Bookings'!$B:$C,MATCH('Exit Anticipated Rev. Recovery'!$C$2,'Anticipated Exit Bookings'!$B$1:$C$1,0), FALSE))*VLOOKUP($F14, 'Exit Capacity Split'!A:H, 8,0)/100</f>
        <v>0</v>
      </c>
      <c r="W14" s="200">
        <f ca="1">IF(VLOOKUP(F14,'Exit Prices'!$A:$Q,17,FALSE)&gt;0,VLOOKUP(F14,'Exit Prices'!$A:$Q,17,FALSE),0)</f>
        <v>8.9191454102139928E-3</v>
      </c>
      <c r="X14" s="202">
        <f ca="1">V14*W14*'User Inputs'!$D$7/100</f>
        <v>0</v>
      </c>
      <c r="Y14" s="199">
        <f t="shared" ca="1" si="0"/>
        <v>0</v>
      </c>
      <c r="AA14" s="164"/>
    </row>
    <row r="15" spans="1:27" ht="15" customHeight="1">
      <c r="A15" s="321"/>
      <c r="B15" s="321"/>
      <c r="C15" s="321"/>
      <c r="D15" s="269"/>
      <c r="E15" s="213" t="s">
        <v>474</v>
      </c>
      <c r="F15" s="213" t="s">
        <v>37</v>
      </c>
      <c r="G15" s="197">
        <f ca="1">(VLOOKUP(F15,'Anticipated Exit Bookings'!$B:$C,MATCH('Exit Anticipated Rev. Recovery'!$C$2,'Anticipated Exit Bookings'!$B$1:$C$1,0), FALSE))*VLOOKUP($F15, 'Exit Capacity Split'!A:H, 3,0)/100</f>
        <v>18775586.59709597</v>
      </c>
      <c r="H15" s="200">
        <f ca="1">IF(VLOOKUP(F15,'Exit Prices'!$A:$Q,12,FALSE)&gt;0,VLOOKUP(F15,'Exit Prices'!$A:$Q,12,FALSE),0)</f>
        <v>1.9820323133808871E-2</v>
      </c>
      <c r="I15" s="202">
        <f ca="1">G15*H15*'User Inputs'!$D$7/100</f>
        <v>1358304.4058415734</v>
      </c>
      <c r="J15" s="209">
        <f ca="1">(VLOOKUP(F15,'Anticipated Exit Bookings'!$B:$C,MATCH('Exit Anticipated Rev. Recovery'!$C$2,'Anticipated Exit Bookings'!$B$1:$C$1,0), FALSE))*VLOOKUP($F15, 'Exit Capacity Split'!A:H, 4,0)/100</f>
        <v>0</v>
      </c>
      <c r="K15" s="205" t="str">
        <f>IF(VLOOKUP(F15,'Exit Prices'!$A:$Q,13,FALSE)&gt;0,VLOOKUP(F15,'Exit Prices'!$A:$Q,13,FALSE),0)</f>
        <v>N/A</v>
      </c>
      <c r="L15" s="207" t="s">
        <v>428</v>
      </c>
      <c r="M15" s="209">
        <f ca="1">(VLOOKUP(F15,'Anticipated Exit Bookings'!$B:$C,MATCH('Exit Anticipated Rev. Recovery'!$C$2,'Anticipated Exit Bookings'!$B$1:$C$1,0), FALSE))*VLOOKUP($F15, 'Exit Capacity Split'!A:H, 5,0)/100</f>
        <v>0</v>
      </c>
      <c r="N15" s="205" t="str">
        <f>IF(VLOOKUP(F15,'Exit Prices'!$A:$Q,14,FALSE)&gt;0,VLOOKUP(F15,'Exit Prices'!$A:$Q,14,FALSE),0)</f>
        <v>N/A</v>
      </c>
      <c r="O15" s="207" t="s">
        <v>428</v>
      </c>
      <c r="P15" s="204">
        <f ca="1">(VLOOKUP(F15,'Anticipated Exit Bookings'!$B:$C,MATCH('Exit Anticipated Rev. Recovery'!$C$2,'Anticipated Exit Bookings'!$B$1:$C$1,0), FALSE))*VLOOKUP($F15, 'Exit Capacity Split'!A:H, 6,0)/100</f>
        <v>0</v>
      </c>
      <c r="Q15" s="200">
        <f ca="1">IF(VLOOKUP(F15,'Exit Prices'!$A:$Q,15,FALSE)&gt;0,VLOOKUP(F15,'Exit Prices'!$A:$Q,15,FALSE),0)</f>
        <v>1.9820323133808871E-2</v>
      </c>
      <c r="R15" s="202">
        <f ca="1">P15*Q15*'User Inputs'!$D$7/100</f>
        <v>0</v>
      </c>
      <c r="S15" s="209">
        <f ca="1">(VLOOKUP(F15,'Anticipated Exit Bookings'!$B:$C,MATCH('Exit Anticipated Rev. Recovery'!$C$2,'Anticipated Exit Bookings'!$B$1:$C$1,0), FALSE))*VLOOKUP($F15, 'Exit Capacity Split'!A:H, 7,0)/100</f>
        <v>17750.619504106751</v>
      </c>
      <c r="T15" s="205" t="str">
        <f>IF(VLOOKUP(F15,'Exit Prices'!$A:$Q,16,FALSE)&gt;0,VLOOKUP(F15,'Exit Prices'!$A:$Q,16,FALSE),0)</f>
        <v>N/A</v>
      </c>
      <c r="U15" s="207" t="s">
        <v>428</v>
      </c>
      <c r="V15" s="204">
        <f ca="1">(VLOOKUP(F15,'Anticipated Exit Bookings'!$B:$C,MATCH('Exit Anticipated Rev. Recovery'!$C$2,'Anticipated Exit Bookings'!$B$1:$C$1,0), FALSE))*VLOOKUP($F15, 'Exit Capacity Split'!A:H, 8,0)/100</f>
        <v>482602.78339992446</v>
      </c>
      <c r="W15" s="200">
        <f ca="1">IF(VLOOKUP(F15,'Exit Prices'!$A:$Q,17,FALSE)&gt;0,VLOOKUP(F15,'Exit Prices'!$A:$Q,17,FALSE),0)</f>
        <v>1.7838290820427986E-2</v>
      </c>
      <c r="X15" s="202">
        <f ca="1">V15*W15*'User Inputs'!$D$7/100</f>
        <v>31422.152123780917</v>
      </c>
      <c r="Y15" s="199">
        <f t="shared" ca="1" si="0"/>
        <v>1389726.5579653543</v>
      </c>
      <c r="AA15" s="164"/>
    </row>
    <row r="16" spans="1:27" ht="15" customHeight="1">
      <c r="A16" s="46"/>
      <c r="B16" s="46"/>
      <c r="C16" s="46"/>
      <c r="D16" s="269"/>
      <c r="E16" s="213" t="s">
        <v>474</v>
      </c>
      <c r="F16" s="213" t="s">
        <v>38</v>
      </c>
      <c r="G16" s="197">
        <f ca="1">(VLOOKUP(F16,'Anticipated Exit Bookings'!$B:$C,MATCH('Exit Anticipated Rev. Recovery'!$C$2,'Anticipated Exit Bookings'!$B$1:$C$1,0), FALSE))*VLOOKUP($F16, 'Exit Capacity Split'!A:H, 3,0)/100</f>
        <v>2770438.1804129374</v>
      </c>
      <c r="H16" s="200">
        <f ca="1">IF(VLOOKUP(F16,'Exit Prices'!$A:$Q,12,FALSE)&gt;0,VLOOKUP(F16,'Exit Prices'!$A:$Q,12,FALSE),0)</f>
        <v>1.9820323133808871E-2</v>
      </c>
      <c r="I16" s="202">
        <f ca="1">G16*H16*'User Inputs'!$D$7/100</f>
        <v>200425.07684679452</v>
      </c>
      <c r="J16" s="209">
        <f ca="1">(VLOOKUP(F16,'Anticipated Exit Bookings'!$B:$C,MATCH('Exit Anticipated Rev. Recovery'!$C$2,'Anticipated Exit Bookings'!$B$1:$C$1,0), FALSE))*VLOOKUP($F16, 'Exit Capacity Split'!A:H, 4,0)/100</f>
        <v>0</v>
      </c>
      <c r="K16" s="205" t="str">
        <f>IF(VLOOKUP(F16,'Exit Prices'!$A:$Q,13,FALSE)&gt;0,VLOOKUP(F16,'Exit Prices'!$A:$Q,13,FALSE),0)</f>
        <v>N/A</v>
      </c>
      <c r="L16" s="207" t="s">
        <v>428</v>
      </c>
      <c r="M16" s="209">
        <f ca="1">(VLOOKUP(F16,'Anticipated Exit Bookings'!$B:$C,MATCH('Exit Anticipated Rev. Recovery'!$C$2,'Anticipated Exit Bookings'!$B$1:$C$1,0), FALSE))*VLOOKUP($F16, 'Exit Capacity Split'!A:H, 5,0)/100</f>
        <v>0</v>
      </c>
      <c r="N16" s="205" t="str">
        <f>IF(VLOOKUP(F16,'Exit Prices'!$A:$Q,14,FALSE)&gt;0,VLOOKUP(F16,'Exit Prices'!$A:$Q,14,FALSE),0)</f>
        <v>N/A</v>
      </c>
      <c r="O16" s="207" t="s">
        <v>428</v>
      </c>
      <c r="P16" s="204">
        <f ca="1">(VLOOKUP(F16,'Anticipated Exit Bookings'!$B:$C,MATCH('Exit Anticipated Rev. Recovery'!$C$2,'Anticipated Exit Bookings'!$B$1:$C$1,0), FALSE))*VLOOKUP($F16, 'Exit Capacity Split'!A:H, 6,0)/100</f>
        <v>0</v>
      </c>
      <c r="Q16" s="200">
        <f ca="1">IF(VLOOKUP(F16,'Exit Prices'!$A:$Q,15,FALSE)&gt;0,VLOOKUP(F16,'Exit Prices'!$A:$Q,15,FALSE),0)</f>
        <v>1.9820323133808871E-2</v>
      </c>
      <c r="R16" s="202">
        <f ca="1">P16*Q16*'User Inputs'!$D$7/100</f>
        <v>0</v>
      </c>
      <c r="S16" s="209">
        <f ca="1">(VLOOKUP(F16,'Anticipated Exit Bookings'!$B:$C,MATCH('Exit Anticipated Rev. Recovery'!$C$2,'Anticipated Exit Bookings'!$B$1:$C$1,0), FALSE))*VLOOKUP($F16, 'Exit Capacity Split'!A:H, 7,0)/100</f>
        <v>2619.1988061649236</v>
      </c>
      <c r="T16" s="205" t="str">
        <f>IF(VLOOKUP(F16,'Exit Prices'!$A:$Q,16,FALSE)&gt;0,VLOOKUP(F16,'Exit Prices'!$A:$Q,16,FALSE),0)</f>
        <v>N/A</v>
      </c>
      <c r="U16" s="207" t="s">
        <v>428</v>
      </c>
      <c r="V16" s="204">
        <f ca="1">(VLOOKUP(F16,'Anticipated Exit Bookings'!$B:$C,MATCH('Exit Anticipated Rev. Recovery'!$C$2,'Anticipated Exit Bookings'!$B$1:$C$1,0), FALSE))*VLOOKUP($F16, 'Exit Capacity Split'!A:H, 8,0)/100</f>
        <v>71210.620780897661</v>
      </c>
      <c r="W16" s="200">
        <f ca="1">IF(VLOOKUP(F16,'Exit Prices'!$A:$Q,17,FALSE)&gt;0,VLOOKUP(F16,'Exit Prices'!$A:$Q,17,FALSE),0)</f>
        <v>1.7838290820427986E-2</v>
      </c>
      <c r="X16" s="202">
        <f ca="1">V16*W16*'User Inputs'!$D$7/100</f>
        <v>4636.5065349239576</v>
      </c>
      <c r="Y16" s="199">
        <f t="shared" ca="1" si="0"/>
        <v>205061.58338171846</v>
      </c>
      <c r="AA16" s="164"/>
    </row>
    <row r="17" spans="1:27" ht="21" customHeight="1">
      <c r="A17" s="46"/>
      <c r="B17" s="46"/>
      <c r="C17" s="46"/>
      <c r="D17" s="269"/>
      <c r="E17" s="213" t="s">
        <v>474</v>
      </c>
      <c r="F17" s="213" t="s">
        <v>39</v>
      </c>
      <c r="G17" s="197">
        <f ca="1">(VLOOKUP(F17,'Anticipated Exit Bookings'!$B:$C,MATCH('Exit Anticipated Rev. Recovery'!$C$2,'Anticipated Exit Bookings'!$B$1:$C$1,0), FALSE))*VLOOKUP($F17, 'Exit Capacity Split'!A:H, 3,0)/100</f>
        <v>0</v>
      </c>
      <c r="H17" s="200">
        <f ca="1">IF(VLOOKUP(F17,'Exit Prices'!$A:$Q,12,FALSE)&gt;0,VLOOKUP(F17,'Exit Prices'!$A:$Q,12,FALSE),0)</f>
        <v>9.9101615669044355E-3</v>
      </c>
      <c r="I17" s="202">
        <f ca="1">G17*H17*'User Inputs'!$D$7/100</f>
        <v>0</v>
      </c>
      <c r="J17" s="209">
        <f ca="1">(VLOOKUP(F17,'Anticipated Exit Bookings'!$B:$C,MATCH('Exit Anticipated Rev. Recovery'!$C$2,'Anticipated Exit Bookings'!$B$1:$C$1,0), FALSE))*VLOOKUP($F17, 'Exit Capacity Split'!A:H, 4,0)/100</f>
        <v>0</v>
      </c>
      <c r="K17" s="205" t="str">
        <f>IF(VLOOKUP(F17,'Exit Prices'!$A:$Q,13,FALSE)&gt;0,VLOOKUP(F17,'Exit Prices'!$A:$Q,13,FALSE),0)</f>
        <v>N/A</v>
      </c>
      <c r="L17" s="207" t="s">
        <v>428</v>
      </c>
      <c r="M17" s="209">
        <f ca="1">(VLOOKUP(F17,'Anticipated Exit Bookings'!$B:$C,MATCH('Exit Anticipated Rev. Recovery'!$C$2,'Anticipated Exit Bookings'!$B$1:$C$1,0), FALSE))*VLOOKUP($F17, 'Exit Capacity Split'!A:H, 5,0)/100</f>
        <v>0</v>
      </c>
      <c r="N17" s="205" t="str">
        <f>IF(VLOOKUP(F17,'Exit Prices'!$A:$Q,14,FALSE)&gt;0,VLOOKUP(F17,'Exit Prices'!$A:$Q,14,FALSE),0)</f>
        <v>N/A</v>
      </c>
      <c r="O17" s="207" t="s">
        <v>428</v>
      </c>
      <c r="P17" s="204">
        <f ca="1">(VLOOKUP(F17,'Anticipated Exit Bookings'!$B:$C,MATCH('Exit Anticipated Rev. Recovery'!$C$2,'Anticipated Exit Bookings'!$B$1:$C$1,0), FALSE))*VLOOKUP($F17, 'Exit Capacity Split'!A:H, 6,0)/100</f>
        <v>0</v>
      </c>
      <c r="Q17" s="200">
        <f ca="1">IF(VLOOKUP(F17,'Exit Prices'!$A:$Q,15,FALSE)&gt;0,VLOOKUP(F17,'Exit Prices'!$A:$Q,15,FALSE),0)</f>
        <v>9.9101615669044355E-3</v>
      </c>
      <c r="R17" s="202">
        <f ca="1">P17*Q17*'User Inputs'!$D$7/100</f>
        <v>0</v>
      </c>
      <c r="S17" s="209">
        <f ca="1">(VLOOKUP(F17,'Anticipated Exit Bookings'!$B:$C,MATCH('Exit Anticipated Rev. Recovery'!$C$2,'Anticipated Exit Bookings'!$B$1:$C$1,0), FALSE))*VLOOKUP($F17, 'Exit Capacity Split'!A:H, 7,0)/100</f>
        <v>0</v>
      </c>
      <c r="T17" s="205" t="str">
        <f>IF(VLOOKUP(F17,'Exit Prices'!$A:$Q,16,FALSE)&gt;0,VLOOKUP(F17,'Exit Prices'!$A:$Q,16,FALSE),0)</f>
        <v>N/A</v>
      </c>
      <c r="U17" s="207" t="s">
        <v>428</v>
      </c>
      <c r="V17" s="204">
        <f ca="1">(VLOOKUP(F17,'Anticipated Exit Bookings'!$B:$C,MATCH('Exit Anticipated Rev. Recovery'!$C$2,'Anticipated Exit Bookings'!$B$1:$C$1,0), FALSE))*VLOOKUP($F17, 'Exit Capacity Split'!A:H, 8,0)/100</f>
        <v>0</v>
      </c>
      <c r="W17" s="200">
        <f ca="1">IF(VLOOKUP(F17,'Exit Prices'!$A:$Q,17,FALSE)&gt;0,VLOOKUP(F17,'Exit Prices'!$A:$Q,17,FALSE),0)</f>
        <v>8.9191454102139928E-3</v>
      </c>
      <c r="X17" s="202">
        <f ca="1">V17*W17*'User Inputs'!$D$7/100</f>
        <v>0</v>
      </c>
      <c r="Y17" s="199">
        <f t="shared" ca="1" si="0"/>
        <v>0</v>
      </c>
      <c r="AA17" s="164"/>
    </row>
    <row r="18" spans="1:27">
      <c r="A18" s="46"/>
      <c r="B18" s="46"/>
      <c r="C18" s="46"/>
      <c r="D18" s="269"/>
      <c r="E18" s="213" t="s">
        <v>473</v>
      </c>
      <c r="F18" s="213" t="s">
        <v>40</v>
      </c>
      <c r="G18" s="197">
        <f ca="1">(VLOOKUP(F18,'Anticipated Exit Bookings'!$B:$C,MATCH('Exit Anticipated Rev. Recovery'!$C$2,'Anticipated Exit Bookings'!$B$1:$C$1,0), FALSE))*VLOOKUP($F18, 'Exit Capacity Split'!A:H, 3,0)/100</f>
        <v>104556.41497009851</v>
      </c>
      <c r="H18" s="200">
        <f ca="1">IF(VLOOKUP(F18,'Exit Prices'!$A:$Q,12,FALSE)&gt;0,VLOOKUP(F18,'Exit Prices'!$A:$Q,12,FALSE),0)</f>
        <v>1.9820323133808871E-2</v>
      </c>
      <c r="I18" s="202">
        <f ca="1">G18*H18*'User Inputs'!$D$7/100</f>
        <v>7564.0480460328681</v>
      </c>
      <c r="J18" s="209">
        <f ca="1">(VLOOKUP(F18,'Anticipated Exit Bookings'!$B:$C,MATCH('Exit Anticipated Rev. Recovery'!$C$2,'Anticipated Exit Bookings'!$B$1:$C$1,0), FALSE))*VLOOKUP($F18, 'Exit Capacity Split'!A:H, 4,0)/100</f>
        <v>19027.813895021376</v>
      </c>
      <c r="K18" s="200">
        <f ca="1">IF(VLOOKUP(F18,'Exit Prices'!$A:$Q,13,FALSE)&gt;0,VLOOKUP(F18,'Exit Prices'!$A:$Q,13,FALSE),0)</f>
        <v>1.9820323133808871E-2</v>
      </c>
      <c r="L18" s="202">
        <f ca="1">J18*K18*'User Inputs'!$D$7/100</f>
        <v>1376.5515827419524</v>
      </c>
      <c r="M18" s="209">
        <f ca="1">(VLOOKUP(F18,'Anticipated Exit Bookings'!$B:$C,MATCH('Exit Anticipated Rev. Recovery'!$C$2,'Anticipated Exit Bookings'!$B$1:$C$1,0), FALSE))*VLOOKUP($F18, 'Exit Capacity Split'!A:H, 5,0)/100</f>
        <v>5891.6659516970467</v>
      </c>
      <c r="N18" s="200">
        <f ca="1">IF(VLOOKUP(F18,'Exit Prices'!$A:$Q,14,FALSE)&gt;0,VLOOKUP(F18,'Exit Prices'!$A:$Q,14,FALSE),0)</f>
        <v>1.9820323133808871E-2</v>
      </c>
      <c r="O18" s="202">
        <f ca="1">M18*N18*'User Inputs'!$D$7/100</f>
        <v>426.22773880069684</v>
      </c>
      <c r="P18" s="204">
        <f ca="1">(VLOOKUP(F18,'Anticipated Exit Bookings'!$B:$C,MATCH('Exit Anticipated Rev. Recovery'!$C$2,'Anticipated Exit Bookings'!$B$1:$C$1,0), FALSE))*VLOOKUP($F18, 'Exit Capacity Split'!A:H, 6,0)/100</f>
        <v>2811.941610059037</v>
      </c>
      <c r="Q18" s="200">
        <f ca="1">IF(VLOOKUP(F18,'Exit Prices'!$A:$Q,15,FALSE)&gt;0,VLOOKUP(F18,'Exit Prices'!$A:$Q,15,FALSE),0)</f>
        <v>1.9820323133808871E-2</v>
      </c>
      <c r="R18" s="202">
        <f ca="1">P18*Q18*'User Inputs'!$D$7/100</f>
        <v>203.42760840842107</v>
      </c>
      <c r="S18" s="209">
        <f ca="1">(VLOOKUP(F18,'Anticipated Exit Bookings'!$B:$C,MATCH('Exit Anticipated Rev. Recovery'!$C$2,'Anticipated Exit Bookings'!$B$1:$C$1,0), FALSE))*VLOOKUP($F18, 'Exit Capacity Split'!A:H, 7,0)/100</f>
        <v>5750.8523825923376</v>
      </c>
      <c r="T18" s="200">
        <f ca="1">IF(VLOOKUP(F18,'Exit Prices'!$A:$Q,16,FALSE)&gt;0,VLOOKUP(F18,'Exit Prices'!$A:$Q,16,FALSE),0)</f>
        <v>1.9820323133808871E-2</v>
      </c>
      <c r="U18" s="202">
        <f ca="1">S18*T18*'User Inputs'!$D$7/100</f>
        <v>416.04069669002388</v>
      </c>
      <c r="V18" s="204">
        <f ca="1">(VLOOKUP(F18,'Anticipated Exit Bookings'!$B:$C,MATCH('Exit Anticipated Rev. Recovery'!$C$2,'Anticipated Exit Bookings'!$B$1:$C$1,0), FALSE))*VLOOKUP($F18, 'Exit Capacity Split'!A:H, 8,0)/100</f>
        <v>143891.61256039471</v>
      </c>
      <c r="W18" s="200">
        <f ca="1">IF(VLOOKUP(F18,'Exit Prices'!$A:$Q,17,FALSE)&gt;0,VLOOKUP(F18,'Exit Prices'!$A:$Q,17,FALSE),0)</f>
        <v>1.7838290820427986E-2</v>
      </c>
      <c r="X18" s="202">
        <f ca="1">V18*W18*'User Inputs'!$D$7/100</f>
        <v>9368.7485748752424</v>
      </c>
      <c r="Y18" s="199">
        <f ca="1">I18+L18+O18+R18+U18+X18</f>
        <v>19355.044247549205</v>
      </c>
      <c r="AA18" s="164"/>
    </row>
    <row r="19" spans="1:27">
      <c r="A19" s="352"/>
      <c r="B19" s="352"/>
      <c r="C19" s="352"/>
      <c r="D19" s="354"/>
      <c r="E19" s="213" t="s">
        <v>474</v>
      </c>
      <c r="F19" s="213" t="s">
        <v>41</v>
      </c>
      <c r="G19" s="197">
        <f ca="1">(VLOOKUP(F19,'Anticipated Exit Bookings'!$B:$C,MATCH('Exit Anticipated Rev. Recovery'!$C$2,'Anticipated Exit Bookings'!$B$1:$C$1,0), FALSE))*VLOOKUP($F19, 'Exit Capacity Split'!A:H, 3,0)/100</f>
        <v>9855962.1459432803</v>
      </c>
      <c r="H19" s="200">
        <f ca="1">IF(VLOOKUP(F19,'Exit Prices'!$A:$Q,12,FALSE)&gt;0,VLOOKUP(F19,'Exit Prices'!$A:$Q,12,FALSE),0)</f>
        <v>1.9820323133808871E-2</v>
      </c>
      <c r="I19" s="202">
        <f ca="1">G19*H19*'User Inputs'!$D$7/100</f>
        <v>713021.49402422202</v>
      </c>
      <c r="J19" s="209">
        <f ca="1">(VLOOKUP(F19,'Anticipated Exit Bookings'!$B:$C,MATCH('Exit Anticipated Rev. Recovery'!$C$2,'Anticipated Exit Bookings'!$B$1:$C$1,0), FALSE))*VLOOKUP($F19, 'Exit Capacity Split'!A:H, 4,0)/100</f>
        <v>0</v>
      </c>
      <c r="K19" s="205" t="str">
        <f>IF(VLOOKUP(F19,'Exit Prices'!$A:$Q,13,FALSE)&gt;0,VLOOKUP(F19,'Exit Prices'!$A:$Q,13,FALSE),0)</f>
        <v>N/A</v>
      </c>
      <c r="L19" s="207" t="s">
        <v>428</v>
      </c>
      <c r="M19" s="209">
        <f ca="1">(VLOOKUP(F19,'Anticipated Exit Bookings'!$B:$C,MATCH('Exit Anticipated Rev. Recovery'!$C$2,'Anticipated Exit Bookings'!$B$1:$C$1,0), FALSE))*VLOOKUP($F19, 'Exit Capacity Split'!A:H, 5,0)/100</f>
        <v>0</v>
      </c>
      <c r="N19" s="205" t="str">
        <f>IF(VLOOKUP(F19,'Exit Prices'!$A:$Q,14,FALSE)&gt;0,VLOOKUP(F19,'Exit Prices'!$A:$Q,14,FALSE),0)</f>
        <v>N/A</v>
      </c>
      <c r="O19" s="207" t="s">
        <v>428</v>
      </c>
      <c r="P19" s="204">
        <f ca="1">(VLOOKUP(F19,'Anticipated Exit Bookings'!$B:$C,MATCH('Exit Anticipated Rev. Recovery'!$C$2,'Anticipated Exit Bookings'!$B$1:$C$1,0), FALSE))*VLOOKUP($F19, 'Exit Capacity Split'!A:H, 6,0)/100</f>
        <v>52230.858658400401</v>
      </c>
      <c r="Q19" s="200">
        <f ca="1">IF(VLOOKUP(F19,'Exit Prices'!$A:$Q,15,FALSE)&gt;0,VLOOKUP(F19,'Exit Prices'!$A:$Q,15,FALSE),0)</f>
        <v>1.9820323133808871E-2</v>
      </c>
      <c r="R19" s="202">
        <f ca="1">P19*Q19*'User Inputs'!$D$7/100</f>
        <v>3778.5986110051513</v>
      </c>
      <c r="S19" s="209">
        <f ca="1">(VLOOKUP(F19,'Anticipated Exit Bookings'!$B:$C,MATCH('Exit Anticipated Rev. Recovery'!$C$2,'Anticipated Exit Bookings'!$B$1:$C$1,0), FALSE))*VLOOKUP($F19, 'Exit Capacity Split'!A:H, 7,0)/100</f>
        <v>13297.91941987718</v>
      </c>
      <c r="T19" s="205" t="str">
        <f>IF(VLOOKUP(F19,'Exit Prices'!$A:$Q,16,FALSE)&gt;0,VLOOKUP(F19,'Exit Prices'!$A:$Q,16,FALSE),0)</f>
        <v>N/A</v>
      </c>
      <c r="U19" s="207" t="s">
        <v>428</v>
      </c>
      <c r="V19" s="204">
        <f ca="1">(VLOOKUP(F19,'Anticipated Exit Bookings'!$B:$C,MATCH('Exit Anticipated Rev. Recovery'!$C$2,'Anticipated Exit Bookings'!$B$1:$C$1,0), FALSE))*VLOOKUP($F19, 'Exit Capacity Split'!A:H, 8,0)/100</f>
        <v>10078509.075978439</v>
      </c>
      <c r="W19" s="200">
        <f ca="1">IF(VLOOKUP(F19,'Exit Prices'!$A:$Q,17,FALSE)&gt;0,VLOOKUP(F19,'Exit Prices'!$A:$Q,17,FALSE),0)</f>
        <v>1.7838290820427986E-2</v>
      </c>
      <c r="X19" s="202">
        <f ca="1">V19*W19*'User Inputs'!$D$7/100</f>
        <v>656209.32215773617</v>
      </c>
      <c r="Y19" s="199">
        <f ca="1">I19+R19+X19</f>
        <v>1373009.4147929633</v>
      </c>
      <c r="AA19" s="164"/>
    </row>
    <row r="20" spans="1:27" ht="15" customHeight="1">
      <c r="A20" s="352"/>
      <c r="B20" s="352"/>
      <c r="C20" s="352"/>
      <c r="D20" s="354"/>
      <c r="E20" s="213" t="s">
        <v>473</v>
      </c>
      <c r="F20" s="213" t="s">
        <v>42</v>
      </c>
      <c r="G20" s="197">
        <f ca="1">(VLOOKUP(F20,'Anticipated Exit Bookings'!$B:$C,MATCH('Exit Anticipated Rev. Recovery'!$C$2,'Anticipated Exit Bookings'!$B$1:$C$1,0), FALSE))*VLOOKUP($F20, 'Exit Capacity Split'!A:H, 3,0)/100</f>
        <v>64674488.004182667</v>
      </c>
      <c r="H20" s="200">
        <f ca="1">IF(VLOOKUP(F20,'Exit Prices'!$A:$Q,12,FALSE)&gt;0,VLOOKUP(F20,'Exit Prices'!$A:$Q,12,FALSE),0)</f>
        <v>1.9820323133808871E-2</v>
      </c>
      <c r="I20" s="202">
        <f ca="1">G20*H20*'User Inputs'!$D$7/100</f>
        <v>4678822.765261393</v>
      </c>
      <c r="J20" s="209">
        <f ca="1">(VLOOKUP(F20,'Anticipated Exit Bookings'!$B:$C,MATCH('Exit Anticipated Rev. Recovery'!$C$2,'Anticipated Exit Bookings'!$B$1:$C$1,0), FALSE))*VLOOKUP($F20, 'Exit Capacity Split'!A:H, 4,0)/100</f>
        <v>11769857.658674665</v>
      </c>
      <c r="K20" s="200">
        <f ca="1">IF(VLOOKUP(F20,'Exit Prices'!$A:$Q,13,FALSE)&gt;0,VLOOKUP(F20,'Exit Prices'!$A:$Q,13,FALSE),0)</f>
        <v>1.9820323133808871E-2</v>
      </c>
      <c r="L20" s="202">
        <f ca="1">J20*K20*'User Inputs'!$D$7/100</f>
        <v>851480.69442361442</v>
      </c>
      <c r="M20" s="209">
        <f ca="1">(VLOOKUP(F20,'Anticipated Exit Bookings'!$B:$C,MATCH('Exit Anticipated Rev. Recovery'!$C$2,'Anticipated Exit Bookings'!$B$1:$C$1,0), FALSE))*VLOOKUP($F20, 'Exit Capacity Split'!A:H, 5,0)/100</f>
        <v>3644352.9459828329</v>
      </c>
      <c r="N20" s="200">
        <f ca="1">IF(VLOOKUP(F20,'Exit Prices'!$A:$Q,14,FALSE)&gt;0,VLOOKUP(F20,'Exit Prices'!$A:$Q,14,FALSE),0)</f>
        <v>1.9820323133808871E-2</v>
      </c>
      <c r="O20" s="202">
        <f ca="1">M20*N20*'User Inputs'!$D$7/100</f>
        <v>263647.72346105246</v>
      </c>
      <c r="P20" s="204">
        <f ca="1">(VLOOKUP(F20,'Anticipated Exit Bookings'!$B:$C,MATCH('Exit Anticipated Rev. Recovery'!$C$2,'Anticipated Exit Bookings'!$B$1:$C$1,0), FALSE))*VLOOKUP($F20, 'Exit Capacity Split'!A:H, 6,0)/100</f>
        <v>1739356.5376188024</v>
      </c>
      <c r="Q20" s="200">
        <f ca="1">IF(VLOOKUP(F20,'Exit Prices'!$A:$Q,15,FALSE)&gt;0,VLOOKUP(F20,'Exit Prices'!$A:$Q,15,FALSE),0)</f>
        <v>1.9820323133808871E-2</v>
      </c>
      <c r="R20" s="202">
        <f ca="1">P20*Q20*'User Inputs'!$D$7/100</f>
        <v>125832.32146485291</v>
      </c>
      <c r="S20" s="209">
        <f ca="1">(VLOOKUP(F20,'Anticipated Exit Bookings'!$B:$C,MATCH('Exit Anticipated Rev. Recovery'!$C$2,'Anticipated Exit Bookings'!$B$1:$C$1,0), FALSE))*VLOOKUP($F20, 'Exit Capacity Split'!A:H, 7,0)/100</f>
        <v>3557251.2077633929</v>
      </c>
      <c r="T20" s="200">
        <f ca="1">IF(VLOOKUP(F20,'Exit Prices'!$A:$Q,16,FALSE)&gt;0,VLOOKUP(F20,'Exit Prices'!$A:$Q,16,FALSE),0)</f>
        <v>1.9820323133808871E-2</v>
      </c>
      <c r="U20" s="202">
        <f ca="1">S20*T20*'User Inputs'!$D$7/100</f>
        <v>257346.41968190848</v>
      </c>
      <c r="V20" s="204">
        <f ca="1">(VLOOKUP(F20,'Anticipated Exit Bookings'!$B:$C,MATCH('Exit Anticipated Rev. Recovery'!$C$2,'Anticipated Exit Bookings'!$B$1:$C$1,0), FALSE))*VLOOKUP($F20, 'Exit Capacity Split'!A:H, 8,0)/100</f>
        <v>89005694.897832438</v>
      </c>
      <c r="W20" s="200">
        <f ca="1">IF(VLOOKUP(F20,'Exit Prices'!$A:$Q,17,FALSE)&gt;0,VLOOKUP(F20,'Exit Prices'!$A:$Q,17,FALSE),0)</f>
        <v>1.7838290820427986E-2</v>
      </c>
      <c r="X20" s="202">
        <f ca="1">V20*W20*'User Inputs'!$D$7/100</f>
        <v>5795139.5664556371</v>
      </c>
      <c r="Y20" s="199">
        <f ca="1">I20+L20+O20+R20+U20+X20</f>
        <v>11972269.490748458</v>
      </c>
      <c r="AA20" s="164"/>
    </row>
    <row r="21" spans="1:27" ht="15" customHeight="1">
      <c r="A21" s="352"/>
      <c r="B21" s="352"/>
      <c r="C21" s="352"/>
      <c r="D21" s="354"/>
      <c r="E21" s="213" t="s">
        <v>474</v>
      </c>
      <c r="F21" s="213" t="s">
        <v>43</v>
      </c>
      <c r="G21" s="197">
        <f ca="1">(VLOOKUP(F21,'Anticipated Exit Bookings'!$B:$C,MATCH('Exit Anticipated Rev. Recovery'!$C$2,'Anticipated Exit Bookings'!$B$1:$C$1,0), FALSE))*VLOOKUP($F21, 'Exit Capacity Split'!A:H, 3,0)/100</f>
        <v>1097397.2960553623</v>
      </c>
      <c r="H21" s="200">
        <f ca="1">IF(VLOOKUP(F21,'Exit Prices'!$A:$Q,12,FALSE)&gt;0,VLOOKUP(F21,'Exit Prices'!$A:$Q,12,FALSE),0)</f>
        <v>1.9820323133808871E-2</v>
      </c>
      <c r="I21" s="202">
        <f ca="1">G21*H21*'User Inputs'!$D$7/100</f>
        <v>79390.306901046715</v>
      </c>
      <c r="J21" s="209">
        <f ca="1">(VLOOKUP(F21,'Anticipated Exit Bookings'!$B:$C,MATCH('Exit Anticipated Rev. Recovery'!$C$2,'Anticipated Exit Bookings'!$B$1:$C$1,0), FALSE))*VLOOKUP($F21, 'Exit Capacity Split'!A:H, 4,0)/100</f>
        <v>0</v>
      </c>
      <c r="K21" s="205" t="str">
        <f>IF(VLOOKUP(F21,'Exit Prices'!$A:$Q,13,FALSE)&gt;0,VLOOKUP(F21,'Exit Prices'!$A:$Q,13,FALSE),0)</f>
        <v>N/A</v>
      </c>
      <c r="L21" s="207" t="s">
        <v>428</v>
      </c>
      <c r="M21" s="209">
        <f ca="1">(VLOOKUP(F21,'Anticipated Exit Bookings'!$B:$C,MATCH('Exit Anticipated Rev. Recovery'!$C$2,'Anticipated Exit Bookings'!$B$1:$C$1,0), FALSE))*VLOOKUP($F21, 'Exit Capacity Split'!A:H, 5,0)/100</f>
        <v>0</v>
      </c>
      <c r="N21" s="205" t="str">
        <f>IF(VLOOKUP(F21,'Exit Prices'!$A:$Q,14,FALSE)&gt;0,VLOOKUP(F21,'Exit Prices'!$A:$Q,14,FALSE),0)</f>
        <v>N/A</v>
      </c>
      <c r="O21" s="207" t="s">
        <v>428</v>
      </c>
      <c r="P21" s="204">
        <f ca="1">(VLOOKUP(F21,'Anticipated Exit Bookings'!$B:$C,MATCH('Exit Anticipated Rev. Recovery'!$C$2,'Anticipated Exit Bookings'!$B$1:$C$1,0), FALSE))*VLOOKUP($F21, 'Exit Capacity Split'!A:H, 6,0)/100</f>
        <v>0</v>
      </c>
      <c r="Q21" s="200">
        <f ca="1">IF(VLOOKUP(F21,'Exit Prices'!$A:$Q,15,FALSE)&gt;0,VLOOKUP(F21,'Exit Prices'!$A:$Q,15,FALSE),0)</f>
        <v>1.9820323133808871E-2</v>
      </c>
      <c r="R21" s="202">
        <f ca="1">P21*Q21*'User Inputs'!$D$7/100</f>
        <v>0</v>
      </c>
      <c r="S21" s="209">
        <f ca="1">(VLOOKUP(F21,'Anticipated Exit Bookings'!$B:$C,MATCH('Exit Anticipated Rev. Recovery'!$C$2,'Anticipated Exit Bookings'!$B$1:$C$1,0), FALSE))*VLOOKUP($F21, 'Exit Capacity Split'!A:H, 7,0)/100</f>
        <v>1037.4899205613754</v>
      </c>
      <c r="T21" s="205" t="str">
        <f>IF(VLOOKUP(F21,'Exit Prices'!$A:$Q,16,FALSE)&gt;0,VLOOKUP(F21,'Exit Prices'!$A:$Q,16,FALSE),0)</f>
        <v>N/A</v>
      </c>
      <c r="U21" s="207" t="s">
        <v>428</v>
      </c>
      <c r="V21" s="204">
        <f ca="1">(VLOOKUP(F21,'Anticipated Exit Bookings'!$B:$C,MATCH('Exit Anticipated Rev. Recovery'!$C$2,'Anticipated Exit Bookings'!$B$1:$C$1,0), FALSE))*VLOOKUP($F21, 'Exit Capacity Split'!A:H, 8,0)/100</f>
        <v>28207.214024076526</v>
      </c>
      <c r="W21" s="200">
        <f ca="1">IF(VLOOKUP(F21,'Exit Prices'!$A:$Q,17,FALSE)&gt;0,VLOOKUP(F21,'Exit Prices'!$A:$Q,17,FALSE),0)</f>
        <v>1.7838290820427986E-2</v>
      </c>
      <c r="X21" s="202">
        <f ca="1">V21*W21*'User Inputs'!$D$7/100</f>
        <v>1836.5649775336913</v>
      </c>
      <c r="Y21" s="199">
        <f ca="1">I21+R21+X21</f>
        <v>81226.871878580409</v>
      </c>
      <c r="AA21" s="164"/>
    </row>
    <row r="22" spans="1:27">
      <c r="A22" s="352"/>
      <c r="B22" s="352"/>
      <c r="C22" s="352"/>
      <c r="D22" s="354"/>
      <c r="E22" s="213" t="s">
        <v>474</v>
      </c>
      <c r="F22" s="213" t="s">
        <v>44</v>
      </c>
      <c r="G22" s="197">
        <f ca="1">(VLOOKUP(F22,'Anticipated Exit Bookings'!$B:$C,MATCH('Exit Anticipated Rev. Recovery'!$C$2,'Anticipated Exit Bookings'!$B$1:$C$1,0), FALSE))*VLOOKUP($F22, 'Exit Capacity Split'!A:H, 3,0)/100</f>
        <v>14569710.612463837</v>
      </c>
      <c r="H22" s="200">
        <f ca="1">IF(VLOOKUP(F22,'Exit Prices'!$A:$Q,12,FALSE)&gt;0,VLOOKUP(F22,'Exit Prices'!$A:$Q,12,FALSE),0)</f>
        <v>1.9820323133808871E-2</v>
      </c>
      <c r="I22" s="202">
        <f ca="1">G22*H22*'User Inputs'!$D$7/100</f>
        <v>1054033.7589136793</v>
      </c>
      <c r="J22" s="209">
        <f ca="1">(VLOOKUP(F22,'Anticipated Exit Bookings'!$B:$C,MATCH('Exit Anticipated Rev. Recovery'!$C$2,'Anticipated Exit Bookings'!$B$1:$C$1,0), FALSE))*VLOOKUP($F22, 'Exit Capacity Split'!A:H, 4,0)/100</f>
        <v>0</v>
      </c>
      <c r="K22" s="205" t="str">
        <f>IF(VLOOKUP(F22,'Exit Prices'!$A:$Q,13,FALSE)&gt;0,VLOOKUP(F22,'Exit Prices'!$A:$Q,13,FALSE),0)</f>
        <v>N/A</v>
      </c>
      <c r="L22" s="207" t="s">
        <v>428</v>
      </c>
      <c r="M22" s="209">
        <f ca="1">(VLOOKUP(F22,'Anticipated Exit Bookings'!$B:$C,MATCH('Exit Anticipated Rev. Recovery'!$C$2,'Anticipated Exit Bookings'!$B$1:$C$1,0), FALSE))*VLOOKUP($F22, 'Exit Capacity Split'!A:H, 5,0)/100</f>
        <v>0</v>
      </c>
      <c r="N22" s="205" t="str">
        <f>IF(VLOOKUP(F22,'Exit Prices'!$A:$Q,14,FALSE)&gt;0,VLOOKUP(F22,'Exit Prices'!$A:$Q,14,FALSE),0)</f>
        <v>N/A</v>
      </c>
      <c r="O22" s="207" t="s">
        <v>428</v>
      </c>
      <c r="P22" s="204">
        <f ca="1">(VLOOKUP(F22,'Anticipated Exit Bookings'!$B:$C,MATCH('Exit Anticipated Rev. Recovery'!$C$2,'Anticipated Exit Bookings'!$B$1:$C$1,0), FALSE))*VLOOKUP($F22, 'Exit Capacity Split'!A:H, 6,0)/100</f>
        <v>0</v>
      </c>
      <c r="Q22" s="200">
        <f ca="1">IF(VLOOKUP(F22,'Exit Prices'!$A:$Q,15,FALSE)&gt;0,VLOOKUP(F22,'Exit Prices'!$A:$Q,15,FALSE),0)</f>
        <v>1.9820323133808871E-2</v>
      </c>
      <c r="R22" s="202">
        <f ca="1">P22*Q22*'User Inputs'!$D$7/100</f>
        <v>0</v>
      </c>
      <c r="S22" s="209">
        <f ca="1">(VLOOKUP(F22,'Anticipated Exit Bookings'!$B:$C,MATCH('Exit Anticipated Rev. Recovery'!$C$2,'Anticipated Exit Bookings'!$B$1:$C$1,0), FALSE))*VLOOKUP($F22, 'Exit Capacity Split'!A:H, 7,0)/100</f>
        <v>13774.344041362352</v>
      </c>
      <c r="T22" s="205" t="str">
        <f>IF(VLOOKUP(F22,'Exit Prices'!$A:$Q,16,FALSE)&gt;0,VLOOKUP(F22,'Exit Prices'!$A:$Q,16,FALSE),0)</f>
        <v>N/A</v>
      </c>
      <c r="U22" s="207" t="s">
        <v>428</v>
      </c>
      <c r="V22" s="204">
        <f ca="1">(VLOOKUP(F22,'Anticipated Exit Bookings'!$B:$C,MATCH('Exit Anticipated Rev. Recovery'!$C$2,'Anticipated Exit Bookings'!$B$1:$C$1,0), FALSE))*VLOOKUP($F22, 'Exit Capacity Split'!A:H, 8,0)/100</f>
        <v>374496.04349480162</v>
      </c>
      <c r="W22" s="200">
        <f ca="1">IF(VLOOKUP(F22,'Exit Prices'!$A:$Q,17,FALSE)&gt;0,VLOOKUP(F22,'Exit Prices'!$A:$Q,17,FALSE),0)</f>
        <v>1.7838290820427986E-2</v>
      </c>
      <c r="X22" s="202">
        <f ca="1">V22*W22*'User Inputs'!$D$7/100</f>
        <v>24383.348072603709</v>
      </c>
      <c r="Y22" s="199">
        <f t="shared" ref="Y22:Y85" ca="1" si="1">I22+R22+X22</f>
        <v>1078417.1069862831</v>
      </c>
      <c r="AA22" s="164"/>
    </row>
    <row r="23" spans="1:27">
      <c r="A23" s="352"/>
      <c r="B23" s="352"/>
      <c r="C23" s="352"/>
      <c r="D23" s="352"/>
      <c r="E23" s="213" t="s">
        <v>474</v>
      </c>
      <c r="F23" s="213" t="s">
        <v>45</v>
      </c>
      <c r="G23" s="197">
        <f ca="1">(VLOOKUP(F23,'Anticipated Exit Bookings'!$B:$C,MATCH('Exit Anticipated Rev. Recovery'!$C$2,'Anticipated Exit Bookings'!$B$1:$C$1,0), FALSE))*VLOOKUP($F23, 'Exit Capacity Split'!A:H, 3,0)/100</f>
        <v>0</v>
      </c>
      <c r="H23" s="200">
        <f ca="1">IF(VLOOKUP(F23,'Exit Prices'!$A:$Q,12,FALSE)&gt;0,VLOOKUP(F23,'Exit Prices'!$A:$Q,12,FALSE),0)</f>
        <v>1.9820323133808871E-2</v>
      </c>
      <c r="I23" s="202">
        <f ca="1">G23*H23*'User Inputs'!$D$7/100</f>
        <v>0</v>
      </c>
      <c r="J23" s="209">
        <f ca="1">(VLOOKUP(F23,'Anticipated Exit Bookings'!$B:$C,MATCH('Exit Anticipated Rev. Recovery'!$C$2,'Anticipated Exit Bookings'!$B$1:$C$1,0), FALSE))*VLOOKUP($F23, 'Exit Capacity Split'!A:H, 4,0)/100</f>
        <v>0</v>
      </c>
      <c r="K23" s="205" t="str">
        <f>IF(VLOOKUP(F23,'Exit Prices'!$A:$Q,13,FALSE)&gt;0,VLOOKUP(F23,'Exit Prices'!$A:$Q,13,FALSE),0)</f>
        <v>N/A</v>
      </c>
      <c r="L23" s="207" t="s">
        <v>428</v>
      </c>
      <c r="M23" s="209">
        <f ca="1">(VLOOKUP(F23,'Anticipated Exit Bookings'!$B:$C,MATCH('Exit Anticipated Rev. Recovery'!$C$2,'Anticipated Exit Bookings'!$B$1:$C$1,0), FALSE))*VLOOKUP($F23, 'Exit Capacity Split'!A:H, 5,0)/100</f>
        <v>0</v>
      </c>
      <c r="N23" s="205" t="str">
        <f>IF(VLOOKUP(F23,'Exit Prices'!$A:$Q,14,FALSE)&gt;0,VLOOKUP(F23,'Exit Prices'!$A:$Q,14,FALSE),0)</f>
        <v>N/A</v>
      </c>
      <c r="O23" s="207" t="s">
        <v>428</v>
      </c>
      <c r="P23" s="204">
        <f ca="1">(VLOOKUP(F23,'Anticipated Exit Bookings'!$B:$C,MATCH('Exit Anticipated Rev. Recovery'!$C$2,'Anticipated Exit Bookings'!$B$1:$C$1,0), FALSE))*VLOOKUP($F23, 'Exit Capacity Split'!A:H, 6,0)/100</f>
        <v>0</v>
      </c>
      <c r="Q23" s="200">
        <f ca="1">IF(VLOOKUP(F23,'Exit Prices'!$A:$Q,15,FALSE)&gt;0,VLOOKUP(F23,'Exit Prices'!$A:$Q,15,FALSE),0)</f>
        <v>1.9820323133808871E-2</v>
      </c>
      <c r="R23" s="202">
        <f ca="1">P23*Q23*'User Inputs'!$D$7/100</f>
        <v>0</v>
      </c>
      <c r="S23" s="209">
        <f ca="1">(VLOOKUP(F23,'Anticipated Exit Bookings'!$B:$C,MATCH('Exit Anticipated Rev. Recovery'!$C$2,'Anticipated Exit Bookings'!$B$1:$C$1,0), FALSE))*VLOOKUP($F23, 'Exit Capacity Split'!A:H, 7,0)/100</f>
        <v>0</v>
      </c>
      <c r="T23" s="205" t="str">
        <f>IF(VLOOKUP(F23,'Exit Prices'!$A:$Q,16,FALSE)&gt;0,VLOOKUP(F23,'Exit Prices'!$A:$Q,16,FALSE),0)</f>
        <v>N/A</v>
      </c>
      <c r="U23" s="207" t="s">
        <v>428</v>
      </c>
      <c r="V23" s="204">
        <f ca="1">(VLOOKUP(F23,'Anticipated Exit Bookings'!$B:$C,MATCH('Exit Anticipated Rev. Recovery'!$C$2,'Anticipated Exit Bookings'!$B$1:$C$1,0), FALSE))*VLOOKUP($F23, 'Exit Capacity Split'!A:H, 8,0)/100</f>
        <v>0</v>
      </c>
      <c r="W23" s="200">
        <f ca="1">IF(VLOOKUP(F23,'Exit Prices'!$A:$Q,17,FALSE)&gt;0,VLOOKUP(F23,'Exit Prices'!$A:$Q,17,FALSE),0)</f>
        <v>1.7838290820427986E-2</v>
      </c>
      <c r="X23" s="202">
        <f ca="1">V23*W23*'User Inputs'!$D$7/100</f>
        <v>0</v>
      </c>
      <c r="Y23" s="199">
        <f t="shared" ca="1" si="1"/>
        <v>0</v>
      </c>
      <c r="AA23" s="164"/>
    </row>
    <row r="24" spans="1:27">
      <c r="A24" s="352"/>
      <c r="B24" s="352"/>
      <c r="C24" s="352"/>
      <c r="D24" s="354"/>
      <c r="E24" s="213" t="s">
        <v>474</v>
      </c>
      <c r="F24" s="213" t="s">
        <v>46</v>
      </c>
      <c r="G24" s="197">
        <f ca="1">(VLOOKUP(F24,'Anticipated Exit Bookings'!$B:$C,MATCH('Exit Anticipated Rev. Recovery'!$C$2,'Anticipated Exit Bookings'!$B$1:$C$1,0), FALSE))*VLOOKUP($F24, 'Exit Capacity Split'!A:H, 3,0)/100</f>
        <v>0</v>
      </c>
      <c r="H24" s="200">
        <f ca="1">IF(VLOOKUP(F24,'Exit Prices'!$A:$Q,12,FALSE)&gt;0,VLOOKUP(F24,'Exit Prices'!$A:$Q,12,FALSE),0)</f>
        <v>9.9101615669044355E-3</v>
      </c>
      <c r="I24" s="202">
        <f ca="1">G24*H24*'User Inputs'!$D$7/100</f>
        <v>0</v>
      </c>
      <c r="J24" s="209">
        <f ca="1">(VLOOKUP(F24,'Anticipated Exit Bookings'!$B:$C,MATCH('Exit Anticipated Rev. Recovery'!$C$2,'Anticipated Exit Bookings'!$B$1:$C$1,0), FALSE))*VLOOKUP($F24, 'Exit Capacity Split'!A:H, 4,0)/100</f>
        <v>0</v>
      </c>
      <c r="K24" s="205" t="str">
        <f>IF(VLOOKUP(F24,'Exit Prices'!$A:$Q,13,FALSE)&gt;0,VLOOKUP(F24,'Exit Prices'!$A:$Q,13,FALSE),0)</f>
        <v>N/A</v>
      </c>
      <c r="L24" s="207" t="s">
        <v>428</v>
      </c>
      <c r="M24" s="209">
        <f ca="1">(VLOOKUP(F24,'Anticipated Exit Bookings'!$B:$C,MATCH('Exit Anticipated Rev. Recovery'!$C$2,'Anticipated Exit Bookings'!$B$1:$C$1,0), FALSE))*VLOOKUP($F24, 'Exit Capacity Split'!A:H, 5,0)/100</f>
        <v>0</v>
      </c>
      <c r="N24" s="205" t="str">
        <f>IF(VLOOKUP(F24,'Exit Prices'!$A:$Q,14,FALSE)&gt;0,VLOOKUP(F24,'Exit Prices'!$A:$Q,14,FALSE),0)</f>
        <v>N/A</v>
      </c>
      <c r="O24" s="207" t="s">
        <v>428</v>
      </c>
      <c r="P24" s="204">
        <f ca="1">(VLOOKUP(F24,'Anticipated Exit Bookings'!$B:$C,MATCH('Exit Anticipated Rev. Recovery'!$C$2,'Anticipated Exit Bookings'!$B$1:$C$1,0), FALSE))*VLOOKUP($F24, 'Exit Capacity Split'!A:H, 6,0)/100</f>
        <v>0</v>
      </c>
      <c r="Q24" s="200">
        <f ca="1">IF(VLOOKUP(F24,'Exit Prices'!$A:$Q,15,FALSE)&gt;0,VLOOKUP(F24,'Exit Prices'!$A:$Q,15,FALSE),0)</f>
        <v>9.9101615669044355E-3</v>
      </c>
      <c r="R24" s="202">
        <f ca="1">P24*Q24*'User Inputs'!$D$7/100</f>
        <v>0</v>
      </c>
      <c r="S24" s="209">
        <f ca="1">(VLOOKUP(F24,'Anticipated Exit Bookings'!$B:$C,MATCH('Exit Anticipated Rev. Recovery'!$C$2,'Anticipated Exit Bookings'!$B$1:$C$1,0), FALSE))*VLOOKUP($F24, 'Exit Capacity Split'!A:H, 7,0)/100</f>
        <v>0</v>
      </c>
      <c r="T24" s="205" t="str">
        <f>IF(VLOOKUP(F24,'Exit Prices'!$A:$Q,16,FALSE)&gt;0,VLOOKUP(F24,'Exit Prices'!$A:$Q,16,FALSE),0)</f>
        <v>N/A</v>
      </c>
      <c r="U24" s="207" t="s">
        <v>428</v>
      </c>
      <c r="V24" s="204">
        <f ca="1">(VLOOKUP(F24,'Anticipated Exit Bookings'!$B:$C,MATCH('Exit Anticipated Rev. Recovery'!$C$2,'Anticipated Exit Bookings'!$B$1:$C$1,0), FALSE))*VLOOKUP($F24, 'Exit Capacity Split'!A:H, 8,0)/100</f>
        <v>0</v>
      </c>
      <c r="W24" s="200">
        <f ca="1">IF(VLOOKUP(F24,'Exit Prices'!$A:$Q,17,FALSE)&gt;0,VLOOKUP(F24,'Exit Prices'!$A:$Q,17,FALSE),0)</f>
        <v>8.9191454102139928E-3</v>
      </c>
      <c r="X24" s="202">
        <f ca="1">V24*W24*'User Inputs'!$D$7/100</f>
        <v>0</v>
      </c>
      <c r="Y24" s="199">
        <f t="shared" ca="1" si="1"/>
        <v>0</v>
      </c>
      <c r="AA24" s="164"/>
    </row>
    <row r="25" spans="1:27">
      <c r="A25" s="355"/>
      <c r="B25" s="355"/>
      <c r="C25" s="355"/>
      <c r="D25" s="352"/>
      <c r="E25" s="213" t="s">
        <v>474</v>
      </c>
      <c r="F25" s="213" t="s">
        <v>47</v>
      </c>
      <c r="G25" s="197">
        <f ca="1">(VLOOKUP(F25,'Anticipated Exit Bookings'!$B:$C,MATCH('Exit Anticipated Rev. Recovery'!$C$2,'Anticipated Exit Bookings'!$B$1:$C$1,0), FALSE))*VLOOKUP($F25, 'Exit Capacity Split'!A:H, 3,0)/100</f>
        <v>755706.86103107815</v>
      </c>
      <c r="H25" s="200">
        <f ca="1">IF(VLOOKUP(F25,'Exit Prices'!$A:$Q,12,FALSE)&gt;0,VLOOKUP(F25,'Exit Prices'!$A:$Q,12,FALSE),0)</f>
        <v>1.9820323133808871E-2</v>
      </c>
      <c r="I25" s="202">
        <f ca="1">G25*H25*'User Inputs'!$D$7/100</f>
        <v>54670.992757264125</v>
      </c>
      <c r="J25" s="209">
        <f ca="1">(VLOOKUP(F25,'Anticipated Exit Bookings'!$B:$C,MATCH('Exit Anticipated Rev. Recovery'!$C$2,'Anticipated Exit Bookings'!$B$1:$C$1,0), FALSE))*VLOOKUP($F25, 'Exit Capacity Split'!A:H, 4,0)/100</f>
        <v>0</v>
      </c>
      <c r="K25" s="205" t="str">
        <f>IF(VLOOKUP(F25,'Exit Prices'!$A:$Q,13,FALSE)&gt;0,VLOOKUP(F25,'Exit Prices'!$A:$Q,13,FALSE),0)</f>
        <v>N/A</v>
      </c>
      <c r="L25" s="207" t="s">
        <v>428</v>
      </c>
      <c r="M25" s="209">
        <f ca="1">(VLOOKUP(F25,'Anticipated Exit Bookings'!$B:$C,MATCH('Exit Anticipated Rev. Recovery'!$C$2,'Anticipated Exit Bookings'!$B$1:$C$1,0), FALSE))*VLOOKUP($F25, 'Exit Capacity Split'!A:H, 5,0)/100</f>
        <v>0</v>
      </c>
      <c r="N25" s="205" t="str">
        <f>IF(VLOOKUP(F25,'Exit Prices'!$A:$Q,14,FALSE)&gt;0,VLOOKUP(F25,'Exit Prices'!$A:$Q,14,FALSE),0)</f>
        <v>N/A</v>
      </c>
      <c r="O25" s="207" t="s">
        <v>428</v>
      </c>
      <c r="P25" s="204">
        <f ca="1">(VLOOKUP(F25,'Anticipated Exit Bookings'!$B:$C,MATCH('Exit Anticipated Rev. Recovery'!$C$2,'Anticipated Exit Bookings'!$B$1:$C$1,0), FALSE))*VLOOKUP($F25, 'Exit Capacity Split'!A:H, 6,0)/100</f>
        <v>26.249619891495801</v>
      </c>
      <c r="Q25" s="200">
        <f ca="1">IF(VLOOKUP(F25,'Exit Prices'!$A:$Q,15,FALSE)&gt;0,VLOOKUP(F25,'Exit Prices'!$A:$Q,15,FALSE),0)</f>
        <v>1.9820323133808871E-2</v>
      </c>
      <c r="R25" s="202">
        <f ca="1">P25*Q25*'User Inputs'!$D$7/100</f>
        <v>1.8990072116202288</v>
      </c>
      <c r="S25" s="209">
        <f ca="1">(VLOOKUP(F25,'Anticipated Exit Bookings'!$B:$C,MATCH('Exit Anticipated Rev. Recovery'!$C$2,'Anticipated Exit Bookings'!$B$1:$C$1,0), FALSE))*VLOOKUP($F25, 'Exit Capacity Split'!A:H, 7,0)/100</f>
        <v>942.96711456373191</v>
      </c>
      <c r="T25" s="205" t="str">
        <f>IF(VLOOKUP(F25,'Exit Prices'!$A:$Q,16,FALSE)&gt;0,VLOOKUP(F25,'Exit Prices'!$A:$Q,16,FALSE),0)</f>
        <v>N/A</v>
      </c>
      <c r="U25" s="207" t="s">
        <v>428</v>
      </c>
      <c r="V25" s="204">
        <f ca="1">(VLOOKUP(F25,'Anticipated Exit Bookings'!$B:$C,MATCH('Exit Anticipated Rev. Recovery'!$C$2,'Anticipated Exit Bookings'!$B$1:$C$1,0), FALSE))*VLOOKUP($F25, 'Exit Capacity Split'!A:H, 8,0)/100</f>
        <v>243323.922234467</v>
      </c>
      <c r="W25" s="200">
        <f ca="1">IF(VLOOKUP(F25,'Exit Prices'!$A:$Q,17,FALSE)&gt;0,VLOOKUP(F25,'Exit Prices'!$A:$Q,17,FALSE),0)</f>
        <v>1.7838290820427986E-2</v>
      </c>
      <c r="X25" s="202">
        <f ca="1">V25*W25*'User Inputs'!$D$7/100</f>
        <v>15842.762542607532</v>
      </c>
      <c r="Y25" s="199">
        <f t="shared" ca="1" si="1"/>
        <v>70515.654307083285</v>
      </c>
      <c r="AA25" s="164"/>
    </row>
    <row r="26" spans="1:27">
      <c r="A26" s="355"/>
      <c r="B26" s="355"/>
      <c r="C26" s="355"/>
      <c r="D26" s="352"/>
      <c r="E26" s="213" t="s">
        <v>474</v>
      </c>
      <c r="F26" s="213" t="s">
        <v>48</v>
      </c>
      <c r="G26" s="197">
        <f ca="1">(VLOOKUP(F26,'Anticipated Exit Bookings'!$B:$C,MATCH('Exit Anticipated Rev. Recovery'!$C$2,'Anticipated Exit Bookings'!$B$1:$C$1,0), FALSE))*VLOOKUP($F26, 'Exit Capacity Split'!A:H, 3,0)/100</f>
        <v>0</v>
      </c>
      <c r="H26" s="200">
        <f ca="1">IF(VLOOKUP(F26,'Exit Prices'!$A:$Q,12,FALSE)&gt;0,VLOOKUP(F26,'Exit Prices'!$A:$Q,12,FALSE),0)</f>
        <v>9.9101615669044355E-3</v>
      </c>
      <c r="I26" s="202">
        <f ca="1">G26*H26*'User Inputs'!$D$7/100</f>
        <v>0</v>
      </c>
      <c r="J26" s="209">
        <f ca="1">(VLOOKUP(F26,'Anticipated Exit Bookings'!$B:$C,MATCH('Exit Anticipated Rev. Recovery'!$C$2,'Anticipated Exit Bookings'!$B$1:$C$1,0), FALSE))*VLOOKUP($F26, 'Exit Capacity Split'!A:H, 4,0)/100</f>
        <v>0</v>
      </c>
      <c r="K26" s="205" t="str">
        <f>IF(VLOOKUP(F26,'Exit Prices'!$A:$Q,13,FALSE)&gt;0,VLOOKUP(F26,'Exit Prices'!$A:$Q,13,FALSE),0)</f>
        <v>N/A</v>
      </c>
      <c r="L26" s="207" t="s">
        <v>428</v>
      </c>
      <c r="M26" s="209">
        <f ca="1">(VLOOKUP(F26,'Anticipated Exit Bookings'!$B:$C,MATCH('Exit Anticipated Rev. Recovery'!$C$2,'Anticipated Exit Bookings'!$B$1:$C$1,0), FALSE))*VLOOKUP($F26, 'Exit Capacity Split'!A:H, 5,0)/100</f>
        <v>0</v>
      </c>
      <c r="N26" s="205" t="str">
        <f>IF(VLOOKUP(F26,'Exit Prices'!$A:$Q,14,FALSE)&gt;0,VLOOKUP(F26,'Exit Prices'!$A:$Q,14,FALSE),0)</f>
        <v>N/A</v>
      </c>
      <c r="O26" s="207" t="s">
        <v>428</v>
      </c>
      <c r="P26" s="204">
        <f ca="1">(VLOOKUP(F26,'Anticipated Exit Bookings'!$B:$C,MATCH('Exit Anticipated Rev. Recovery'!$C$2,'Anticipated Exit Bookings'!$B$1:$C$1,0), FALSE))*VLOOKUP($F26, 'Exit Capacity Split'!A:H, 6,0)/100</f>
        <v>0</v>
      </c>
      <c r="Q26" s="200">
        <f ca="1">IF(VLOOKUP(F26,'Exit Prices'!$A:$Q,15,FALSE)&gt;0,VLOOKUP(F26,'Exit Prices'!$A:$Q,15,FALSE),0)</f>
        <v>9.9101615669044355E-3</v>
      </c>
      <c r="R26" s="202">
        <f ca="1">P26*Q26*'User Inputs'!$D$7/100</f>
        <v>0</v>
      </c>
      <c r="S26" s="209">
        <f ca="1">(VLOOKUP(F26,'Anticipated Exit Bookings'!$B:$C,MATCH('Exit Anticipated Rev. Recovery'!$C$2,'Anticipated Exit Bookings'!$B$1:$C$1,0), FALSE))*VLOOKUP($F26, 'Exit Capacity Split'!A:H, 7,0)/100</f>
        <v>0</v>
      </c>
      <c r="T26" s="205" t="str">
        <f>IF(VLOOKUP(F26,'Exit Prices'!$A:$Q,16,FALSE)&gt;0,VLOOKUP(F26,'Exit Prices'!$A:$Q,16,FALSE),0)</f>
        <v>N/A</v>
      </c>
      <c r="U26" s="207" t="s">
        <v>428</v>
      </c>
      <c r="V26" s="204">
        <f ca="1">(VLOOKUP(F26,'Anticipated Exit Bookings'!$B:$C,MATCH('Exit Anticipated Rev. Recovery'!$C$2,'Anticipated Exit Bookings'!$B$1:$C$1,0), FALSE))*VLOOKUP($F26, 'Exit Capacity Split'!A:H, 8,0)/100</f>
        <v>0</v>
      </c>
      <c r="W26" s="200">
        <f ca="1">IF(VLOOKUP(F26,'Exit Prices'!$A:$Q,17,FALSE)&gt;0,VLOOKUP(F26,'Exit Prices'!$A:$Q,17,FALSE),0)</f>
        <v>8.9191454102139928E-3</v>
      </c>
      <c r="X26" s="202">
        <f ca="1">V26*W26*'User Inputs'!$D$7/100</f>
        <v>0</v>
      </c>
      <c r="Y26" s="199">
        <f t="shared" ca="1" si="1"/>
        <v>0</v>
      </c>
      <c r="AA26" s="164"/>
    </row>
    <row r="27" spans="1:27">
      <c r="A27" s="355"/>
      <c r="B27" s="355"/>
      <c r="C27" s="355"/>
      <c r="D27" s="352"/>
      <c r="E27" s="213" t="s">
        <v>474</v>
      </c>
      <c r="F27" s="213" t="s">
        <v>49</v>
      </c>
      <c r="G27" s="197">
        <f ca="1">(VLOOKUP(F27,'Anticipated Exit Bookings'!$B:$C,MATCH('Exit Anticipated Rev. Recovery'!$C$2,'Anticipated Exit Bookings'!$B$1:$C$1,0), FALSE))*VLOOKUP($F27, 'Exit Capacity Split'!A:H, 3,0)/100</f>
        <v>1734717.7618540195</v>
      </c>
      <c r="H27" s="200">
        <f ca="1">IF(VLOOKUP(F27,'Exit Prices'!$A:$Q,12,FALSE)&gt;0,VLOOKUP(F27,'Exit Prices'!$A:$Q,12,FALSE),0)</f>
        <v>9.9101615669044355E-3</v>
      </c>
      <c r="I27" s="202">
        <f ca="1">G27*H27*'User Inputs'!$D$7/100</f>
        <v>62748.366519275478</v>
      </c>
      <c r="J27" s="209">
        <f ca="1">(VLOOKUP(F27,'Anticipated Exit Bookings'!$B:$C,MATCH('Exit Anticipated Rev. Recovery'!$C$2,'Anticipated Exit Bookings'!$B$1:$C$1,0), FALSE))*VLOOKUP($F27, 'Exit Capacity Split'!A:H, 4,0)/100</f>
        <v>0</v>
      </c>
      <c r="K27" s="205" t="str">
        <f>IF(VLOOKUP(F27,'Exit Prices'!$A:$Q,13,FALSE)&gt;0,VLOOKUP(F27,'Exit Prices'!$A:$Q,13,FALSE),0)</f>
        <v>N/A</v>
      </c>
      <c r="L27" s="207" t="s">
        <v>428</v>
      </c>
      <c r="M27" s="209">
        <f ca="1">(VLOOKUP(F27,'Anticipated Exit Bookings'!$B:$C,MATCH('Exit Anticipated Rev. Recovery'!$C$2,'Anticipated Exit Bookings'!$B$1:$C$1,0), FALSE))*VLOOKUP($F27, 'Exit Capacity Split'!A:H, 5,0)/100</f>
        <v>0</v>
      </c>
      <c r="N27" s="205" t="str">
        <f>IF(VLOOKUP(F27,'Exit Prices'!$A:$Q,14,FALSE)&gt;0,VLOOKUP(F27,'Exit Prices'!$A:$Q,14,FALSE),0)</f>
        <v>N/A</v>
      </c>
      <c r="O27" s="207" t="s">
        <v>428</v>
      </c>
      <c r="P27" s="204">
        <f ca="1">(VLOOKUP(F27,'Anticipated Exit Bookings'!$B:$C,MATCH('Exit Anticipated Rev. Recovery'!$C$2,'Anticipated Exit Bookings'!$B$1:$C$1,0), FALSE))*VLOOKUP($F27, 'Exit Capacity Split'!A:H, 6,0)/100</f>
        <v>0</v>
      </c>
      <c r="Q27" s="200">
        <f ca="1">IF(VLOOKUP(F27,'Exit Prices'!$A:$Q,15,FALSE)&gt;0,VLOOKUP(F27,'Exit Prices'!$A:$Q,15,FALSE),0)</f>
        <v>9.9101615669044355E-3</v>
      </c>
      <c r="R27" s="202">
        <f ca="1">P27*Q27*'User Inputs'!$D$7/100</f>
        <v>0</v>
      </c>
      <c r="S27" s="209">
        <f ca="1">(VLOOKUP(F27,'Anticipated Exit Bookings'!$B:$C,MATCH('Exit Anticipated Rev. Recovery'!$C$2,'Anticipated Exit Bookings'!$B$1:$C$1,0), FALSE))*VLOOKUP($F27, 'Exit Capacity Split'!A:H, 7,0)/100</f>
        <v>9707.3220438238532</v>
      </c>
      <c r="T27" s="205" t="str">
        <f>IF(VLOOKUP(F27,'Exit Prices'!$A:$Q,16,FALSE)&gt;0,VLOOKUP(F27,'Exit Prices'!$A:$Q,16,FALSE),0)</f>
        <v>N/A</v>
      </c>
      <c r="U27" s="207" t="s">
        <v>428</v>
      </c>
      <c r="V27" s="204">
        <f ca="1">(VLOOKUP(F27,'Anticipated Exit Bookings'!$B:$C,MATCH('Exit Anticipated Rev. Recovery'!$C$2,'Anticipated Exit Bookings'!$B$1:$C$1,0), FALSE))*VLOOKUP($F27, 'Exit Capacity Split'!A:H, 8,0)/100</f>
        <v>4525927.2174720224</v>
      </c>
      <c r="W27" s="200">
        <f ca="1">IF(VLOOKUP(F27,'Exit Prices'!$A:$Q,17,FALSE)&gt;0,VLOOKUP(F27,'Exit Prices'!$A:$Q,17,FALSE),0)</f>
        <v>8.9191454102139928E-3</v>
      </c>
      <c r="X27" s="202">
        <f ca="1">V27*W27*'User Inputs'!$D$7/100</f>
        <v>147341.02083567536</v>
      </c>
      <c r="Y27" s="199">
        <f t="shared" ca="1" si="1"/>
        <v>210089.38735495083</v>
      </c>
      <c r="AA27" s="164"/>
    </row>
    <row r="28" spans="1:27">
      <c r="E28" s="213" t="s">
        <v>474</v>
      </c>
      <c r="F28" s="213" t="s">
        <v>50</v>
      </c>
      <c r="G28" s="197">
        <f ca="1">(VLOOKUP(F28,'Anticipated Exit Bookings'!$B:$C,MATCH('Exit Anticipated Rev. Recovery'!$C$2,'Anticipated Exit Bookings'!$B$1:$C$1,0), FALSE))*VLOOKUP($F28, 'Exit Capacity Split'!A:H, 3,0)/100</f>
        <v>23859082.751155701</v>
      </c>
      <c r="H28" s="200">
        <f ca="1">IF(VLOOKUP(F28,'Exit Prices'!$A:$Q,12,FALSE)&gt;0,VLOOKUP(F28,'Exit Prices'!$A:$Q,12,FALSE),0)</f>
        <v>1.9820323133808871E-2</v>
      </c>
      <c r="I28" s="202">
        <f ca="1">G28*H28*'User Inputs'!$D$7/100</f>
        <v>1726065.7637852991</v>
      </c>
      <c r="J28" s="209">
        <f ca="1">(VLOOKUP(F28,'Anticipated Exit Bookings'!$B:$C,MATCH('Exit Anticipated Rev. Recovery'!$C$2,'Anticipated Exit Bookings'!$B$1:$C$1,0), FALSE))*VLOOKUP($F28, 'Exit Capacity Split'!A:H, 4,0)/100</f>
        <v>0</v>
      </c>
      <c r="K28" s="205" t="str">
        <f>IF(VLOOKUP(F28,'Exit Prices'!$A:$Q,13,FALSE)&gt;0,VLOOKUP(F28,'Exit Prices'!$A:$Q,13,FALSE),0)</f>
        <v>N/A</v>
      </c>
      <c r="L28" s="207" t="s">
        <v>428</v>
      </c>
      <c r="M28" s="209">
        <f ca="1">(VLOOKUP(F28,'Anticipated Exit Bookings'!$B:$C,MATCH('Exit Anticipated Rev. Recovery'!$C$2,'Anticipated Exit Bookings'!$B$1:$C$1,0), FALSE))*VLOOKUP($F28, 'Exit Capacity Split'!A:H, 5,0)/100</f>
        <v>0</v>
      </c>
      <c r="N28" s="205" t="str">
        <f>IF(VLOOKUP(F28,'Exit Prices'!$A:$Q,14,FALSE)&gt;0,VLOOKUP(F28,'Exit Prices'!$A:$Q,14,FALSE),0)</f>
        <v>N/A</v>
      </c>
      <c r="O28" s="207" t="s">
        <v>428</v>
      </c>
      <c r="P28" s="204">
        <f ca="1">(VLOOKUP(F28,'Anticipated Exit Bookings'!$B:$C,MATCH('Exit Anticipated Rev. Recovery'!$C$2,'Anticipated Exit Bookings'!$B$1:$C$1,0), FALSE))*VLOOKUP($F28, 'Exit Capacity Split'!A:H, 6,0)/100</f>
        <v>0</v>
      </c>
      <c r="Q28" s="200">
        <f ca="1">IF(VLOOKUP(F28,'Exit Prices'!$A:$Q,15,FALSE)&gt;0,VLOOKUP(F28,'Exit Prices'!$A:$Q,15,FALSE),0)</f>
        <v>1.9820323133808871E-2</v>
      </c>
      <c r="R28" s="202">
        <f ca="1">P28*Q28*'User Inputs'!$D$7/100</f>
        <v>0</v>
      </c>
      <c r="S28" s="209">
        <f ca="1">(VLOOKUP(F28,'Anticipated Exit Bookings'!$B:$C,MATCH('Exit Anticipated Rev. Recovery'!$C$2,'Anticipated Exit Bookings'!$B$1:$C$1,0), FALSE))*VLOOKUP($F28, 'Exit Capacity Split'!A:H, 7,0)/100</f>
        <v>22556.605485671826</v>
      </c>
      <c r="T28" s="205" t="str">
        <f>IF(VLOOKUP(F28,'Exit Prices'!$A:$Q,16,FALSE)&gt;0,VLOOKUP(F28,'Exit Prices'!$A:$Q,16,FALSE),0)</f>
        <v>N/A</v>
      </c>
      <c r="U28" s="207" t="s">
        <v>428</v>
      </c>
      <c r="V28" s="204">
        <f ca="1">(VLOOKUP(F28,'Anticipated Exit Bookings'!$B:$C,MATCH('Exit Anticipated Rev. Recovery'!$C$2,'Anticipated Exit Bookings'!$B$1:$C$1,0), FALSE))*VLOOKUP($F28, 'Exit Capacity Split'!A:H, 8,0)/100</f>
        <v>613267.6433586271</v>
      </c>
      <c r="W28" s="200">
        <f ca="1">IF(VLOOKUP(F28,'Exit Prices'!$A:$Q,17,FALSE)&gt;0,VLOOKUP(F28,'Exit Prices'!$A:$Q,17,FALSE),0)</f>
        <v>1.7838290820427986E-2</v>
      </c>
      <c r="X28" s="202">
        <f ca="1">V28*W28*'User Inputs'!$D$7/100</f>
        <v>39929.709991412412</v>
      </c>
      <c r="Y28" s="199">
        <f t="shared" ca="1" si="1"/>
        <v>1765995.4737767116</v>
      </c>
      <c r="AA28" s="164"/>
    </row>
    <row r="29" spans="1:27">
      <c r="E29" s="213" t="s">
        <v>474</v>
      </c>
      <c r="F29" s="213" t="s">
        <v>51</v>
      </c>
      <c r="G29" s="197">
        <f ca="1">(VLOOKUP(F29,'Anticipated Exit Bookings'!$B:$C,MATCH('Exit Anticipated Rev. Recovery'!$C$2,'Anticipated Exit Bookings'!$B$1:$C$1,0), FALSE))*VLOOKUP($F29, 'Exit Capacity Split'!A:H, 3,0)/100</f>
        <v>32670605.660066411</v>
      </c>
      <c r="H29" s="200">
        <f ca="1">IF(VLOOKUP(F29,'Exit Prices'!$A:$Q,12,FALSE)&gt;0,VLOOKUP(F29,'Exit Prices'!$A:$Q,12,FALSE),0)</f>
        <v>1.9820323133808871E-2</v>
      </c>
      <c r="I29" s="202">
        <f ca="1">G29*H29*'User Inputs'!$D$7/100</f>
        <v>2363528.158233129</v>
      </c>
      <c r="J29" s="209">
        <f ca="1">(VLOOKUP(F29,'Anticipated Exit Bookings'!$B:$C,MATCH('Exit Anticipated Rev. Recovery'!$C$2,'Anticipated Exit Bookings'!$B$1:$C$1,0), FALSE))*VLOOKUP($F29, 'Exit Capacity Split'!A:H, 4,0)/100</f>
        <v>0</v>
      </c>
      <c r="K29" s="205" t="str">
        <f>IF(VLOOKUP(F29,'Exit Prices'!$A:$Q,13,FALSE)&gt;0,VLOOKUP(F29,'Exit Prices'!$A:$Q,13,FALSE),0)</f>
        <v>N/A</v>
      </c>
      <c r="L29" s="207" t="s">
        <v>428</v>
      </c>
      <c r="M29" s="209">
        <f ca="1">(VLOOKUP(F29,'Anticipated Exit Bookings'!$B:$C,MATCH('Exit Anticipated Rev. Recovery'!$C$2,'Anticipated Exit Bookings'!$B$1:$C$1,0), FALSE))*VLOOKUP($F29, 'Exit Capacity Split'!A:H, 5,0)/100</f>
        <v>0</v>
      </c>
      <c r="N29" s="205" t="str">
        <f>IF(VLOOKUP(F29,'Exit Prices'!$A:$Q,14,FALSE)&gt;0,VLOOKUP(F29,'Exit Prices'!$A:$Q,14,FALSE),0)</f>
        <v>N/A</v>
      </c>
      <c r="O29" s="207" t="s">
        <v>428</v>
      </c>
      <c r="P29" s="204">
        <f ca="1">(VLOOKUP(F29,'Anticipated Exit Bookings'!$B:$C,MATCH('Exit Anticipated Rev. Recovery'!$C$2,'Anticipated Exit Bookings'!$B$1:$C$1,0), FALSE))*VLOOKUP($F29, 'Exit Capacity Split'!A:H, 6,0)/100</f>
        <v>1134.8196297061627</v>
      </c>
      <c r="Q29" s="200">
        <f ca="1">IF(VLOOKUP(F29,'Exit Prices'!$A:$Q,15,FALSE)&gt;0,VLOOKUP(F29,'Exit Prices'!$A:$Q,15,FALSE),0)</f>
        <v>1.9820323133808871E-2</v>
      </c>
      <c r="R29" s="202">
        <f ca="1">P29*Q29*'User Inputs'!$D$7/100</f>
        <v>82.097594921683978</v>
      </c>
      <c r="S29" s="209">
        <f ca="1">(VLOOKUP(F29,'Anticipated Exit Bookings'!$B:$C,MATCH('Exit Anticipated Rev. Recovery'!$C$2,'Anticipated Exit Bookings'!$B$1:$C$1,0), FALSE))*VLOOKUP($F29, 'Exit Capacity Split'!A:H, 7,0)/100</f>
        <v>40766.212851752076</v>
      </c>
      <c r="T29" s="205" t="str">
        <f>IF(VLOOKUP(F29,'Exit Prices'!$A:$Q,16,FALSE)&gt;0,VLOOKUP(F29,'Exit Prices'!$A:$Q,16,FALSE),0)</f>
        <v>N/A</v>
      </c>
      <c r="U29" s="207" t="s">
        <v>428</v>
      </c>
      <c r="V29" s="204">
        <f ca="1">(VLOOKUP(F29,'Anticipated Exit Bookings'!$B:$C,MATCH('Exit Anticipated Rev. Recovery'!$C$2,'Anticipated Exit Bookings'!$B$1:$C$1,0), FALSE))*VLOOKUP($F29, 'Exit Capacity Split'!A:H, 8,0)/100</f>
        <v>10519343.307452142</v>
      </c>
      <c r="W29" s="200">
        <f ca="1">IF(VLOOKUP(F29,'Exit Prices'!$A:$Q,17,FALSE)&gt;0,VLOOKUP(F29,'Exit Prices'!$A:$Q,17,FALSE),0)</f>
        <v>1.7838290820427986E-2</v>
      </c>
      <c r="X29" s="202">
        <f ca="1">V29*W29*'User Inputs'!$D$7/100</f>
        <v>684911.93382762757</v>
      </c>
      <c r="Y29" s="199">
        <f t="shared" ca="1" si="1"/>
        <v>3048522.1896556779</v>
      </c>
      <c r="AA29" s="164"/>
    </row>
    <row r="30" spans="1:27">
      <c r="E30" s="213" t="s">
        <v>474</v>
      </c>
      <c r="F30" s="213" t="s">
        <v>52</v>
      </c>
      <c r="G30" s="197">
        <f ca="1">(VLOOKUP(F30,'Anticipated Exit Bookings'!$B:$C,MATCH('Exit Anticipated Rev. Recovery'!$C$2,'Anticipated Exit Bookings'!$B$1:$C$1,0), FALSE))*VLOOKUP($F30, 'Exit Capacity Split'!A:H, 3,0)/100</f>
        <v>54160868.939108007</v>
      </c>
      <c r="H30" s="200">
        <f ca="1">IF(VLOOKUP(F30,'Exit Prices'!$A:$Q,12,FALSE)&gt;0,VLOOKUP(F30,'Exit Prices'!$A:$Q,12,FALSE),0)</f>
        <v>1.9820323133808871E-2</v>
      </c>
      <c r="I30" s="202">
        <f ca="1">G30*H30*'User Inputs'!$D$7/100</f>
        <v>3918223.6210706234</v>
      </c>
      <c r="J30" s="209">
        <f ca="1">(VLOOKUP(F30,'Anticipated Exit Bookings'!$B:$C,MATCH('Exit Anticipated Rev. Recovery'!$C$2,'Anticipated Exit Bookings'!$B$1:$C$1,0), FALSE))*VLOOKUP($F30, 'Exit Capacity Split'!A:H, 4,0)/100</f>
        <v>0</v>
      </c>
      <c r="K30" s="205" t="str">
        <f>IF(VLOOKUP(F30,'Exit Prices'!$A:$Q,13,FALSE)&gt;0,VLOOKUP(F30,'Exit Prices'!$A:$Q,13,FALSE),0)</f>
        <v>N/A</v>
      </c>
      <c r="L30" s="207" t="s">
        <v>428</v>
      </c>
      <c r="M30" s="209">
        <f ca="1">(VLOOKUP(F30,'Anticipated Exit Bookings'!$B:$C,MATCH('Exit Anticipated Rev. Recovery'!$C$2,'Anticipated Exit Bookings'!$B$1:$C$1,0), FALSE))*VLOOKUP($F30, 'Exit Capacity Split'!A:H, 5,0)/100</f>
        <v>0</v>
      </c>
      <c r="N30" s="205" t="str">
        <f>IF(VLOOKUP(F30,'Exit Prices'!$A:$Q,14,FALSE)&gt;0,VLOOKUP(F30,'Exit Prices'!$A:$Q,14,FALSE),0)</f>
        <v>N/A</v>
      </c>
      <c r="O30" s="207" t="s">
        <v>428</v>
      </c>
      <c r="P30" s="204">
        <f ca="1">(VLOOKUP(F30,'Anticipated Exit Bookings'!$B:$C,MATCH('Exit Anticipated Rev. Recovery'!$C$2,'Anticipated Exit Bookings'!$B$1:$C$1,0), FALSE))*VLOOKUP($F30, 'Exit Capacity Split'!A:H, 6,0)/100</f>
        <v>0</v>
      </c>
      <c r="Q30" s="200">
        <f ca="1">IF(VLOOKUP(F30,'Exit Prices'!$A:$Q,15,FALSE)&gt;0,VLOOKUP(F30,'Exit Prices'!$A:$Q,15,FALSE),0)</f>
        <v>1.9820323133808871E-2</v>
      </c>
      <c r="R30" s="202">
        <f ca="1">P30*Q30*'User Inputs'!$D$7/100</f>
        <v>0</v>
      </c>
      <c r="S30" s="209">
        <f ca="1">(VLOOKUP(F30,'Anticipated Exit Bookings'!$B:$C,MATCH('Exit Anticipated Rev. Recovery'!$C$2,'Anticipated Exit Bookings'!$B$1:$C$1,0), FALSE))*VLOOKUP($F30, 'Exit Capacity Split'!A:H, 7,0)/100</f>
        <v>51204.204543926142</v>
      </c>
      <c r="T30" s="205" t="str">
        <f>IF(VLOOKUP(F30,'Exit Prices'!$A:$Q,16,FALSE)&gt;0,VLOOKUP(F30,'Exit Prices'!$A:$Q,16,FALSE),0)</f>
        <v>N/A</v>
      </c>
      <c r="U30" s="207" t="s">
        <v>428</v>
      </c>
      <c r="V30" s="204">
        <f ca="1">(VLOOKUP(F30,'Anticipated Exit Bookings'!$B:$C,MATCH('Exit Anticipated Rev. Recovery'!$C$2,'Anticipated Exit Bookings'!$B$1:$C$1,0), FALSE))*VLOOKUP($F30, 'Exit Capacity Split'!A:H, 8,0)/100</f>
        <v>1392136.8563480647</v>
      </c>
      <c r="W30" s="200">
        <f ca="1">IF(VLOOKUP(F30,'Exit Prices'!$A:$Q,17,FALSE)&gt;0,VLOOKUP(F30,'Exit Prices'!$A:$Q,17,FALSE),0)</f>
        <v>1.7838290820427986E-2</v>
      </c>
      <c r="X30" s="202">
        <f ca="1">V30*W30*'User Inputs'!$D$7/100</f>
        <v>90641.698684612027</v>
      </c>
      <c r="Y30" s="199">
        <f t="shared" ca="1" si="1"/>
        <v>4008865.3197552352</v>
      </c>
      <c r="AA30" s="164"/>
    </row>
    <row r="31" spans="1:27">
      <c r="E31" s="213" t="s">
        <v>474</v>
      </c>
      <c r="F31" s="213" t="s">
        <v>53</v>
      </c>
      <c r="G31" s="197">
        <f ca="1">(VLOOKUP(F31,'Anticipated Exit Bookings'!$B:$C,MATCH('Exit Anticipated Rev. Recovery'!$C$2,'Anticipated Exit Bookings'!$B$1:$C$1,0), FALSE))*VLOOKUP($F31, 'Exit Capacity Split'!A:H, 3,0)/100</f>
        <v>869848.82532121206</v>
      </c>
      <c r="H31" s="200">
        <f ca="1">IF(VLOOKUP(F31,'Exit Prices'!$A:$Q,12,FALSE)&gt;0,VLOOKUP(F31,'Exit Prices'!$A:$Q,12,FALSE),0)</f>
        <v>1.9820323133808871E-2</v>
      </c>
      <c r="I31" s="202">
        <f ca="1">G31*H31*'User Inputs'!$D$7/100</f>
        <v>62928.499503321291</v>
      </c>
      <c r="J31" s="209">
        <f ca="1">(VLOOKUP(F31,'Anticipated Exit Bookings'!$B:$C,MATCH('Exit Anticipated Rev. Recovery'!$C$2,'Anticipated Exit Bookings'!$B$1:$C$1,0), FALSE))*VLOOKUP($F31, 'Exit Capacity Split'!A:H, 4,0)/100</f>
        <v>0</v>
      </c>
      <c r="K31" s="205" t="str">
        <f>IF(VLOOKUP(F31,'Exit Prices'!$A:$Q,13,FALSE)&gt;0,VLOOKUP(F31,'Exit Prices'!$A:$Q,13,FALSE),0)</f>
        <v>N/A</v>
      </c>
      <c r="L31" s="207" t="s">
        <v>428</v>
      </c>
      <c r="M31" s="209">
        <f ca="1">(VLOOKUP(F31,'Anticipated Exit Bookings'!$B:$C,MATCH('Exit Anticipated Rev. Recovery'!$C$2,'Anticipated Exit Bookings'!$B$1:$C$1,0), FALSE))*VLOOKUP($F31, 'Exit Capacity Split'!A:H, 5,0)/100</f>
        <v>0</v>
      </c>
      <c r="N31" s="205" t="str">
        <f>IF(VLOOKUP(F31,'Exit Prices'!$A:$Q,14,FALSE)&gt;0,VLOOKUP(F31,'Exit Prices'!$A:$Q,14,FALSE),0)</f>
        <v>N/A</v>
      </c>
      <c r="O31" s="207" t="s">
        <v>428</v>
      </c>
      <c r="P31" s="204">
        <f ca="1">(VLOOKUP(F31,'Anticipated Exit Bookings'!$B:$C,MATCH('Exit Anticipated Rev. Recovery'!$C$2,'Anticipated Exit Bookings'!$B$1:$C$1,0), FALSE))*VLOOKUP($F31, 'Exit Capacity Split'!A:H, 6,0)/100</f>
        <v>30.214362479907322</v>
      </c>
      <c r="Q31" s="200">
        <f ca="1">IF(VLOOKUP(F31,'Exit Prices'!$A:$Q,15,FALSE)&gt;0,VLOOKUP(F31,'Exit Prices'!$A:$Q,15,FALSE),0)</f>
        <v>1.9820323133808871E-2</v>
      </c>
      <c r="R31" s="202">
        <f ca="1">P31*Q31*'User Inputs'!$D$7/100</f>
        <v>2.1858332608633475</v>
      </c>
      <c r="S31" s="209">
        <f ca="1">(VLOOKUP(F31,'Anticipated Exit Bookings'!$B:$C,MATCH('Exit Anticipated Rev. Recovery'!$C$2,'Anticipated Exit Bookings'!$B$1:$C$1,0), FALSE))*VLOOKUP($F31, 'Exit Capacity Split'!A:H, 7,0)/100</f>
        <v>1085.3928675474381</v>
      </c>
      <c r="T31" s="205" t="str">
        <f>IF(VLOOKUP(F31,'Exit Prices'!$A:$Q,16,FALSE)&gt;0,VLOOKUP(F31,'Exit Prices'!$A:$Q,16,FALSE),0)</f>
        <v>N/A</v>
      </c>
      <c r="U31" s="207" t="s">
        <v>428</v>
      </c>
      <c r="V31" s="204">
        <f ca="1">(VLOOKUP(F31,'Anticipated Exit Bookings'!$B:$C,MATCH('Exit Anticipated Rev. Recovery'!$C$2,'Anticipated Exit Bookings'!$B$1:$C$1,0), FALSE))*VLOOKUP($F31, 'Exit Capacity Split'!A:H, 8,0)/100</f>
        <v>280075.56744876091</v>
      </c>
      <c r="W31" s="200">
        <f ca="1">IF(VLOOKUP(F31,'Exit Prices'!$A:$Q,17,FALSE)&gt;0,VLOOKUP(F31,'Exit Prices'!$A:$Q,17,FALSE),0)</f>
        <v>1.7838290820427986E-2</v>
      </c>
      <c r="X31" s="202">
        <f ca="1">V31*W31*'User Inputs'!$D$7/100</f>
        <v>18235.653397042974</v>
      </c>
      <c r="Y31" s="199">
        <f t="shared" ca="1" si="1"/>
        <v>81166.338733625133</v>
      </c>
      <c r="AA31" s="164"/>
    </row>
    <row r="32" spans="1:27">
      <c r="E32" s="213" t="s">
        <v>474</v>
      </c>
      <c r="F32" s="213" t="s">
        <v>54</v>
      </c>
      <c r="G32" s="197">
        <f ca="1">(VLOOKUP(F32,'Anticipated Exit Bookings'!$B:$C,MATCH('Exit Anticipated Rev. Recovery'!$C$2,'Anticipated Exit Bookings'!$B$1:$C$1,0), FALSE))*VLOOKUP($F32, 'Exit Capacity Split'!A:H, 3,0)/100</f>
        <v>9611377.9576752279</v>
      </c>
      <c r="H32" s="200">
        <f ca="1">IF(VLOOKUP(F32,'Exit Prices'!$A:$Q,12,FALSE)&gt;0,VLOOKUP(F32,'Exit Prices'!$A:$Q,12,FALSE),0)</f>
        <v>1.9820323133808871E-2</v>
      </c>
      <c r="I32" s="202">
        <f ca="1">G32*H32*'User Inputs'!$D$7/100</f>
        <v>695327.25162036205</v>
      </c>
      <c r="J32" s="209">
        <f ca="1">(VLOOKUP(F32,'Anticipated Exit Bookings'!$B:$C,MATCH('Exit Anticipated Rev. Recovery'!$C$2,'Anticipated Exit Bookings'!$B$1:$C$1,0), FALSE))*VLOOKUP($F32, 'Exit Capacity Split'!A:H, 4,0)/100</f>
        <v>0</v>
      </c>
      <c r="K32" s="205" t="str">
        <f>IF(VLOOKUP(F32,'Exit Prices'!$A:$Q,13,FALSE)&gt;0,VLOOKUP(F32,'Exit Prices'!$A:$Q,13,FALSE),0)</f>
        <v>N/A</v>
      </c>
      <c r="L32" s="207" t="s">
        <v>428</v>
      </c>
      <c r="M32" s="209">
        <f ca="1">(VLOOKUP(F32,'Anticipated Exit Bookings'!$B:$C,MATCH('Exit Anticipated Rev. Recovery'!$C$2,'Anticipated Exit Bookings'!$B$1:$C$1,0), FALSE))*VLOOKUP($F32, 'Exit Capacity Split'!A:H, 5,0)/100</f>
        <v>0</v>
      </c>
      <c r="N32" s="205" t="str">
        <f>IF(VLOOKUP(F32,'Exit Prices'!$A:$Q,14,FALSE)&gt;0,VLOOKUP(F32,'Exit Prices'!$A:$Q,14,FALSE),0)</f>
        <v>N/A</v>
      </c>
      <c r="O32" s="207" t="s">
        <v>428</v>
      </c>
      <c r="P32" s="204">
        <f ca="1">(VLOOKUP(F32,'Anticipated Exit Bookings'!$B:$C,MATCH('Exit Anticipated Rev. Recovery'!$C$2,'Anticipated Exit Bookings'!$B$1:$C$1,0), FALSE))*VLOOKUP($F32, 'Exit Capacity Split'!A:H, 6,0)/100</f>
        <v>0</v>
      </c>
      <c r="Q32" s="200">
        <f ca="1">IF(VLOOKUP(F32,'Exit Prices'!$A:$Q,15,FALSE)&gt;0,VLOOKUP(F32,'Exit Prices'!$A:$Q,15,FALSE),0)</f>
        <v>1.9820323133808871E-2</v>
      </c>
      <c r="R32" s="202">
        <f ca="1">P32*Q32*'User Inputs'!$D$7/100</f>
        <v>0</v>
      </c>
      <c r="S32" s="209">
        <f ca="1">(VLOOKUP(F32,'Anticipated Exit Bookings'!$B:$C,MATCH('Exit Anticipated Rev. Recovery'!$C$2,'Anticipated Exit Bookings'!$B$1:$C$1,0), FALSE))*VLOOKUP($F32, 'Exit Capacity Split'!A:H, 7,0)/100</f>
        <v>9086.6888315084452</v>
      </c>
      <c r="T32" s="205" t="str">
        <f>IF(VLOOKUP(F32,'Exit Prices'!$A:$Q,16,FALSE)&gt;0,VLOOKUP(F32,'Exit Prices'!$A:$Q,16,FALSE),0)</f>
        <v>N/A</v>
      </c>
      <c r="U32" s="207" t="s">
        <v>428</v>
      </c>
      <c r="V32" s="204">
        <f ca="1">(VLOOKUP(F32,'Anticipated Exit Bookings'!$B:$C,MATCH('Exit Anticipated Rev. Recovery'!$C$2,'Anticipated Exit Bookings'!$B$1:$C$1,0), FALSE))*VLOOKUP($F32, 'Exit Capacity Split'!A:H, 8,0)/100</f>
        <v>247048.35349326357</v>
      </c>
      <c r="W32" s="200">
        <f ca="1">IF(VLOOKUP(F32,'Exit Prices'!$A:$Q,17,FALSE)&gt;0,VLOOKUP(F32,'Exit Prices'!$A:$Q,17,FALSE),0)</f>
        <v>1.7838290820427986E-2</v>
      </c>
      <c r="X32" s="202">
        <f ca="1">V32*W32*'User Inputs'!$D$7/100</f>
        <v>16085.259373570669</v>
      </c>
      <c r="Y32" s="199">
        <f t="shared" ca="1" si="1"/>
        <v>711412.51099393272</v>
      </c>
      <c r="AA32" s="164"/>
    </row>
    <row r="33" spans="5:27">
      <c r="E33" s="213" t="s">
        <v>474</v>
      </c>
      <c r="F33" s="213" t="s">
        <v>55</v>
      </c>
      <c r="G33" s="197">
        <f ca="1">(VLOOKUP(F33,'Anticipated Exit Bookings'!$B:$C,MATCH('Exit Anticipated Rev. Recovery'!$C$2,'Anticipated Exit Bookings'!$B$1:$C$1,0), FALSE))*VLOOKUP($F33, 'Exit Capacity Split'!A:H, 3,0)/100</f>
        <v>20624275.452416245</v>
      </c>
      <c r="H33" s="200">
        <f ca="1">IF(VLOOKUP(F33,'Exit Prices'!$A:$Q,12,FALSE)&gt;0,VLOOKUP(F33,'Exit Prices'!$A:$Q,12,FALSE),0)</f>
        <v>1.9820323133808871E-2</v>
      </c>
      <c r="I33" s="202">
        <f ca="1">G33*H33*'User Inputs'!$D$7/100</f>
        <v>1492046.2841166384</v>
      </c>
      <c r="J33" s="209">
        <f ca="1">(VLOOKUP(F33,'Anticipated Exit Bookings'!$B:$C,MATCH('Exit Anticipated Rev. Recovery'!$C$2,'Anticipated Exit Bookings'!$B$1:$C$1,0), FALSE))*VLOOKUP($F33, 'Exit Capacity Split'!A:H, 4,0)/100</f>
        <v>0</v>
      </c>
      <c r="K33" s="205" t="str">
        <f>IF(VLOOKUP(F33,'Exit Prices'!$A:$Q,13,FALSE)&gt;0,VLOOKUP(F33,'Exit Prices'!$A:$Q,13,FALSE),0)</f>
        <v>N/A</v>
      </c>
      <c r="L33" s="207" t="s">
        <v>428</v>
      </c>
      <c r="M33" s="209">
        <f ca="1">(VLOOKUP(F33,'Anticipated Exit Bookings'!$B:$C,MATCH('Exit Anticipated Rev. Recovery'!$C$2,'Anticipated Exit Bookings'!$B$1:$C$1,0), FALSE))*VLOOKUP($F33, 'Exit Capacity Split'!A:H, 5,0)/100</f>
        <v>0</v>
      </c>
      <c r="N33" s="205" t="str">
        <f>IF(VLOOKUP(F33,'Exit Prices'!$A:$Q,14,FALSE)&gt;0,VLOOKUP(F33,'Exit Prices'!$A:$Q,14,FALSE),0)</f>
        <v>N/A</v>
      </c>
      <c r="O33" s="207" t="s">
        <v>428</v>
      </c>
      <c r="P33" s="204">
        <f ca="1">(VLOOKUP(F33,'Anticipated Exit Bookings'!$B:$C,MATCH('Exit Anticipated Rev. Recovery'!$C$2,'Anticipated Exit Bookings'!$B$1:$C$1,0), FALSE))*VLOOKUP($F33, 'Exit Capacity Split'!A:H, 6,0)/100</f>
        <v>716.3880852223333</v>
      </c>
      <c r="Q33" s="200">
        <f ca="1">IF(VLOOKUP(F33,'Exit Prices'!$A:$Q,15,FALSE)&gt;0,VLOOKUP(F33,'Exit Prices'!$A:$Q,15,FALSE),0)</f>
        <v>1.9820323133808871E-2</v>
      </c>
      <c r="R33" s="202">
        <f ca="1">P33*Q33*'User Inputs'!$D$7/100</f>
        <v>51.826508184857978</v>
      </c>
      <c r="S33" s="209">
        <f ca="1">(VLOOKUP(F33,'Anticipated Exit Bookings'!$B:$C,MATCH('Exit Anticipated Rev. Recovery'!$C$2,'Anticipated Exit Bookings'!$B$1:$C$1,0), FALSE))*VLOOKUP($F33, 'Exit Capacity Split'!A:H, 7,0)/100</f>
        <v>25734.864292217619</v>
      </c>
      <c r="T33" s="205" t="str">
        <f>IF(VLOOKUP(F33,'Exit Prices'!$A:$Q,16,FALSE)&gt;0,VLOOKUP(F33,'Exit Prices'!$A:$Q,16,FALSE),0)</f>
        <v>N/A</v>
      </c>
      <c r="U33" s="207" t="s">
        <v>428</v>
      </c>
      <c r="V33" s="204">
        <f ca="1">(VLOOKUP(F33,'Anticipated Exit Bookings'!$B:$C,MATCH('Exit Anticipated Rev. Recovery'!$C$2,'Anticipated Exit Bookings'!$B$1:$C$1,0), FALSE))*VLOOKUP($F33, 'Exit Capacity Split'!A:H, 8,0)/100</f>
        <v>6640643.158220022</v>
      </c>
      <c r="W33" s="200">
        <f ca="1">IF(VLOOKUP(F33,'Exit Prices'!$A:$Q,17,FALSE)&gt;0,VLOOKUP(F33,'Exit Prices'!$A:$Q,17,FALSE),0)</f>
        <v>1.7838290820427986E-2</v>
      </c>
      <c r="X33" s="202">
        <f ca="1">V33*W33*'User Inputs'!$D$7/100</f>
        <v>432370.69220220158</v>
      </c>
      <c r="Y33" s="199">
        <f t="shared" ca="1" si="1"/>
        <v>1924468.8028270248</v>
      </c>
      <c r="AA33" s="164"/>
    </row>
    <row r="34" spans="5:27">
      <c r="E34" s="213" t="s">
        <v>474</v>
      </c>
      <c r="F34" s="213" t="s">
        <v>56</v>
      </c>
      <c r="G34" s="197">
        <f ca="1">(VLOOKUP(F34,'Anticipated Exit Bookings'!$B:$C,MATCH('Exit Anticipated Rev. Recovery'!$C$2,'Anticipated Exit Bookings'!$B$1:$C$1,0), FALSE))*VLOOKUP($F34, 'Exit Capacity Split'!A:H, 3,0)/100</f>
        <v>122856704.39135613</v>
      </c>
      <c r="H34" s="200">
        <f ca="1">IF(VLOOKUP(F34,'Exit Prices'!$A:$Q,12,FALSE)&gt;0,VLOOKUP(F34,'Exit Prices'!$A:$Q,12,FALSE),0)</f>
        <v>1.9820323133808871E-2</v>
      </c>
      <c r="I34" s="202">
        <f ca="1">G34*H34*'User Inputs'!$D$7/100</f>
        <v>8887967.4676990248</v>
      </c>
      <c r="J34" s="209">
        <f ca="1">(VLOOKUP(F34,'Anticipated Exit Bookings'!$B:$C,MATCH('Exit Anticipated Rev. Recovery'!$C$2,'Anticipated Exit Bookings'!$B$1:$C$1,0), FALSE))*VLOOKUP($F34, 'Exit Capacity Split'!A:H, 4,0)/100</f>
        <v>0</v>
      </c>
      <c r="K34" s="205" t="str">
        <f>IF(VLOOKUP(F34,'Exit Prices'!$A:$Q,13,FALSE)&gt;0,VLOOKUP(F34,'Exit Prices'!$A:$Q,13,FALSE),0)</f>
        <v>N/A</v>
      </c>
      <c r="L34" s="207" t="s">
        <v>428</v>
      </c>
      <c r="M34" s="209">
        <f ca="1">(VLOOKUP(F34,'Anticipated Exit Bookings'!$B:$C,MATCH('Exit Anticipated Rev. Recovery'!$C$2,'Anticipated Exit Bookings'!$B$1:$C$1,0), FALSE))*VLOOKUP($F34, 'Exit Capacity Split'!A:H, 5,0)/100</f>
        <v>0</v>
      </c>
      <c r="N34" s="205" t="str">
        <f>IF(VLOOKUP(F34,'Exit Prices'!$A:$Q,14,FALSE)&gt;0,VLOOKUP(F34,'Exit Prices'!$A:$Q,14,FALSE),0)</f>
        <v>N/A</v>
      </c>
      <c r="O34" s="207" t="s">
        <v>428</v>
      </c>
      <c r="P34" s="204">
        <f ca="1">(VLOOKUP(F34,'Anticipated Exit Bookings'!$B:$C,MATCH('Exit Anticipated Rev. Recovery'!$C$2,'Anticipated Exit Bookings'!$B$1:$C$1,0), FALSE))*VLOOKUP($F34, 'Exit Capacity Split'!A:H, 6,0)/100</f>
        <v>0</v>
      </c>
      <c r="Q34" s="200">
        <f ca="1">IF(VLOOKUP(F34,'Exit Prices'!$A:$Q,15,FALSE)&gt;0,VLOOKUP(F34,'Exit Prices'!$A:$Q,15,FALSE),0)</f>
        <v>1.9820323133808871E-2</v>
      </c>
      <c r="R34" s="202">
        <f ca="1">P34*Q34*'User Inputs'!$D$7/100</f>
        <v>0</v>
      </c>
      <c r="S34" s="209">
        <f ca="1">(VLOOKUP(F34,'Anticipated Exit Bookings'!$B:$C,MATCH('Exit Anticipated Rev. Recovery'!$C$2,'Anticipated Exit Bookings'!$B$1:$C$1,0), FALSE))*VLOOKUP($F34, 'Exit Capacity Split'!A:H, 7,0)/100</f>
        <v>116149.90572474504</v>
      </c>
      <c r="T34" s="205" t="str">
        <f>IF(VLOOKUP(F34,'Exit Prices'!$A:$Q,16,FALSE)&gt;0,VLOOKUP(F34,'Exit Prices'!$A:$Q,16,FALSE),0)</f>
        <v>N/A</v>
      </c>
      <c r="U34" s="207" t="s">
        <v>428</v>
      </c>
      <c r="V34" s="204">
        <f ca="1">(VLOOKUP(F34,'Anticipated Exit Bookings'!$B:$C,MATCH('Exit Anticipated Rev. Recovery'!$C$2,'Anticipated Exit Bookings'!$B$1:$C$1,0), FALSE))*VLOOKUP($F34, 'Exit Capacity Split'!A:H, 8,0)/100</f>
        <v>3157876.7029191386</v>
      </c>
      <c r="W34" s="200">
        <f ca="1">IF(VLOOKUP(F34,'Exit Prices'!$A:$Q,17,FALSE)&gt;0,VLOOKUP(F34,'Exit Prices'!$A:$Q,17,FALSE),0)</f>
        <v>1.7838290820427986E-2</v>
      </c>
      <c r="X34" s="202">
        <f ca="1">V34*W34*'User Inputs'!$D$7/100</f>
        <v>205608.59895629939</v>
      </c>
      <c r="Y34" s="199">
        <f t="shared" ca="1" si="1"/>
        <v>9093576.0666553248</v>
      </c>
      <c r="AA34" s="164"/>
    </row>
    <row r="35" spans="5:27">
      <c r="E35" s="213" t="s">
        <v>474</v>
      </c>
      <c r="F35" s="213" t="s">
        <v>57</v>
      </c>
      <c r="G35" s="197">
        <f ca="1">(VLOOKUP(F35,'Anticipated Exit Bookings'!$B:$C,MATCH('Exit Anticipated Rev. Recovery'!$C$2,'Anticipated Exit Bookings'!$B$1:$C$1,0), FALSE))*VLOOKUP($F35, 'Exit Capacity Split'!A:H, 3,0)/100</f>
        <v>61701776.179227717</v>
      </c>
      <c r="H35" s="200">
        <f ca="1">IF(VLOOKUP(F35,'Exit Prices'!$A:$Q,12,FALSE)&gt;0,VLOOKUP(F35,'Exit Prices'!$A:$Q,12,FALSE),0)</f>
        <v>1.9820323133808871E-2</v>
      </c>
      <c r="I35" s="202">
        <f ca="1">G35*H35*'User Inputs'!$D$7/100</f>
        <v>4463764.3675781917</v>
      </c>
      <c r="J35" s="209">
        <f ca="1">(VLOOKUP(F35,'Anticipated Exit Bookings'!$B:$C,MATCH('Exit Anticipated Rev. Recovery'!$C$2,'Anticipated Exit Bookings'!$B$1:$C$1,0), FALSE))*VLOOKUP($F35, 'Exit Capacity Split'!A:H, 4,0)/100</f>
        <v>0</v>
      </c>
      <c r="K35" s="205" t="str">
        <f>IF(VLOOKUP(F35,'Exit Prices'!$A:$Q,13,FALSE)&gt;0,VLOOKUP(F35,'Exit Prices'!$A:$Q,13,FALSE),0)</f>
        <v>N/A</v>
      </c>
      <c r="L35" s="207" t="s">
        <v>428</v>
      </c>
      <c r="M35" s="209">
        <f ca="1">(VLOOKUP(F35,'Anticipated Exit Bookings'!$B:$C,MATCH('Exit Anticipated Rev. Recovery'!$C$2,'Anticipated Exit Bookings'!$B$1:$C$1,0), FALSE))*VLOOKUP($F35, 'Exit Capacity Split'!A:H, 5,0)/100</f>
        <v>0</v>
      </c>
      <c r="N35" s="205" t="str">
        <f>IF(VLOOKUP(F35,'Exit Prices'!$A:$Q,14,FALSE)&gt;0,VLOOKUP(F35,'Exit Prices'!$A:$Q,14,FALSE),0)</f>
        <v>N/A</v>
      </c>
      <c r="O35" s="207" t="s">
        <v>428</v>
      </c>
      <c r="P35" s="204">
        <f ca="1">(VLOOKUP(F35,'Anticipated Exit Bookings'!$B:$C,MATCH('Exit Anticipated Rev. Recovery'!$C$2,'Anticipated Exit Bookings'!$B$1:$C$1,0), FALSE))*VLOOKUP($F35, 'Exit Capacity Split'!A:H, 6,0)/100</f>
        <v>0</v>
      </c>
      <c r="Q35" s="200">
        <f ca="1">IF(VLOOKUP(F35,'Exit Prices'!$A:$Q,15,FALSE)&gt;0,VLOOKUP(F35,'Exit Prices'!$A:$Q,15,FALSE),0)</f>
        <v>1.9820323133808871E-2</v>
      </c>
      <c r="R35" s="202">
        <f ca="1">P35*Q35*'User Inputs'!$D$7/100</f>
        <v>0</v>
      </c>
      <c r="S35" s="209">
        <f ca="1">(VLOOKUP(F35,'Anticipated Exit Bookings'!$B:$C,MATCH('Exit Anticipated Rev. Recovery'!$C$2,'Anticipated Exit Bookings'!$B$1:$C$1,0), FALSE))*VLOOKUP($F35, 'Exit Capacity Split'!A:H, 7,0)/100</f>
        <v>58333.450516770055</v>
      </c>
      <c r="T35" s="205" t="str">
        <f>IF(VLOOKUP(F35,'Exit Prices'!$A:$Q,16,FALSE)&gt;0,VLOOKUP(F35,'Exit Prices'!$A:$Q,16,FALSE),0)</f>
        <v>N/A</v>
      </c>
      <c r="U35" s="207" t="s">
        <v>428</v>
      </c>
      <c r="V35" s="204">
        <f ca="1">(VLOOKUP(F35,'Anticipated Exit Bookings'!$B:$C,MATCH('Exit Anticipated Rev. Recovery'!$C$2,'Anticipated Exit Bookings'!$B$1:$C$1,0), FALSE))*VLOOKUP($F35, 'Exit Capacity Split'!A:H, 8,0)/100</f>
        <v>1585966.3702555182</v>
      </c>
      <c r="W35" s="200">
        <f ca="1">IF(VLOOKUP(F35,'Exit Prices'!$A:$Q,17,FALSE)&gt;0,VLOOKUP(F35,'Exit Prices'!$A:$Q,17,FALSE),0)</f>
        <v>1.7838290820427986E-2</v>
      </c>
      <c r="X35" s="202">
        <f ca="1">V35*W35*'User Inputs'!$D$7/100</f>
        <v>103261.89210573323</v>
      </c>
      <c r="Y35" s="199">
        <f t="shared" ca="1" si="1"/>
        <v>4567026.2596839247</v>
      </c>
      <c r="AA35" s="164"/>
    </row>
    <row r="36" spans="5:27">
      <c r="E36" s="213" t="s">
        <v>474</v>
      </c>
      <c r="F36" s="213" t="s">
        <v>58</v>
      </c>
      <c r="G36" s="197">
        <f ca="1">(VLOOKUP(F36,'Anticipated Exit Bookings'!$B:$C,MATCH('Exit Anticipated Rev. Recovery'!$C$2,'Anticipated Exit Bookings'!$B$1:$C$1,0), FALSE))*VLOOKUP($F36, 'Exit Capacity Split'!A:H, 3,0)/100</f>
        <v>791177.23527709069</v>
      </c>
      <c r="H36" s="200">
        <f ca="1">IF(VLOOKUP(F36,'Exit Prices'!$A:$Q,12,FALSE)&gt;0,VLOOKUP(F36,'Exit Prices'!$A:$Q,12,FALSE),0)</f>
        <v>1.9820323133808871E-2</v>
      </c>
      <c r="I36" s="202">
        <f ca="1">G36*H36*'User Inputs'!$D$7/100</f>
        <v>57237.067876464949</v>
      </c>
      <c r="J36" s="209">
        <f ca="1">(VLOOKUP(F36,'Anticipated Exit Bookings'!$B:$C,MATCH('Exit Anticipated Rev. Recovery'!$C$2,'Anticipated Exit Bookings'!$B$1:$C$1,0), FALSE))*VLOOKUP($F36, 'Exit Capacity Split'!A:H, 4,0)/100</f>
        <v>0</v>
      </c>
      <c r="K36" s="205" t="str">
        <f>IF(VLOOKUP(F36,'Exit Prices'!$A:$Q,13,FALSE)&gt;0,VLOOKUP(F36,'Exit Prices'!$A:$Q,13,FALSE),0)</f>
        <v>N/A</v>
      </c>
      <c r="L36" s="207" t="s">
        <v>428</v>
      </c>
      <c r="M36" s="209">
        <f ca="1">(VLOOKUP(F36,'Anticipated Exit Bookings'!$B:$C,MATCH('Exit Anticipated Rev. Recovery'!$C$2,'Anticipated Exit Bookings'!$B$1:$C$1,0), FALSE))*VLOOKUP($F36, 'Exit Capacity Split'!A:H, 5,0)/100</f>
        <v>0</v>
      </c>
      <c r="N36" s="205" t="str">
        <f>IF(VLOOKUP(F36,'Exit Prices'!$A:$Q,14,FALSE)&gt;0,VLOOKUP(F36,'Exit Prices'!$A:$Q,14,FALSE),0)</f>
        <v>N/A</v>
      </c>
      <c r="O36" s="207" t="s">
        <v>428</v>
      </c>
      <c r="P36" s="204">
        <f ca="1">(VLOOKUP(F36,'Anticipated Exit Bookings'!$B:$C,MATCH('Exit Anticipated Rev. Recovery'!$C$2,'Anticipated Exit Bookings'!$B$1:$C$1,0), FALSE))*VLOOKUP($F36, 'Exit Capacity Split'!A:H, 6,0)/100</f>
        <v>4192.7785169620047</v>
      </c>
      <c r="Q36" s="200">
        <f ca="1">IF(VLOOKUP(F36,'Exit Prices'!$A:$Q,15,FALSE)&gt;0,VLOOKUP(F36,'Exit Prices'!$A:$Q,15,FALSE),0)</f>
        <v>1.9820323133808871E-2</v>
      </c>
      <c r="R36" s="202">
        <f ca="1">P36*Q36*'User Inputs'!$D$7/100</f>
        <v>303.32312137657789</v>
      </c>
      <c r="S36" s="209">
        <f ca="1">(VLOOKUP(F36,'Anticipated Exit Bookings'!$B:$C,MATCH('Exit Anticipated Rev. Recovery'!$C$2,'Anticipated Exit Bookings'!$B$1:$C$1,0), FALSE))*VLOOKUP($F36, 'Exit Capacity Split'!A:H, 7,0)/100</f>
        <v>1067.4768191846613</v>
      </c>
      <c r="T36" s="205" t="str">
        <f>IF(VLOOKUP(F36,'Exit Prices'!$A:$Q,16,FALSE)&gt;0,VLOOKUP(F36,'Exit Prices'!$A:$Q,16,FALSE),0)</f>
        <v>N/A</v>
      </c>
      <c r="U36" s="207" t="s">
        <v>428</v>
      </c>
      <c r="V36" s="204">
        <f ca="1">(VLOOKUP(F36,'Anticipated Exit Bookings'!$B:$C,MATCH('Exit Anticipated Rev. Recovery'!$C$2,'Anticipated Exit Bookings'!$B$1:$C$1,0), FALSE))*VLOOKUP($F36, 'Exit Capacity Split'!A:H, 8,0)/100</f>
        <v>809041.96144155681</v>
      </c>
      <c r="W36" s="200">
        <f ca="1">IF(VLOOKUP(F36,'Exit Prices'!$A:$Q,17,FALSE)&gt;0,VLOOKUP(F36,'Exit Prices'!$A:$Q,17,FALSE),0)</f>
        <v>1.7838290820427986E-2</v>
      </c>
      <c r="X36" s="202">
        <f ca="1">V36*W36*'User Inputs'!$D$7/100</f>
        <v>52676.529148552509</v>
      </c>
      <c r="Y36" s="199">
        <f t="shared" ca="1" si="1"/>
        <v>110216.92014639403</v>
      </c>
      <c r="AA36" s="164"/>
    </row>
    <row r="37" spans="5:27">
      <c r="E37" s="213" t="s">
        <v>474</v>
      </c>
      <c r="F37" s="213" t="s">
        <v>59</v>
      </c>
      <c r="G37" s="197">
        <f ca="1">(VLOOKUP(F37,'Anticipated Exit Bookings'!$B:$C,MATCH('Exit Anticipated Rev. Recovery'!$C$2,'Anticipated Exit Bookings'!$B$1:$C$1,0), FALSE))*VLOOKUP($F37, 'Exit Capacity Split'!A:H, 3,0)/100</f>
        <v>6890481.7721675159</v>
      </c>
      <c r="H37" s="200">
        <f ca="1">IF(VLOOKUP(F37,'Exit Prices'!$A:$Q,12,FALSE)&gt;0,VLOOKUP(F37,'Exit Prices'!$A:$Q,12,FALSE),0)</f>
        <v>1.9820323133808871E-2</v>
      </c>
      <c r="I37" s="202">
        <f ca="1">G37*H37*'User Inputs'!$D$7/100</f>
        <v>498486.24974272755</v>
      </c>
      <c r="J37" s="209">
        <f ca="1">(VLOOKUP(F37,'Anticipated Exit Bookings'!$B:$C,MATCH('Exit Anticipated Rev. Recovery'!$C$2,'Anticipated Exit Bookings'!$B$1:$C$1,0), FALSE))*VLOOKUP($F37, 'Exit Capacity Split'!A:H, 4,0)/100</f>
        <v>0</v>
      </c>
      <c r="K37" s="205" t="str">
        <f>IF(VLOOKUP(F37,'Exit Prices'!$A:$Q,13,FALSE)&gt;0,VLOOKUP(F37,'Exit Prices'!$A:$Q,13,FALSE),0)</f>
        <v>N/A</v>
      </c>
      <c r="L37" s="207" t="s">
        <v>428</v>
      </c>
      <c r="M37" s="209">
        <f ca="1">(VLOOKUP(F37,'Anticipated Exit Bookings'!$B:$C,MATCH('Exit Anticipated Rev. Recovery'!$C$2,'Anticipated Exit Bookings'!$B$1:$C$1,0), FALSE))*VLOOKUP($F37, 'Exit Capacity Split'!A:H, 5,0)/100</f>
        <v>0</v>
      </c>
      <c r="N37" s="205" t="str">
        <f>IF(VLOOKUP(F37,'Exit Prices'!$A:$Q,14,FALSE)&gt;0,VLOOKUP(F37,'Exit Prices'!$A:$Q,14,FALSE),0)</f>
        <v>N/A</v>
      </c>
      <c r="O37" s="207" t="s">
        <v>428</v>
      </c>
      <c r="P37" s="204">
        <f ca="1">(VLOOKUP(F37,'Anticipated Exit Bookings'!$B:$C,MATCH('Exit Anticipated Rev. Recovery'!$C$2,'Anticipated Exit Bookings'!$B$1:$C$1,0), FALSE))*VLOOKUP($F37, 'Exit Capacity Split'!A:H, 6,0)/100</f>
        <v>36515.539954513639</v>
      </c>
      <c r="Q37" s="200">
        <f ca="1">IF(VLOOKUP(F37,'Exit Prices'!$A:$Q,15,FALSE)&gt;0,VLOOKUP(F37,'Exit Prices'!$A:$Q,15,FALSE),0)</f>
        <v>1.9820323133808871E-2</v>
      </c>
      <c r="R37" s="202">
        <f ca="1">P37*Q37*'User Inputs'!$D$7/100</f>
        <v>2641.6867747594861</v>
      </c>
      <c r="S37" s="209">
        <f ca="1">(VLOOKUP(F37,'Anticipated Exit Bookings'!$B:$C,MATCH('Exit Anticipated Rev. Recovery'!$C$2,'Anticipated Exit Bookings'!$B$1:$C$1,0), FALSE))*VLOOKUP($F37, 'Exit Capacity Split'!A:H, 7,0)/100</f>
        <v>9296.8164866715433</v>
      </c>
      <c r="T37" s="205" t="str">
        <f>IF(VLOOKUP(F37,'Exit Prices'!$A:$Q,16,FALSE)&gt;0,VLOOKUP(F37,'Exit Prices'!$A:$Q,16,FALSE),0)</f>
        <v>N/A</v>
      </c>
      <c r="U37" s="207" t="s">
        <v>428</v>
      </c>
      <c r="V37" s="204">
        <f ca="1">(VLOOKUP(F37,'Anticipated Exit Bookings'!$B:$C,MATCH('Exit Anticipated Rev. Recovery'!$C$2,'Anticipated Exit Bookings'!$B$1:$C$1,0), FALSE))*VLOOKUP($F37, 'Exit Capacity Split'!A:H, 8,0)/100</f>
        <v>7046068.3645419888</v>
      </c>
      <c r="W37" s="200">
        <f ca="1">IF(VLOOKUP(F37,'Exit Prices'!$A:$Q,17,FALSE)&gt;0,VLOOKUP(F37,'Exit Prices'!$A:$Q,17,FALSE),0)</f>
        <v>1.7838290820427986E-2</v>
      </c>
      <c r="X37" s="202">
        <f ca="1">V37*W37*'User Inputs'!$D$7/100</f>
        <v>458767.83068970847</v>
      </c>
      <c r="Y37" s="199">
        <f t="shared" ca="1" si="1"/>
        <v>959895.76720719552</v>
      </c>
      <c r="AA37" s="164"/>
    </row>
    <row r="38" spans="5:27">
      <c r="E38" s="213" t="s">
        <v>474</v>
      </c>
      <c r="F38" s="213" t="s">
        <v>60</v>
      </c>
      <c r="G38" s="197">
        <f ca="1">(VLOOKUP(F38,'Anticipated Exit Bookings'!$B:$C,MATCH('Exit Anticipated Rev. Recovery'!$C$2,'Anticipated Exit Bookings'!$B$1:$C$1,0), FALSE))*VLOOKUP($F38, 'Exit Capacity Split'!A:H, 3,0)/100</f>
        <v>91688917.388078615</v>
      </c>
      <c r="H38" s="200">
        <f ca="1">IF(VLOOKUP(F38,'Exit Prices'!$A:$Q,12,FALSE)&gt;0,VLOOKUP(F38,'Exit Prices'!$A:$Q,12,FALSE),0)</f>
        <v>1.9820323133808871E-2</v>
      </c>
      <c r="I38" s="202">
        <f ca="1">G38*H38*'User Inputs'!$D$7/100</f>
        <v>6633159.4920360111</v>
      </c>
      <c r="J38" s="209">
        <f ca="1">(VLOOKUP(F38,'Anticipated Exit Bookings'!$B:$C,MATCH('Exit Anticipated Rev. Recovery'!$C$2,'Anticipated Exit Bookings'!$B$1:$C$1,0), FALSE))*VLOOKUP($F38, 'Exit Capacity Split'!A:H, 4,0)/100</f>
        <v>0</v>
      </c>
      <c r="K38" s="205" t="str">
        <f>IF(VLOOKUP(F38,'Exit Prices'!$A:$Q,13,FALSE)&gt;0,VLOOKUP(F38,'Exit Prices'!$A:$Q,13,FALSE),0)</f>
        <v>N/A</v>
      </c>
      <c r="L38" s="207" t="s">
        <v>428</v>
      </c>
      <c r="M38" s="209">
        <f ca="1">(VLOOKUP(F38,'Anticipated Exit Bookings'!$B:$C,MATCH('Exit Anticipated Rev. Recovery'!$C$2,'Anticipated Exit Bookings'!$B$1:$C$1,0), FALSE))*VLOOKUP($F38, 'Exit Capacity Split'!A:H, 5,0)/100</f>
        <v>0</v>
      </c>
      <c r="N38" s="205" t="str">
        <f>IF(VLOOKUP(F38,'Exit Prices'!$A:$Q,14,FALSE)&gt;0,VLOOKUP(F38,'Exit Prices'!$A:$Q,14,FALSE),0)</f>
        <v>N/A</v>
      </c>
      <c r="O38" s="207" t="s">
        <v>428</v>
      </c>
      <c r="P38" s="204">
        <f ca="1">(VLOOKUP(F38,'Anticipated Exit Bookings'!$B:$C,MATCH('Exit Anticipated Rev. Recovery'!$C$2,'Anticipated Exit Bookings'!$B$1:$C$1,0), FALSE))*VLOOKUP($F38, 'Exit Capacity Split'!A:H, 6,0)/100</f>
        <v>0</v>
      </c>
      <c r="Q38" s="200">
        <f ca="1">IF(VLOOKUP(F38,'Exit Prices'!$A:$Q,15,FALSE)&gt;0,VLOOKUP(F38,'Exit Prices'!$A:$Q,15,FALSE),0)</f>
        <v>1.9820323133808871E-2</v>
      </c>
      <c r="R38" s="202">
        <f ca="1">P38*Q38*'User Inputs'!$D$7/100</f>
        <v>0</v>
      </c>
      <c r="S38" s="209">
        <f ca="1">(VLOOKUP(F38,'Anticipated Exit Bookings'!$B:$C,MATCH('Exit Anticipated Rev. Recovery'!$C$2,'Anticipated Exit Bookings'!$B$1:$C$1,0), FALSE))*VLOOKUP($F38, 'Exit Capacity Split'!A:H, 7,0)/100</f>
        <v>86683.581196392159</v>
      </c>
      <c r="T38" s="205" t="str">
        <f>IF(VLOOKUP(F38,'Exit Prices'!$A:$Q,16,FALSE)&gt;0,VLOOKUP(F38,'Exit Prices'!$A:$Q,16,FALSE),0)</f>
        <v>N/A</v>
      </c>
      <c r="U38" s="207" t="s">
        <v>428</v>
      </c>
      <c r="V38" s="204">
        <f ca="1">(VLOOKUP(F38,'Anticipated Exit Bookings'!$B:$C,MATCH('Exit Anticipated Rev. Recovery'!$C$2,'Anticipated Exit Bookings'!$B$1:$C$1,0), FALSE))*VLOOKUP($F38, 'Exit Capacity Split'!A:H, 8,0)/100</f>
        <v>2356748.030724992</v>
      </c>
      <c r="W38" s="200">
        <f ca="1">IF(VLOOKUP(F38,'Exit Prices'!$A:$Q,17,FALSE)&gt;0,VLOOKUP(F38,'Exit Prices'!$A:$Q,17,FALSE),0)</f>
        <v>1.7838290820427986E-2</v>
      </c>
      <c r="X38" s="202">
        <f ca="1">V38*W38*'User Inputs'!$D$7/100</f>
        <v>153447.30218328326</v>
      </c>
      <c r="Y38" s="199">
        <f t="shared" ca="1" si="1"/>
        <v>6786606.7942192946</v>
      </c>
      <c r="AA38" s="164"/>
    </row>
    <row r="39" spans="5:27">
      <c r="E39" s="213" t="s">
        <v>474</v>
      </c>
      <c r="F39" s="213" t="s">
        <v>61</v>
      </c>
      <c r="G39" s="197">
        <f ca="1">(VLOOKUP(F39,'Anticipated Exit Bookings'!$B:$C,MATCH('Exit Anticipated Rev. Recovery'!$C$2,'Anticipated Exit Bookings'!$B$1:$C$1,0), FALSE))*VLOOKUP($F39, 'Exit Capacity Split'!A:H, 3,0)/100</f>
        <v>64059940.117311954</v>
      </c>
      <c r="H39" s="200">
        <f ca="1">IF(VLOOKUP(F39,'Exit Prices'!$A:$Q,12,FALSE)&gt;0,VLOOKUP(F39,'Exit Prices'!$A:$Q,12,FALSE),0)</f>
        <v>1.9820323133808871E-2</v>
      </c>
      <c r="I39" s="202">
        <f ca="1">G39*H39*'User Inputs'!$D$7/100</f>
        <v>4634363.8026601262</v>
      </c>
      <c r="J39" s="209">
        <f ca="1">(VLOOKUP(F39,'Anticipated Exit Bookings'!$B:$C,MATCH('Exit Anticipated Rev. Recovery'!$C$2,'Anticipated Exit Bookings'!$B$1:$C$1,0), FALSE))*VLOOKUP($F39, 'Exit Capacity Split'!A:H, 4,0)/100</f>
        <v>0</v>
      </c>
      <c r="K39" s="205" t="str">
        <f>IF(VLOOKUP(F39,'Exit Prices'!$A:$Q,13,FALSE)&gt;0,VLOOKUP(F39,'Exit Prices'!$A:$Q,13,FALSE),0)</f>
        <v>N/A</v>
      </c>
      <c r="L39" s="207" t="s">
        <v>428</v>
      </c>
      <c r="M39" s="209">
        <f ca="1">(VLOOKUP(F39,'Anticipated Exit Bookings'!$B:$C,MATCH('Exit Anticipated Rev. Recovery'!$C$2,'Anticipated Exit Bookings'!$B$1:$C$1,0), FALSE))*VLOOKUP($F39, 'Exit Capacity Split'!A:H, 5,0)/100</f>
        <v>0</v>
      </c>
      <c r="N39" s="205" t="str">
        <f>IF(VLOOKUP(F39,'Exit Prices'!$A:$Q,14,FALSE)&gt;0,VLOOKUP(F39,'Exit Prices'!$A:$Q,14,FALSE),0)</f>
        <v>N/A</v>
      </c>
      <c r="O39" s="207" t="s">
        <v>428</v>
      </c>
      <c r="P39" s="204">
        <f ca="1">(VLOOKUP(F39,'Anticipated Exit Bookings'!$B:$C,MATCH('Exit Anticipated Rev. Recovery'!$C$2,'Anticipated Exit Bookings'!$B$1:$C$1,0), FALSE))*VLOOKUP($F39, 'Exit Capacity Split'!A:H, 6,0)/100</f>
        <v>0</v>
      </c>
      <c r="Q39" s="200">
        <f ca="1">IF(VLOOKUP(F39,'Exit Prices'!$A:$Q,15,FALSE)&gt;0,VLOOKUP(F39,'Exit Prices'!$A:$Q,15,FALSE),0)</f>
        <v>1.9820323133808871E-2</v>
      </c>
      <c r="R39" s="202">
        <f ca="1">P39*Q39*'User Inputs'!$D$7/100</f>
        <v>0</v>
      </c>
      <c r="S39" s="209">
        <f ca="1">(VLOOKUP(F39,'Anticipated Exit Bookings'!$B:$C,MATCH('Exit Anticipated Rev. Recovery'!$C$2,'Anticipated Exit Bookings'!$B$1:$C$1,0), FALSE))*VLOOKUP($F39, 'Exit Capacity Split'!A:H, 7,0)/100</f>
        <v>60562.881303220878</v>
      </c>
      <c r="T39" s="205" t="str">
        <f>IF(VLOOKUP(F39,'Exit Prices'!$A:$Q,16,FALSE)&gt;0,VLOOKUP(F39,'Exit Prices'!$A:$Q,16,FALSE),0)</f>
        <v>N/A</v>
      </c>
      <c r="U39" s="207" t="s">
        <v>428</v>
      </c>
      <c r="V39" s="204">
        <f ca="1">(VLOOKUP(F39,'Anticipated Exit Bookings'!$B:$C,MATCH('Exit Anticipated Rev. Recovery'!$C$2,'Anticipated Exit Bookings'!$B$1:$C$1,0), FALSE))*VLOOKUP($F39, 'Exit Capacity Split'!A:H, 8,0)/100</f>
        <v>1646580.0013848278</v>
      </c>
      <c r="W39" s="200">
        <f ca="1">IF(VLOOKUP(F39,'Exit Prices'!$A:$Q,17,FALSE)&gt;0,VLOOKUP(F39,'Exit Prices'!$A:$Q,17,FALSE),0)</f>
        <v>1.7838290820427986E-2</v>
      </c>
      <c r="X39" s="202">
        <f ca="1">V39*W39*'User Inputs'!$D$7/100</f>
        <v>107208.43117188195</v>
      </c>
      <c r="Y39" s="199">
        <f t="shared" ca="1" si="1"/>
        <v>4741572.2338320082</v>
      </c>
      <c r="AA39" s="164"/>
    </row>
    <row r="40" spans="5:27">
      <c r="E40" s="213" t="s">
        <v>474</v>
      </c>
      <c r="F40" s="213" t="s">
        <v>62</v>
      </c>
      <c r="G40" s="197">
        <f ca="1">(VLOOKUP(F40,'Anticipated Exit Bookings'!$B:$C,MATCH('Exit Anticipated Rev. Recovery'!$C$2,'Anticipated Exit Bookings'!$B$1:$C$1,0), FALSE))*VLOOKUP($F40, 'Exit Capacity Split'!A:H, 3,0)/100</f>
        <v>52065.321653248073</v>
      </c>
      <c r="H40" s="200">
        <f ca="1">IF(VLOOKUP(F40,'Exit Prices'!$A:$Q,12,FALSE)&gt;0,VLOOKUP(F40,'Exit Prices'!$A:$Q,12,FALSE),0)</f>
        <v>1.9820323133808871E-2</v>
      </c>
      <c r="I40" s="202">
        <f ca="1">G40*H40*'User Inputs'!$D$7/100</f>
        <v>3766.622972200716</v>
      </c>
      <c r="J40" s="209">
        <f ca="1">(VLOOKUP(F40,'Anticipated Exit Bookings'!$B:$C,MATCH('Exit Anticipated Rev. Recovery'!$C$2,'Anticipated Exit Bookings'!$B$1:$C$1,0), FALSE))*VLOOKUP($F40, 'Exit Capacity Split'!A:H, 4,0)/100</f>
        <v>0</v>
      </c>
      <c r="K40" s="205" t="str">
        <f>IF(VLOOKUP(F40,'Exit Prices'!$A:$Q,13,FALSE)&gt;0,VLOOKUP(F40,'Exit Prices'!$A:$Q,13,FALSE),0)</f>
        <v>N/A</v>
      </c>
      <c r="L40" s="207" t="s">
        <v>428</v>
      </c>
      <c r="M40" s="209">
        <f ca="1">(VLOOKUP(F40,'Anticipated Exit Bookings'!$B:$C,MATCH('Exit Anticipated Rev. Recovery'!$C$2,'Anticipated Exit Bookings'!$B$1:$C$1,0), FALSE))*VLOOKUP($F40, 'Exit Capacity Split'!A:H, 5,0)/100</f>
        <v>0</v>
      </c>
      <c r="N40" s="205" t="str">
        <f>IF(VLOOKUP(F40,'Exit Prices'!$A:$Q,14,FALSE)&gt;0,VLOOKUP(F40,'Exit Prices'!$A:$Q,14,FALSE),0)</f>
        <v>N/A</v>
      </c>
      <c r="O40" s="207" t="s">
        <v>428</v>
      </c>
      <c r="P40" s="204">
        <f ca="1">(VLOOKUP(F40,'Anticipated Exit Bookings'!$B:$C,MATCH('Exit Anticipated Rev. Recovery'!$C$2,'Anticipated Exit Bookings'!$B$1:$C$1,0), FALSE))*VLOOKUP($F40, 'Exit Capacity Split'!A:H, 6,0)/100</f>
        <v>275.91587873480898</v>
      </c>
      <c r="Q40" s="200">
        <f ca="1">IF(VLOOKUP(F40,'Exit Prices'!$A:$Q,15,FALSE)&gt;0,VLOOKUP(F40,'Exit Prices'!$A:$Q,15,FALSE),0)</f>
        <v>1.9820323133808871E-2</v>
      </c>
      <c r="R40" s="202">
        <f ca="1">P40*Q40*'User Inputs'!$D$7/100</f>
        <v>19.960907841095491</v>
      </c>
      <c r="S40" s="209">
        <f ca="1">(VLOOKUP(F40,'Anticipated Exit Bookings'!$B:$C,MATCH('Exit Anticipated Rev. Recovery'!$C$2,'Anticipated Exit Bookings'!$B$1:$C$1,0), FALSE))*VLOOKUP($F40, 'Exit Capacity Split'!A:H, 7,0)/100</f>
        <v>70.247880588690705</v>
      </c>
      <c r="T40" s="205" t="str">
        <f>IF(VLOOKUP(F40,'Exit Prices'!$A:$Q,16,FALSE)&gt;0,VLOOKUP(F40,'Exit Prices'!$A:$Q,16,FALSE),0)</f>
        <v>N/A</v>
      </c>
      <c r="U40" s="207" t="s">
        <v>428</v>
      </c>
      <c r="V40" s="204">
        <f ca="1">(VLOOKUP(F40,'Anticipated Exit Bookings'!$B:$C,MATCH('Exit Anticipated Rev. Recovery'!$C$2,'Anticipated Exit Bookings'!$B$1:$C$1,0), FALSE))*VLOOKUP($F40, 'Exit Capacity Split'!A:H, 8,0)/100</f>
        <v>53240.952943592732</v>
      </c>
      <c r="W40" s="200">
        <f ca="1">IF(VLOOKUP(F40,'Exit Prices'!$A:$Q,17,FALSE)&gt;0,VLOOKUP(F40,'Exit Prices'!$A:$Q,17,FALSE),0)</f>
        <v>1.7838290820427986E-2</v>
      </c>
      <c r="X40" s="202">
        <f ca="1">V40*W40*'User Inputs'!$D$7/100</f>
        <v>3466.5057479005291</v>
      </c>
      <c r="Y40" s="199">
        <f t="shared" ca="1" si="1"/>
        <v>7253.0896279423405</v>
      </c>
      <c r="AA40" s="164"/>
    </row>
    <row r="41" spans="5:27">
      <c r="E41" s="213" t="s">
        <v>474</v>
      </c>
      <c r="F41" s="213" t="s">
        <v>63</v>
      </c>
      <c r="G41" s="197">
        <f ca="1">(VLOOKUP(F41,'Anticipated Exit Bookings'!$B:$C,MATCH('Exit Anticipated Rev. Recovery'!$C$2,'Anticipated Exit Bookings'!$B$1:$C$1,0), FALSE))*VLOOKUP($F41, 'Exit Capacity Split'!A:H, 3,0)/100</f>
        <v>2023901.7411420716</v>
      </c>
      <c r="H41" s="200">
        <f ca="1">IF(VLOOKUP(F41,'Exit Prices'!$A:$Q,12,FALSE)&gt;0,VLOOKUP(F41,'Exit Prices'!$A:$Q,12,FALSE),0)</f>
        <v>1.9820323133808871E-2</v>
      </c>
      <c r="I41" s="202">
        <f ca="1">G41*H41*'User Inputs'!$D$7/100</f>
        <v>146417.51072687702</v>
      </c>
      <c r="J41" s="209">
        <f ca="1">(VLOOKUP(F41,'Anticipated Exit Bookings'!$B:$C,MATCH('Exit Anticipated Rev. Recovery'!$C$2,'Anticipated Exit Bookings'!$B$1:$C$1,0), FALSE))*VLOOKUP($F41, 'Exit Capacity Split'!A:H, 4,0)/100</f>
        <v>0</v>
      </c>
      <c r="K41" s="205" t="str">
        <f>IF(VLOOKUP(F41,'Exit Prices'!$A:$Q,13,FALSE)&gt;0,VLOOKUP(F41,'Exit Prices'!$A:$Q,13,FALSE),0)</f>
        <v>N/A</v>
      </c>
      <c r="L41" s="207" t="s">
        <v>428</v>
      </c>
      <c r="M41" s="209">
        <f ca="1">(VLOOKUP(F41,'Anticipated Exit Bookings'!$B:$C,MATCH('Exit Anticipated Rev. Recovery'!$C$2,'Anticipated Exit Bookings'!$B$1:$C$1,0), FALSE))*VLOOKUP($F41, 'Exit Capacity Split'!A:H, 5,0)/100</f>
        <v>0</v>
      </c>
      <c r="N41" s="205" t="str">
        <f>IF(VLOOKUP(F41,'Exit Prices'!$A:$Q,14,FALSE)&gt;0,VLOOKUP(F41,'Exit Prices'!$A:$Q,14,FALSE),0)</f>
        <v>N/A</v>
      </c>
      <c r="O41" s="207" t="s">
        <v>428</v>
      </c>
      <c r="P41" s="204">
        <f ca="1">(VLOOKUP(F41,'Anticipated Exit Bookings'!$B:$C,MATCH('Exit Anticipated Rev. Recovery'!$C$2,'Anticipated Exit Bookings'!$B$1:$C$1,0), FALSE))*VLOOKUP($F41, 'Exit Capacity Split'!A:H, 6,0)/100</f>
        <v>0</v>
      </c>
      <c r="Q41" s="200">
        <f ca="1">IF(VLOOKUP(F41,'Exit Prices'!$A:$Q,15,FALSE)&gt;0,VLOOKUP(F41,'Exit Prices'!$A:$Q,15,FALSE),0)</f>
        <v>1.9820323133808871E-2</v>
      </c>
      <c r="R41" s="202">
        <f ca="1">P41*Q41*'User Inputs'!$D$7/100</f>
        <v>0</v>
      </c>
      <c r="S41" s="209">
        <f ca="1">(VLOOKUP(F41,'Anticipated Exit Bookings'!$B:$C,MATCH('Exit Anticipated Rev. Recovery'!$C$2,'Anticipated Exit Bookings'!$B$1:$C$1,0), FALSE))*VLOOKUP($F41, 'Exit Capacity Split'!A:H, 7,0)/100</f>
        <v>1913.4161020710096</v>
      </c>
      <c r="T41" s="205" t="str">
        <f>IF(VLOOKUP(F41,'Exit Prices'!$A:$Q,16,FALSE)&gt;0,VLOOKUP(F41,'Exit Prices'!$A:$Q,16,FALSE),0)</f>
        <v>N/A</v>
      </c>
      <c r="U41" s="207" t="s">
        <v>428</v>
      </c>
      <c r="V41" s="204">
        <f ca="1">(VLOOKUP(F41,'Anticipated Exit Bookings'!$B:$C,MATCH('Exit Anticipated Rev. Recovery'!$C$2,'Anticipated Exit Bookings'!$B$1:$C$1,0), FALSE))*VLOOKUP($F41, 'Exit Capacity Split'!A:H, 8,0)/100</f>
        <v>52021.84275585776</v>
      </c>
      <c r="W41" s="200">
        <f ca="1">IF(VLOOKUP(F41,'Exit Prices'!$A:$Q,17,FALSE)&gt;0,VLOOKUP(F41,'Exit Prices'!$A:$Q,17,FALSE),0)</f>
        <v>1.7838290820427986E-2</v>
      </c>
      <c r="X41" s="202">
        <f ca="1">V41*W41*'User Inputs'!$D$7/100</f>
        <v>3387.1297743415139</v>
      </c>
      <c r="Y41" s="199">
        <f t="shared" ca="1" si="1"/>
        <v>149804.64050121853</v>
      </c>
      <c r="AA41" s="164"/>
    </row>
    <row r="42" spans="5:27">
      <c r="E42" s="213" t="s">
        <v>474</v>
      </c>
      <c r="F42" s="213" t="s">
        <v>64</v>
      </c>
      <c r="G42" s="197">
        <f ca="1">(VLOOKUP(F42,'Anticipated Exit Bookings'!$B:$C,MATCH('Exit Anticipated Rev. Recovery'!$C$2,'Anticipated Exit Bookings'!$B$1:$C$1,0), FALSE))*VLOOKUP($F42, 'Exit Capacity Split'!A:H, 3,0)/100</f>
        <v>54790435.525407486</v>
      </c>
      <c r="H42" s="200">
        <f ca="1">IF(VLOOKUP(F42,'Exit Prices'!$A:$Q,12,FALSE)&gt;0,VLOOKUP(F42,'Exit Prices'!$A:$Q,12,FALSE),0)</f>
        <v>1.9820323133808871E-2</v>
      </c>
      <c r="I42" s="202">
        <f ca="1">G42*H42*'User Inputs'!$D$7/100</f>
        <v>3963769.0991582954</v>
      </c>
      <c r="J42" s="209">
        <f ca="1">(VLOOKUP(F42,'Anticipated Exit Bookings'!$B:$C,MATCH('Exit Anticipated Rev. Recovery'!$C$2,'Anticipated Exit Bookings'!$B$1:$C$1,0), FALSE))*VLOOKUP($F42, 'Exit Capacity Split'!A:H, 4,0)/100</f>
        <v>0</v>
      </c>
      <c r="K42" s="205" t="str">
        <f>IF(VLOOKUP(F42,'Exit Prices'!$A:$Q,13,FALSE)&gt;0,VLOOKUP(F42,'Exit Prices'!$A:$Q,13,FALSE),0)</f>
        <v>N/A</v>
      </c>
      <c r="L42" s="207" t="s">
        <v>428</v>
      </c>
      <c r="M42" s="209">
        <f ca="1">(VLOOKUP(F42,'Anticipated Exit Bookings'!$B:$C,MATCH('Exit Anticipated Rev. Recovery'!$C$2,'Anticipated Exit Bookings'!$B$1:$C$1,0), FALSE))*VLOOKUP($F42, 'Exit Capacity Split'!A:H, 5,0)/100</f>
        <v>0</v>
      </c>
      <c r="N42" s="205" t="str">
        <f>IF(VLOOKUP(F42,'Exit Prices'!$A:$Q,14,FALSE)&gt;0,VLOOKUP(F42,'Exit Prices'!$A:$Q,14,FALSE),0)</f>
        <v>N/A</v>
      </c>
      <c r="O42" s="207" t="s">
        <v>428</v>
      </c>
      <c r="P42" s="204">
        <f ca="1">(VLOOKUP(F42,'Anticipated Exit Bookings'!$B:$C,MATCH('Exit Anticipated Rev. Recovery'!$C$2,'Anticipated Exit Bookings'!$B$1:$C$1,0), FALSE))*VLOOKUP($F42, 'Exit Capacity Split'!A:H, 6,0)/100</f>
        <v>0</v>
      </c>
      <c r="Q42" s="200">
        <f ca="1">IF(VLOOKUP(F42,'Exit Prices'!$A:$Q,15,FALSE)&gt;0,VLOOKUP(F42,'Exit Prices'!$A:$Q,15,FALSE),0)</f>
        <v>1.9820323133808871E-2</v>
      </c>
      <c r="R42" s="202">
        <f ca="1">P42*Q42*'User Inputs'!$D$7/100</f>
        <v>0</v>
      </c>
      <c r="S42" s="209">
        <f ca="1">(VLOOKUP(F42,'Anticipated Exit Bookings'!$B:$C,MATCH('Exit Anticipated Rev. Recovery'!$C$2,'Anticipated Exit Bookings'!$B$1:$C$1,0), FALSE))*VLOOKUP($F42, 'Exit Capacity Split'!A:H, 7,0)/100</f>
        <v>51799.402828044185</v>
      </c>
      <c r="T42" s="205" t="str">
        <f>IF(VLOOKUP(F42,'Exit Prices'!$A:$Q,16,FALSE)&gt;0,VLOOKUP(F42,'Exit Prices'!$A:$Q,16,FALSE),0)</f>
        <v>N/A</v>
      </c>
      <c r="U42" s="207" t="s">
        <v>428</v>
      </c>
      <c r="V42" s="204">
        <f ca="1">(VLOOKUP(F42,'Anticipated Exit Bookings'!$B:$C,MATCH('Exit Anticipated Rev. Recovery'!$C$2,'Anticipated Exit Bookings'!$B$1:$C$1,0), FALSE))*VLOOKUP($F42, 'Exit Capacity Split'!A:H, 8,0)/100</f>
        <v>1408319.0717644773</v>
      </c>
      <c r="W42" s="200">
        <f ca="1">IF(VLOOKUP(F42,'Exit Prices'!$A:$Q,17,FALSE)&gt;0,VLOOKUP(F42,'Exit Prices'!$A:$Q,17,FALSE),0)</f>
        <v>1.7838290820427986E-2</v>
      </c>
      <c r="X42" s="202">
        <f ca="1">V42*W42*'User Inputs'!$D$7/100</f>
        <v>91695.318870828283</v>
      </c>
      <c r="Y42" s="199">
        <f t="shared" ca="1" si="1"/>
        <v>4055464.4180291239</v>
      </c>
      <c r="AA42" s="164"/>
    </row>
    <row r="43" spans="5:27">
      <c r="E43" s="213" t="s">
        <v>474</v>
      </c>
      <c r="F43" s="213" t="s">
        <v>65</v>
      </c>
      <c r="G43" s="197">
        <f ca="1">(VLOOKUP(F43,'Anticipated Exit Bookings'!$B:$C,MATCH('Exit Anticipated Rev. Recovery'!$C$2,'Anticipated Exit Bookings'!$B$1:$C$1,0), FALSE))*VLOOKUP($F43, 'Exit Capacity Split'!A:H, 3,0)/100</f>
        <v>13508169.772374425</v>
      </c>
      <c r="H43" s="200">
        <f ca="1">IF(VLOOKUP(F43,'Exit Prices'!$A:$Q,12,FALSE)&gt;0,VLOOKUP(F43,'Exit Prices'!$A:$Q,12,FALSE),0)</f>
        <v>1.9820323133808871E-2</v>
      </c>
      <c r="I43" s="202">
        <f ca="1">G43*H43*'User Inputs'!$D$7/100</f>
        <v>977237.45789705846</v>
      </c>
      <c r="J43" s="209">
        <f ca="1">(VLOOKUP(F43,'Anticipated Exit Bookings'!$B:$C,MATCH('Exit Anticipated Rev. Recovery'!$C$2,'Anticipated Exit Bookings'!$B$1:$C$1,0), FALSE))*VLOOKUP($F43, 'Exit Capacity Split'!A:H, 4,0)/100</f>
        <v>0</v>
      </c>
      <c r="K43" s="205" t="str">
        <f>IF(VLOOKUP(F43,'Exit Prices'!$A:$Q,13,FALSE)&gt;0,VLOOKUP(F43,'Exit Prices'!$A:$Q,13,FALSE),0)</f>
        <v>N/A</v>
      </c>
      <c r="L43" s="207" t="s">
        <v>428</v>
      </c>
      <c r="M43" s="209">
        <f ca="1">(VLOOKUP(F43,'Anticipated Exit Bookings'!$B:$C,MATCH('Exit Anticipated Rev. Recovery'!$C$2,'Anticipated Exit Bookings'!$B$1:$C$1,0), FALSE))*VLOOKUP($F43, 'Exit Capacity Split'!A:H, 5,0)/100</f>
        <v>0</v>
      </c>
      <c r="N43" s="205" t="str">
        <f>IF(VLOOKUP(F43,'Exit Prices'!$A:$Q,14,FALSE)&gt;0,VLOOKUP(F43,'Exit Prices'!$A:$Q,14,FALSE),0)</f>
        <v>N/A</v>
      </c>
      <c r="O43" s="207" t="s">
        <v>428</v>
      </c>
      <c r="P43" s="204">
        <f ca="1">(VLOOKUP(F43,'Anticipated Exit Bookings'!$B:$C,MATCH('Exit Anticipated Rev. Recovery'!$C$2,'Anticipated Exit Bookings'!$B$1:$C$1,0), FALSE))*VLOOKUP($F43, 'Exit Capacity Split'!A:H, 6,0)/100</f>
        <v>0</v>
      </c>
      <c r="Q43" s="200">
        <f ca="1">IF(VLOOKUP(F43,'Exit Prices'!$A:$Q,15,FALSE)&gt;0,VLOOKUP(F43,'Exit Prices'!$A:$Q,15,FALSE),0)</f>
        <v>1.9820323133808871E-2</v>
      </c>
      <c r="R43" s="202">
        <f ca="1">P43*Q43*'User Inputs'!$D$7/100</f>
        <v>0</v>
      </c>
      <c r="S43" s="209">
        <f ca="1">(VLOOKUP(F43,'Anticipated Exit Bookings'!$B:$C,MATCH('Exit Anticipated Rev. Recovery'!$C$2,'Anticipated Exit Bookings'!$B$1:$C$1,0), FALSE))*VLOOKUP($F43, 'Exit Capacity Split'!A:H, 7,0)/100</f>
        <v>12770.753157900341</v>
      </c>
      <c r="T43" s="205" t="str">
        <f>IF(VLOOKUP(F43,'Exit Prices'!$A:$Q,16,FALSE)&gt;0,VLOOKUP(F43,'Exit Prices'!$A:$Q,16,FALSE),0)</f>
        <v>N/A</v>
      </c>
      <c r="U43" s="207" t="s">
        <v>428</v>
      </c>
      <c r="V43" s="204">
        <f ca="1">(VLOOKUP(F43,'Anticipated Exit Bookings'!$B:$C,MATCH('Exit Anticipated Rev. Recovery'!$C$2,'Anticipated Exit Bookings'!$B$1:$C$1,0), FALSE))*VLOOKUP($F43, 'Exit Capacity Split'!A:H, 8,0)/100</f>
        <v>347210.47446767555</v>
      </c>
      <c r="W43" s="200">
        <f ca="1">IF(VLOOKUP(F43,'Exit Prices'!$A:$Q,17,FALSE)&gt;0,VLOOKUP(F43,'Exit Prices'!$A:$Q,17,FALSE),0)</f>
        <v>1.7838290820427986E-2</v>
      </c>
      <c r="X43" s="202">
        <f ca="1">V43*W43*'User Inputs'!$D$7/100</f>
        <v>22606.791181004119</v>
      </c>
      <c r="Y43" s="199">
        <f t="shared" ca="1" si="1"/>
        <v>999844.2490780626</v>
      </c>
      <c r="AA43" s="164"/>
    </row>
    <row r="44" spans="5:27">
      <c r="E44" s="213" t="s">
        <v>474</v>
      </c>
      <c r="F44" s="213" t="s">
        <v>66</v>
      </c>
      <c r="G44" s="197">
        <f ca="1">(VLOOKUP(F44,'Anticipated Exit Bookings'!$B:$C,MATCH('Exit Anticipated Rev. Recovery'!$C$2,'Anticipated Exit Bookings'!$B$1:$C$1,0), FALSE))*VLOOKUP($F44, 'Exit Capacity Split'!A:H, 3,0)/100</f>
        <v>20089078.164731633</v>
      </c>
      <c r="H44" s="200">
        <f ca="1">IF(VLOOKUP(F44,'Exit Prices'!$A:$Q,12,FALSE)&gt;0,VLOOKUP(F44,'Exit Prices'!$A:$Q,12,FALSE),0)</f>
        <v>1.9820323133808871E-2</v>
      </c>
      <c r="I44" s="202">
        <f ca="1">G44*H44*'User Inputs'!$D$7/100</f>
        <v>1453327.8755014362</v>
      </c>
      <c r="J44" s="209">
        <f ca="1">(VLOOKUP(F44,'Anticipated Exit Bookings'!$B:$C,MATCH('Exit Anticipated Rev. Recovery'!$C$2,'Anticipated Exit Bookings'!$B$1:$C$1,0), FALSE))*VLOOKUP($F44, 'Exit Capacity Split'!A:H, 4,0)/100</f>
        <v>0</v>
      </c>
      <c r="K44" s="205" t="str">
        <f>IF(VLOOKUP(F44,'Exit Prices'!$A:$Q,13,FALSE)&gt;0,VLOOKUP(F44,'Exit Prices'!$A:$Q,13,FALSE),0)</f>
        <v>N/A</v>
      </c>
      <c r="L44" s="207" t="s">
        <v>428</v>
      </c>
      <c r="M44" s="209">
        <f ca="1">(VLOOKUP(F44,'Anticipated Exit Bookings'!$B:$C,MATCH('Exit Anticipated Rev. Recovery'!$C$2,'Anticipated Exit Bookings'!$B$1:$C$1,0), FALSE))*VLOOKUP($F44, 'Exit Capacity Split'!A:H, 5,0)/100</f>
        <v>0</v>
      </c>
      <c r="N44" s="205" t="str">
        <f>IF(VLOOKUP(F44,'Exit Prices'!$A:$Q,14,FALSE)&gt;0,VLOOKUP(F44,'Exit Prices'!$A:$Q,14,FALSE),0)</f>
        <v>N/A</v>
      </c>
      <c r="O44" s="207" t="s">
        <v>428</v>
      </c>
      <c r="P44" s="204">
        <f ca="1">(VLOOKUP(F44,'Anticipated Exit Bookings'!$B:$C,MATCH('Exit Anticipated Rev. Recovery'!$C$2,'Anticipated Exit Bookings'!$B$1:$C$1,0), FALSE))*VLOOKUP($F44, 'Exit Capacity Split'!A:H, 6,0)/100</f>
        <v>0</v>
      </c>
      <c r="Q44" s="200">
        <f ca="1">IF(VLOOKUP(F44,'Exit Prices'!$A:$Q,15,FALSE)&gt;0,VLOOKUP(F44,'Exit Prices'!$A:$Q,15,FALSE),0)</f>
        <v>1.9820323133808871E-2</v>
      </c>
      <c r="R44" s="202">
        <f ca="1">P44*Q44*'User Inputs'!$D$7/100</f>
        <v>0</v>
      </c>
      <c r="S44" s="209">
        <f ca="1">(VLOOKUP(F44,'Anticipated Exit Bookings'!$B:$C,MATCH('Exit Anticipated Rev. Recovery'!$C$2,'Anticipated Exit Bookings'!$B$1:$C$1,0), FALSE))*VLOOKUP($F44, 'Exit Capacity Split'!A:H, 7,0)/100</f>
        <v>18992.407019952432</v>
      </c>
      <c r="T44" s="205" t="str">
        <f>IF(VLOOKUP(F44,'Exit Prices'!$A:$Q,16,FALSE)&gt;0,VLOOKUP(F44,'Exit Prices'!$A:$Q,16,FALSE),0)</f>
        <v>N/A</v>
      </c>
      <c r="U44" s="207" t="s">
        <v>428</v>
      </c>
      <c r="V44" s="204">
        <f ca="1">(VLOOKUP(F44,'Anticipated Exit Bookings'!$B:$C,MATCH('Exit Anticipated Rev. Recovery'!$C$2,'Anticipated Exit Bookings'!$B$1:$C$1,0), FALSE))*VLOOKUP($F44, 'Exit Capacity Split'!A:H, 8,0)/100</f>
        <v>516364.42824841855</v>
      </c>
      <c r="W44" s="200">
        <f ca="1">IF(VLOOKUP(F44,'Exit Prices'!$A:$Q,17,FALSE)&gt;0,VLOOKUP(F44,'Exit Prices'!$A:$Q,17,FALSE),0)</f>
        <v>1.7838290820427986E-2</v>
      </c>
      <c r="X44" s="202">
        <f ca="1">V44*W44*'User Inputs'!$D$7/100</f>
        <v>33620.364767530482</v>
      </c>
      <c r="Y44" s="199">
        <f t="shared" ca="1" si="1"/>
        <v>1486948.2402689666</v>
      </c>
      <c r="AA44" s="164"/>
    </row>
    <row r="45" spans="5:27">
      <c r="E45" s="213" t="s">
        <v>474</v>
      </c>
      <c r="F45" s="213" t="s">
        <v>67</v>
      </c>
      <c r="G45" s="197">
        <f ca="1">(VLOOKUP(F45,'Anticipated Exit Bookings'!$B:$C,MATCH('Exit Anticipated Rev. Recovery'!$C$2,'Anticipated Exit Bookings'!$B$1:$C$1,0), FALSE))*VLOOKUP($F45, 'Exit Capacity Split'!A:H, 3,0)/100</f>
        <v>6814226.1725223474</v>
      </c>
      <c r="H45" s="200">
        <f ca="1">IF(VLOOKUP(F45,'Exit Prices'!$A:$Q,12,FALSE)&gt;0,VLOOKUP(F45,'Exit Prices'!$A:$Q,12,FALSE),0)</f>
        <v>1.9820323133808871E-2</v>
      </c>
      <c r="I45" s="202">
        <f ca="1">G45*H45*'User Inputs'!$D$7/100</f>
        <v>492969.60095881461</v>
      </c>
      <c r="J45" s="209">
        <f ca="1">(VLOOKUP(F45,'Anticipated Exit Bookings'!$B:$C,MATCH('Exit Anticipated Rev. Recovery'!$C$2,'Anticipated Exit Bookings'!$B$1:$C$1,0), FALSE))*VLOOKUP($F45, 'Exit Capacity Split'!A:H, 4,0)/100</f>
        <v>0</v>
      </c>
      <c r="K45" s="205" t="str">
        <f>IF(VLOOKUP(F45,'Exit Prices'!$A:$Q,13,FALSE)&gt;0,VLOOKUP(F45,'Exit Prices'!$A:$Q,13,FALSE),0)</f>
        <v>N/A</v>
      </c>
      <c r="L45" s="207" t="s">
        <v>428</v>
      </c>
      <c r="M45" s="209">
        <f ca="1">(VLOOKUP(F45,'Anticipated Exit Bookings'!$B:$C,MATCH('Exit Anticipated Rev. Recovery'!$C$2,'Anticipated Exit Bookings'!$B$1:$C$1,0), FALSE))*VLOOKUP($F45, 'Exit Capacity Split'!A:H, 5,0)/100</f>
        <v>0</v>
      </c>
      <c r="N45" s="205" t="str">
        <f>IF(VLOOKUP(F45,'Exit Prices'!$A:$Q,14,FALSE)&gt;0,VLOOKUP(F45,'Exit Prices'!$A:$Q,14,FALSE),0)</f>
        <v>N/A</v>
      </c>
      <c r="O45" s="207" t="s">
        <v>428</v>
      </c>
      <c r="P45" s="204">
        <f ca="1">(VLOOKUP(F45,'Anticipated Exit Bookings'!$B:$C,MATCH('Exit Anticipated Rev. Recovery'!$C$2,'Anticipated Exit Bookings'!$B$1:$C$1,0), FALSE))*VLOOKUP($F45, 'Exit Capacity Split'!A:H, 6,0)/100</f>
        <v>36111.429692318918</v>
      </c>
      <c r="Q45" s="200">
        <f ca="1">IF(VLOOKUP(F45,'Exit Prices'!$A:$Q,15,FALSE)&gt;0,VLOOKUP(F45,'Exit Prices'!$A:$Q,15,FALSE),0)</f>
        <v>1.9820323133808871E-2</v>
      </c>
      <c r="R45" s="202">
        <f ca="1">P45*Q45*'User Inputs'!$D$7/100</f>
        <v>2612.4517494383713</v>
      </c>
      <c r="S45" s="209">
        <f ca="1">(VLOOKUP(F45,'Anticipated Exit Bookings'!$B:$C,MATCH('Exit Anticipated Rev. Recovery'!$C$2,'Anticipated Exit Bookings'!$B$1:$C$1,0), FALSE))*VLOOKUP($F45, 'Exit Capacity Split'!A:H, 7,0)/100</f>
        <v>9193.9304564311315</v>
      </c>
      <c r="T45" s="205" t="str">
        <f>IF(VLOOKUP(F45,'Exit Prices'!$A:$Q,16,FALSE)&gt;0,VLOOKUP(F45,'Exit Prices'!$A:$Q,16,FALSE),0)</f>
        <v>N/A</v>
      </c>
      <c r="U45" s="207" t="s">
        <v>428</v>
      </c>
      <c r="V45" s="204">
        <f ca="1">(VLOOKUP(F45,'Anticipated Exit Bookings'!$B:$C,MATCH('Exit Anticipated Rev. Recovery'!$C$2,'Anticipated Exit Bookings'!$B$1:$C$1,0), FALSE))*VLOOKUP($F45, 'Exit Capacity Split'!A:H, 8,0)/100</f>
        <v>6968090.9188357508</v>
      </c>
      <c r="W45" s="200">
        <f ca="1">IF(VLOOKUP(F45,'Exit Prices'!$A:$Q,17,FALSE)&gt;0,VLOOKUP(F45,'Exit Prices'!$A:$Q,17,FALSE),0)</f>
        <v>1.7838290820427986E-2</v>
      </c>
      <c r="X45" s="202">
        <f ca="1">V45*W45*'User Inputs'!$D$7/100</f>
        <v>453690.73779782018</v>
      </c>
      <c r="Y45" s="199">
        <f t="shared" ca="1" si="1"/>
        <v>949272.79050607316</v>
      </c>
      <c r="AA45" s="164"/>
    </row>
    <row r="46" spans="5:27">
      <c r="E46" s="213" t="s">
        <v>474</v>
      </c>
      <c r="F46" s="213" t="s">
        <v>68</v>
      </c>
      <c r="G46" s="197">
        <f ca="1">(VLOOKUP(F46,'Anticipated Exit Bookings'!$B:$C,MATCH('Exit Anticipated Rev. Recovery'!$C$2,'Anticipated Exit Bookings'!$B$1:$C$1,0), FALSE))*VLOOKUP($F46, 'Exit Capacity Split'!A:H, 3,0)/100</f>
        <v>8744819.0159437414</v>
      </c>
      <c r="H46" s="200">
        <f ca="1">IF(VLOOKUP(F46,'Exit Prices'!$A:$Q,12,FALSE)&gt;0,VLOOKUP(F46,'Exit Prices'!$A:$Q,12,FALSE),0)</f>
        <v>1.9820323133808871E-2</v>
      </c>
      <c r="I46" s="202">
        <f ca="1">G46*H46*'User Inputs'!$D$7/100</f>
        <v>632636.75604578736</v>
      </c>
      <c r="J46" s="209">
        <f ca="1">(VLOOKUP(F46,'Anticipated Exit Bookings'!$B:$C,MATCH('Exit Anticipated Rev. Recovery'!$C$2,'Anticipated Exit Bookings'!$B$1:$C$1,0), FALSE))*VLOOKUP($F46, 'Exit Capacity Split'!A:H, 4,0)/100</f>
        <v>0</v>
      </c>
      <c r="K46" s="205" t="str">
        <f>IF(VLOOKUP(F46,'Exit Prices'!$A:$Q,13,FALSE)&gt;0,VLOOKUP(F46,'Exit Prices'!$A:$Q,13,FALSE),0)</f>
        <v>N/A</v>
      </c>
      <c r="L46" s="207" t="s">
        <v>428</v>
      </c>
      <c r="M46" s="209">
        <f ca="1">(VLOOKUP(F46,'Anticipated Exit Bookings'!$B:$C,MATCH('Exit Anticipated Rev. Recovery'!$C$2,'Anticipated Exit Bookings'!$B$1:$C$1,0), FALSE))*VLOOKUP($F46, 'Exit Capacity Split'!A:H, 5,0)/100</f>
        <v>0</v>
      </c>
      <c r="N46" s="205" t="str">
        <f>IF(VLOOKUP(F46,'Exit Prices'!$A:$Q,14,FALSE)&gt;0,VLOOKUP(F46,'Exit Prices'!$A:$Q,14,FALSE),0)</f>
        <v>N/A</v>
      </c>
      <c r="O46" s="207" t="s">
        <v>428</v>
      </c>
      <c r="P46" s="204">
        <f ca="1">(VLOOKUP(F46,'Anticipated Exit Bookings'!$B:$C,MATCH('Exit Anticipated Rev. Recovery'!$C$2,'Anticipated Exit Bookings'!$B$1:$C$1,0), FALSE))*VLOOKUP($F46, 'Exit Capacity Split'!A:H, 6,0)/100</f>
        <v>0</v>
      </c>
      <c r="Q46" s="200">
        <f ca="1">IF(VLOOKUP(F46,'Exit Prices'!$A:$Q,15,FALSE)&gt;0,VLOOKUP(F46,'Exit Prices'!$A:$Q,15,FALSE),0)</f>
        <v>1.9820323133808871E-2</v>
      </c>
      <c r="R46" s="202">
        <f ca="1">P46*Q46*'User Inputs'!$D$7/100</f>
        <v>0</v>
      </c>
      <c r="S46" s="209">
        <f ca="1">(VLOOKUP(F46,'Anticipated Exit Bookings'!$B:$C,MATCH('Exit Anticipated Rev. Recovery'!$C$2,'Anticipated Exit Bookings'!$B$1:$C$1,0), FALSE))*VLOOKUP($F46, 'Exit Capacity Split'!A:H, 7,0)/100</f>
        <v>8267.4357033565848</v>
      </c>
      <c r="T46" s="205" t="str">
        <f>IF(VLOOKUP(F46,'Exit Prices'!$A:$Q,16,FALSE)&gt;0,VLOOKUP(F46,'Exit Prices'!$A:$Q,16,FALSE),0)</f>
        <v>N/A</v>
      </c>
      <c r="U46" s="207" t="s">
        <v>428</v>
      </c>
      <c r="V46" s="204">
        <f ca="1">(VLOOKUP(F46,'Anticipated Exit Bookings'!$B:$C,MATCH('Exit Anticipated Rev. Recovery'!$C$2,'Anticipated Exit Bookings'!$B$1:$C$1,0), FALSE))*VLOOKUP($F46, 'Exit Capacity Split'!A:H, 8,0)/100</f>
        <v>224774.54835290156</v>
      </c>
      <c r="W46" s="200">
        <f ca="1">IF(VLOOKUP(F46,'Exit Prices'!$A:$Q,17,FALSE)&gt;0,VLOOKUP(F46,'Exit Prices'!$A:$Q,17,FALSE),0)</f>
        <v>1.7838290820427986E-2</v>
      </c>
      <c r="X46" s="202">
        <f ca="1">V46*W46*'User Inputs'!$D$7/100</f>
        <v>14635.017233305347</v>
      </c>
      <c r="Y46" s="199">
        <f t="shared" ca="1" si="1"/>
        <v>647271.77327909274</v>
      </c>
      <c r="AA46" s="164"/>
    </row>
    <row r="47" spans="5:27">
      <c r="E47" s="213" t="s">
        <v>474</v>
      </c>
      <c r="F47" s="213" t="s">
        <v>69</v>
      </c>
      <c r="G47" s="197">
        <f ca="1">(VLOOKUP(F47,'Anticipated Exit Bookings'!$B:$C,MATCH('Exit Anticipated Rev. Recovery'!$C$2,'Anticipated Exit Bookings'!$B$1:$C$1,0), FALSE))*VLOOKUP($F47, 'Exit Capacity Split'!A:H, 3,0)/100</f>
        <v>169183.85484667215</v>
      </c>
      <c r="H47" s="200">
        <f ca="1">IF(VLOOKUP(F47,'Exit Prices'!$A:$Q,12,FALSE)&gt;0,VLOOKUP(F47,'Exit Prices'!$A:$Q,12,FALSE),0)</f>
        <v>1.9820323133808871E-2</v>
      </c>
      <c r="I47" s="202">
        <f ca="1">G47*H47*'User Inputs'!$D$7/100</f>
        <v>12239.467153108273</v>
      </c>
      <c r="J47" s="209">
        <f ca="1">(VLOOKUP(F47,'Anticipated Exit Bookings'!$B:$C,MATCH('Exit Anticipated Rev. Recovery'!$C$2,'Anticipated Exit Bookings'!$B$1:$C$1,0), FALSE))*VLOOKUP($F47, 'Exit Capacity Split'!A:H, 4,0)/100</f>
        <v>0</v>
      </c>
      <c r="K47" s="205" t="str">
        <f>IF(VLOOKUP(F47,'Exit Prices'!$A:$Q,13,FALSE)&gt;0,VLOOKUP(F47,'Exit Prices'!$A:$Q,13,FALSE),0)</f>
        <v>N/A</v>
      </c>
      <c r="L47" s="207" t="s">
        <v>428</v>
      </c>
      <c r="M47" s="209">
        <f ca="1">(VLOOKUP(F47,'Anticipated Exit Bookings'!$B:$C,MATCH('Exit Anticipated Rev. Recovery'!$C$2,'Anticipated Exit Bookings'!$B$1:$C$1,0), FALSE))*VLOOKUP($F47, 'Exit Capacity Split'!A:H, 5,0)/100</f>
        <v>0</v>
      </c>
      <c r="N47" s="205" t="str">
        <f>IF(VLOOKUP(F47,'Exit Prices'!$A:$Q,14,FALSE)&gt;0,VLOOKUP(F47,'Exit Prices'!$A:$Q,14,FALSE),0)</f>
        <v>N/A</v>
      </c>
      <c r="O47" s="207" t="s">
        <v>428</v>
      </c>
      <c r="P47" s="204">
        <f ca="1">(VLOOKUP(F47,'Anticipated Exit Bookings'!$B:$C,MATCH('Exit Anticipated Rev. Recovery'!$C$2,'Anticipated Exit Bookings'!$B$1:$C$1,0), FALSE))*VLOOKUP($F47, 'Exit Capacity Split'!A:H, 6,0)/100</f>
        <v>896.57588766379547</v>
      </c>
      <c r="Q47" s="200">
        <f ca="1">IF(VLOOKUP(F47,'Exit Prices'!$A:$Q,15,FALSE)&gt;0,VLOOKUP(F47,'Exit Prices'!$A:$Q,15,FALSE),0)</f>
        <v>1.9820323133808871E-2</v>
      </c>
      <c r="R47" s="202">
        <f ca="1">P47*Q47*'User Inputs'!$D$7/100</f>
        <v>64.862046897294519</v>
      </c>
      <c r="S47" s="209">
        <f ca="1">(VLOOKUP(F47,'Anticipated Exit Bookings'!$B:$C,MATCH('Exit Anticipated Rev. Recovery'!$C$2,'Anticipated Exit Bookings'!$B$1:$C$1,0), FALSE))*VLOOKUP($F47, 'Exit Capacity Split'!A:H, 7,0)/100</f>
        <v>228.26723921837095</v>
      </c>
      <c r="T47" s="205" t="str">
        <f>IF(VLOOKUP(F47,'Exit Prices'!$A:$Q,16,FALSE)&gt;0,VLOOKUP(F47,'Exit Prices'!$A:$Q,16,FALSE),0)</f>
        <v>N/A</v>
      </c>
      <c r="U47" s="207" t="s">
        <v>428</v>
      </c>
      <c r="V47" s="204">
        <f ca="1">(VLOOKUP(F47,'Anticipated Exit Bookings'!$B:$C,MATCH('Exit Anticipated Rev. Recovery'!$C$2,'Anticipated Exit Bookings'!$B$1:$C$1,0), FALSE))*VLOOKUP($F47, 'Exit Capacity Split'!A:H, 8,0)/100</f>
        <v>173004.01435521271</v>
      </c>
      <c r="W47" s="200">
        <f ca="1">IF(VLOOKUP(F47,'Exit Prices'!$A:$Q,17,FALSE)&gt;0,VLOOKUP(F47,'Exit Prices'!$A:$Q,17,FALSE),0)</f>
        <v>1.7838290820427986E-2</v>
      </c>
      <c r="X47" s="202">
        <f ca="1">V47*W47*'User Inputs'!$D$7/100</f>
        <v>11264.250112269705</v>
      </c>
      <c r="Y47" s="199">
        <f t="shared" ca="1" si="1"/>
        <v>23568.579312275273</v>
      </c>
      <c r="AA47" s="164"/>
    </row>
    <row r="48" spans="5:27">
      <c r="E48" s="213" t="s">
        <v>474</v>
      </c>
      <c r="F48" s="213" t="s">
        <v>70</v>
      </c>
      <c r="G48" s="197">
        <f ca="1">(VLOOKUP(F48,'Anticipated Exit Bookings'!$B:$C,MATCH('Exit Anticipated Rev. Recovery'!$C$2,'Anticipated Exit Bookings'!$B$1:$C$1,0), FALSE))*VLOOKUP($F48, 'Exit Capacity Split'!A:H, 3,0)/100</f>
        <v>0</v>
      </c>
      <c r="H48" s="200">
        <f ca="1">IF(VLOOKUP(F48,'Exit Prices'!$A:$Q,12,FALSE)&gt;0,VLOOKUP(F48,'Exit Prices'!$A:$Q,12,FALSE),0)</f>
        <v>1.9820323133808871E-2</v>
      </c>
      <c r="I48" s="202">
        <f ca="1">G48*H48*'User Inputs'!$D$7/100</f>
        <v>0</v>
      </c>
      <c r="J48" s="209">
        <f ca="1">(VLOOKUP(F48,'Anticipated Exit Bookings'!$B:$C,MATCH('Exit Anticipated Rev. Recovery'!$C$2,'Anticipated Exit Bookings'!$B$1:$C$1,0), FALSE))*VLOOKUP($F48, 'Exit Capacity Split'!A:H, 4,0)/100</f>
        <v>0</v>
      </c>
      <c r="K48" s="205" t="str">
        <f>IF(VLOOKUP(F48,'Exit Prices'!$A:$Q,13,FALSE)&gt;0,VLOOKUP(F48,'Exit Prices'!$A:$Q,13,FALSE),0)</f>
        <v>N/A</v>
      </c>
      <c r="L48" s="207" t="s">
        <v>428</v>
      </c>
      <c r="M48" s="209">
        <f ca="1">(VLOOKUP(F48,'Anticipated Exit Bookings'!$B:$C,MATCH('Exit Anticipated Rev. Recovery'!$C$2,'Anticipated Exit Bookings'!$B$1:$C$1,0), FALSE))*VLOOKUP($F48, 'Exit Capacity Split'!A:H, 5,0)/100</f>
        <v>0</v>
      </c>
      <c r="N48" s="205" t="str">
        <f>IF(VLOOKUP(F48,'Exit Prices'!$A:$Q,14,FALSE)&gt;0,VLOOKUP(F48,'Exit Prices'!$A:$Q,14,FALSE),0)</f>
        <v>N/A</v>
      </c>
      <c r="O48" s="207" t="s">
        <v>428</v>
      </c>
      <c r="P48" s="204">
        <f ca="1">(VLOOKUP(F48,'Anticipated Exit Bookings'!$B:$C,MATCH('Exit Anticipated Rev. Recovery'!$C$2,'Anticipated Exit Bookings'!$B$1:$C$1,0), FALSE))*VLOOKUP($F48, 'Exit Capacity Split'!A:H, 6,0)/100</f>
        <v>0</v>
      </c>
      <c r="Q48" s="200">
        <f ca="1">IF(VLOOKUP(F48,'Exit Prices'!$A:$Q,15,FALSE)&gt;0,VLOOKUP(F48,'Exit Prices'!$A:$Q,15,FALSE),0)</f>
        <v>1.9820323133808871E-2</v>
      </c>
      <c r="R48" s="202">
        <f ca="1">P48*Q48*'User Inputs'!$D$7/100</f>
        <v>0</v>
      </c>
      <c r="S48" s="209">
        <f ca="1">(VLOOKUP(F48,'Anticipated Exit Bookings'!$B:$C,MATCH('Exit Anticipated Rev. Recovery'!$C$2,'Anticipated Exit Bookings'!$B$1:$C$1,0), FALSE))*VLOOKUP($F48, 'Exit Capacity Split'!A:H, 7,0)/100</f>
        <v>0</v>
      </c>
      <c r="T48" s="205" t="str">
        <f>IF(VLOOKUP(F48,'Exit Prices'!$A:$Q,16,FALSE)&gt;0,VLOOKUP(F48,'Exit Prices'!$A:$Q,16,FALSE),0)</f>
        <v>N/A</v>
      </c>
      <c r="U48" s="207" t="s">
        <v>428</v>
      </c>
      <c r="V48" s="204">
        <f ca="1">(VLOOKUP(F48,'Anticipated Exit Bookings'!$B:$C,MATCH('Exit Anticipated Rev. Recovery'!$C$2,'Anticipated Exit Bookings'!$B$1:$C$1,0), FALSE))*VLOOKUP($F48, 'Exit Capacity Split'!A:H, 8,0)/100</f>
        <v>0</v>
      </c>
      <c r="W48" s="200">
        <f ca="1">IF(VLOOKUP(F48,'Exit Prices'!$A:$Q,17,FALSE)&gt;0,VLOOKUP(F48,'Exit Prices'!$A:$Q,17,FALSE),0)</f>
        <v>1.7838290820427986E-2</v>
      </c>
      <c r="X48" s="202">
        <f ca="1">V48*W48*'User Inputs'!$D$7/100</f>
        <v>0</v>
      </c>
      <c r="Y48" s="199">
        <f t="shared" ca="1" si="1"/>
        <v>0</v>
      </c>
      <c r="AA48" s="164"/>
    </row>
    <row r="49" spans="5:27">
      <c r="E49" s="213" t="s">
        <v>474</v>
      </c>
      <c r="F49" s="213" t="s">
        <v>71</v>
      </c>
      <c r="G49" s="197">
        <f ca="1">(VLOOKUP(F49,'Anticipated Exit Bookings'!$B:$C,MATCH('Exit Anticipated Rev. Recovery'!$C$2,'Anticipated Exit Bookings'!$B$1:$C$1,0), FALSE))*VLOOKUP($F49, 'Exit Capacity Split'!A:H, 3,0)/100</f>
        <v>4029795.3828084697</v>
      </c>
      <c r="H49" s="200">
        <f ca="1">IF(VLOOKUP(F49,'Exit Prices'!$A:$Q,12,FALSE)&gt;0,VLOOKUP(F49,'Exit Prices'!$A:$Q,12,FALSE),0)</f>
        <v>1.9820323133808871E-2</v>
      </c>
      <c r="I49" s="202">
        <f ca="1">G49*H49*'User Inputs'!$D$7/100</f>
        <v>291532.24027394137</v>
      </c>
      <c r="J49" s="209">
        <f ca="1">(VLOOKUP(F49,'Anticipated Exit Bookings'!$B:$C,MATCH('Exit Anticipated Rev. Recovery'!$C$2,'Anticipated Exit Bookings'!$B$1:$C$1,0), FALSE))*VLOOKUP($F49, 'Exit Capacity Split'!A:H, 4,0)/100</f>
        <v>0</v>
      </c>
      <c r="K49" s="205" t="str">
        <f>IF(VLOOKUP(F49,'Exit Prices'!$A:$Q,13,FALSE)&gt;0,VLOOKUP(F49,'Exit Prices'!$A:$Q,13,FALSE),0)</f>
        <v>N/A</v>
      </c>
      <c r="L49" s="207" t="s">
        <v>428</v>
      </c>
      <c r="M49" s="209">
        <f ca="1">(VLOOKUP(F49,'Anticipated Exit Bookings'!$B:$C,MATCH('Exit Anticipated Rev. Recovery'!$C$2,'Anticipated Exit Bookings'!$B$1:$C$1,0), FALSE))*VLOOKUP($F49, 'Exit Capacity Split'!A:H, 5,0)/100</f>
        <v>0</v>
      </c>
      <c r="N49" s="205" t="str">
        <f>IF(VLOOKUP(F49,'Exit Prices'!$A:$Q,14,FALSE)&gt;0,VLOOKUP(F49,'Exit Prices'!$A:$Q,14,FALSE),0)</f>
        <v>N/A</v>
      </c>
      <c r="O49" s="207" t="s">
        <v>428</v>
      </c>
      <c r="P49" s="204">
        <f ca="1">(VLOOKUP(F49,'Anticipated Exit Bookings'!$B:$C,MATCH('Exit Anticipated Rev. Recovery'!$C$2,'Anticipated Exit Bookings'!$B$1:$C$1,0), FALSE))*VLOOKUP($F49, 'Exit Capacity Split'!A:H, 6,0)/100</f>
        <v>0</v>
      </c>
      <c r="Q49" s="200">
        <f ca="1">IF(VLOOKUP(F49,'Exit Prices'!$A:$Q,15,FALSE)&gt;0,VLOOKUP(F49,'Exit Prices'!$A:$Q,15,FALSE),0)</f>
        <v>1.9820323133808871E-2</v>
      </c>
      <c r="R49" s="202">
        <f ca="1">P49*Q49*'User Inputs'!$D$7/100</f>
        <v>0</v>
      </c>
      <c r="S49" s="209">
        <f ca="1">(VLOOKUP(F49,'Anticipated Exit Bookings'!$B:$C,MATCH('Exit Anticipated Rev. Recovery'!$C$2,'Anticipated Exit Bookings'!$B$1:$C$1,0), FALSE))*VLOOKUP($F49, 'Exit Capacity Split'!A:H, 7,0)/100</f>
        <v>3809.8071743176929</v>
      </c>
      <c r="T49" s="205" t="str">
        <f>IF(VLOOKUP(F49,'Exit Prices'!$A:$Q,16,FALSE)&gt;0,VLOOKUP(F49,'Exit Prices'!$A:$Q,16,FALSE),0)</f>
        <v>N/A</v>
      </c>
      <c r="U49" s="207" t="s">
        <v>428</v>
      </c>
      <c r="V49" s="204">
        <f ca="1">(VLOOKUP(F49,'Anticipated Exit Bookings'!$B:$C,MATCH('Exit Anticipated Rev. Recovery'!$C$2,'Anticipated Exit Bookings'!$B$1:$C$1,0), FALSE))*VLOOKUP($F49, 'Exit Capacity Split'!A:H, 8,0)/100</f>
        <v>103580.81001721317</v>
      </c>
      <c r="W49" s="200">
        <f ca="1">IF(VLOOKUP(F49,'Exit Prices'!$A:$Q,17,FALSE)&gt;0,VLOOKUP(F49,'Exit Prices'!$A:$Q,17,FALSE),0)</f>
        <v>1.7838290820427986E-2</v>
      </c>
      <c r="X49" s="202">
        <f ca="1">V49*W49*'User Inputs'!$D$7/100</f>
        <v>6744.1218356343034</v>
      </c>
      <c r="Y49" s="199">
        <f t="shared" ca="1" si="1"/>
        <v>298276.36210957565</v>
      </c>
      <c r="AA49" s="164"/>
    </row>
    <row r="50" spans="5:27">
      <c r="E50" s="213" t="s">
        <v>474</v>
      </c>
      <c r="F50" s="213" t="s">
        <v>72</v>
      </c>
      <c r="G50" s="197">
        <f ca="1">(VLOOKUP(F50,'Anticipated Exit Bookings'!$B:$C,MATCH('Exit Anticipated Rev. Recovery'!$C$2,'Anticipated Exit Bookings'!$B$1:$C$1,0), FALSE))*VLOOKUP($F50, 'Exit Capacity Split'!A:H, 3,0)/100</f>
        <v>11259076.574958794</v>
      </c>
      <c r="H50" s="200">
        <f ca="1">IF(VLOOKUP(F50,'Exit Prices'!$A:$Q,12,FALSE)&gt;0,VLOOKUP(F50,'Exit Prices'!$A:$Q,12,FALSE),0)</f>
        <v>1.9820323133808871E-2</v>
      </c>
      <c r="I50" s="202">
        <f ca="1">G50*H50*'User Inputs'!$D$7/100</f>
        <v>814528.65604953188</v>
      </c>
      <c r="J50" s="209">
        <f ca="1">(VLOOKUP(F50,'Anticipated Exit Bookings'!$B:$C,MATCH('Exit Anticipated Rev. Recovery'!$C$2,'Anticipated Exit Bookings'!$B$1:$C$1,0), FALSE))*VLOOKUP($F50, 'Exit Capacity Split'!A:H, 4,0)/100</f>
        <v>0</v>
      </c>
      <c r="K50" s="205" t="str">
        <f>IF(VLOOKUP(F50,'Exit Prices'!$A:$Q,13,FALSE)&gt;0,VLOOKUP(F50,'Exit Prices'!$A:$Q,13,FALSE),0)</f>
        <v>N/A</v>
      </c>
      <c r="L50" s="207" t="s">
        <v>428</v>
      </c>
      <c r="M50" s="209">
        <f ca="1">(VLOOKUP(F50,'Anticipated Exit Bookings'!$B:$C,MATCH('Exit Anticipated Rev. Recovery'!$C$2,'Anticipated Exit Bookings'!$B$1:$C$1,0), FALSE))*VLOOKUP($F50, 'Exit Capacity Split'!A:H, 5,0)/100</f>
        <v>0</v>
      </c>
      <c r="N50" s="205" t="str">
        <f>IF(VLOOKUP(F50,'Exit Prices'!$A:$Q,14,FALSE)&gt;0,VLOOKUP(F50,'Exit Prices'!$A:$Q,14,FALSE),0)</f>
        <v>N/A</v>
      </c>
      <c r="O50" s="207" t="s">
        <v>428</v>
      </c>
      <c r="P50" s="204">
        <f ca="1">(VLOOKUP(F50,'Anticipated Exit Bookings'!$B:$C,MATCH('Exit Anticipated Rev. Recovery'!$C$2,'Anticipated Exit Bookings'!$B$1:$C$1,0), FALSE))*VLOOKUP($F50, 'Exit Capacity Split'!A:H, 6,0)/100</f>
        <v>59666.547872531155</v>
      </c>
      <c r="Q50" s="200">
        <f ca="1">IF(VLOOKUP(F50,'Exit Prices'!$A:$Q,15,FALSE)&gt;0,VLOOKUP(F50,'Exit Prices'!$A:$Q,15,FALSE),0)</f>
        <v>1.9820323133808871E-2</v>
      </c>
      <c r="R50" s="202">
        <f ca="1">P50*Q50*'User Inputs'!$D$7/100</f>
        <v>4316.5274457604201</v>
      </c>
      <c r="S50" s="209">
        <f ca="1">(VLOOKUP(F50,'Anticipated Exit Bookings'!$B:$C,MATCH('Exit Anticipated Rev. Recovery'!$C$2,'Anticipated Exit Bookings'!$B$1:$C$1,0), FALSE))*VLOOKUP($F50, 'Exit Capacity Split'!A:H, 7,0)/100</f>
        <v>15191.037751464433</v>
      </c>
      <c r="T50" s="205" t="str">
        <f>IF(VLOOKUP(F50,'Exit Prices'!$A:$Q,16,FALSE)&gt;0,VLOOKUP(F50,'Exit Prices'!$A:$Q,16,FALSE),0)</f>
        <v>N/A</v>
      </c>
      <c r="U50" s="207" t="s">
        <v>428</v>
      </c>
      <c r="V50" s="204">
        <f ca="1">(VLOOKUP(F50,'Anticipated Exit Bookings'!$B:$C,MATCH('Exit Anticipated Rev. Recovery'!$C$2,'Anticipated Exit Bookings'!$B$1:$C$1,0), FALSE))*VLOOKUP($F50, 'Exit Capacity Split'!A:H, 8,0)/100</f>
        <v>11513305.729828184</v>
      </c>
      <c r="W50" s="200">
        <f ca="1">IF(VLOOKUP(F50,'Exit Prices'!$A:$Q,17,FALSE)&gt;0,VLOOKUP(F50,'Exit Prices'!$A:$Q,17,FALSE),0)</f>
        <v>1.7838290820427986E-2</v>
      </c>
      <c r="X50" s="202">
        <f ca="1">V50*W50*'User Inputs'!$D$7/100</f>
        <v>749628.59008308884</v>
      </c>
      <c r="Y50" s="199">
        <f t="shared" ca="1" si="1"/>
        <v>1568473.7735783812</v>
      </c>
      <c r="AA50" s="164"/>
    </row>
    <row r="51" spans="5:27">
      <c r="E51" s="213" t="s">
        <v>474</v>
      </c>
      <c r="F51" s="213" t="s">
        <v>9</v>
      </c>
      <c r="G51" s="197">
        <f ca="1">(VLOOKUP(F51,'Anticipated Exit Bookings'!$B:$C,MATCH('Exit Anticipated Rev. Recovery'!$C$2,'Anticipated Exit Bookings'!$B$1:$C$1,0), FALSE))*VLOOKUP($F51, 'Exit Capacity Split'!A:H, 3,0)/100</f>
        <v>0</v>
      </c>
      <c r="H51" s="200">
        <f ca="1">IF(VLOOKUP(F51,'Exit Prices'!$A:$Q,12,FALSE)&gt;0,VLOOKUP(F51,'Exit Prices'!$A:$Q,12,FALSE),0)</f>
        <v>9.9101615669044355E-3</v>
      </c>
      <c r="I51" s="202">
        <f ca="1">G51*H51*'User Inputs'!$D$7/100</f>
        <v>0</v>
      </c>
      <c r="J51" s="209">
        <f ca="1">(VLOOKUP(F51,'Anticipated Exit Bookings'!$B:$C,MATCH('Exit Anticipated Rev. Recovery'!$C$2,'Anticipated Exit Bookings'!$B$1:$C$1,0), FALSE))*VLOOKUP($F51, 'Exit Capacity Split'!A:H, 4,0)/100</f>
        <v>0</v>
      </c>
      <c r="K51" s="205" t="str">
        <f>IF(VLOOKUP(F51,'Exit Prices'!$A:$Q,13,FALSE)&gt;0,VLOOKUP(F51,'Exit Prices'!$A:$Q,13,FALSE),0)</f>
        <v>N/A</v>
      </c>
      <c r="L51" s="207" t="s">
        <v>428</v>
      </c>
      <c r="M51" s="209">
        <f ca="1">(VLOOKUP(F51,'Anticipated Exit Bookings'!$B:$C,MATCH('Exit Anticipated Rev. Recovery'!$C$2,'Anticipated Exit Bookings'!$B$1:$C$1,0), FALSE))*VLOOKUP($F51, 'Exit Capacity Split'!A:H, 5,0)/100</f>
        <v>0</v>
      </c>
      <c r="N51" s="205" t="str">
        <f>IF(VLOOKUP(F51,'Exit Prices'!$A:$Q,14,FALSE)&gt;0,VLOOKUP(F51,'Exit Prices'!$A:$Q,14,FALSE),0)</f>
        <v>N/A</v>
      </c>
      <c r="O51" s="207" t="s">
        <v>428</v>
      </c>
      <c r="P51" s="204">
        <f ca="1">(VLOOKUP(F51,'Anticipated Exit Bookings'!$B:$C,MATCH('Exit Anticipated Rev. Recovery'!$C$2,'Anticipated Exit Bookings'!$B$1:$C$1,0), FALSE))*VLOOKUP($F51, 'Exit Capacity Split'!A:H, 6,0)/100</f>
        <v>0</v>
      </c>
      <c r="Q51" s="200">
        <f ca="1">IF(VLOOKUP(F51,'Exit Prices'!$A:$Q,15,FALSE)&gt;0,VLOOKUP(F51,'Exit Prices'!$A:$Q,15,FALSE),0)</f>
        <v>9.9101615669044355E-3</v>
      </c>
      <c r="R51" s="202">
        <f ca="1">P51*Q51*'User Inputs'!$D$7/100</f>
        <v>0</v>
      </c>
      <c r="S51" s="209">
        <f ca="1">(VLOOKUP(F51,'Anticipated Exit Bookings'!$B:$C,MATCH('Exit Anticipated Rev. Recovery'!$C$2,'Anticipated Exit Bookings'!$B$1:$C$1,0), FALSE))*VLOOKUP($F51, 'Exit Capacity Split'!A:H, 7,0)/100</f>
        <v>0</v>
      </c>
      <c r="T51" s="205" t="str">
        <f>IF(VLOOKUP(F51,'Exit Prices'!$A:$Q,16,FALSE)&gt;0,VLOOKUP(F51,'Exit Prices'!$A:$Q,16,FALSE),0)</f>
        <v>N/A</v>
      </c>
      <c r="U51" s="207" t="s">
        <v>428</v>
      </c>
      <c r="V51" s="204">
        <f ca="1">(VLOOKUP(F51,'Anticipated Exit Bookings'!$B:$C,MATCH('Exit Anticipated Rev. Recovery'!$C$2,'Anticipated Exit Bookings'!$B$1:$C$1,0), FALSE))*VLOOKUP($F51, 'Exit Capacity Split'!A:H, 8,0)/100</f>
        <v>0</v>
      </c>
      <c r="W51" s="200">
        <f ca="1">IF(VLOOKUP(F51,'Exit Prices'!$A:$Q,17,FALSE)&gt;0,VLOOKUP(F51,'Exit Prices'!$A:$Q,17,FALSE),0)</f>
        <v>8.9191454102139928E-3</v>
      </c>
      <c r="X51" s="202">
        <f ca="1">V51*W51*'User Inputs'!$D$7/100</f>
        <v>0</v>
      </c>
      <c r="Y51" s="199">
        <f t="shared" ca="1" si="1"/>
        <v>0</v>
      </c>
      <c r="AA51" s="164"/>
    </row>
    <row r="52" spans="5:27">
      <c r="E52" s="213" t="s">
        <v>474</v>
      </c>
      <c r="F52" s="213" t="s">
        <v>73</v>
      </c>
      <c r="G52" s="197">
        <f ca="1">(VLOOKUP(F52,'Anticipated Exit Bookings'!$B:$C,MATCH('Exit Anticipated Rev. Recovery'!$C$2,'Anticipated Exit Bookings'!$B$1:$C$1,0), FALSE))*VLOOKUP($F52, 'Exit Capacity Split'!A:H, 3,0)/100</f>
        <v>64235.083187641634</v>
      </c>
      <c r="H52" s="200">
        <f ca="1">IF(VLOOKUP(F52,'Exit Prices'!$A:$Q,12,FALSE)&gt;0,VLOOKUP(F52,'Exit Prices'!$A:$Q,12,FALSE),0)</f>
        <v>1.9820323133808871E-2</v>
      </c>
      <c r="I52" s="202">
        <f ca="1">G52*H52*'User Inputs'!$D$7/100</f>
        <v>4647.0343843674509</v>
      </c>
      <c r="J52" s="209">
        <f ca="1">(VLOOKUP(F52,'Anticipated Exit Bookings'!$B:$C,MATCH('Exit Anticipated Rev. Recovery'!$C$2,'Anticipated Exit Bookings'!$B$1:$C$1,0), FALSE))*VLOOKUP($F52, 'Exit Capacity Split'!A:H, 4,0)/100</f>
        <v>0</v>
      </c>
      <c r="K52" s="205" t="str">
        <f>IF(VLOOKUP(F52,'Exit Prices'!$A:$Q,13,FALSE)&gt;0,VLOOKUP(F52,'Exit Prices'!$A:$Q,13,FALSE),0)</f>
        <v>N/A</v>
      </c>
      <c r="L52" s="207" t="s">
        <v>428</v>
      </c>
      <c r="M52" s="209">
        <f ca="1">(VLOOKUP(F52,'Anticipated Exit Bookings'!$B:$C,MATCH('Exit Anticipated Rev. Recovery'!$C$2,'Anticipated Exit Bookings'!$B$1:$C$1,0), FALSE))*VLOOKUP($F52, 'Exit Capacity Split'!A:H, 5,0)/100</f>
        <v>0</v>
      </c>
      <c r="N52" s="205" t="str">
        <f>IF(VLOOKUP(F52,'Exit Prices'!$A:$Q,14,FALSE)&gt;0,VLOOKUP(F52,'Exit Prices'!$A:$Q,14,FALSE),0)</f>
        <v>N/A</v>
      </c>
      <c r="O52" s="207" t="s">
        <v>428</v>
      </c>
      <c r="P52" s="204">
        <f ca="1">(VLOOKUP(F52,'Anticipated Exit Bookings'!$B:$C,MATCH('Exit Anticipated Rev. Recovery'!$C$2,'Anticipated Exit Bookings'!$B$1:$C$1,0), FALSE))*VLOOKUP($F52, 'Exit Capacity Split'!A:H, 6,0)/100</f>
        <v>2.2312176907771426</v>
      </c>
      <c r="Q52" s="200">
        <f ca="1">IF(VLOOKUP(F52,'Exit Prices'!$A:$Q,15,FALSE)&gt;0,VLOOKUP(F52,'Exit Prices'!$A:$Q,15,FALSE),0)</f>
        <v>1.9820323133808871E-2</v>
      </c>
      <c r="R52" s="202">
        <f ca="1">P52*Q52*'User Inputs'!$D$7/100</f>
        <v>0.16141561298771939</v>
      </c>
      <c r="S52" s="209">
        <f ca="1">(VLOOKUP(F52,'Anticipated Exit Bookings'!$B:$C,MATCH('Exit Anticipated Rev. Recovery'!$C$2,'Anticipated Exit Bookings'!$B$1:$C$1,0), FALSE))*VLOOKUP($F52, 'Exit Capacity Split'!A:H, 7,0)/100</f>
        <v>80.152204737917216</v>
      </c>
      <c r="T52" s="205" t="str">
        <f>IF(VLOOKUP(F52,'Exit Prices'!$A:$Q,16,FALSE)&gt;0,VLOOKUP(F52,'Exit Prices'!$A:$Q,16,FALSE),0)</f>
        <v>N/A</v>
      </c>
      <c r="U52" s="207" t="s">
        <v>428</v>
      </c>
      <c r="V52" s="204">
        <f ca="1">(VLOOKUP(F52,'Anticipated Exit Bookings'!$B:$C,MATCH('Exit Anticipated Rev. Recovery'!$C$2,'Anticipated Exit Bookings'!$B$1:$C$1,0), FALSE))*VLOOKUP($F52, 'Exit Capacity Split'!A:H, 8,0)/100</f>
        <v>20682.533389929697</v>
      </c>
      <c r="W52" s="200">
        <f ca="1">IF(VLOOKUP(F52,'Exit Prices'!$A:$Q,17,FALSE)&gt;0,VLOOKUP(F52,'Exit Prices'!$A:$Q,17,FALSE),0)</f>
        <v>1.7838290820427986E-2</v>
      </c>
      <c r="X52" s="202">
        <f ca="1">V52*W52*'User Inputs'!$D$7/100</f>
        <v>1346.6348161216404</v>
      </c>
      <c r="Y52" s="199">
        <f t="shared" ca="1" si="1"/>
        <v>5993.8306161020791</v>
      </c>
      <c r="AA52" s="164"/>
    </row>
    <row r="53" spans="5:27">
      <c r="E53" s="213" t="s">
        <v>474</v>
      </c>
      <c r="F53" s="213" t="s">
        <v>74</v>
      </c>
      <c r="G53" s="197">
        <f ca="1">(VLOOKUP(F53,'Anticipated Exit Bookings'!$B:$C,MATCH('Exit Anticipated Rev. Recovery'!$C$2,'Anticipated Exit Bookings'!$B$1:$C$1,0), FALSE))*VLOOKUP($F53, 'Exit Capacity Split'!A:H, 3,0)/100</f>
        <v>7224610.2847790765</v>
      </c>
      <c r="H53" s="200">
        <f ca="1">IF(VLOOKUP(F53,'Exit Prices'!$A:$Q,12,FALSE)&gt;0,VLOOKUP(F53,'Exit Prices'!$A:$Q,12,FALSE),0)</f>
        <v>1.9820323133808871E-2</v>
      </c>
      <c r="I53" s="202">
        <f ca="1">G53*H53*'User Inputs'!$D$7/100</f>
        <v>522658.50281458488</v>
      </c>
      <c r="J53" s="209">
        <f ca="1">(VLOOKUP(F53,'Anticipated Exit Bookings'!$B:$C,MATCH('Exit Anticipated Rev. Recovery'!$C$2,'Anticipated Exit Bookings'!$B$1:$C$1,0), FALSE))*VLOOKUP($F53, 'Exit Capacity Split'!A:H, 4,0)/100</f>
        <v>0</v>
      </c>
      <c r="K53" s="205" t="str">
        <f>IF(VLOOKUP(F53,'Exit Prices'!$A:$Q,13,FALSE)&gt;0,VLOOKUP(F53,'Exit Prices'!$A:$Q,13,FALSE),0)</f>
        <v>N/A</v>
      </c>
      <c r="L53" s="207" t="s">
        <v>428</v>
      </c>
      <c r="M53" s="209">
        <f ca="1">(VLOOKUP(F53,'Anticipated Exit Bookings'!$B:$C,MATCH('Exit Anticipated Rev. Recovery'!$C$2,'Anticipated Exit Bookings'!$B$1:$C$1,0), FALSE))*VLOOKUP($F53, 'Exit Capacity Split'!A:H, 5,0)/100</f>
        <v>0</v>
      </c>
      <c r="N53" s="205" t="str">
        <f>IF(VLOOKUP(F53,'Exit Prices'!$A:$Q,14,FALSE)&gt;0,VLOOKUP(F53,'Exit Prices'!$A:$Q,14,FALSE),0)</f>
        <v>N/A</v>
      </c>
      <c r="O53" s="207" t="s">
        <v>428</v>
      </c>
      <c r="P53" s="204">
        <f ca="1">(VLOOKUP(F53,'Anticipated Exit Bookings'!$B:$C,MATCH('Exit Anticipated Rev. Recovery'!$C$2,'Anticipated Exit Bookings'!$B$1:$C$1,0), FALSE))*VLOOKUP($F53, 'Exit Capacity Split'!A:H, 6,0)/100</f>
        <v>0</v>
      </c>
      <c r="Q53" s="200">
        <f ca="1">IF(VLOOKUP(F53,'Exit Prices'!$A:$Q,15,FALSE)&gt;0,VLOOKUP(F53,'Exit Prices'!$A:$Q,15,FALSE),0)</f>
        <v>1.9820323133808871E-2</v>
      </c>
      <c r="R53" s="202">
        <f ca="1">P53*Q53*'User Inputs'!$D$7/100</f>
        <v>0</v>
      </c>
      <c r="S53" s="209">
        <f ca="1">(VLOOKUP(F53,'Anticipated Exit Bookings'!$B:$C,MATCH('Exit Anticipated Rev. Recovery'!$C$2,'Anticipated Exit Bookings'!$B$1:$C$1,0), FALSE))*VLOOKUP($F53, 'Exit Capacity Split'!A:H, 7,0)/100</f>
        <v>6830.2158000434911</v>
      </c>
      <c r="T53" s="205" t="str">
        <f>IF(VLOOKUP(F53,'Exit Prices'!$A:$Q,16,FALSE)&gt;0,VLOOKUP(F53,'Exit Prices'!$A:$Q,16,FALSE),0)</f>
        <v>N/A</v>
      </c>
      <c r="U53" s="207" t="s">
        <v>428</v>
      </c>
      <c r="V53" s="204">
        <f ca="1">(VLOOKUP(F53,'Anticipated Exit Bookings'!$B:$C,MATCH('Exit Anticipated Rev. Recovery'!$C$2,'Anticipated Exit Bookings'!$B$1:$C$1,0), FALSE))*VLOOKUP($F53, 'Exit Capacity Split'!A:H, 8,0)/100</f>
        <v>185699.49942087993</v>
      </c>
      <c r="W53" s="200">
        <f ca="1">IF(VLOOKUP(F53,'Exit Prices'!$A:$Q,17,FALSE)&gt;0,VLOOKUP(F53,'Exit Prices'!$A:$Q,17,FALSE),0)</f>
        <v>1.7838290820427986E-2</v>
      </c>
      <c r="X53" s="202">
        <f ca="1">V53*W53*'User Inputs'!$D$7/100</f>
        <v>12090.850116953074</v>
      </c>
      <c r="Y53" s="199">
        <f t="shared" ca="1" si="1"/>
        <v>534749.3529315379</v>
      </c>
      <c r="AA53" s="164"/>
    </row>
    <row r="54" spans="5:27">
      <c r="E54" s="213" t="s">
        <v>474</v>
      </c>
      <c r="F54" s="213" t="s">
        <v>75</v>
      </c>
      <c r="G54" s="197">
        <f ca="1">(VLOOKUP(F54,'Anticipated Exit Bookings'!$B:$C,MATCH('Exit Anticipated Rev. Recovery'!$C$2,'Anticipated Exit Bookings'!$B$1:$C$1,0), FALSE))*VLOOKUP($F54, 'Exit Capacity Split'!A:H, 3,0)/100</f>
        <v>0</v>
      </c>
      <c r="H54" s="200">
        <f ca="1">IF(VLOOKUP(F54,'Exit Prices'!$A:$Q,12,FALSE)&gt;0,VLOOKUP(F54,'Exit Prices'!$A:$Q,12,FALSE),0)</f>
        <v>1.9820323133808871E-2</v>
      </c>
      <c r="I54" s="202">
        <f ca="1">G54*H54*'User Inputs'!$D$7/100</f>
        <v>0</v>
      </c>
      <c r="J54" s="209">
        <f ca="1">(VLOOKUP(F54,'Anticipated Exit Bookings'!$B:$C,MATCH('Exit Anticipated Rev. Recovery'!$C$2,'Anticipated Exit Bookings'!$B$1:$C$1,0), FALSE))*VLOOKUP($F54, 'Exit Capacity Split'!A:H, 4,0)/100</f>
        <v>0</v>
      </c>
      <c r="K54" s="205" t="str">
        <f>IF(VLOOKUP(F54,'Exit Prices'!$A:$Q,13,FALSE)&gt;0,VLOOKUP(F54,'Exit Prices'!$A:$Q,13,FALSE),0)</f>
        <v>N/A</v>
      </c>
      <c r="L54" s="207" t="s">
        <v>428</v>
      </c>
      <c r="M54" s="209">
        <f ca="1">(VLOOKUP(F54,'Anticipated Exit Bookings'!$B:$C,MATCH('Exit Anticipated Rev. Recovery'!$C$2,'Anticipated Exit Bookings'!$B$1:$C$1,0), FALSE))*VLOOKUP($F54, 'Exit Capacity Split'!A:H, 5,0)/100</f>
        <v>0</v>
      </c>
      <c r="N54" s="205" t="str">
        <f>IF(VLOOKUP(F54,'Exit Prices'!$A:$Q,14,FALSE)&gt;0,VLOOKUP(F54,'Exit Prices'!$A:$Q,14,FALSE),0)</f>
        <v>N/A</v>
      </c>
      <c r="O54" s="207" t="s">
        <v>428</v>
      </c>
      <c r="P54" s="204">
        <f ca="1">(VLOOKUP(F54,'Anticipated Exit Bookings'!$B:$C,MATCH('Exit Anticipated Rev. Recovery'!$C$2,'Anticipated Exit Bookings'!$B$1:$C$1,0), FALSE))*VLOOKUP($F54, 'Exit Capacity Split'!A:H, 6,0)/100</f>
        <v>0</v>
      </c>
      <c r="Q54" s="200">
        <f ca="1">IF(VLOOKUP(F54,'Exit Prices'!$A:$Q,15,FALSE)&gt;0,VLOOKUP(F54,'Exit Prices'!$A:$Q,15,FALSE),0)</f>
        <v>1.9820323133808871E-2</v>
      </c>
      <c r="R54" s="202">
        <f ca="1">P54*Q54*'User Inputs'!$D$7/100</f>
        <v>0</v>
      </c>
      <c r="S54" s="209">
        <f ca="1">(VLOOKUP(F54,'Anticipated Exit Bookings'!$B:$C,MATCH('Exit Anticipated Rev. Recovery'!$C$2,'Anticipated Exit Bookings'!$B$1:$C$1,0), FALSE))*VLOOKUP($F54, 'Exit Capacity Split'!A:H, 7,0)/100</f>
        <v>0</v>
      </c>
      <c r="T54" s="205" t="str">
        <f>IF(VLOOKUP(F54,'Exit Prices'!$A:$Q,16,FALSE)&gt;0,VLOOKUP(F54,'Exit Prices'!$A:$Q,16,FALSE),0)</f>
        <v>N/A</v>
      </c>
      <c r="U54" s="207" t="s">
        <v>428</v>
      </c>
      <c r="V54" s="204">
        <f ca="1">(VLOOKUP(F54,'Anticipated Exit Bookings'!$B:$C,MATCH('Exit Anticipated Rev. Recovery'!$C$2,'Anticipated Exit Bookings'!$B$1:$C$1,0), FALSE))*VLOOKUP($F54, 'Exit Capacity Split'!A:H, 8,0)/100</f>
        <v>0</v>
      </c>
      <c r="W54" s="200">
        <f ca="1">IF(VLOOKUP(F54,'Exit Prices'!$A:$Q,17,FALSE)&gt;0,VLOOKUP(F54,'Exit Prices'!$A:$Q,17,FALSE),0)</f>
        <v>1.7838290820427986E-2</v>
      </c>
      <c r="X54" s="202">
        <f ca="1">V54*W54*'User Inputs'!$D$7/100</f>
        <v>0</v>
      </c>
      <c r="Y54" s="199">
        <f t="shared" ca="1" si="1"/>
        <v>0</v>
      </c>
      <c r="AA54" s="164"/>
    </row>
    <row r="55" spans="5:27">
      <c r="E55" s="213" t="s">
        <v>474</v>
      </c>
      <c r="F55" s="213" t="s">
        <v>76</v>
      </c>
      <c r="G55" s="197">
        <f ca="1">(VLOOKUP(F55,'Anticipated Exit Bookings'!$B:$C,MATCH('Exit Anticipated Rev. Recovery'!$C$2,'Anticipated Exit Bookings'!$B$1:$C$1,0), FALSE))*VLOOKUP($F55, 'Exit Capacity Split'!A:H, 3,0)/100</f>
        <v>5016319.3584875362</v>
      </c>
      <c r="H55" s="200">
        <f ca="1">IF(VLOOKUP(F55,'Exit Prices'!$A:$Q,12,FALSE)&gt;0,VLOOKUP(F55,'Exit Prices'!$A:$Q,12,FALSE),0)</f>
        <v>1.9820323133808871E-2</v>
      </c>
      <c r="I55" s="202">
        <f ca="1">G55*H55*'User Inputs'!$D$7/100</f>
        <v>362901.50779075385</v>
      </c>
      <c r="J55" s="209">
        <f ca="1">(VLOOKUP(F55,'Anticipated Exit Bookings'!$B:$C,MATCH('Exit Anticipated Rev. Recovery'!$C$2,'Anticipated Exit Bookings'!$B$1:$C$1,0), FALSE))*VLOOKUP($F55, 'Exit Capacity Split'!A:H, 4,0)/100</f>
        <v>0</v>
      </c>
      <c r="K55" s="205" t="str">
        <f>IF(VLOOKUP(F55,'Exit Prices'!$A:$Q,13,FALSE)&gt;0,VLOOKUP(F55,'Exit Prices'!$A:$Q,13,FALSE),0)</f>
        <v>N/A</v>
      </c>
      <c r="L55" s="207" t="s">
        <v>428</v>
      </c>
      <c r="M55" s="209">
        <f ca="1">(VLOOKUP(F55,'Anticipated Exit Bookings'!$B:$C,MATCH('Exit Anticipated Rev. Recovery'!$C$2,'Anticipated Exit Bookings'!$B$1:$C$1,0), FALSE))*VLOOKUP($F55, 'Exit Capacity Split'!A:H, 5,0)/100</f>
        <v>0</v>
      </c>
      <c r="N55" s="205" t="str">
        <f>IF(VLOOKUP(F55,'Exit Prices'!$A:$Q,14,FALSE)&gt;0,VLOOKUP(F55,'Exit Prices'!$A:$Q,14,FALSE),0)</f>
        <v>N/A</v>
      </c>
      <c r="O55" s="207" t="s">
        <v>428</v>
      </c>
      <c r="P55" s="204">
        <f ca="1">(VLOOKUP(F55,'Anticipated Exit Bookings'!$B:$C,MATCH('Exit Anticipated Rev. Recovery'!$C$2,'Anticipated Exit Bookings'!$B$1:$C$1,0), FALSE))*VLOOKUP($F55, 'Exit Capacity Split'!A:H, 6,0)/100</f>
        <v>0</v>
      </c>
      <c r="Q55" s="200">
        <f ca="1">IF(VLOOKUP(F55,'Exit Prices'!$A:$Q,15,FALSE)&gt;0,VLOOKUP(F55,'Exit Prices'!$A:$Q,15,FALSE),0)</f>
        <v>1.9820323133808871E-2</v>
      </c>
      <c r="R55" s="202">
        <f ca="1">P55*Q55*'User Inputs'!$D$7/100</f>
        <v>0</v>
      </c>
      <c r="S55" s="209">
        <f ca="1">(VLOOKUP(F55,'Anticipated Exit Bookings'!$B:$C,MATCH('Exit Anticipated Rev. Recovery'!$C$2,'Anticipated Exit Bookings'!$B$1:$C$1,0), FALSE))*VLOOKUP($F55, 'Exit Capacity Split'!A:H, 7,0)/100</f>
        <v>4742.4763952445255</v>
      </c>
      <c r="T55" s="205" t="str">
        <f>IF(VLOOKUP(F55,'Exit Prices'!$A:$Q,16,FALSE)&gt;0,VLOOKUP(F55,'Exit Prices'!$A:$Q,16,FALSE),0)</f>
        <v>N/A</v>
      </c>
      <c r="U55" s="207" t="s">
        <v>428</v>
      </c>
      <c r="V55" s="204">
        <f ca="1">(VLOOKUP(F55,'Anticipated Exit Bookings'!$B:$C,MATCH('Exit Anticipated Rev. Recovery'!$C$2,'Anticipated Exit Bookings'!$B$1:$C$1,0), FALSE))*VLOOKUP($F55, 'Exit Capacity Split'!A:H, 8,0)/100</f>
        <v>128938.16511721924</v>
      </c>
      <c r="W55" s="200">
        <f ca="1">IF(VLOOKUP(F55,'Exit Prices'!$A:$Q,17,FALSE)&gt;0,VLOOKUP(F55,'Exit Prices'!$A:$Q,17,FALSE),0)</f>
        <v>1.7838290820427986E-2</v>
      </c>
      <c r="X55" s="202">
        <f ca="1">V55*W55*'User Inputs'!$D$7/100</f>
        <v>8395.1331783286187</v>
      </c>
      <c r="Y55" s="199">
        <f t="shared" ca="1" si="1"/>
        <v>371296.64096908248</v>
      </c>
      <c r="AA55" s="164"/>
    </row>
    <row r="56" spans="5:27">
      <c r="E56" s="213" t="s">
        <v>474</v>
      </c>
      <c r="F56" s="213" t="s">
        <v>77</v>
      </c>
      <c r="G56" s="197">
        <f ca="1">(VLOOKUP(F56,'Anticipated Exit Bookings'!$B:$C,MATCH('Exit Anticipated Rev. Recovery'!$C$2,'Anticipated Exit Bookings'!$B$1:$C$1,0), FALSE))*VLOOKUP($F56, 'Exit Capacity Split'!A:H, 3,0)/100</f>
        <v>2774976.2448578291</v>
      </c>
      <c r="H56" s="200">
        <f ca="1">IF(VLOOKUP(F56,'Exit Prices'!$A:$Q,12,FALSE)&gt;0,VLOOKUP(F56,'Exit Prices'!$A:$Q,12,FALSE),0)</f>
        <v>1.9820323133808871E-2</v>
      </c>
      <c r="I56" s="202">
        <f ca="1">G56*H56*'User Inputs'!$D$7/100</f>
        <v>200753.37939529881</v>
      </c>
      <c r="J56" s="209">
        <f ca="1">(VLOOKUP(F56,'Anticipated Exit Bookings'!$B:$C,MATCH('Exit Anticipated Rev. Recovery'!$C$2,'Anticipated Exit Bookings'!$B$1:$C$1,0), FALSE))*VLOOKUP($F56, 'Exit Capacity Split'!A:H, 4,0)/100</f>
        <v>0</v>
      </c>
      <c r="K56" s="205" t="str">
        <f>IF(VLOOKUP(F56,'Exit Prices'!$A:$Q,13,FALSE)&gt;0,VLOOKUP(F56,'Exit Prices'!$A:$Q,13,FALSE),0)</f>
        <v>N/A</v>
      </c>
      <c r="L56" s="207" t="s">
        <v>428</v>
      </c>
      <c r="M56" s="209">
        <f ca="1">(VLOOKUP(F56,'Anticipated Exit Bookings'!$B:$C,MATCH('Exit Anticipated Rev. Recovery'!$C$2,'Anticipated Exit Bookings'!$B$1:$C$1,0), FALSE))*VLOOKUP($F56, 'Exit Capacity Split'!A:H, 5,0)/100</f>
        <v>0</v>
      </c>
      <c r="N56" s="205" t="str">
        <f>IF(VLOOKUP(F56,'Exit Prices'!$A:$Q,14,FALSE)&gt;0,VLOOKUP(F56,'Exit Prices'!$A:$Q,14,FALSE),0)</f>
        <v>N/A</v>
      </c>
      <c r="O56" s="207" t="s">
        <v>428</v>
      </c>
      <c r="P56" s="204">
        <f ca="1">(VLOOKUP(F56,'Anticipated Exit Bookings'!$B:$C,MATCH('Exit Anticipated Rev. Recovery'!$C$2,'Anticipated Exit Bookings'!$B$1:$C$1,0), FALSE))*VLOOKUP($F56, 'Exit Capacity Split'!A:H, 6,0)/100</f>
        <v>0</v>
      </c>
      <c r="Q56" s="200">
        <f ca="1">IF(VLOOKUP(F56,'Exit Prices'!$A:$Q,15,FALSE)&gt;0,VLOOKUP(F56,'Exit Prices'!$A:$Q,15,FALSE),0)</f>
        <v>1.9820323133808871E-2</v>
      </c>
      <c r="R56" s="202">
        <f ca="1">P56*Q56*'User Inputs'!$D$7/100</f>
        <v>0</v>
      </c>
      <c r="S56" s="209">
        <f ca="1">(VLOOKUP(F56,'Anticipated Exit Bookings'!$B:$C,MATCH('Exit Anticipated Rev. Recovery'!$C$2,'Anticipated Exit Bookings'!$B$1:$C$1,0), FALSE))*VLOOKUP($F56, 'Exit Capacity Split'!A:H, 7,0)/100</f>
        <v>2623.489135781515</v>
      </c>
      <c r="T56" s="205" t="str">
        <f>IF(VLOOKUP(F56,'Exit Prices'!$A:$Q,16,FALSE)&gt;0,VLOOKUP(F56,'Exit Prices'!$A:$Q,16,FALSE),0)</f>
        <v>N/A</v>
      </c>
      <c r="U56" s="207" t="s">
        <v>428</v>
      </c>
      <c r="V56" s="204">
        <f ca="1">(VLOOKUP(F56,'Anticipated Exit Bookings'!$B:$C,MATCH('Exit Anticipated Rev. Recovery'!$C$2,'Anticipated Exit Bookings'!$B$1:$C$1,0), FALSE))*VLOOKUP($F56, 'Exit Capacity Split'!A:H, 8,0)/100</f>
        <v>71327.266006389138</v>
      </c>
      <c r="W56" s="200">
        <f ca="1">IF(VLOOKUP(F56,'Exit Prices'!$A:$Q,17,FALSE)&gt;0,VLOOKUP(F56,'Exit Prices'!$A:$Q,17,FALSE),0)</f>
        <v>1.7838290820427986E-2</v>
      </c>
      <c r="X56" s="202">
        <f ca="1">V56*W56*'User Inputs'!$D$7/100</f>
        <v>4644.1012777351871</v>
      </c>
      <c r="Y56" s="199">
        <f t="shared" ca="1" si="1"/>
        <v>205397.48067303401</v>
      </c>
      <c r="AA56" s="164"/>
    </row>
    <row r="57" spans="5:27">
      <c r="E57" s="213" t="s">
        <v>474</v>
      </c>
      <c r="F57" s="213" t="s">
        <v>78</v>
      </c>
      <c r="G57" s="197">
        <f ca="1">(VLOOKUP(F57,'Anticipated Exit Bookings'!$B:$C,MATCH('Exit Anticipated Rev. Recovery'!$C$2,'Anticipated Exit Bookings'!$B$1:$C$1,0), FALSE))*VLOOKUP($F57, 'Exit Capacity Split'!A:H, 3,0)/100</f>
        <v>56344.46788564467</v>
      </c>
      <c r="H57" s="200">
        <f ca="1">IF(VLOOKUP(F57,'Exit Prices'!$A:$Q,12,FALSE)&gt;0,VLOOKUP(F57,'Exit Prices'!$A:$Q,12,FALSE),0)</f>
        <v>1.9820323133808871E-2</v>
      </c>
      <c r="I57" s="202">
        <f ca="1">G57*H57*'User Inputs'!$D$7/100</f>
        <v>4076.1942950803782</v>
      </c>
      <c r="J57" s="209">
        <f ca="1">(VLOOKUP(F57,'Anticipated Exit Bookings'!$B:$C,MATCH('Exit Anticipated Rev. Recovery'!$C$2,'Anticipated Exit Bookings'!$B$1:$C$1,0), FALSE))*VLOOKUP($F57, 'Exit Capacity Split'!A:H, 4,0)/100</f>
        <v>0</v>
      </c>
      <c r="K57" s="205" t="str">
        <f>IF(VLOOKUP(F57,'Exit Prices'!$A:$Q,13,FALSE)&gt;0,VLOOKUP(F57,'Exit Prices'!$A:$Q,13,FALSE),0)</f>
        <v>N/A</v>
      </c>
      <c r="L57" s="207" t="s">
        <v>428</v>
      </c>
      <c r="M57" s="209">
        <f ca="1">(VLOOKUP(F57,'Anticipated Exit Bookings'!$B:$C,MATCH('Exit Anticipated Rev. Recovery'!$C$2,'Anticipated Exit Bookings'!$B$1:$C$1,0), FALSE))*VLOOKUP($F57, 'Exit Capacity Split'!A:H, 5,0)/100</f>
        <v>0</v>
      </c>
      <c r="N57" s="205" t="str">
        <f>IF(VLOOKUP(F57,'Exit Prices'!$A:$Q,14,FALSE)&gt;0,VLOOKUP(F57,'Exit Prices'!$A:$Q,14,FALSE),0)</f>
        <v>N/A</v>
      </c>
      <c r="O57" s="207" t="s">
        <v>428</v>
      </c>
      <c r="P57" s="204">
        <f ca="1">(VLOOKUP(F57,'Anticipated Exit Bookings'!$B:$C,MATCH('Exit Anticipated Rev. Recovery'!$C$2,'Anticipated Exit Bookings'!$B$1:$C$1,0), FALSE))*VLOOKUP($F57, 'Exit Capacity Split'!A:H, 6,0)/100</f>
        <v>0</v>
      </c>
      <c r="Q57" s="200">
        <f ca="1">IF(VLOOKUP(F57,'Exit Prices'!$A:$Q,15,FALSE)&gt;0,VLOOKUP(F57,'Exit Prices'!$A:$Q,15,FALSE),0)</f>
        <v>1.9820323133808871E-2</v>
      </c>
      <c r="R57" s="202">
        <f ca="1">P57*Q57*'User Inputs'!$D$7/100</f>
        <v>0</v>
      </c>
      <c r="S57" s="209">
        <f ca="1">(VLOOKUP(F57,'Anticipated Exit Bookings'!$B:$C,MATCH('Exit Anticipated Rev. Recovery'!$C$2,'Anticipated Exit Bookings'!$B$1:$C$1,0), FALSE))*VLOOKUP($F57, 'Exit Capacity Split'!A:H, 7,0)/100</f>
        <v>53.268599914430062</v>
      </c>
      <c r="T57" s="205" t="str">
        <f>IF(VLOOKUP(F57,'Exit Prices'!$A:$Q,16,FALSE)&gt;0,VLOOKUP(F57,'Exit Prices'!$A:$Q,16,FALSE),0)</f>
        <v>N/A</v>
      </c>
      <c r="U57" s="207" t="s">
        <v>428</v>
      </c>
      <c r="V57" s="204">
        <f ca="1">(VLOOKUP(F57,'Anticipated Exit Bookings'!$B:$C,MATCH('Exit Anticipated Rev. Recovery'!$C$2,'Anticipated Exit Bookings'!$B$1:$C$1,0), FALSE))*VLOOKUP($F57, 'Exit Capacity Split'!A:H, 8,0)/100</f>
        <v>1448.2635144409057</v>
      </c>
      <c r="W57" s="200">
        <f ca="1">IF(VLOOKUP(F57,'Exit Prices'!$A:$Q,17,FALSE)&gt;0,VLOOKUP(F57,'Exit Prices'!$A:$Q,17,FALSE),0)</f>
        <v>1.7838290820427986E-2</v>
      </c>
      <c r="X57" s="202">
        <f ca="1">V57*W57*'User Inputs'!$D$7/100</f>
        <v>94.296092006523736</v>
      </c>
      <c r="Y57" s="199">
        <f t="shared" ca="1" si="1"/>
        <v>4170.490387086902</v>
      </c>
      <c r="AA57" s="164"/>
    </row>
    <row r="58" spans="5:27">
      <c r="E58" s="213" t="s">
        <v>474</v>
      </c>
      <c r="F58" s="213" t="s">
        <v>79</v>
      </c>
      <c r="G58" s="197">
        <f ca="1">(VLOOKUP(F58,'Anticipated Exit Bookings'!$B:$C,MATCH('Exit Anticipated Rev. Recovery'!$C$2,'Anticipated Exit Bookings'!$B$1:$C$1,0), FALSE))*VLOOKUP($F58, 'Exit Capacity Split'!A:H, 3,0)/100</f>
        <v>0</v>
      </c>
      <c r="H58" s="200">
        <f ca="1">IF(VLOOKUP(F58,'Exit Prices'!$A:$Q,12,FALSE)&gt;0,VLOOKUP(F58,'Exit Prices'!$A:$Q,12,FALSE),0)</f>
        <v>1.9820323133808871E-2</v>
      </c>
      <c r="I58" s="202">
        <f ca="1">G58*H58*'User Inputs'!$D$7/100</f>
        <v>0</v>
      </c>
      <c r="J58" s="209">
        <f ca="1">(VLOOKUP(F58,'Anticipated Exit Bookings'!$B:$C,MATCH('Exit Anticipated Rev. Recovery'!$C$2,'Anticipated Exit Bookings'!$B$1:$C$1,0), FALSE))*VLOOKUP($F58, 'Exit Capacity Split'!A:H, 4,0)/100</f>
        <v>0</v>
      </c>
      <c r="K58" s="205" t="str">
        <f>IF(VLOOKUP(F58,'Exit Prices'!$A:$Q,13,FALSE)&gt;0,VLOOKUP(F58,'Exit Prices'!$A:$Q,13,FALSE),0)</f>
        <v>N/A</v>
      </c>
      <c r="L58" s="207" t="s">
        <v>428</v>
      </c>
      <c r="M58" s="209">
        <f ca="1">(VLOOKUP(F58,'Anticipated Exit Bookings'!$B:$C,MATCH('Exit Anticipated Rev. Recovery'!$C$2,'Anticipated Exit Bookings'!$B$1:$C$1,0), FALSE))*VLOOKUP($F58, 'Exit Capacity Split'!A:H, 5,0)/100</f>
        <v>0</v>
      </c>
      <c r="N58" s="205" t="str">
        <f>IF(VLOOKUP(F58,'Exit Prices'!$A:$Q,14,FALSE)&gt;0,VLOOKUP(F58,'Exit Prices'!$A:$Q,14,FALSE),0)</f>
        <v>N/A</v>
      </c>
      <c r="O58" s="207" t="s">
        <v>428</v>
      </c>
      <c r="P58" s="204">
        <f ca="1">(VLOOKUP(F58,'Anticipated Exit Bookings'!$B:$C,MATCH('Exit Anticipated Rev. Recovery'!$C$2,'Anticipated Exit Bookings'!$B$1:$C$1,0), FALSE))*VLOOKUP($F58, 'Exit Capacity Split'!A:H, 6,0)/100</f>
        <v>0</v>
      </c>
      <c r="Q58" s="200">
        <f ca="1">IF(VLOOKUP(F58,'Exit Prices'!$A:$Q,15,FALSE)&gt;0,VLOOKUP(F58,'Exit Prices'!$A:$Q,15,FALSE),0)</f>
        <v>1.9820323133808871E-2</v>
      </c>
      <c r="R58" s="202">
        <f ca="1">P58*Q58*'User Inputs'!$D$7/100</f>
        <v>0</v>
      </c>
      <c r="S58" s="209">
        <f ca="1">(VLOOKUP(F58,'Anticipated Exit Bookings'!$B:$C,MATCH('Exit Anticipated Rev. Recovery'!$C$2,'Anticipated Exit Bookings'!$B$1:$C$1,0), FALSE))*VLOOKUP($F58, 'Exit Capacity Split'!A:H, 7,0)/100</f>
        <v>0</v>
      </c>
      <c r="T58" s="205" t="str">
        <f>IF(VLOOKUP(F58,'Exit Prices'!$A:$Q,16,FALSE)&gt;0,VLOOKUP(F58,'Exit Prices'!$A:$Q,16,FALSE),0)</f>
        <v>N/A</v>
      </c>
      <c r="U58" s="207" t="s">
        <v>428</v>
      </c>
      <c r="V58" s="204">
        <f ca="1">(VLOOKUP(F58,'Anticipated Exit Bookings'!$B:$C,MATCH('Exit Anticipated Rev. Recovery'!$C$2,'Anticipated Exit Bookings'!$B$1:$C$1,0), FALSE))*VLOOKUP($F58, 'Exit Capacity Split'!A:H, 8,0)/100</f>
        <v>0</v>
      </c>
      <c r="W58" s="200">
        <f ca="1">IF(VLOOKUP(F58,'Exit Prices'!$A:$Q,17,FALSE)&gt;0,VLOOKUP(F58,'Exit Prices'!$A:$Q,17,FALSE),0)</f>
        <v>1.7838290820427986E-2</v>
      </c>
      <c r="X58" s="202">
        <f ca="1">V58*W58*'User Inputs'!$D$7/100</f>
        <v>0</v>
      </c>
      <c r="Y58" s="199">
        <f t="shared" ca="1" si="1"/>
        <v>0</v>
      </c>
      <c r="AA58" s="164"/>
    </row>
    <row r="59" spans="5:27">
      <c r="E59" s="213" t="s">
        <v>474</v>
      </c>
      <c r="F59" s="213" t="s">
        <v>80</v>
      </c>
      <c r="G59" s="197">
        <f ca="1">(VLOOKUP(F59,'Anticipated Exit Bookings'!$B:$C,MATCH('Exit Anticipated Rev. Recovery'!$C$2,'Anticipated Exit Bookings'!$B$1:$C$1,0), FALSE))*VLOOKUP($F59, 'Exit Capacity Split'!A:H, 3,0)/100</f>
        <v>38964506.0757856</v>
      </c>
      <c r="H59" s="200">
        <f ca="1">IF(VLOOKUP(F59,'Exit Prices'!$A:$Q,12,FALSE)&gt;0,VLOOKUP(F59,'Exit Prices'!$A:$Q,12,FALSE),0)</f>
        <v>1.9820323133808871E-2</v>
      </c>
      <c r="I59" s="202">
        <f ca="1">G59*H59*'User Inputs'!$D$7/100</f>
        <v>2818855.219275353</v>
      </c>
      <c r="J59" s="209">
        <f ca="1">(VLOOKUP(F59,'Anticipated Exit Bookings'!$B:$C,MATCH('Exit Anticipated Rev. Recovery'!$C$2,'Anticipated Exit Bookings'!$B$1:$C$1,0), FALSE))*VLOOKUP($F59, 'Exit Capacity Split'!A:H, 4,0)/100</f>
        <v>0</v>
      </c>
      <c r="K59" s="205" t="str">
        <f>IF(VLOOKUP(F59,'Exit Prices'!$A:$Q,13,FALSE)&gt;0,VLOOKUP(F59,'Exit Prices'!$A:$Q,13,FALSE),0)</f>
        <v>N/A</v>
      </c>
      <c r="L59" s="207" t="s">
        <v>428</v>
      </c>
      <c r="M59" s="209">
        <f ca="1">(VLOOKUP(F59,'Anticipated Exit Bookings'!$B:$C,MATCH('Exit Anticipated Rev. Recovery'!$C$2,'Anticipated Exit Bookings'!$B$1:$C$1,0), FALSE))*VLOOKUP($F59, 'Exit Capacity Split'!A:H, 5,0)/100</f>
        <v>0</v>
      </c>
      <c r="N59" s="205" t="str">
        <f>IF(VLOOKUP(F59,'Exit Prices'!$A:$Q,14,FALSE)&gt;0,VLOOKUP(F59,'Exit Prices'!$A:$Q,14,FALSE),0)</f>
        <v>N/A</v>
      </c>
      <c r="O59" s="207" t="s">
        <v>428</v>
      </c>
      <c r="P59" s="204">
        <f ca="1">(VLOOKUP(F59,'Anticipated Exit Bookings'!$B:$C,MATCH('Exit Anticipated Rev. Recovery'!$C$2,'Anticipated Exit Bookings'!$B$1:$C$1,0), FALSE))*VLOOKUP($F59, 'Exit Capacity Split'!A:H, 6,0)/100</f>
        <v>0</v>
      </c>
      <c r="Q59" s="200">
        <f ca="1">IF(VLOOKUP(F59,'Exit Prices'!$A:$Q,15,FALSE)&gt;0,VLOOKUP(F59,'Exit Prices'!$A:$Q,15,FALSE),0)</f>
        <v>1.9820323133808871E-2</v>
      </c>
      <c r="R59" s="202">
        <f ca="1">P59*Q59*'User Inputs'!$D$7/100</f>
        <v>0</v>
      </c>
      <c r="S59" s="209">
        <f ca="1">(VLOOKUP(F59,'Anticipated Exit Bookings'!$B:$C,MATCH('Exit Anticipated Rev. Recovery'!$C$2,'Anticipated Exit Bookings'!$B$1:$C$1,0), FALSE))*VLOOKUP($F59, 'Exit Capacity Split'!A:H, 7,0)/100</f>
        <v>36837.417459100994</v>
      </c>
      <c r="T59" s="205" t="str">
        <f>IF(VLOOKUP(F59,'Exit Prices'!$A:$Q,16,FALSE)&gt;0,VLOOKUP(F59,'Exit Prices'!$A:$Q,16,FALSE),0)</f>
        <v>N/A</v>
      </c>
      <c r="U59" s="207" t="s">
        <v>428</v>
      </c>
      <c r="V59" s="204">
        <f ca="1">(VLOOKUP(F59,'Anticipated Exit Bookings'!$B:$C,MATCH('Exit Anticipated Rev. Recovery'!$C$2,'Anticipated Exit Bookings'!$B$1:$C$1,0), FALSE))*VLOOKUP($F59, 'Exit Capacity Split'!A:H, 8,0)/100</f>
        <v>1001533.5067553032</v>
      </c>
      <c r="W59" s="200">
        <f ca="1">IF(VLOOKUP(F59,'Exit Prices'!$A:$Q,17,FALSE)&gt;0,VLOOKUP(F59,'Exit Prices'!$A:$Q,17,FALSE),0)</f>
        <v>1.7838290820427986E-2</v>
      </c>
      <c r="X59" s="202">
        <f ca="1">V59*W59*'User Inputs'!$D$7/100</f>
        <v>65209.607753650249</v>
      </c>
      <c r="Y59" s="199">
        <f t="shared" ca="1" si="1"/>
        <v>2884064.8270290033</v>
      </c>
      <c r="AA59" s="164"/>
    </row>
    <row r="60" spans="5:27">
      <c r="E60" s="213" t="s">
        <v>474</v>
      </c>
      <c r="F60" s="213" t="s">
        <v>81</v>
      </c>
      <c r="G60" s="197">
        <f ca="1">(VLOOKUP(F60,'Anticipated Exit Bookings'!$B:$C,MATCH('Exit Anticipated Rev. Recovery'!$C$2,'Anticipated Exit Bookings'!$B$1:$C$1,0), FALSE))*VLOOKUP($F60, 'Exit Capacity Split'!A:H, 3,0)/100</f>
        <v>0</v>
      </c>
      <c r="H60" s="200">
        <f ca="1">IF(VLOOKUP(F60,'Exit Prices'!$A:$Q,12,FALSE)&gt;0,VLOOKUP(F60,'Exit Prices'!$A:$Q,12,FALSE),0)</f>
        <v>1.9820323133808871E-2</v>
      </c>
      <c r="I60" s="202">
        <f ca="1">G60*H60*'User Inputs'!$D$7/100</f>
        <v>0</v>
      </c>
      <c r="J60" s="209">
        <f ca="1">(VLOOKUP(F60,'Anticipated Exit Bookings'!$B:$C,MATCH('Exit Anticipated Rev. Recovery'!$C$2,'Anticipated Exit Bookings'!$B$1:$C$1,0), FALSE))*VLOOKUP($F60, 'Exit Capacity Split'!A:H, 4,0)/100</f>
        <v>0</v>
      </c>
      <c r="K60" s="205" t="str">
        <f>IF(VLOOKUP(F60,'Exit Prices'!$A:$Q,13,FALSE)&gt;0,VLOOKUP(F60,'Exit Prices'!$A:$Q,13,FALSE),0)</f>
        <v>N/A</v>
      </c>
      <c r="L60" s="207" t="s">
        <v>428</v>
      </c>
      <c r="M60" s="209">
        <f ca="1">(VLOOKUP(F60,'Anticipated Exit Bookings'!$B:$C,MATCH('Exit Anticipated Rev. Recovery'!$C$2,'Anticipated Exit Bookings'!$B$1:$C$1,0), FALSE))*VLOOKUP($F60, 'Exit Capacity Split'!A:H, 5,0)/100</f>
        <v>0</v>
      </c>
      <c r="N60" s="205" t="str">
        <f>IF(VLOOKUP(F60,'Exit Prices'!$A:$Q,14,FALSE)&gt;0,VLOOKUP(F60,'Exit Prices'!$A:$Q,14,FALSE),0)</f>
        <v>N/A</v>
      </c>
      <c r="O60" s="207" t="s">
        <v>428</v>
      </c>
      <c r="P60" s="204">
        <f ca="1">(VLOOKUP(F60,'Anticipated Exit Bookings'!$B:$C,MATCH('Exit Anticipated Rev. Recovery'!$C$2,'Anticipated Exit Bookings'!$B$1:$C$1,0), FALSE))*VLOOKUP($F60, 'Exit Capacity Split'!A:H, 6,0)/100</f>
        <v>0</v>
      </c>
      <c r="Q60" s="200">
        <f ca="1">IF(VLOOKUP(F60,'Exit Prices'!$A:$Q,15,FALSE)&gt;0,VLOOKUP(F60,'Exit Prices'!$A:$Q,15,FALSE),0)</f>
        <v>1.9820323133808871E-2</v>
      </c>
      <c r="R60" s="202">
        <f ca="1">P60*Q60*'User Inputs'!$D$7/100</f>
        <v>0</v>
      </c>
      <c r="S60" s="209">
        <f ca="1">(VLOOKUP(F60,'Anticipated Exit Bookings'!$B:$C,MATCH('Exit Anticipated Rev. Recovery'!$C$2,'Anticipated Exit Bookings'!$B$1:$C$1,0), FALSE))*VLOOKUP($F60, 'Exit Capacity Split'!A:H, 7,0)/100</f>
        <v>0</v>
      </c>
      <c r="T60" s="205" t="str">
        <f>IF(VLOOKUP(F60,'Exit Prices'!$A:$Q,16,FALSE)&gt;0,VLOOKUP(F60,'Exit Prices'!$A:$Q,16,FALSE),0)</f>
        <v>N/A</v>
      </c>
      <c r="U60" s="207" t="s">
        <v>428</v>
      </c>
      <c r="V60" s="204">
        <f ca="1">(VLOOKUP(F60,'Anticipated Exit Bookings'!$B:$C,MATCH('Exit Anticipated Rev. Recovery'!$C$2,'Anticipated Exit Bookings'!$B$1:$C$1,0), FALSE))*VLOOKUP($F60, 'Exit Capacity Split'!A:H, 8,0)/100</f>
        <v>0</v>
      </c>
      <c r="W60" s="200">
        <f ca="1">IF(VLOOKUP(F60,'Exit Prices'!$A:$Q,17,FALSE)&gt;0,VLOOKUP(F60,'Exit Prices'!$A:$Q,17,FALSE),0)</f>
        <v>1.7838290820427986E-2</v>
      </c>
      <c r="X60" s="202">
        <f ca="1">V60*W60*'User Inputs'!$D$7/100</f>
        <v>0</v>
      </c>
      <c r="Y60" s="199">
        <f t="shared" ca="1" si="1"/>
        <v>0</v>
      </c>
      <c r="AA60" s="164"/>
    </row>
    <row r="61" spans="5:27">
      <c r="E61" s="213" t="s">
        <v>474</v>
      </c>
      <c r="F61" s="213" t="s">
        <v>82</v>
      </c>
      <c r="G61" s="197">
        <f ca="1">(VLOOKUP(F61,'Anticipated Exit Bookings'!$B:$C,MATCH('Exit Anticipated Rev. Recovery'!$C$2,'Anticipated Exit Bookings'!$B$1:$C$1,0), FALSE))*VLOOKUP($F61, 'Exit Capacity Split'!A:H, 3,0)/100</f>
        <v>0</v>
      </c>
      <c r="H61" s="200">
        <f ca="1">IF(VLOOKUP(F61,'Exit Prices'!$A:$Q,12,FALSE)&gt;0,VLOOKUP(F61,'Exit Prices'!$A:$Q,12,FALSE),0)</f>
        <v>9.9101615669044355E-3</v>
      </c>
      <c r="I61" s="202">
        <f ca="1">G61*H61*'User Inputs'!$D$7/100</f>
        <v>0</v>
      </c>
      <c r="J61" s="209">
        <f ca="1">(VLOOKUP(F61,'Anticipated Exit Bookings'!$B:$C,MATCH('Exit Anticipated Rev. Recovery'!$C$2,'Anticipated Exit Bookings'!$B$1:$C$1,0), FALSE))*VLOOKUP($F61, 'Exit Capacity Split'!A:H, 4,0)/100</f>
        <v>0</v>
      </c>
      <c r="K61" s="205" t="str">
        <f>IF(VLOOKUP(F61,'Exit Prices'!$A:$Q,13,FALSE)&gt;0,VLOOKUP(F61,'Exit Prices'!$A:$Q,13,FALSE),0)</f>
        <v>N/A</v>
      </c>
      <c r="L61" s="207" t="s">
        <v>428</v>
      </c>
      <c r="M61" s="209">
        <f ca="1">(VLOOKUP(F61,'Anticipated Exit Bookings'!$B:$C,MATCH('Exit Anticipated Rev. Recovery'!$C$2,'Anticipated Exit Bookings'!$B$1:$C$1,0), FALSE))*VLOOKUP($F61, 'Exit Capacity Split'!A:H, 5,0)/100</f>
        <v>0</v>
      </c>
      <c r="N61" s="205" t="str">
        <f>IF(VLOOKUP(F61,'Exit Prices'!$A:$Q,14,FALSE)&gt;0,VLOOKUP(F61,'Exit Prices'!$A:$Q,14,FALSE),0)</f>
        <v>N/A</v>
      </c>
      <c r="O61" s="207" t="s">
        <v>428</v>
      </c>
      <c r="P61" s="204">
        <f ca="1">(VLOOKUP(F61,'Anticipated Exit Bookings'!$B:$C,MATCH('Exit Anticipated Rev. Recovery'!$C$2,'Anticipated Exit Bookings'!$B$1:$C$1,0), FALSE))*VLOOKUP($F61, 'Exit Capacity Split'!A:H, 6,0)/100</f>
        <v>0</v>
      </c>
      <c r="Q61" s="200">
        <f ca="1">IF(VLOOKUP(F61,'Exit Prices'!$A:$Q,15,FALSE)&gt;0,VLOOKUP(F61,'Exit Prices'!$A:$Q,15,FALSE),0)</f>
        <v>9.9101615669044355E-3</v>
      </c>
      <c r="R61" s="202">
        <f ca="1">P61*Q61*'User Inputs'!$D$7/100</f>
        <v>0</v>
      </c>
      <c r="S61" s="209">
        <f ca="1">(VLOOKUP(F61,'Anticipated Exit Bookings'!$B:$C,MATCH('Exit Anticipated Rev. Recovery'!$C$2,'Anticipated Exit Bookings'!$B$1:$C$1,0), FALSE))*VLOOKUP($F61, 'Exit Capacity Split'!A:H, 7,0)/100</f>
        <v>0</v>
      </c>
      <c r="T61" s="205" t="str">
        <f>IF(VLOOKUP(F61,'Exit Prices'!$A:$Q,16,FALSE)&gt;0,VLOOKUP(F61,'Exit Prices'!$A:$Q,16,FALSE),0)</f>
        <v>N/A</v>
      </c>
      <c r="U61" s="207" t="s">
        <v>428</v>
      </c>
      <c r="V61" s="204">
        <f ca="1">(VLOOKUP(F61,'Anticipated Exit Bookings'!$B:$C,MATCH('Exit Anticipated Rev. Recovery'!$C$2,'Anticipated Exit Bookings'!$B$1:$C$1,0), FALSE))*VLOOKUP($F61, 'Exit Capacity Split'!A:H, 8,0)/100</f>
        <v>0</v>
      </c>
      <c r="W61" s="200">
        <f ca="1">IF(VLOOKUP(F61,'Exit Prices'!$A:$Q,17,FALSE)&gt;0,VLOOKUP(F61,'Exit Prices'!$A:$Q,17,FALSE),0)</f>
        <v>8.9191454102139928E-3</v>
      </c>
      <c r="X61" s="202">
        <f ca="1">V61*W61*'User Inputs'!$D$7/100</f>
        <v>0</v>
      </c>
      <c r="Y61" s="199">
        <f t="shared" ca="1" si="1"/>
        <v>0</v>
      </c>
      <c r="AA61" s="164"/>
    </row>
    <row r="62" spans="5:27">
      <c r="E62" s="213" t="s">
        <v>474</v>
      </c>
      <c r="F62" s="213" t="s">
        <v>83</v>
      </c>
      <c r="G62" s="197">
        <f ca="1">(VLOOKUP(F62,'Anticipated Exit Bookings'!$B:$C,MATCH('Exit Anticipated Rev. Recovery'!$C$2,'Anticipated Exit Bookings'!$B$1:$C$1,0), FALSE))*VLOOKUP($F62, 'Exit Capacity Split'!A:H, 3,0)/100</f>
        <v>0</v>
      </c>
      <c r="H62" s="200">
        <f ca="1">IF(VLOOKUP(F62,'Exit Prices'!$A:$Q,12,FALSE)&gt;0,VLOOKUP(F62,'Exit Prices'!$A:$Q,12,FALSE),0)</f>
        <v>1.9820323133808871E-2</v>
      </c>
      <c r="I62" s="202">
        <f ca="1">G62*H62*'User Inputs'!$D$7/100</f>
        <v>0</v>
      </c>
      <c r="J62" s="209">
        <f ca="1">(VLOOKUP(F62,'Anticipated Exit Bookings'!$B:$C,MATCH('Exit Anticipated Rev. Recovery'!$C$2,'Anticipated Exit Bookings'!$B$1:$C$1,0), FALSE))*VLOOKUP($F62, 'Exit Capacity Split'!A:H, 4,0)/100</f>
        <v>0</v>
      </c>
      <c r="K62" s="205" t="str">
        <f>IF(VLOOKUP(F62,'Exit Prices'!$A:$Q,13,FALSE)&gt;0,VLOOKUP(F62,'Exit Prices'!$A:$Q,13,FALSE),0)</f>
        <v>N/A</v>
      </c>
      <c r="L62" s="207" t="s">
        <v>428</v>
      </c>
      <c r="M62" s="209">
        <f ca="1">(VLOOKUP(F62,'Anticipated Exit Bookings'!$B:$C,MATCH('Exit Anticipated Rev. Recovery'!$C$2,'Anticipated Exit Bookings'!$B$1:$C$1,0), FALSE))*VLOOKUP($F62, 'Exit Capacity Split'!A:H, 5,0)/100</f>
        <v>0</v>
      </c>
      <c r="N62" s="205" t="str">
        <f>IF(VLOOKUP(F62,'Exit Prices'!$A:$Q,14,FALSE)&gt;0,VLOOKUP(F62,'Exit Prices'!$A:$Q,14,FALSE),0)</f>
        <v>N/A</v>
      </c>
      <c r="O62" s="207" t="s">
        <v>428</v>
      </c>
      <c r="P62" s="204">
        <f ca="1">(VLOOKUP(F62,'Anticipated Exit Bookings'!$B:$C,MATCH('Exit Anticipated Rev. Recovery'!$C$2,'Anticipated Exit Bookings'!$B$1:$C$1,0), FALSE))*VLOOKUP($F62, 'Exit Capacity Split'!A:H, 6,0)/100</f>
        <v>0</v>
      </c>
      <c r="Q62" s="200">
        <f ca="1">IF(VLOOKUP(F62,'Exit Prices'!$A:$Q,15,FALSE)&gt;0,VLOOKUP(F62,'Exit Prices'!$A:$Q,15,FALSE),0)</f>
        <v>1.9820323133808871E-2</v>
      </c>
      <c r="R62" s="202">
        <f ca="1">P62*Q62*'User Inputs'!$D$7/100</f>
        <v>0</v>
      </c>
      <c r="S62" s="209">
        <f ca="1">(VLOOKUP(F62,'Anticipated Exit Bookings'!$B:$C,MATCH('Exit Anticipated Rev. Recovery'!$C$2,'Anticipated Exit Bookings'!$B$1:$C$1,0), FALSE))*VLOOKUP($F62, 'Exit Capacity Split'!A:H, 7,0)/100</f>
        <v>0</v>
      </c>
      <c r="T62" s="205" t="str">
        <f>IF(VLOOKUP(F62,'Exit Prices'!$A:$Q,16,FALSE)&gt;0,VLOOKUP(F62,'Exit Prices'!$A:$Q,16,FALSE),0)</f>
        <v>N/A</v>
      </c>
      <c r="U62" s="207" t="s">
        <v>428</v>
      </c>
      <c r="V62" s="204">
        <f ca="1">(VLOOKUP(F62,'Anticipated Exit Bookings'!$B:$C,MATCH('Exit Anticipated Rev. Recovery'!$C$2,'Anticipated Exit Bookings'!$B$1:$C$1,0), FALSE))*VLOOKUP($F62, 'Exit Capacity Split'!A:H, 8,0)/100</f>
        <v>0</v>
      </c>
      <c r="W62" s="200">
        <f ca="1">IF(VLOOKUP(F62,'Exit Prices'!$A:$Q,17,FALSE)&gt;0,VLOOKUP(F62,'Exit Prices'!$A:$Q,17,FALSE),0)</f>
        <v>1.7838290820427986E-2</v>
      </c>
      <c r="X62" s="202">
        <f ca="1">V62*W62*'User Inputs'!$D$7/100</f>
        <v>0</v>
      </c>
      <c r="Y62" s="199">
        <f t="shared" ca="1" si="1"/>
        <v>0</v>
      </c>
      <c r="AA62" s="164"/>
    </row>
    <row r="63" spans="5:27">
      <c r="E63" s="213" t="s">
        <v>474</v>
      </c>
      <c r="F63" s="213" t="s">
        <v>84</v>
      </c>
      <c r="G63" s="197">
        <f ca="1">(VLOOKUP(F63,'Anticipated Exit Bookings'!$B:$C,MATCH('Exit Anticipated Rev. Recovery'!$C$2,'Anticipated Exit Bookings'!$B$1:$C$1,0), FALSE))*VLOOKUP($F63, 'Exit Capacity Split'!A:H, 3,0)/100</f>
        <v>18626942.013154883</v>
      </c>
      <c r="H63" s="200">
        <f ca="1">IF(VLOOKUP(F63,'Exit Prices'!$A:$Q,12,FALSE)&gt;0,VLOOKUP(F63,'Exit Prices'!$A:$Q,12,FALSE),0)</f>
        <v>1.9820323133808871E-2</v>
      </c>
      <c r="I63" s="202">
        <f ca="1">G63*H63*'User Inputs'!$D$7/100</f>
        <v>1347550.8353883931</v>
      </c>
      <c r="J63" s="209">
        <f ca="1">(VLOOKUP(F63,'Anticipated Exit Bookings'!$B:$C,MATCH('Exit Anticipated Rev. Recovery'!$C$2,'Anticipated Exit Bookings'!$B$1:$C$1,0), FALSE))*VLOOKUP($F63, 'Exit Capacity Split'!A:H, 4,0)/100</f>
        <v>0</v>
      </c>
      <c r="K63" s="205" t="str">
        <f>IF(VLOOKUP(F63,'Exit Prices'!$A:$Q,13,FALSE)&gt;0,VLOOKUP(F63,'Exit Prices'!$A:$Q,13,FALSE),0)</f>
        <v>N/A</v>
      </c>
      <c r="L63" s="207" t="s">
        <v>428</v>
      </c>
      <c r="M63" s="209">
        <f ca="1">(VLOOKUP(F63,'Anticipated Exit Bookings'!$B:$C,MATCH('Exit Anticipated Rev. Recovery'!$C$2,'Anticipated Exit Bookings'!$B$1:$C$1,0), FALSE))*VLOOKUP($F63, 'Exit Capacity Split'!A:H, 5,0)/100</f>
        <v>0</v>
      </c>
      <c r="N63" s="205" t="str">
        <f>IF(VLOOKUP(F63,'Exit Prices'!$A:$Q,14,FALSE)&gt;0,VLOOKUP(F63,'Exit Prices'!$A:$Q,14,FALSE),0)</f>
        <v>N/A</v>
      </c>
      <c r="O63" s="207" t="s">
        <v>428</v>
      </c>
      <c r="P63" s="204">
        <f ca="1">(VLOOKUP(F63,'Anticipated Exit Bookings'!$B:$C,MATCH('Exit Anticipated Rev. Recovery'!$C$2,'Anticipated Exit Bookings'!$B$1:$C$1,0), FALSE))*VLOOKUP($F63, 'Exit Capacity Split'!A:H, 6,0)/100</f>
        <v>98711.943199554546</v>
      </c>
      <c r="Q63" s="200">
        <f ca="1">IF(VLOOKUP(F63,'Exit Prices'!$A:$Q,15,FALSE)&gt;0,VLOOKUP(F63,'Exit Prices'!$A:$Q,15,FALSE),0)</f>
        <v>1.9820323133808871E-2</v>
      </c>
      <c r="R63" s="202">
        <f ca="1">P63*Q63*'User Inputs'!$D$7/100</f>
        <v>7141.2345315419579</v>
      </c>
      <c r="S63" s="209">
        <f ca="1">(VLOOKUP(F63,'Anticipated Exit Bookings'!$B:$C,MATCH('Exit Anticipated Rev. Recovery'!$C$2,'Anticipated Exit Bookings'!$B$1:$C$1,0), FALSE))*VLOOKUP($F63, 'Exit Capacity Split'!A:H, 7,0)/100</f>
        <v>25131.952645700014</v>
      </c>
      <c r="T63" s="205" t="str">
        <f>IF(VLOOKUP(F63,'Exit Prices'!$A:$Q,16,FALSE)&gt;0,VLOOKUP(F63,'Exit Prices'!$A:$Q,16,FALSE),0)</f>
        <v>N/A</v>
      </c>
      <c r="U63" s="207" t="s">
        <v>428</v>
      </c>
      <c r="V63" s="204">
        <f ca="1">(VLOOKUP(F63,'Anticipated Exit Bookings'!$B:$C,MATCH('Exit Anticipated Rev. Recovery'!$C$2,'Anticipated Exit Bookings'!$B$1:$C$1,0), FALSE))*VLOOKUP($F63, 'Exit Capacity Split'!A:H, 8,0)/100</f>
        <v>19047537.049903959</v>
      </c>
      <c r="W63" s="200">
        <f ca="1">IF(VLOOKUP(F63,'Exit Prices'!$A:$Q,17,FALSE)&gt;0,VLOOKUP(F63,'Exit Prices'!$A:$Q,17,FALSE),0)</f>
        <v>1.7838290820427986E-2</v>
      </c>
      <c r="X63" s="202">
        <f ca="1">V63*W63*'User Inputs'!$D$7/100</f>
        <v>1240180.5943780828</v>
      </c>
      <c r="Y63" s="199">
        <f t="shared" ca="1" si="1"/>
        <v>2594872.664298018</v>
      </c>
      <c r="AA63" s="164"/>
    </row>
    <row r="64" spans="5:27">
      <c r="E64" s="213" t="s">
        <v>474</v>
      </c>
      <c r="F64" s="213" t="s">
        <v>85</v>
      </c>
      <c r="G64" s="197">
        <f ca="1">(VLOOKUP(F64,'Anticipated Exit Bookings'!$B:$C,MATCH('Exit Anticipated Rev. Recovery'!$C$2,'Anticipated Exit Bookings'!$B$1:$C$1,0), FALSE))*VLOOKUP($F64, 'Exit Capacity Split'!A:H, 3,0)/100</f>
        <v>88997499.387136877</v>
      </c>
      <c r="H64" s="200">
        <f ca="1">IF(VLOOKUP(F64,'Exit Prices'!$A:$Q,12,FALSE)&gt;0,VLOOKUP(F64,'Exit Prices'!$A:$Q,12,FALSE),0)</f>
        <v>1.9820323133808871E-2</v>
      </c>
      <c r="I64" s="202">
        <f ca="1">G64*H64*'User Inputs'!$D$7/100</f>
        <v>6438451.0652321363</v>
      </c>
      <c r="J64" s="209">
        <f ca="1">(VLOOKUP(F64,'Anticipated Exit Bookings'!$B:$C,MATCH('Exit Anticipated Rev. Recovery'!$C$2,'Anticipated Exit Bookings'!$B$1:$C$1,0), FALSE))*VLOOKUP($F64, 'Exit Capacity Split'!A:H, 4,0)/100</f>
        <v>0</v>
      </c>
      <c r="K64" s="205" t="str">
        <f>IF(VLOOKUP(F64,'Exit Prices'!$A:$Q,13,FALSE)&gt;0,VLOOKUP(F64,'Exit Prices'!$A:$Q,13,FALSE),0)</f>
        <v>N/A</v>
      </c>
      <c r="L64" s="207" t="s">
        <v>428</v>
      </c>
      <c r="M64" s="209">
        <f ca="1">(VLOOKUP(F64,'Anticipated Exit Bookings'!$B:$C,MATCH('Exit Anticipated Rev. Recovery'!$C$2,'Anticipated Exit Bookings'!$B$1:$C$1,0), FALSE))*VLOOKUP($F64, 'Exit Capacity Split'!A:H, 5,0)/100</f>
        <v>0</v>
      </c>
      <c r="N64" s="205" t="str">
        <f>IF(VLOOKUP(F64,'Exit Prices'!$A:$Q,14,FALSE)&gt;0,VLOOKUP(F64,'Exit Prices'!$A:$Q,14,FALSE),0)</f>
        <v>N/A</v>
      </c>
      <c r="O64" s="207" t="s">
        <v>428</v>
      </c>
      <c r="P64" s="204">
        <f ca="1">(VLOOKUP(F64,'Anticipated Exit Bookings'!$B:$C,MATCH('Exit Anticipated Rev. Recovery'!$C$2,'Anticipated Exit Bookings'!$B$1:$C$1,0), FALSE))*VLOOKUP($F64, 'Exit Capacity Split'!A:H, 6,0)/100</f>
        <v>0</v>
      </c>
      <c r="Q64" s="200">
        <f ca="1">IF(VLOOKUP(F64,'Exit Prices'!$A:$Q,15,FALSE)&gt;0,VLOOKUP(F64,'Exit Prices'!$A:$Q,15,FALSE),0)</f>
        <v>1.9820323133808871E-2</v>
      </c>
      <c r="R64" s="202">
        <f ca="1">P64*Q64*'User Inputs'!$D$7/100</f>
        <v>0</v>
      </c>
      <c r="S64" s="209">
        <f ca="1">(VLOOKUP(F64,'Anticipated Exit Bookings'!$B:$C,MATCH('Exit Anticipated Rev. Recovery'!$C$2,'Anticipated Exit Bookings'!$B$1:$C$1,0), FALSE))*VLOOKUP($F64, 'Exit Capacity Split'!A:H, 7,0)/100</f>
        <v>84139.088825186584</v>
      </c>
      <c r="T64" s="205" t="str">
        <f>IF(VLOOKUP(F64,'Exit Prices'!$A:$Q,16,FALSE)&gt;0,VLOOKUP(F64,'Exit Prices'!$A:$Q,16,FALSE),0)</f>
        <v>N/A</v>
      </c>
      <c r="U64" s="207" t="s">
        <v>428</v>
      </c>
      <c r="V64" s="204">
        <f ca="1">(VLOOKUP(F64,'Anticipated Exit Bookings'!$B:$C,MATCH('Exit Anticipated Rev. Recovery'!$C$2,'Anticipated Exit Bookings'!$B$1:$C$1,0), FALSE))*VLOOKUP($F64, 'Exit Capacity Split'!A:H, 8,0)/100</f>
        <v>2287568.5240379386</v>
      </c>
      <c r="W64" s="200">
        <f ca="1">IF(VLOOKUP(F64,'Exit Prices'!$A:$Q,17,FALSE)&gt;0,VLOOKUP(F64,'Exit Prices'!$A:$Q,17,FALSE),0)</f>
        <v>1.7838290820427986E-2</v>
      </c>
      <c r="X64" s="202">
        <f ca="1">V64*W64*'User Inputs'!$D$7/100</f>
        <v>148943.04100257775</v>
      </c>
      <c r="Y64" s="199">
        <f t="shared" ca="1" si="1"/>
        <v>6587394.1062347144</v>
      </c>
      <c r="AA64" s="164"/>
    </row>
    <row r="65" spans="5:27">
      <c r="E65" s="213" t="s">
        <v>474</v>
      </c>
      <c r="F65" s="213" t="s">
        <v>86</v>
      </c>
      <c r="G65" s="197">
        <f ca="1">(VLOOKUP(F65,'Anticipated Exit Bookings'!$B:$C,MATCH('Exit Anticipated Rev. Recovery'!$C$2,'Anticipated Exit Bookings'!$B$1:$C$1,0), FALSE))*VLOOKUP($F65, 'Exit Capacity Split'!A:H, 3,0)/100</f>
        <v>0</v>
      </c>
      <c r="H65" s="200">
        <f ca="1">IF(VLOOKUP(F65,'Exit Prices'!$A:$Q,12,FALSE)&gt;0,VLOOKUP(F65,'Exit Prices'!$A:$Q,12,FALSE),0)</f>
        <v>1.9820323133808871E-2</v>
      </c>
      <c r="I65" s="202">
        <f ca="1">G65*H65*'User Inputs'!$D$7/100</f>
        <v>0</v>
      </c>
      <c r="J65" s="209">
        <f ca="1">(VLOOKUP(F65,'Anticipated Exit Bookings'!$B:$C,MATCH('Exit Anticipated Rev. Recovery'!$C$2,'Anticipated Exit Bookings'!$B$1:$C$1,0), FALSE))*VLOOKUP($F65, 'Exit Capacity Split'!A:H, 4,0)/100</f>
        <v>0</v>
      </c>
      <c r="K65" s="205" t="str">
        <f>IF(VLOOKUP(F65,'Exit Prices'!$A:$Q,13,FALSE)&gt;0,VLOOKUP(F65,'Exit Prices'!$A:$Q,13,FALSE),0)</f>
        <v>N/A</v>
      </c>
      <c r="L65" s="207" t="s">
        <v>428</v>
      </c>
      <c r="M65" s="209">
        <f ca="1">(VLOOKUP(F65,'Anticipated Exit Bookings'!$B:$C,MATCH('Exit Anticipated Rev. Recovery'!$C$2,'Anticipated Exit Bookings'!$B$1:$C$1,0), FALSE))*VLOOKUP($F65, 'Exit Capacity Split'!A:H, 5,0)/100</f>
        <v>0</v>
      </c>
      <c r="N65" s="205" t="str">
        <f>IF(VLOOKUP(F65,'Exit Prices'!$A:$Q,14,FALSE)&gt;0,VLOOKUP(F65,'Exit Prices'!$A:$Q,14,FALSE),0)</f>
        <v>N/A</v>
      </c>
      <c r="O65" s="207" t="s">
        <v>428</v>
      </c>
      <c r="P65" s="204">
        <f ca="1">(VLOOKUP(F65,'Anticipated Exit Bookings'!$B:$C,MATCH('Exit Anticipated Rev. Recovery'!$C$2,'Anticipated Exit Bookings'!$B$1:$C$1,0), FALSE))*VLOOKUP($F65, 'Exit Capacity Split'!A:H, 6,0)/100</f>
        <v>0</v>
      </c>
      <c r="Q65" s="200">
        <f ca="1">IF(VLOOKUP(F65,'Exit Prices'!$A:$Q,15,FALSE)&gt;0,VLOOKUP(F65,'Exit Prices'!$A:$Q,15,FALSE),0)</f>
        <v>1.9820323133808871E-2</v>
      </c>
      <c r="R65" s="202">
        <f ca="1">P65*Q65*'User Inputs'!$D$7/100</f>
        <v>0</v>
      </c>
      <c r="S65" s="209">
        <f ca="1">(VLOOKUP(F65,'Anticipated Exit Bookings'!$B:$C,MATCH('Exit Anticipated Rev. Recovery'!$C$2,'Anticipated Exit Bookings'!$B$1:$C$1,0), FALSE))*VLOOKUP($F65, 'Exit Capacity Split'!A:H, 7,0)/100</f>
        <v>0</v>
      </c>
      <c r="T65" s="205" t="str">
        <f>IF(VLOOKUP(F65,'Exit Prices'!$A:$Q,16,FALSE)&gt;0,VLOOKUP(F65,'Exit Prices'!$A:$Q,16,FALSE),0)</f>
        <v>N/A</v>
      </c>
      <c r="U65" s="207" t="s">
        <v>428</v>
      </c>
      <c r="V65" s="204">
        <f ca="1">(VLOOKUP(F65,'Anticipated Exit Bookings'!$B:$C,MATCH('Exit Anticipated Rev. Recovery'!$C$2,'Anticipated Exit Bookings'!$B$1:$C$1,0), FALSE))*VLOOKUP($F65, 'Exit Capacity Split'!A:H, 8,0)/100</f>
        <v>0</v>
      </c>
      <c r="W65" s="200">
        <f ca="1">IF(VLOOKUP(F65,'Exit Prices'!$A:$Q,17,FALSE)&gt;0,VLOOKUP(F65,'Exit Prices'!$A:$Q,17,FALSE),0)</f>
        <v>1.7838290820427986E-2</v>
      </c>
      <c r="X65" s="202">
        <f ca="1">V65*W65*'User Inputs'!$D$7/100</f>
        <v>0</v>
      </c>
      <c r="Y65" s="199">
        <f t="shared" ca="1" si="1"/>
        <v>0</v>
      </c>
      <c r="AA65" s="164"/>
    </row>
    <row r="66" spans="5:27">
      <c r="E66" s="213" t="s">
        <v>474</v>
      </c>
      <c r="F66" s="213" t="s">
        <v>87</v>
      </c>
      <c r="G66" s="197">
        <f ca="1">(VLOOKUP(F66,'Anticipated Exit Bookings'!$B:$C,MATCH('Exit Anticipated Rev. Recovery'!$C$2,'Anticipated Exit Bookings'!$B$1:$C$1,0), FALSE))*VLOOKUP($F66, 'Exit Capacity Split'!A:H, 3,0)/100</f>
        <v>53251862.195177786</v>
      </c>
      <c r="H66" s="200">
        <f ca="1">IF(VLOOKUP(F66,'Exit Prices'!$A:$Q,12,FALSE)&gt;0,VLOOKUP(F66,'Exit Prices'!$A:$Q,12,FALSE),0)</f>
        <v>1.9820323133808871E-2</v>
      </c>
      <c r="I66" s="202">
        <f ca="1">G66*H66*'User Inputs'!$D$7/100</f>
        <v>3852462.2740770173</v>
      </c>
      <c r="J66" s="209">
        <f ca="1">(VLOOKUP(F66,'Anticipated Exit Bookings'!$B:$C,MATCH('Exit Anticipated Rev. Recovery'!$C$2,'Anticipated Exit Bookings'!$B$1:$C$1,0), FALSE))*VLOOKUP($F66, 'Exit Capacity Split'!A:H, 4,0)/100</f>
        <v>0</v>
      </c>
      <c r="K66" s="205" t="str">
        <f>IF(VLOOKUP(F66,'Exit Prices'!$A:$Q,13,FALSE)&gt;0,VLOOKUP(F66,'Exit Prices'!$A:$Q,13,FALSE),0)</f>
        <v>N/A</v>
      </c>
      <c r="L66" s="207" t="s">
        <v>428</v>
      </c>
      <c r="M66" s="209">
        <f ca="1">(VLOOKUP(F66,'Anticipated Exit Bookings'!$B:$C,MATCH('Exit Anticipated Rev. Recovery'!$C$2,'Anticipated Exit Bookings'!$B$1:$C$1,0), FALSE))*VLOOKUP($F66, 'Exit Capacity Split'!A:H, 5,0)/100</f>
        <v>0</v>
      </c>
      <c r="N66" s="205" t="str">
        <f>IF(VLOOKUP(F66,'Exit Prices'!$A:$Q,14,FALSE)&gt;0,VLOOKUP(F66,'Exit Prices'!$A:$Q,14,FALSE),0)</f>
        <v>N/A</v>
      </c>
      <c r="O66" s="207" t="s">
        <v>428</v>
      </c>
      <c r="P66" s="204">
        <f ca="1">(VLOOKUP(F66,'Anticipated Exit Bookings'!$B:$C,MATCH('Exit Anticipated Rev. Recovery'!$C$2,'Anticipated Exit Bookings'!$B$1:$C$1,0), FALSE))*VLOOKUP($F66, 'Exit Capacity Split'!A:H, 6,0)/100</f>
        <v>0</v>
      </c>
      <c r="Q66" s="200">
        <f ca="1">IF(VLOOKUP(F66,'Exit Prices'!$A:$Q,15,FALSE)&gt;0,VLOOKUP(F66,'Exit Prices'!$A:$Q,15,FALSE),0)</f>
        <v>1.9820323133808871E-2</v>
      </c>
      <c r="R66" s="202">
        <f ca="1">P66*Q66*'User Inputs'!$D$7/100</f>
        <v>0</v>
      </c>
      <c r="S66" s="209">
        <f ca="1">(VLOOKUP(F66,'Anticipated Exit Bookings'!$B:$C,MATCH('Exit Anticipated Rev. Recovery'!$C$2,'Anticipated Exit Bookings'!$B$1:$C$1,0), FALSE))*VLOOKUP($F66, 'Exit Capacity Split'!A:H, 7,0)/100</f>
        <v>50344.820856778475</v>
      </c>
      <c r="T66" s="205" t="str">
        <f>IF(VLOOKUP(F66,'Exit Prices'!$A:$Q,16,FALSE)&gt;0,VLOOKUP(F66,'Exit Prices'!$A:$Q,16,FALSE),0)</f>
        <v>N/A</v>
      </c>
      <c r="U66" s="207" t="s">
        <v>428</v>
      </c>
      <c r="V66" s="204">
        <f ca="1">(VLOOKUP(F66,'Anticipated Exit Bookings'!$B:$C,MATCH('Exit Anticipated Rev. Recovery'!$C$2,'Anticipated Exit Bookings'!$B$1:$C$1,0), FALSE))*VLOOKUP($F66, 'Exit Capacity Split'!A:H, 8,0)/100</f>
        <v>1368771.9839654418</v>
      </c>
      <c r="W66" s="200">
        <f ca="1">IF(VLOOKUP(F66,'Exit Prices'!$A:$Q,17,FALSE)&gt;0,VLOOKUP(F66,'Exit Prices'!$A:$Q,17,FALSE),0)</f>
        <v>1.7838290820427986E-2</v>
      </c>
      <c r="X66" s="202">
        <f ca="1">V66*W66*'User Inputs'!$D$7/100</f>
        <v>89120.41741642855</v>
      </c>
      <c r="Y66" s="199">
        <f t="shared" ca="1" si="1"/>
        <v>3941582.691493446</v>
      </c>
      <c r="AA66" s="164"/>
    </row>
    <row r="67" spans="5:27">
      <c r="E67" s="213" t="s">
        <v>474</v>
      </c>
      <c r="F67" s="213" t="s">
        <v>88</v>
      </c>
      <c r="G67" s="197">
        <f ca="1">(VLOOKUP(F67,'Anticipated Exit Bookings'!$B:$C,MATCH('Exit Anticipated Rev. Recovery'!$C$2,'Anticipated Exit Bookings'!$B$1:$C$1,0), FALSE))*VLOOKUP($F67, 'Exit Capacity Split'!A:H, 3,0)/100</f>
        <v>65218756.643167086</v>
      </c>
      <c r="H67" s="200">
        <f ca="1">IF(VLOOKUP(F67,'Exit Prices'!$A:$Q,12,FALSE)&gt;0,VLOOKUP(F67,'Exit Prices'!$A:$Q,12,FALSE),0)</f>
        <v>1.9820323133808871E-2</v>
      </c>
      <c r="I67" s="202">
        <f ca="1">G67*H67*'User Inputs'!$D$7/100</f>
        <v>4718197.4333427772</v>
      </c>
      <c r="J67" s="209">
        <f ca="1">(VLOOKUP(F67,'Anticipated Exit Bookings'!$B:$C,MATCH('Exit Anticipated Rev. Recovery'!$C$2,'Anticipated Exit Bookings'!$B$1:$C$1,0), FALSE))*VLOOKUP($F67, 'Exit Capacity Split'!A:H, 4,0)/100</f>
        <v>0</v>
      </c>
      <c r="K67" s="205" t="str">
        <f>IF(VLOOKUP(F67,'Exit Prices'!$A:$Q,13,FALSE)&gt;0,VLOOKUP(F67,'Exit Prices'!$A:$Q,13,FALSE),0)</f>
        <v>N/A</v>
      </c>
      <c r="L67" s="207" t="s">
        <v>428</v>
      </c>
      <c r="M67" s="209">
        <f ca="1">(VLOOKUP(F67,'Anticipated Exit Bookings'!$B:$C,MATCH('Exit Anticipated Rev. Recovery'!$C$2,'Anticipated Exit Bookings'!$B$1:$C$1,0), FALSE))*VLOOKUP($F67, 'Exit Capacity Split'!A:H, 5,0)/100</f>
        <v>0</v>
      </c>
      <c r="N67" s="205" t="str">
        <f>IF(VLOOKUP(F67,'Exit Prices'!$A:$Q,14,FALSE)&gt;0,VLOOKUP(F67,'Exit Prices'!$A:$Q,14,FALSE),0)</f>
        <v>N/A</v>
      </c>
      <c r="O67" s="207" t="s">
        <v>428</v>
      </c>
      <c r="P67" s="204">
        <f ca="1">(VLOOKUP(F67,'Anticipated Exit Bookings'!$B:$C,MATCH('Exit Anticipated Rev. Recovery'!$C$2,'Anticipated Exit Bookings'!$B$1:$C$1,0), FALSE))*VLOOKUP($F67, 'Exit Capacity Split'!A:H, 6,0)/100</f>
        <v>0</v>
      </c>
      <c r="Q67" s="200">
        <f ca="1">IF(VLOOKUP(F67,'Exit Prices'!$A:$Q,15,FALSE)&gt;0,VLOOKUP(F67,'Exit Prices'!$A:$Q,15,FALSE),0)</f>
        <v>1.9820323133808871E-2</v>
      </c>
      <c r="R67" s="202">
        <f ca="1">P67*Q67*'User Inputs'!$D$7/100</f>
        <v>0</v>
      </c>
      <c r="S67" s="209">
        <f ca="1">(VLOOKUP(F67,'Anticipated Exit Bookings'!$B:$C,MATCH('Exit Anticipated Rev. Recovery'!$C$2,'Anticipated Exit Bookings'!$B$1:$C$1,0), FALSE))*VLOOKUP($F67, 'Exit Capacity Split'!A:H, 7,0)/100</f>
        <v>61658.437552244104</v>
      </c>
      <c r="T67" s="205" t="str">
        <f>IF(VLOOKUP(F67,'Exit Prices'!$A:$Q,16,FALSE)&gt;0,VLOOKUP(F67,'Exit Prices'!$A:$Q,16,FALSE),0)</f>
        <v>N/A</v>
      </c>
      <c r="U67" s="207" t="s">
        <v>428</v>
      </c>
      <c r="V67" s="204">
        <f ca="1">(VLOOKUP(F67,'Anticipated Exit Bookings'!$B:$C,MATCH('Exit Anticipated Rev. Recovery'!$C$2,'Anticipated Exit Bookings'!$B$1:$C$1,0), FALSE))*VLOOKUP($F67, 'Exit Capacity Split'!A:H, 8,0)/100</f>
        <v>1676365.9192806773</v>
      </c>
      <c r="W67" s="200">
        <f ca="1">IF(VLOOKUP(F67,'Exit Prices'!$A:$Q,17,FALSE)&gt;0,VLOOKUP(F67,'Exit Prices'!$A:$Q,17,FALSE),0)</f>
        <v>1.7838290820427986E-2</v>
      </c>
      <c r="X67" s="202">
        <f ca="1">V67*W67*'User Inputs'!$D$7/100</f>
        <v>109147.78518197732</v>
      </c>
      <c r="Y67" s="199">
        <f t="shared" ca="1" si="1"/>
        <v>4827345.218524754</v>
      </c>
      <c r="AA67" s="164"/>
    </row>
    <row r="68" spans="5:27">
      <c r="E68" s="213" t="s">
        <v>474</v>
      </c>
      <c r="F68" s="213" t="s">
        <v>89</v>
      </c>
      <c r="G68" s="197">
        <f ca="1">(VLOOKUP(F68,'Anticipated Exit Bookings'!$B:$C,MATCH('Exit Anticipated Rev. Recovery'!$C$2,'Anticipated Exit Bookings'!$B$1:$C$1,0), FALSE))*VLOOKUP($F68, 'Exit Capacity Split'!A:H, 3,0)/100</f>
        <v>39187656.311915971</v>
      </c>
      <c r="H68" s="200">
        <f ca="1">IF(VLOOKUP(F68,'Exit Prices'!$A:$Q,12,FALSE)&gt;0,VLOOKUP(F68,'Exit Prices'!$A:$Q,12,FALSE),0)</f>
        <v>1.9820323133808871E-2</v>
      </c>
      <c r="I68" s="202">
        <f ca="1">G68*H68*'User Inputs'!$D$7/100</f>
        <v>2834998.8399996907</v>
      </c>
      <c r="J68" s="209">
        <f ca="1">(VLOOKUP(F68,'Anticipated Exit Bookings'!$B:$C,MATCH('Exit Anticipated Rev. Recovery'!$C$2,'Anticipated Exit Bookings'!$B$1:$C$1,0), FALSE))*VLOOKUP($F68, 'Exit Capacity Split'!A:H, 4,0)/100</f>
        <v>0</v>
      </c>
      <c r="K68" s="205" t="str">
        <f>IF(VLOOKUP(F68,'Exit Prices'!$A:$Q,13,FALSE)&gt;0,VLOOKUP(F68,'Exit Prices'!$A:$Q,13,FALSE),0)</f>
        <v>N/A</v>
      </c>
      <c r="L68" s="207" t="s">
        <v>428</v>
      </c>
      <c r="M68" s="209">
        <f ca="1">(VLOOKUP(F68,'Anticipated Exit Bookings'!$B:$C,MATCH('Exit Anticipated Rev. Recovery'!$C$2,'Anticipated Exit Bookings'!$B$1:$C$1,0), FALSE))*VLOOKUP($F68, 'Exit Capacity Split'!A:H, 5,0)/100</f>
        <v>0</v>
      </c>
      <c r="N68" s="205" t="str">
        <f>IF(VLOOKUP(F68,'Exit Prices'!$A:$Q,14,FALSE)&gt;0,VLOOKUP(F68,'Exit Prices'!$A:$Q,14,FALSE),0)</f>
        <v>N/A</v>
      </c>
      <c r="O68" s="207" t="s">
        <v>428</v>
      </c>
      <c r="P68" s="204">
        <f ca="1">(VLOOKUP(F68,'Anticipated Exit Bookings'!$B:$C,MATCH('Exit Anticipated Rev. Recovery'!$C$2,'Anticipated Exit Bookings'!$B$1:$C$1,0), FALSE))*VLOOKUP($F68, 'Exit Capacity Split'!A:H, 6,0)/100</f>
        <v>0</v>
      </c>
      <c r="Q68" s="200">
        <f ca="1">IF(VLOOKUP(F68,'Exit Prices'!$A:$Q,15,FALSE)&gt;0,VLOOKUP(F68,'Exit Prices'!$A:$Q,15,FALSE),0)</f>
        <v>1.9820323133808871E-2</v>
      </c>
      <c r="R68" s="202">
        <f ca="1">P68*Q68*'User Inputs'!$D$7/100</f>
        <v>0</v>
      </c>
      <c r="S68" s="209">
        <f ca="1">(VLOOKUP(F68,'Anticipated Exit Bookings'!$B:$C,MATCH('Exit Anticipated Rev. Recovery'!$C$2,'Anticipated Exit Bookings'!$B$1:$C$1,0), FALSE))*VLOOKUP($F68, 'Exit Capacity Split'!A:H, 7,0)/100</f>
        <v>37048.385830891544</v>
      </c>
      <c r="T68" s="205" t="str">
        <f>IF(VLOOKUP(F68,'Exit Prices'!$A:$Q,16,FALSE)&gt;0,VLOOKUP(F68,'Exit Prices'!$A:$Q,16,FALSE),0)</f>
        <v>N/A</v>
      </c>
      <c r="U68" s="207" t="s">
        <v>428</v>
      </c>
      <c r="V68" s="204">
        <f ca="1">(VLOOKUP(F68,'Anticipated Exit Bookings'!$B:$C,MATCH('Exit Anticipated Rev. Recovery'!$C$2,'Anticipated Exit Bookings'!$B$1:$C$1,0), FALSE))*VLOOKUP($F68, 'Exit Capacity Split'!A:H, 8,0)/100</f>
        <v>1007269.30225314</v>
      </c>
      <c r="W68" s="200">
        <f ca="1">IF(VLOOKUP(F68,'Exit Prices'!$A:$Q,17,FALSE)&gt;0,VLOOKUP(F68,'Exit Prices'!$A:$Q,17,FALSE),0)</f>
        <v>1.7838290820427986E-2</v>
      </c>
      <c r="X68" s="202">
        <f ca="1">V68*W68*'User Inputs'!$D$7/100</f>
        <v>65583.064030495982</v>
      </c>
      <c r="Y68" s="199">
        <f t="shared" ca="1" si="1"/>
        <v>2900581.9040301866</v>
      </c>
      <c r="AA68" s="164"/>
    </row>
    <row r="69" spans="5:27">
      <c r="E69" s="213" t="s">
        <v>474</v>
      </c>
      <c r="F69" s="213" t="s">
        <v>90</v>
      </c>
      <c r="G69" s="197">
        <f ca="1">(VLOOKUP(F69,'Anticipated Exit Bookings'!$B:$C,MATCH('Exit Anticipated Rev. Recovery'!$C$2,'Anticipated Exit Bookings'!$B$1:$C$1,0), FALSE))*VLOOKUP($F69, 'Exit Capacity Split'!A:H, 3,0)/100</f>
        <v>6620.605791138596</v>
      </c>
      <c r="H69" s="200">
        <f ca="1">IF(VLOOKUP(F69,'Exit Prices'!$A:$Q,12,FALSE)&gt;0,VLOOKUP(F69,'Exit Prices'!$A:$Q,12,FALSE),0)</f>
        <v>9.9101615669044355E-3</v>
      </c>
      <c r="I69" s="202">
        <f ca="1">G69*H69*'User Inputs'!$D$7/100</f>
        <v>239.48114667252827</v>
      </c>
      <c r="J69" s="209">
        <f ca="1">(VLOOKUP(F69,'Anticipated Exit Bookings'!$B:$C,MATCH('Exit Anticipated Rev. Recovery'!$C$2,'Anticipated Exit Bookings'!$B$1:$C$1,0), FALSE))*VLOOKUP($F69, 'Exit Capacity Split'!A:H, 4,0)/100</f>
        <v>0</v>
      </c>
      <c r="K69" s="205" t="str">
        <f>IF(VLOOKUP(F69,'Exit Prices'!$A:$Q,13,FALSE)&gt;0,VLOOKUP(F69,'Exit Prices'!$A:$Q,13,FALSE),0)</f>
        <v>N/A</v>
      </c>
      <c r="L69" s="207" t="s">
        <v>428</v>
      </c>
      <c r="M69" s="209">
        <f ca="1">(VLOOKUP(F69,'Anticipated Exit Bookings'!$B:$C,MATCH('Exit Anticipated Rev. Recovery'!$C$2,'Anticipated Exit Bookings'!$B$1:$C$1,0), FALSE))*VLOOKUP($F69, 'Exit Capacity Split'!A:H, 5,0)/100</f>
        <v>0</v>
      </c>
      <c r="N69" s="205" t="str">
        <f>IF(VLOOKUP(F69,'Exit Prices'!$A:$Q,14,FALSE)&gt;0,VLOOKUP(F69,'Exit Prices'!$A:$Q,14,FALSE),0)</f>
        <v>N/A</v>
      </c>
      <c r="O69" s="207" t="s">
        <v>428</v>
      </c>
      <c r="P69" s="204">
        <f ca="1">(VLOOKUP(F69,'Anticipated Exit Bookings'!$B:$C,MATCH('Exit Anticipated Rev. Recovery'!$C$2,'Anticipated Exit Bookings'!$B$1:$C$1,0), FALSE))*VLOOKUP($F69, 'Exit Capacity Split'!A:H, 6,0)/100</f>
        <v>0</v>
      </c>
      <c r="Q69" s="200">
        <f ca="1">IF(VLOOKUP(F69,'Exit Prices'!$A:$Q,15,FALSE)&gt;0,VLOOKUP(F69,'Exit Prices'!$A:$Q,15,FALSE),0)</f>
        <v>9.9101615669044355E-3</v>
      </c>
      <c r="R69" s="202">
        <f ca="1">P69*Q69*'User Inputs'!$D$7/100</f>
        <v>0</v>
      </c>
      <c r="S69" s="209">
        <f ca="1">(VLOOKUP(F69,'Anticipated Exit Bookings'!$B:$C,MATCH('Exit Anticipated Rev. Recovery'!$C$2,'Anticipated Exit Bookings'!$B$1:$C$1,0), FALSE))*VLOOKUP($F69, 'Exit Capacity Split'!A:H, 7,0)/100</f>
        <v>37.048304890300571</v>
      </c>
      <c r="T69" s="205" t="str">
        <f>IF(VLOOKUP(F69,'Exit Prices'!$A:$Q,16,FALSE)&gt;0,VLOOKUP(F69,'Exit Prices'!$A:$Q,16,FALSE),0)</f>
        <v>N/A</v>
      </c>
      <c r="U69" s="207" t="s">
        <v>428</v>
      </c>
      <c r="V69" s="204">
        <f ca="1">(VLOOKUP(F69,'Anticipated Exit Bookings'!$B:$C,MATCH('Exit Anticipated Rev. Recovery'!$C$2,'Anticipated Exit Bookings'!$B$1:$C$1,0), FALSE))*VLOOKUP($F69, 'Exit Capacity Split'!A:H, 8,0)/100</f>
        <v>17273.345903971109</v>
      </c>
      <c r="W69" s="200">
        <f ca="1">IF(VLOOKUP(F69,'Exit Prices'!$A:$Q,17,FALSE)&gt;0,VLOOKUP(F69,'Exit Prices'!$A:$Q,17,FALSE),0)</f>
        <v>8.9191454102139928E-3</v>
      </c>
      <c r="X69" s="202">
        <f ca="1">V69*W69*'User Inputs'!$D$7/100</f>
        <v>562.3317160103154</v>
      </c>
      <c r="Y69" s="199">
        <f t="shared" ca="1" si="1"/>
        <v>801.81286268284362</v>
      </c>
      <c r="AA69" s="164"/>
    </row>
    <row r="70" spans="5:27">
      <c r="E70" s="213" t="s">
        <v>474</v>
      </c>
      <c r="F70" s="213" t="s">
        <v>91</v>
      </c>
      <c r="G70" s="197">
        <f ca="1">(VLOOKUP(F70,'Anticipated Exit Bookings'!$B:$C,MATCH('Exit Anticipated Rev. Recovery'!$C$2,'Anticipated Exit Bookings'!$B$1:$C$1,0), FALSE))*VLOOKUP($F70, 'Exit Capacity Split'!A:H, 3,0)/100</f>
        <v>718112.79392503691</v>
      </c>
      <c r="H70" s="200">
        <f ca="1">IF(VLOOKUP(F70,'Exit Prices'!$A:$Q,12,FALSE)&gt;0,VLOOKUP(F70,'Exit Prices'!$A:$Q,12,FALSE),0)</f>
        <v>1.9820323133808871E-2</v>
      </c>
      <c r="I70" s="202">
        <f ca="1">G70*H70*'User Inputs'!$D$7/100</f>
        <v>51951.280820725347</v>
      </c>
      <c r="J70" s="209">
        <f ca="1">(VLOOKUP(F70,'Anticipated Exit Bookings'!$B:$C,MATCH('Exit Anticipated Rev. Recovery'!$C$2,'Anticipated Exit Bookings'!$B$1:$C$1,0), FALSE))*VLOOKUP($F70, 'Exit Capacity Split'!A:H, 4,0)/100</f>
        <v>0</v>
      </c>
      <c r="K70" s="205" t="str">
        <f>IF(VLOOKUP(F70,'Exit Prices'!$A:$Q,13,FALSE)&gt;0,VLOOKUP(F70,'Exit Prices'!$A:$Q,13,FALSE),0)</f>
        <v>N/A</v>
      </c>
      <c r="L70" s="207" t="s">
        <v>428</v>
      </c>
      <c r="M70" s="209">
        <f ca="1">(VLOOKUP(F70,'Anticipated Exit Bookings'!$B:$C,MATCH('Exit Anticipated Rev. Recovery'!$C$2,'Anticipated Exit Bookings'!$B$1:$C$1,0), FALSE))*VLOOKUP($F70, 'Exit Capacity Split'!A:H, 5,0)/100</f>
        <v>0</v>
      </c>
      <c r="N70" s="205" t="str">
        <f>IF(VLOOKUP(F70,'Exit Prices'!$A:$Q,14,FALSE)&gt;0,VLOOKUP(F70,'Exit Prices'!$A:$Q,14,FALSE),0)</f>
        <v>N/A</v>
      </c>
      <c r="O70" s="207" t="s">
        <v>428</v>
      </c>
      <c r="P70" s="204">
        <f ca="1">(VLOOKUP(F70,'Anticipated Exit Bookings'!$B:$C,MATCH('Exit Anticipated Rev. Recovery'!$C$2,'Anticipated Exit Bookings'!$B$1:$C$1,0), FALSE))*VLOOKUP($F70, 'Exit Capacity Split'!A:H, 6,0)/100</f>
        <v>3805.5795349950472</v>
      </c>
      <c r="Q70" s="200">
        <f ca="1">IF(VLOOKUP(F70,'Exit Prices'!$A:$Q,15,FALSE)&gt;0,VLOOKUP(F70,'Exit Prices'!$A:$Q,15,FALSE),0)</f>
        <v>1.9820323133808871E-2</v>
      </c>
      <c r="R70" s="202">
        <f ca="1">P70*Q70*'User Inputs'!$D$7/100</f>
        <v>275.31152874679356</v>
      </c>
      <c r="S70" s="209">
        <f ca="1">(VLOOKUP(F70,'Anticipated Exit Bookings'!$B:$C,MATCH('Exit Anticipated Rev. Recovery'!$C$2,'Anticipated Exit Bookings'!$B$1:$C$1,0), FALSE))*VLOOKUP($F70, 'Exit Capacity Split'!A:H, 7,0)/100</f>
        <v>968.89638237181634</v>
      </c>
      <c r="T70" s="205" t="str">
        <f>IF(VLOOKUP(F70,'Exit Prices'!$A:$Q,16,FALSE)&gt;0,VLOOKUP(F70,'Exit Prices'!$A:$Q,16,FALSE),0)</f>
        <v>N/A</v>
      </c>
      <c r="U70" s="207" t="s">
        <v>428</v>
      </c>
      <c r="V70" s="204">
        <f ca="1">(VLOOKUP(F70,'Anticipated Exit Bookings'!$B:$C,MATCH('Exit Anticipated Rev. Recovery'!$C$2,'Anticipated Exit Bookings'!$B$1:$C$1,0), FALSE))*VLOOKUP($F70, 'Exit Capacity Split'!A:H, 8,0)/100</f>
        <v>734327.73015759606</v>
      </c>
      <c r="W70" s="200">
        <f ca="1">IF(VLOOKUP(F70,'Exit Prices'!$A:$Q,17,FALSE)&gt;0,VLOOKUP(F70,'Exit Prices'!$A:$Q,17,FALSE),0)</f>
        <v>1.7838290820427986E-2</v>
      </c>
      <c r="X70" s="202">
        <f ca="1">V70*W70*'User Inputs'!$D$7/100</f>
        <v>47811.903369404274</v>
      </c>
      <c r="Y70" s="199">
        <f t="shared" ca="1" si="1"/>
        <v>100038.49571887642</v>
      </c>
      <c r="AA70" s="164"/>
    </row>
    <row r="71" spans="5:27">
      <c r="E71" s="213" t="s">
        <v>474</v>
      </c>
      <c r="F71" s="213" t="s">
        <v>92</v>
      </c>
      <c r="G71" s="197">
        <f ca="1">(VLOOKUP(F71,'Anticipated Exit Bookings'!$B:$C,MATCH('Exit Anticipated Rev. Recovery'!$C$2,'Anticipated Exit Bookings'!$B$1:$C$1,0), FALSE))*VLOOKUP($F71, 'Exit Capacity Split'!A:H, 3,0)/100</f>
        <v>17770299.749135736</v>
      </c>
      <c r="H71" s="200">
        <f ca="1">IF(VLOOKUP(F71,'Exit Prices'!$A:$Q,12,FALSE)&gt;0,VLOOKUP(F71,'Exit Prices'!$A:$Q,12,FALSE),0)</f>
        <v>1.9820323133808871E-2</v>
      </c>
      <c r="I71" s="202">
        <f ca="1">G71*H71*'User Inputs'!$D$7/100</f>
        <v>1285577.7537256726</v>
      </c>
      <c r="J71" s="209">
        <f ca="1">(VLOOKUP(F71,'Anticipated Exit Bookings'!$B:$C,MATCH('Exit Anticipated Rev. Recovery'!$C$2,'Anticipated Exit Bookings'!$B$1:$C$1,0), FALSE))*VLOOKUP($F71, 'Exit Capacity Split'!A:H, 4,0)/100</f>
        <v>0</v>
      </c>
      <c r="K71" s="205" t="str">
        <f>IF(VLOOKUP(F71,'Exit Prices'!$A:$Q,13,FALSE)&gt;0,VLOOKUP(F71,'Exit Prices'!$A:$Q,13,FALSE),0)</f>
        <v>N/A</v>
      </c>
      <c r="L71" s="207" t="s">
        <v>428</v>
      </c>
      <c r="M71" s="209">
        <f ca="1">(VLOOKUP(F71,'Anticipated Exit Bookings'!$B:$C,MATCH('Exit Anticipated Rev. Recovery'!$C$2,'Anticipated Exit Bookings'!$B$1:$C$1,0), FALSE))*VLOOKUP($F71, 'Exit Capacity Split'!A:H, 5,0)/100</f>
        <v>0</v>
      </c>
      <c r="N71" s="205" t="str">
        <f>IF(VLOOKUP(F71,'Exit Prices'!$A:$Q,14,FALSE)&gt;0,VLOOKUP(F71,'Exit Prices'!$A:$Q,14,FALSE),0)</f>
        <v>N/A</v>
      </c>
      <c r="O71" s="207" t="s">
        <v>428</v>
      </c>
      <c r="P71" s="204">
        <f ca="1">(VLOOKUP(F71,'Anticipated Exit Bookings'!$B:$C,MATCH('Exit Anticipated Rev. Recovery'!$C$2,'Anticipated Exit Bookings'!$B$1:$C$1,0), FALSE))*VLOOKUP($F71, 'Exit Capacity Split'!A:H, 6,0)/100</f>
        <v>94172.238161095927</v>
      </c>
      <c r="Q71" s="200">
        <f ca="1">IF(VLOOKUP(F71,'Exit Prices'!$A:$Q,15,FALSE)&gt;0,VLOOKUP(F71,'Exit Prices'!$A:$Q,15,FALSE),0)</f>
        <v>1.9820323133808871E-2</v>
      </c>
      <c r="R71" s="202">
        <f ca="1">P71*Q71*'User Inputs'!$D$7/100</f>
        <v>6812.8132956422878</v>
      </c>
      <c r="S71" s="209">
        <f ca="1">(VLOOKUP(F71,'Anticipated Exit Bookings'!$B:$C,MATCH('Exit Anticipated Rev. Recovery'!$C$2,'Anticipated Exit Bookings'!$B$1:$C$1,0), FALSE))*VLOOKUP($F71, 'Exit Capacity Split'!A:H, 7,0)/100</f>
        <v>23976.148714038558</v>
      </c>
      <c r="T71" s="205" t="str">
        <f>IF(VLOOKUP(F71,'Exit Prices'!$A:$Q,16,FALSE)&gt;0,VLOOKUP(F71,'Exit Prices'!$A:$Q,16,FALSE),0)</f>
        <v>N/A</v>
      </c>
      <c r="U71" s="207" t="s">
        <v>428</v>
      </c>
      <c r="V71" s="204">
        <f ca="1">(VLOOKUP(F71,'Anticipated Exit Bookings'!$B:$C,MATCH('Exit Anticipated Rev. Recovery'!$C$2,'Anticipated Exit Bookings'!$B$1:$C$1,0), FALSE))*VLOOKUP($F71, 'Exit Capacity Split'!A:H, 8,0)/100</f>
        <v>18171551.863989126</v>
      </c>
      <c r="W71" s="200">
        <f ca="1">IF(VLOOKUP(F71,'Exit Prices'!$A:$Q,17,FALSE)&gt;0,VLOOKUP(F71,'Exit Prices'!$A:$Q,17,FALSE),0)</f>
        <v>1.7838290820427986E-2</v>
      </c>
      <c r="X71" s="202">
        <f ca="1">V71*W71*'User Inputs'!$D$7/100</f>
        <v>1183145.4078503982</v>
      </c>
      <c r="Y71" s="199">
        <f t="shared" ca="1" si="1"/>
        <v>2475535.9748717132</v>
      </c>
      <c r="AA71" s="164"/>
    </row>
    <row r="72" spans="5:27">
      <c r="E72" s="213" t="s">
        <v>474</v>
      </c>
      <c r="F72" s="213" t="s">
        <v>93</v>
      </c>
      <c r="G72" s="197">
        <f ca="1">(VLOOKUP(F72,'Anticipated Exit Bookings'!$B:$C,MATCH('Exit Anticipated Rev. Recovery'!$C$2,'Anticipated Exit Bookings'!$B$1:$C$1,0), FALSE))*VLOOKUP($F72, 'Exit Capacity Split'!A:H, 3,0)/100</f>
        <v>26680706.869877089</v>
      </c>
      <c r="H72" s="200">
        <f ca="1">IF(VLOOKUP(F72,'Exit Prices'!$A:$Q,12,FALSE)&gt;0,VLOOKUP(F72,'Exit Prices'!$A:$Q,12,FALSE),0)</f>
        <v>1.9820323133808871E-2</v>
      </c>
      <c r="I72" s="202">
        <f ca="1">G72*H72*'User Inputs'!$D$7/100</f>
        <v>1930193.8453378035</v>
      </c>
      <c r="J72" s="209">
        <f ca="1">(VLOOKUP(F72,'Anticipated Exit Bookings'!$B:$C,MATCH('Exit Anticipated Rev. Recovery'!$C$2,'Anticipated Exit Bookings'!$B$1:$C$1,0), FALSE))*VLOOKUP($F72, 'Exit Capacity Split'!A:H, 4,0)/100</f>
        <v>0</v>
      </c>
      <c r="K72" s="205" t="str">
        <f>IF(VLOOKUP(F72,'Exit Prices'!$A:$Q,13,FALSE)&gt;0,VLOOKUP(F72,'Exit Prices'!$A:$Q,13,FALSE),0)</f>
        <v>N/A</v>
      </c>
      <c r="L72" s="207" t="s">
        <v>428</v>
      </c>
      <c r="M72" s="209">
        <f ca="1">(VLOOKUP(F72,'Anticipated Exit Bookings'!$B:$C,MATCH('Exit Anticipated Rev. Recovery'!$C$2,'Anticipated Exit Bookings'!$B$1:$C$1,0), FALSE))*VLOOKUP($F72, 'Exit Capacity Split'!A:H, 5,0)/100</f>
        <v>0</v>
      </c>
      <c r="N72" s="205" t="str">
        <f>IF(VLOOKUP(F72,'Exit Prices'!$A:$Q,14,FALSE)&gt;0,VLOOKUP(F72,'Exit Prices'!$A:$Q,14,FALSE),0)</f>
        <v>N/A</v>
      </c>
      <c r="O72" s="207" t="s">
        <v>428</v>
      </c>
      <c r="P72" s="204">
        <f ca="1">(VLOOKUP(F72,'Anticipated Exit Bookings'!$B:$C,MATCH('Exit Anticipated Rev. Recovery'!$C$2,'Anticipated Exit Bookings'!$B$1:$C$1,0), FALSE))*VLOOKUP($F72, 'Exit Capacity Split'!A:H, 6,0)/100</f>
        <v>0</v>
      </c>
      <c r="Q72" s="200">
        <f ca="1">IF(VLOOKUP(F72,'Exit Prices'!$A:$Q,15,FALSE)&gt;0,VLOOKUP(F72,'Exit Prices'!$A:$Q,15,FALSE),0)</f>
        <v>1.9820323133808871E-2</v>
      </c>
      <c r="R72" s="202">
        <f ca="1">P72*Q72*'User Inputs'!$D$7/100</f>
        <v>0</v>
      </c>
      <c r="S72" s="209">
        <f ca="1">(VLOOKUP(F72,'Anticipated Exit Bookings'!$B:$C,MATCH('Exit Anticipated Rev. Recovery'!$C$2,'Anticipated Exit Bookings'!$B$1:$C$1,0), FALSE))*VLOOKUP($F72, 'Exit Capacity Split'!A:H, 7,0)/100</f>
        <v>25224.195968452303</v>
      </c>
      <c r="T72" s="205" t="str">
        <f>IF(VLOOKUP(F72,'Exit Prices'!$A:$Q,16,FALSE)&gt;0,VLOOKUP(F72,'Exit Prices'!$A:$Q,16,FALSE),0)</f>
        <v>N/A</v>
      </c>
      <c r="U72" s="207" t="s">
        <v>428</v>
      </c>
      <c r="V72" s="204">
        <f ca="1">(VLOOKUP(F72,'Anticipated Exit Bookings'!$B:$C,MATCH('Exit Anticipated Rev. Recovery'!$C$2,'Anticipated Exit Bookings'!$B$1:$C$1,0), FALSE))*VLOOKUP($F72, 'Exit Capacity Split'!A:H, 8,0)/100</f>
        <v>685793.93415445869</v>
      </c>
      <c r="W72" s="200">
        <f ca="1">IF(VLOOKUP(F72,'Exit Prices'!$A:$Q,17,FALSE)&gt;0,VLOOKUP(F72,'Exit Prices'!$A:$Q,17,FALSE),0)</f>
        <v>1.7838290820427986E-2</v>
      </c>
      <c r="X72" s="202">
        <f ca="1">V72*W72*'User Inputs'!$D$7/100</f>
        <v>44651.879487214268</v>
      </c>
      <c r="Y72" s="199">
        <f t="shared" ca="1" si="1"/>
        <v>1974845.7248250179</v>
      </c>
      <c r="AA72" s="164"/>
    </row>
    <row r="73" spans="5:27">
      <c r="E73" s="213" t="s">
        <v>474</v>
      </c>
      <c r="F73" s="213" t="s">
        <v>94</v>
      </c>
      <c r="G73" s="197">
        <f ca="1">(VLOOKUP(F73,'Anticipated Exit Bookings'!$B:$C,MATCH('Exit Anticipated Rev. Recovery'!$C$2,'Anticipated Exit Bookings'!$B$1:$C$1,0), FALSE))*VLOOKUP($F73, 'Exit Capacity Split'!A:H, 3,0)/100</f>
        <v>15945941.23761397</v>
      </c>
      <c r="H73" s="200">
        <f ca="1">IF(VLOOKUP(F73,'Exit Prices'!$A:$Q,12,FALSE)&gt;0,VLOOKUP(F73,'Exit Prices'!$A:$Q,12,FALSE),0)</f>
        <v>1.9820323133808871E-2</v>
      </c>
      <c r="I73" s="202">
        <f ca="1">G73*H73*'User Inputs'!$D$7/100</f>
        <v>1153596.034208165</v>
      </c>
      <c r="J73" s="209">
        <f ca="1">(VLOOKUP(F73,'Anticipated Exit Bookings'!$B:$C,MATCH('Exit Anticipated Rev. Recovery'!$C$2,'Anticipated Exit Bookings'!$B$1:$C$1,0), FALSE))*VLOOKUP($F73, 'Exit Capacity Split'!A:H, 4,0)/100</f>
        <v>0</v>
      </c>
      <c r="K73" s="205" t="str">
        <f>IF(VLOOKUP(F73,'Exit Prices'!$A:$Q,13,FALSE)&gt;0,VLOOKUP(F73,'Exit Prices'!$A:$Q,13,FALSE),0)</f>
        <v>N/A</v>
      </c>
      <c r="L73" s="207" t="s">
        <v>428</v>
      </c>
      <c r="M73" s="209">
        <f ca="1">(VLOOKUP(F73,'Anticipated Exit Bookings'!$B:$C,MATCH('Exit Anticipated Rev. Recovery'!$C$2,'Anticipated Exit Bookings'!$B$1:$C$1,0), FALSE))*VLOOKUP($F73, 'Exit Capacity Split'!A:H, 5,0)/100</f>
        <v>0</v>
      </c>
      <c r="N73" s="205" t="str">
        <f>IF(VLOOKUP(F73,'Exit Prices'!$A:$Q,14,FALSE)&gt;0,VLOOKUP(F73,'Exit Prices'!$A:$Q,14,FALSE),0)</f>
        <v>N/A</v>
      </c>
      <c r="O73" s="207" t="s">
        <v>428</v>
      </c>
      <c r="P73" s="204">
        <f ca="1">(VLOOKUP(F73,'Anticipated Exit Bookings'!$B:$C,MATCH('Exit Anticipated Rev. Recovery'!$C$2,'Anticipated Exit Bookings'!$B$1:$C$1,0), FALSE))*VLOOKUP($F73, 'Exit Capacity Split'!A:H, 6,0)/100</f>
        <v>0</v>
      </c>
      <c r="Q73" s="200">
        <f ca="1">IF(VLOOKUP(F73,'Exit Prices'!$A:$Q,15,FALSE)&gt;0,VLOOKUP(F73,'Exit Prices'!$A:$Q,15,FALSE),0)</f>
        <v>1.9820323133808871E-2</v>
      </c>
      <c r="R73" s="202">
        <f ca="1">P73*Q73*'User Inputs'!$D$7/100</f>
        <v>0</v>
      </c>
      <c r="S73" s="209">
        <f ca="1">(VLOOKUP(F73,'Anticipated Exit Bookings'!$B:$C,MATCH('Exit Anticipated Rev. Recovery'!$C$2,'Anticipated Exit Bookings'!$B$1:$C$1,0), FALSE))*VLOOKUP($F73, 'Exit Capacity Split'!A:H, 7,0)/100</f>
        <v>15075.445663439898</v>
      </c>
      <c r="T73" s="205" t="str">
        <f>IF(VLOOKUP(F73,'Exit Prices'!$A:$Q,16,FALSE)&gt;0,VLOOKUP(F73,'Exit Prices'!$A:$Q,16,FALSE),0)</f>
        <v>N/A</v>
      </c>
      <c r="U73" s="207" t="s">
        <v>428</v>
      </c>
      <c r="V73" s="204">
        <f ca="1">(VLOOKUP(F73,'Anticipated Exit Bookings'!$B:$C,MATCH('Exit Anticipated Rev. Recovery'!$C$2,'Anticipated Exit Bookings'!$B$1:$C$1,0), FALSE))*VLOOKUP($F73, 'Exit Capacity Split'!A:H, 8,0)/100</f>
        <v>409870.31672258989</v>
      </c>
      <c r="W73" s="200">
        <f ca="1">IF(VLOOKUP(F73,'Exit Prices'!$A:$Q,17,FALSE)&gt;0,VLOOKUP(F73,'Exit Prices'!$A:$Q,17,FALSE),0)</f>
        <v>1.7838290820427986E-2</v>
      </c>
      <c r="X73" s="202">
        <f ca="1">V73*W73*'User Inputs'!$D$7/100</f>
        <v>26686.558565508476</v>
      </c>
      <c r="Y73" s="199">
        <f t="shared" ca="1" si="1"/>
        <v>1180282.5927736736</v>
      </c>
      <c r="AA73" s="164"/>
    </row>
    <row r="74" spans="5:27">
      <c r="E74" s="213" t="s">
        <v>474</v>
      </c>
      <c r="F74" s="213" t="s">
        <v>95</v>
      </c>
      <c r="G74" s="197">
        <f ca="1">(VLOOKUP(F74,'Anticipated Exit Bookings'!$B:$C,MATCH('Exit Anticipated Rev. Recovery'!$C$2,'Anticipated Exit Bookings'!$B$1:$C$1,0), FALSE))*VLOOKUP($F74, 'Exit Capacity Split'!A:H, 3,0)/100</f>
        <v>54546385.2573402</v>
      </c>
      <c r="H74" s="200">
        <f ca="1">IF(VLOOKUP(F74,'Exit Prices'!$A:$Q,12,FALSE)&gt;0,VLOOKUP(F74,'Exit Prices'!$A:$Q,12,FALSE),0)</f>
        <v>1.9820323133808871E-2</v>
      </c>
      <c r="I74" s="202">
        <f ca="1">G74*H74*'User Inputs'!$D$7/100</f>
        <v>3946113.4827732462</v>
      </c>
      <c r="J74" s="209">
        <f ca="1">(VLOOKUP(F74,'Anticipated Exit Bookings'!$B:$C,MATCH('Exit Anticipated Rev. Recovery'!$C$2,'Anticipated Exit Bookings'!$B$1:$C$1,0), FALSE))*VLOOKUP($F74, 'Exit Capacity Split'!A:H, 4,0)/100</f>
        <v>0</v>
      </c>
      <c r="K74" s="205" t="str">
        <f>IF(VLOOKUP(F74,'Exit Prices'!$A:$Q,13,FALSE)&gt;0,VLOOKUP(F74,'Exit Prices'!$A:$Q,13,FALSE),0)</f>
        <v>N/A</v>
      </c>
      <c r="L74" s="207" t="s">
        <v>428</v>
      </c>
      <c r="M74" s="209">
        <f ca="1">(VLOOKUP(F74,'Anticipated Exit Bookings'!$B:$C,MATCH('Exit Anticipated Rev. Recovery'!$C$2,'Anticipated Exit Bookings'!$B$1:$C$1,0), FALSE))*VLOOKUP($F74, 'Exit Capacity Split'!A:H, 5,0)/100</f>
        <v>0</v>
      </c>
      <c r="N74" s="205" t="str">
        <f>IF(VLOOKUP(F74,'Exit Prices'!$A:$Q,14,FALSE)&gt;0,VLOOKUP(F74,'Exit Prices'!$A:$Q,14,FALSE),0)</f>
        <v>N/A</v>
      </c>
      <c r="O74" s="207" t="s">
        <v>428</v>
      </c>
      <c r="P74" s="204">
        <f ca="1">(VLOOKUP(F74,'Anticipated Exit Bookings'!$B:$C,MATCH('Exit Anticipated Rev. Recovery'!$C$2,'Anticipated Exit Bookings'!$B$1:$C$1,0), FALSE))*VLOOKUP($F74, 'Exit Capacity Split'!A:H, 6,0)/100</f>
        <v>0</v>
      </c>
      <c r="Q74" s="200">
        <f ca="1">IF(VLOOKUP(F74,'Exit Prices'!$A:$Q,15,FALSE)&gt;0,VLOOKUP(F74,'Exit Prices'!$A:$Q,15,FALSE),0)</f>
        <v>1.9820323133808871E-2</v>
      </c>
      <c r="R74" s="202">
        <f ca="1">P74*Q74*'User Inputs'!$D$7/100</f>
        <v>0</v>
      </c>
      <c r="S74" s="209">
        <f ca="1">(VLOOKUP(F74,'Anticipated Exit Bookings'!$B:$C,MATCH('Exit Anticipated Rev. Recovery'!$C$2,'Anticipated Exit Bookings'!$B$1:$C$1,0), FALSE))*VLOOKUP($F74, 'Exit Capacity Split'!A:H, 7,0)/100</f>
        <v>51568.675365765717</v>
      </c>
      <c r="T74" s="205" t="str">
        <f>IF(VLOOKUP(F74,'Exit Prices'!$A:$Q,16,FALSE)&gt;0,VLOOKUP(F74,'Exit Prices'!$A:$Q,16,FALSE),0)</f>
        <v>N/A</v>
      </c>
      <c r="U74" s="207" t="s">
        <v>428</v>
      </c>
      <c r="V74" s="204">
        <f ca="1">(VLOOKUP(F74,'Anticipated Exit Bookings'!$B:$C,MATCH('Exit Anticipated Rev. Recovery'!$C$2,'Anticipated Exit Bookings'!$B$1:$C$1,0), FALSE))*VLOOKUP($F74, 'Exit Capacity Split'!A:H, 8,0)/100</f>
        <v>1402046.0672940346</v>
      </c>
      <c r="W74" s="200">
        <f ca="1">IF(VLOOKUP(F74,'Exit Prices'!$A:$Q,17,FALSE)&gt;0,VLOOKUP(F74,'Exit Prices'!$A:$Q,17,FALSE),0)</f>
        <v>1.7838290820427986E-2</v>
      </c>
      <c r="X74" s="202">
        <f ca="1">V74*W74*'User Inputs'!$D$7/100</f>
        <v>91286.885045903415</v>
      </c>
      <c r="Y74" s="199">
        <f t="shared" ca="1" si="1"/>
        <v>4037400.3678191495</v>
      </c>
      <c r="AA74" s="164"/>
    </row>
    <row r="75" spans="5:27">
      <c r="E75" s="213" t="s">
        <v>474</v>
      </c>
      <c r="F75" s="213" t="s">
        <v>96</v>
      </c>
      <c r="G75" s="197">
        <f ca="1">(VLOOKUP(F75,'Anticipated Exit Bookings'!$B:$C,MATCH('Exit Anticipated Rev. Recovery'!$C$2,'Anticipated Exit Bookings'!$B$1:$C$1,0), FALSE))*VLOOKUP($F75, 'Exit Capacity Split'!A:H, 3,0)/100</f>
        <v>0</v>
      </c>
      <c r="H75" s="200">
        <f ca="1">IF(VLOOKUP(F75,'Exit Prices'!$A:$Q,12,FALSE)&gt;0,VLOOKUP(F75,'Exit Prices'!$A:$Q,12,FALSE),0)</f>
        <v>1.9820323133808871E-2</v>
      </c>
      <c r="I75" s="202">
        <f ca="1">G75*H75*'User Inputs'!$D$7/100</f>
        <v>0</v>
      </c>
      <c r="J75" s="209">
        <f ca="1">(VLOOKUP(F75,'Anticipated Exit Bookings'!$B:$C,MATCH('Exit Anticipated Rev. Recovery'!$C$2,'Anticipated Exit Bookings'!$B$1:$C$1,0), FALSE))*VLOOKUP($F75, 'Exit Capacity Split'!A:H, 4,0)/100</f>
        <v>0</v>
      </c>
      <c r="K75" s="205" t="str">
        <f>IF(VLOOKUP(F75,'Exit Prices'!$A:$Q,13,FALSE)&gt;0,VLOOKUP(F75,'Exit Prices'!$A:$Q,13,FALSE),0)</f>
        <v>N/A</v>
      </c>
      <c r="L75" s="207" t="s">
        <v>428</v>
      </c>
      <c r="M75" s="209">
        <f ca="1">(VLOOKUP(F75,'Anticipated Exit Bookings'!$B:$C,MATCH('Exit Anticipated Rev. Recovery'!$C$2,'Anticipated Exit Bookings'!$B$1:$C$1,0), FALSE))*VLOOKUP($F75, 'Exit Capacity Split'!A:H, 5,0)/100</f>
        <v>0</v>
      </c>
      <c r="N75" s="205" t="str">
        <f>IF(VLOOKUP(F75,'Exit Prices'!$A:$Q,14,FALSE)&gt;0,VLOOKUP(F75,'Exit Prices'!$A:$Q,14,FALSE),0)</f>
        <v>N/A</v>
      </c>
      <c r="O75" s="207" t="s">
        <v>428</v>
      </c>
      <c r="P75" s="204">
        <f ca="1">(VLOOKUP(F75,'Anticipated Exit Bookings'!$B:$C,MATCH('Exit Anticipated Rev. Recovery'!$C$2,'Anticipated Exit Bookings'!$B$1:$C$1,0), FALSE))*VLOOKUP($F75, 'Exit Capacity Split'!A:H, 6,0)/100</f>
        <v>0</v>
      </c>
      <c r="Q75" s="200">
        <f ca="1">IF(VLOOKUP(F75,'Exit Prices'!$A:$Q,15,FALSE)&gt;0,VLOOKUP(F75,'Exit Prices'!$A:$Q,15,FALSE),0)</f>
        <v>1.9820323133808871E-2</v>
      </c>
      <c r="R75" s="202">
        <f ca="1">P75*Q75*'User Inputs'!$D$7/100</f>
        <v>0</v>
      </c>
      <c r="S75" s="209">
        <f ca="1">(VLOOKUP(F75,'Anticipated Exit Bookings'!$B:$C,MATCH('Exit Anticipated Rev. Recovery'!$C$2,'Anticipated Exit Bookings'!$B$1:$C$1,0), FALSE))*VLOOKUP($F75, 'Exit Capacity Split'!A:H, 7,0)/100</f>
        <v>0</v>
      </c>
      <c r="T75" s="205" t="str">
        <f>IF(VLOOKUP(F75,'Exit Prices'!$A:$Q,16,FALSE)&gt;0,VLOOKUP(F75,'Exit Prices'!$A:$Q,16,FALSE),0)</f>
        <v>N/A</v>
      </c>
      <c r="U75" s="207" t="s">
        <v>428</v>
      </c>
      <c r="V75" s="204">
        <f ca="1">(VLOOKUP(F75,'Anticipated Exit Bookings'!$B:$C,MATCH('Exit Anticipated Rev. Recovery'!$C$2,'Anticipated Exit Bookings'!$B$1:$C$1,0), FALSE))*VLOOKUP($F75, 'Exit Capacity Split'!A:H, 8,0)/100</f>
        <v>0</v>
      </c>
      <c r="W75" s="200">
        <f ca="1">IF(VLOOKUP(F75,'Exit Prices'!$A:$Q,17,FALSE)&gt;0,VLOOKUP(F75,'Exit Prices'!$A:$Q,17,FALSE),0)</f>
        <v>1.7838290820427986E-2</v>
      </c>
      <c r="X75" s="202">
        <f ca="1">V75*W75*'User Inputs'!$D$7/100</f>
        <v>0</v>
      </c>
      <c r="Y75" s="199">
        <f t="shared" ca="1" si="1"/>
        <v>0</v>
      </c>
      <c r="AA75" s="164"/>
    </row>
    <row r="76" spans="5:27">
      <c r="E76" s="213" t="s">
        <v>474</v>
      </c>
      <c r="F76" s="213" t="s">
        <v>97</v>
      </c>
      <c r="G76" s="197">
        <f ca="1">(VLOOKUP(F76,'Anticipated Exit Bookings'!$B:$C,MATCH('Exit Anticipated Rev. Recovery'!$C$2,'Anticipated Exit Bookings'!$B$1:$C$1,0), FALSE))*VLOOKUP($F76, 'Exit Capacity Split'!A:H, 3,0)/100</f>
        <v>6067942.5210584216</v>
      </c>
      <c r="H76" s="200">
        <f ca="1">IF(VLOOKUP(F76,'Exit Prices'!$A:$Q,12,FALSE)&gt;0,VLOOKUP(F76,'Exit Prices'!$A:$Q,12,FALSE),0)</f>
        <v>1.9820323133808871E-2</v>
      </c>
      <c r="I76" s="202">
        <f ca="1">G76*H76*'User Inputs'!$D$7/100</f>
        <v>438980.32256536215</v>
      </c>
      <c r="J76" s="209">
        <f ca="1">(VLOOKUP(F76,'Anticipated Exit Bookings'!$B:$C,MATCH('Exit Anticipated Rev. Recovery'!$C$2,'Anticipated Exit Bookings'!$B$1:$C$1,0), FALSE))*VLOOKUP($F76, 'Exit Capacity Split'!A:H, 4,0)/100</f>
        <v>0</v>
      </c>
      <c r="K76" s="205" t="str">
        <f>IF(VLOOKUP(F76,'Exit Prices'!$A:$Q,13,FALSE)&gt;0,VLOOKUP(F76,'Exit Prices'!$A:$Q,13,FALSE),0)</f>
        <v>N/A</v>
      </c>
      <c r="L76" s="207" t="s">
        <v>428</v>
      </c>
      <c r="M76" s="209">
        <f ca="1">(VLOOKUP(F76,'Anticipated Exit Bookings'!$B:$C,MATCH('Exit Anticipated Rev. Recovery'!$C$2,'Anticipated Exit Bookings'!$B$1:$C$1,0), FALSE))*VLOOKUP($F76, 'Exit Capacity Split'!A:H, 5,0)/100</f>
        <v>0</v>
      </c>
      <c r="N76" s="205" t="str">
        <f>IF(VLOOKUP(F76,'Exit Prices'!$A:$Q,14,FALSE)&gt;0,VLOOKUP(F76,'Exit Prices'!$A:$Q,14,FALSE),0)</f>
        <v>N/A</v>
      </c>
      <c r="O76" s="207" t="s">
        <v>428</v>
      </c>
      <c r="P76" s="204">
        <f ca="1">(VLOOKUP(F76,'Anticipated Exit Bookings'!$B:$C,MATCH('Exit Anticipated Rev. Recovery'!$C$2,'Anticipated Exit Bookings'!$B$1:$C$1,0), FALSE))*VLOOKUP($F76, 'Exit Capacity Split'!A:H, 6,0)/100</f>
        <v>32156.561020797988</v>
      </c>
      <c r="Q76" s="200">
        <f ca="1">IF(VLOOKUP(F76,'Exit Prices'!$A:$Q,15,FALSE)&gt;0,VLOOKUP(F76,'Exit Prices'!$A:$Q,15,FALSE),0)</f>
        <v>1.9820323133808871E-2</v>
      </c>
      <c r="R76" s="202">
        <f ca="1">P76*Q76*'User Inputs'!$D$7/100</f>
        <v>2326.3400206105453</v>
      </c>
      <c r="S76" s="209">
        <f ca="1">(VLOOKUP(F76,'Anticipated Exit Bookings'!$B:$C,MATCH('Exit Anticipated Rev. Recovery'!$C$2,'Anticipated Exit Bookings'!$B$1:$C$1,0), FALSE))*VLOOKUP($F76, 'Exit Capacity Split'!A:H, 7,0)/100</f>
        <v>8187.0252233764659</v>
      </c>
      <c r="T76" s="205" t="str">
        <f>IF(VLOOKUP(F76,'Exit Prices'!$A:$Q,16,FALSE)&gt;0,VLOOKUP(F76,'Exit Prices'!$A:$Q,16,FALSE),0)</f>
        <v>N/A</v>
      </c>
      <c r="U76" s="207" t="s">
        <v>428</v>
      </c>
      <c r="V76" s="204">
        <f ca="1">(VLOOKUP(F76,'Anticipated Exit Bookings'!$B:$C,MATCH('Exit Anticipated Rev. Recovery'!$C$2,'Anticipated Exit Bookings'!$B$1:$C$1,0), FALSE))*VLOOKUP($F76, 'Exit Capacity Split'!A:H, 8,0)/100</f>
        <v>6204956.2351631559</v>
      </c>
      <c r="W76" s="200">
        <f ca="1">IF(VLOOKUP(F76,'Exit Prices'!$A:$Q,17,FALSE)&gt;0,VLOOKUP(F76,'Exit Prices'!$A:$Q,17,FALSE),0)</f>
        <v>1.7838290820427986E-2</v>
      </c>
      <c r="X76" s="202">
        <f ca="1">V76*W76*'User Inputs'!$D$7/100</f>
        <v>404003.2205556694</v>
      </c>
      <c r="Y76" s="199">
        <f t="shared" ca="1" si="1"/>
        <v>845309.88314164209</v>
      </c>
      <c r="AA76" s="164"/>
    </row>
    <row r="77" spans="5:27">
      <c r="E77" s="213" t="s">
        <v>474</v>
      </c>
      <c r="F77" s="213" t="s">
        <v>98</v>
      </c>
      <c r="G77" s="197">
        <f ca="1">(VLOOKUP(F77,'Anticipated Exit Bookings'!$B:$C,MATCH('Exit Anticipated Rev. Recovery'!$C$2,'Anticipated Exit Bookings'!$B$1:$C$1,0), FALSE))*VLOOKUP($F77, 'Exit Capacity Split'!A:H, 3,0)/100</f>
        <v>6354132.769692407</v>
      </c>
      <c r="H77" s="200">
        <f ca="1">IF(VLOOKUP(F77,'Exit Prices'!$A:$Q,12,FALSE)&gt;0,VLOOKUP(F77,'Exit Prices'!$A:$Q,12,FALSE),0)</f>
        <v>1.9820323133808871E-2</v>
      </c>
      <c r="I77" s="202">
        <f ca="1">G77*H77*'User Inputs'!$D$7/100</f>
        <v>459684.52126606018</v>
      </c>
      <c r="J77" s="209">
        <f ca="1">(VLOOKUP(F77,'Anticipated Exit Bookings'!$B:$C,MATCH('Exit Anticipated Rev. Recovery'!$C$2,'Anticipated Exit Bookings'!$B$1:$C$1,0), FALSE))*VLOOKUP($F77, 'Exit Capacity Split'!A:H, 4,0)/100</f>
        <v>0</v>
      </c>
      <c r="K77" s="205" t="str">
        <f>IF(VLOOKUP(F77,'Exit Prices'!$A:$Q,13,FALSE)&gt;0,VLOOKUP(F77,'Exit Prices'!$A:$Q,13,FALSE),0)</f>
        <v>N/A</v>
      </c>
      <c r="L77" s="207" t="s">
        <v>428</v>
      </c>
      <c r="M77" s="209">
        <f ca="1">(VLOOKUP(F77,'Anticipated Exit Bookings'!$B:$C,MATCH('Exit Anticipated Rev. Recovery'!$C$2,'Anticipated Exit Bookings'!$B$1:$C$1,0), FALSE))*VLOOKUP($F77, 'Exit Capacity Split'!A:H, 5,0)/100</f>
        <v>0</v>
      </c>
      <c r="N77" s="205" t="str">
        <f>IF(VLOOKUP(F77,'Exit Prices'!$A:$Q,14,FALSE)&gt;0,VLOOKUP(F77,'Exit Prices'!$A:$Q,14,FALSE),0)</f>
        <v>N/A</v>
      </c>
      <c r="O77" s="207" t="s">
        <v>428</v>
      </c>
      <c r="P77" s="204">
        <f ca="1">(VLOOKUP(F77,'Anticipated Exit Bookings'!$B:$C,MATCH('Exit Anticipated Rev. Recovery'!$C$2,'Anticipated Exit Bookings'!$B$1:$C$1,0), FALSE))*VLOOKUP($F77, 'Exit Capacity Split'!A:H, 6,0)/100</f>
        <v>0</v>
      </c>
      <c r="Q77" s="200">
        <f ca="1">IF(VLOOKUP(F77,'Exit Prices'!$A:$Q,15,FALSE)&gt;0,VLOOKUP(F77,'Exit Prices'!$A:$Q,15,FALSE),0)</f>
        <v>1.9820323133808871E-2</v>
      </c>
      <c r="R77" s="202">
        <f ca="1">P77*Q77*'User Inputs'!$D$7/100</f>
        <v>0</v>
      </c>
      <c r="S77" s="209">
        <f ca="1">(VLOOKUP(F77,'Anticipated Exit Bookings'!$B:$C,MATCH('Exit Anticipated Rev. Recovery'!$C$2,'Anticipated Exit Bookings'!$B$1:$C$1,0), FALSE))*VLOOKUP($F77, 'Exit Capacity Split'!A:H, 7,0)/100</f>
        <v>6007.2580150881222</v>
      </c>
      <c r="T77" s="205" t="str">
        <f>IF(VLOOKUP(F77,'Exit Prices'!$A:$Q,16,FALSE)&gt;0,VLOOKUP(F77,'Exit Prices'!$A:$Q,16,FALSE),0)</f>
        <v>N/A</v>
      </c>
      <c r="U77" s="207" t="s">
        <v>428</v>
      </c>
      <c r="V77" s="204">
        <f ca="1">(VLOOKUP(F77,'Anticipated Exit Bookings'!$B:$C,MATCH('Exit Anticipated Rev. Recovery'!$C$2,'Anticipated Exit Bookings'!$B$1:$C$1,0), FALSE))*VLOOKUP($F77, 'Exit Capacity Split'!A:H, 8,0)/100</f>
        <v>163324.97229250497</v>
      </c>
      <c r="W77" s="200">
        <f ca="1">IF(VLOOKUP(F77,'Exit Prices'!$A:$Q,17,FALSE)&gt;0,VLOOKUP(F77,'Exit Prices'!$A:$Q,17,FALSE),0)</f>
        <v>1.7838290820427986E-2</v>
      </c>
      <c r="X77" s="202">
        <f ca="1">V77*W77*'User Inputs'!$D$7/100</f>
        <v>10634.049992070968</v>
      </c>
      <c r="Y77" s="199">
        <f t="shared" ca="1" si="1"/>
        <v>470318.57125813112</v>
      </c>
      <c r="AA77" s="164"/>
    </row>
    <row r="78" spans="5:27">
      <c r="E78" s="213" t="s">
        <v>474</v>
      </c>
      <c r="F78" s="213" t="s">
        <v>99</v>
      </c>
      <c r="G78" s="197">
        <f ca="1">(VLOOKUP(F78,'Anticipated Exit Bookings'!$B:$C,MATCH('Exit Anticipated Rev. Recovery'!$C$2,'Anticipated Exit Bookings'!$B$1:$C$1,0), FALSE))*VLOOKUP($F78, 'Exit Capacity Split'!A:H, 3,0)/100</f>
        <v>89210545.879440919</v>
      </c>
      <c r="H78" s="200">
        <f ca="1">IF(VLOOKUP(F78,'Exit Prices'!$A:$Q,12,FALSE)&gt;0,VLOOKUP(F78,'Exit Prices'!$A:$Q,12,FALSE),0)</f>
        <v>1.9820323133808871E-2</v>
      </c>
      <c r="I78" s="202">
        <f ca="1">G78*H78*'User Inputs'!$D$7/100</f>
        <v>6453863.7389001027</v>
      </c>
      <c r="J78" s="209">
        <f ca="1">(VLOOKUP(F78,'Anticipated Exit Bookings'!$B:$C,MATCH('Exit Anticipated Rev. Recovery'!$C$2,'Anticipated Exit Bookings'!$B$1:$C$1,0), FALSE))*VLOOKUP($F78, 'Exit Capacity Split'!A:H, 4,0)/100</f>
        <v>0</v>
      </c>
      <c r="K78" s="205" t="str">
        <f>IF(VLOOKUP(F78,'Exit Prices'!$A:$Q,13,FALSE)&gt;0,VLOOKUP(F78,'Exit Prices'!$A:$Q,13,FALSE),0)</f>
        <v>N/A</v>
      </c>
      <c r="L78" s="207" t="s">
        <v>428</v>
      </c>
      <c r="M78" s="209">
        <f ca="1">(VLOOKUP(F78,'Anticipated Exit Bookings'!$B:$C,MATCH('Exit Anticipated Rev. Recovery'!$C$2,'Anticipated Exit Bookings'!$B$1:$C$1,0), FALSE))*VLOOKUP($F78, 'Exit Capacity Split'!A:H, 5,0)/100</f>
        <v>0</v>
      </c>
      <c r="N78" s="205" t="str">
        <f>IF(VLOOKUP(F78,'Exit Prices'!$A:$Q,14,FALSE)&gt;0,VLOOKUP(F78,'Exit Prices'!$A:$Q,14,FALSE),0)</f>
        <v>N/A</v>
      </c>
      <c r="O78" s="207" t="s">
        <v>428</v>
      </c>
      <c r="P78" s="204">
        <f ca="1">(VLOOKUP(F78,'Anticipated Exit Bookings'!$B:$C,MATCH('Exit Anticipated Rev. Recovery'!$C$2,'Anticipated Exit Bookings'!$B$1:$C$1,0), FALSE))*VLOOKUP($F78, 'Exit Capacity Split'!A:H, 6,0)/100</f>
        <v>0</v>
      </c>
      <c r="Q78" s="200">
        <f ca="1">IF(VLOOKUP(F78,'Exit Prices'!$A:$Q,15,FALSE)&gt;0,VLOOKUP(F78,'Exit Prices'!$A:$Q,15,FALSE),0)</f>
        <v>1.9820323133808871E-2</v>
      </c>
      <c r="R78" s="202">
        <f ca="1">P78*Q78*'User Inputs'!$D$7/100</f>
        <v>0</v>
      </c>
      <c r="S78" s="209">
        <f ca="1">(VLOOKUP(F78,'Anticipated Exit Bookings'!$B:$C,MATCH('Exit Anticipated Rev. Recovery'!$C$2,'Anticipated Exit Bookings'!$B$1:$C$1,0), FALSE))*VLOOKUP($F78, 'Exit Capacity Split'!A:H, 7,0)/100</f>
        <v>84340.50502073481</v>
      </c>
      <c r="T78" s="205" t="str">
        <f>IF(VLOOKUP(F78,'Exit Prices'!$A:$Q,16,FALSE)&gt;0,VLOOKUP(F78,'Exit Prices'!$A:$Q,16,FALSE),0)</f>
        <v>N/A</v>
      </c>
      <c r="U78" s="207" t="s">
        <v>428</v>
      </c>
      <c r="V78" s="204">
        <f ca="1">(VLOOKUP(F78,'Anticipated Exit Bookings'!$B:$C,MATCH('Exit Anticipated Rev. Recovery'!$C$2,'Anticipated Exit Bookings'!$B$1:$C$1,0), FALSE))*VLOOKUP($F78, 'Exit Capacity Split'!A:H, 8,0)/100</f>
        <v>2293044.6155383461</v>
      </c>
      <c r="W78" s="200">
        <f ca="1">IF(VLOOKUP(F78,'Exit Prices'!$A:$Q,17,FALSE)&gt;0,VLOOKUP(F78,'Exit Prices'!$A:$Q,17,FALSE),0)</f>
        <v>1.7838290820427986E-2</v>
      </c>
      <c r="X78" s="202">
        <f ca="1">V78*W78*'User Inputs'!$D$7/100</f>
        <v>149299.58801409166</v>
      </c>
      <c r="Y78" s="199">
        <f t="shared" ca="1" si="1"/>
        <v>6603163.326914194</v>
      </c>
      <c r="AA78" s="164"/>
    </row>
    <row r="79" spans="5:27">
      <c r="E79" s="213" t="s">
        <v>474</v>
      </c>
      <c r="F79" s="213" t="s">
        <v>100</v>
      </c>
      <c r="G79" s="197">
        <f ca="1">(VLOOKUP(F79,'Anticipated Exit Bookings'!$B:$C,MATCH('Exit Anticipated Rev. Recovery'!$C$2,'Anticipated Exit Bookings'!$B$1:$C$1,0), FALSE))*VLOOKUP($F79, 'Exit Capacity Split'!A:H, 3,0)/100</f>
        <v>95743126.174460128</v>
      </c>
      <c r="H79" s="200">
        <f ca="1">IF(VLOOKUP(F79,'Exit Prices'!$A:$Q,12,FALSE)&gt;0,VLOOKUP(F79,'Exit Prices'!$A:$Q,12,FALSE),0)</f>
        <v>1.9820323133808871E-2</v>
      </c>
      <c r="I79" s="202">
        <f ca="1">G79*H79*'User Inputs'!$D$7/100</f>
        <v>6926457.8999587428</v>
      </c>
      <c r="J79" s="209">
        <f ca="1">(VLOOKUP(F79,'Anticipated Exit Bookings'!$B:$C,MATCH('Exit Anticipated Rev. Recovery'!$C$2,'Anticipated Exit Bookings'!$B$1:$C$1,0), FALSE))*VLOOKUP($F79, 'Exit Capacity Split'!A:H, 4,0)/100</f>
        <v>0</v>
      </c>
      <c r="K79" s="205" t="str">
        <f>IF(VLOOKUP(F79,'Exit Prices'!$A:$Q,13,FALSE)&gt;0,VLOOKUP(F79,'Exit Prices'!$A:$Q,13,FALSE),0)</f>
        <v>N/A</v>
      </c>
      <c r="L79" s="207" t="s">
        <v>428</v>
      </c>
      <c r="M79" s="209">
        <f ca="1">(VLOOKUP(F79,'Anticipated Exit Bookings'!$B:$C,MATCH('Exit Anticipated Rev. Recovery'!$C$2,'Anticipated Exit Bookings'!$B$1:$C$1,0), FALSE))*VLOOKUP($F79, 'Exit Capacity Split'!A:H, 5,0)/100</f>
        <v>0</v>
      </c>
      <c r="N79" s="205" t="str">
        <f>IF(VLOOKUP(F79,'Exit Prices'!$A:$Q,14,FALSE)&gt;0,VLOOKUP(F79,'Exit Prices'!$A:$Q,14,FALSE),0)</f>
        <v>N/A</v>
      </c>
      <c r="O79" s="207" t="s">
        <v>428</v>
      </c>
      <c r="P79" s="204">
        <f ca="1">(VLOOKUP(F79,'Anticipated Exit Bookings'!$B:$C,MATCH('Exit Anticipated Rev. Recovery'!$C$2,'Anticipated Exit Bookings'!$B$1:$C$1,0), FALSE))*VLOOKUP($F79, 'Exit Capacity Split'!A:H, 6,0)/100</f>
        <v>0</v>
      </c>
      <c r="Q79" s="200">
        <f ca="1">IF(VLOOKUP(F79,'Exit Prices'!$A:$Q,15,FALSE)&gt;0,VLOOKUP(F79,'Exit Prices'!$A:$Q,15,FALSE),0)</f>
        <v>1.9820323133808871E-2</v>
      </c>
      <c r="R79" s="202">
        <f ca="1">P79*Q79*'User Inputs'!$D$7/100</f>
        <v>0</v>
      </c>
      <c r="S79" s="209">
        <f ca="1">(VLOOKUP(F79,'Anticipated Exit Bookings'!$B:$C,MATCH('Exit Anticipated Rev. Recovery'!$C$2,'Anticipated Exit Bookings'!$B$1:$C$1,0), FALSE))*VLOOKUP($F79, 'Exit Capacity Split'!A:H, 7,0)/100</f>
        <v>90516.469036412833</v>
      </c>
      <c r="T79" s="205" t="str">
        <f>IF(VLOOKUP(F79,'Exit Prices'!$A:$Q,16,FALSE)&gt;0,VLOOKUP(F79,'Exit Prices'!$A:$Q,16,FALSE),0)</f>
        <v>N/A</v>
      </c>
      <c r="U79" s="207" t="s">
        <v>428</v>
      </c>
      <c r="V79" s="204">
        <f ca="1">(VLOOKUP(F79,'Anticipated Exit Bookings'!$B:$C,MATCH('Exit Anticipated Rev. Recovery'!$C$2,'Anticipated Exit Bookings'!$B$1:$C$1,0), FALSE))*VLOOKUP($F79, 'Exit Capacity Split'!A:H, 8,0)/100</f>
        <v>2460956.3565034666</v>
      </c>
      <c r="W79" s="200">
        <f ca="1">IF(VLOOKUP(F79,'Exit Prices'!$A:$Q,17,FALSE)&gt;0,VLOOKUP(F79,'Exit Prices'!$A:$Q,17,FALSE),0)</f>
        <v>1.7838290820427986E-2</v>
      </c>
      <c r="X79" s="202">
        <f ca="1">V79*W79*'User Inputs'!$D$7/100</f>
        <v>160232.28142046736</v>
      </c>
      <c r="Y79" s="199">
        <f t="shared" ca="1" si="1"/>
        <v>7086690.1813792102</v>
      </c>
      <c r="AA79" s="164"/>
    </row>
    <row r="80" spans="5:27">
      <c r="E80" s="213" t="s">
        <v>474</v>
      </c>
      <c r="F80" s="213" t="s">
        <v>101</v>
      </c>
      <c r="G80" s="197">
        <f ca="1">(VLOOKUP(F80,'Anticipated Exit Bookings'!$B:$C,MATCH('Exit Anticipated Rev. Recovery'!$C$2,'Anticipated Exit Bookings'!$B$1:$C$1,0), FALSE))*VLOOKUP($F80, 'Exit Capacity Split'!A:H, 3,0)/100</f>
        <v>0</v>
      </c>
      <c r="H80" s="200">
        <f ca="1">IF(VLOOKUP(F80,'Exit Prices'!$A:$Q,12,FALSE)&gt;0,VLOOKUP(F80,'Exit Prices'!$A:$Q,12,FALSE),0)</f>
        <v>1.9820323133808871E-2</v>
      </c>
      <c r="I80" s="202">
        <f ca="1">G80*H80*'User Inputs'!$D$7/100</f>
        <v>0</v>
      </c>
      <c r="J80" s="209">
        <f ca="1">(VLOOKUP(F80,'Anticipated Exit Bookings'!$B:$C,MATCH('Exit Anticipated Rev. Recovery'!$C$2,'Anticipated Exit Bookings'!$B$1:$C$1,0), FALSE))*VLOOKUP($F80, 'Exit Capacity Split'!A:H, 4,0)/100</f>
        <v>0</v>
      </c>
      <c r="K80" s="205" t="str">
        <f>IF(VLOOKUP(F80,'Exit Prices'!$A:$Q,13,FALSE)&gt;0,VLOOKUP(F80,'Exit Prices'!$A:$Q,13,FALSE),0)</f>
        <v>N/A</v>
      </c>
      <c r="L80" s="207" t="s">
        <v>428</v>
      </c>
      <c r="M80" s="209">
        <f ca="1">(VLOOKUP(F80,'Anticipated Exit Bookings'!$B:$C,MATCH('Exit Anticipated Rev. Recovery'!$C$2,'Anticipated Exit Bookings'!$B$1:$C$1,0), FALSE))*VLOOKUP($F80, 'Exit Capacity Split'!A:H, 5,0)/100</f>
        <v>0</v>
      </c>
      <c r="N80" s="205" t="str">
        <f>IF(VLOOKUP(F80,'Exit Prices'!$A:$Q,14,FALSE)&gt;0,VLOOKUP(F80,'Exit Prices'!$A:$Q,14,FALSE),0)</f>
        <v>N/A</v>
      </c>
      <c r="O80" s="207" t="s">
        <v>428</v>
      </c>
      <c r="P80" s="204">
        <f ca="1">(VLOOKUP(F80,'Anticipated Exit Bookings'!$B:$C,MATCH('Exit Anticipated Rev. Recovery'!$C$2,'Anticipated Exit Bookings'!$B$1:$C$1,0), FALSE))*VLOOKUP($F80, 'Exit Capacity Split'!A:H, 6,0)/100</f>
        <v>0</v>
      </c>
      <c r="Q80" s="200">
        <f ca="1">IF(VLOOKUP(F80,'Exit Prices'!$A:$Q,15,FALSE)&gt;0,VLOOKUP(F80,'Exit Prices'!$A:$Q,15,FALSE),0)</f>
        <v>1.9820323133808871E-2</v>
      </c>
      <c r="R80" s="202">
        <f ca="1">P80*Q80*'User Inputs'!$D$7/100</f>
        <v>0</v>
      </c>
      <c r="S80" s="209">
        <f ca="1">(VLOOKUP(F80,'Anticipated Exit Bookings'!$B:$C,MATCH('Exit Anticipated Rev. Recovery'!$C$2,'Anticipated Exit Bookings'!$B$1:$C$1,0), FALSE))*VLOOKUP($F80, 'Exit Capacity Split'!A:H, 7,0)/100</f>
        <v>0</v>
      </c>
      <c r="T80" s="205" t="str">
        <f>IF(VLOOKUP(F80,'Exit Prices'!$A:$Q,16,FALSE)&gt;0,VLOOKUP(F80,'Exit Prices'!$A:$Q,16,FALSE),0)</f>
        <v>N/A</v>
      </c>
      <c r="U80" s="207" t="s">
        <v>428</v>
      </c>
      <c r="V80" s="204">
        <f ca="1">(VLOOKUP(F80,'Anticipated Exit Bookings'!$B:$C,MATCH('Exit Anticipated Rev. Recovery'!$C$2,'Anticipated Exit Bookings'!$B$1:$C$1,0), FALSE))*VLOOKUP($F80, 'Exit Capacity Split'!A:H, 8,0)/100</f>
        <v>0</v>
      </c>
      <c r="W80" s="200">
        <f ca="1">IF(VLOOKUP(F80,'Exit Prices'!$A:$Q,17,FALSE)&gt;0,VLOOKUP(F80,'Exit Prices'!$A:$Q,17,FALSE),0)</f>
        <v>1.7838290820427986E-2</v>
      </c>
      <c r="X80" s="202">
        <f ca="1">V80*W80*'User Inputs'!$D$7/100</f>
        <v>0</v>
      </c>
      <c r="Y80" s="199">
        <f t="shared" ca="1" si="1"/>
        <v>0</v>
      </c>
      <c r="AA80" s="164"/>
    </row>
    <row r="81" spans="5:27">
      <c r="E81" s="213" t="s">
        <v>474</v>
      </c>
      <c r="F81" s="213" t="s">
        <v>102</v>
      </c>
      <c r="G81" s="197">
        <f ca="1">(VLOOKUP(F81,'Anticipated Exit Bookings'!$B:$C,MATCH('Exit Anticipated Rev. Recovery'!$C$2,'Anticipated Exit Bookings'!$B$1:$C$1,0), FALSE))*VLOOKUP($F81, 'Exit Capacity Split'!A:H, 3,0)/100</f>
        <v>21177623.361693803</v>
      </c>
      <c r="H81" s="200">
        <f ca="1">IF(VLOOKUP(F81,'Exit Prices'!$A:$Q,12,FALSE)&gt;0,VLOOKUP(F81,'Exit Prices'!$A:$Q,12,FALSE),0)</f>
        <v>1.9820323133808871E-2</v>
      </c>
      <c r="I81" s="202">
        <f ca="1">G81*H81*'User Inputs'!$D$7/100</f>
        <v>1532077.7845572787</v>
      </c>
      <c r="J81" s="209">
        <f ca="1">(VLOOKUP(F81,'Anticipated Exit Bookings'!$B:$C,MATCH('Exit Anticipated Rev. Recovery'!$C$2,'Anticipated Exit Bookings'!$B$1:$C$1,0), FALSE))*VLOOKUP($F81, 'Exit Capacity Split'!A:H, 4,0)/100</f>
        <v>0</v>
      </c>
      <c r="K81" s="205" t="str">
        <f>IF(VLOOKUP(F81,'Exit Prices'!$A:$Q,13,FALSE)&gt;0,VLOOKUP(F81,'Exit Prices'!$A:$Q,13,FALSE),0)</f>
        <v>N/A</v>
      </c>
      <c r="L81" s="207" t="s">
        <v>428</v>
      </c>
      <c r="M81" s="209">
        <f ca="1">(VLOOKUP(F81,'Anticipated Exit Bookings'!$B:$C,MATCH('Exit Anticipated Rev. Recovery'!$C$2,'Anticipated Exit Bookings'!$B$1:$C$1,0), FALSE))*VLOOKUP($F81, 'Exit Capacity Split'!A:H, 5,0)/100</f>
        <v>0</v>
      </c>
      <c r="N81" s="205" t="str">
        <f>IF(VLOOKUP(F81,'Exit Prices'!$A:$Q,14,FALSE)&gt;0,VLOOKUP(F81,'Exit Prices'!$A:$Q,14,FALSE),0)</f>
        <v>N/A</v>
      </c>
      <c r="O81" s="207" t="s">
        <v>428</v>
      </c>
      <c r="P81" s="204">
        <f ca="1">(VLOOKUP(F81,'Anticipated Exit Bookings'!$B:$C,MATCH('Exit Anticipated Rev. Recovery'!$C$2,'Anticipated Exit Bookings'!$B$1:$C$1,0), FALSE))*VLOOKUP($F81, 'Exit Capacity Split'!A:H, 6,0)/100</f>
        <v>0</v>
      </c>
      <c r="Q81" s="200">
        <f ca="1">IF(VLOOKUP(F81,'Exit Prices'!$A:$Q,15,FALSE)&gt;0,VLOOKUP(F81,'Exit Prices'!$A:$Q,15,FALSE),0)</f>
        <v>1.9820323133808871E-2</v>
      </c>
      <c r="R81" s="202">
        <f ca="1">P81*Q81*'User Inputs'!$D$7/100</f>
        <v>0</v>
      </c>
      <c r="S81" s="209">
        <f ca="1">(VLOOKUP(F81,'Anticipated Exit Bookings'!$B:$C,MATCH('Exit Anticipated Rev. Recovery'!$C$2,'Anticipated Exit Bookings'!$B$1:$C$1,0), FALSE))*VLOOKUP($F81, 'Exit Capacity Split'!A:H, 7,0)/100</f>
        <v>20021.528081197306</v>
      </c>
      <c r="T81" s="205" t="str">
        <f>IF(VLOOKUP(F81,'Exit Prices'!$A:$Q,16,FALSE)&gt;0,VLOOKUP(F81,'Exit Prices'!$A:$Q,16,FALSE),0)</f>
        <v>N/A</v>
      </c>
      <c r="U81" s="207" t="s">
        <v>428</v>
      </c>
      <c r="V81" s="204">
        <f ca="1">(VLOOKUP(F81,'Anticipated Exit Bookings'!$B:$C,MATCH('Exit Anticipated Rev. Recovery'!$C$2,'Anticipated Exit Bookings'!$B$1:$C$1,0), FALSE))*VLOOKUP($F81, 'Exit Capacity Split'!A:H, 8,0)/100</f>
        <v>544344.11022500286</v>
      </c>
      <c r="W81" s="200">
        <f ca="1">IF(VLOOKUP(F81,'Exit Prices'!$A:$Q,17,FALSE)&gt;0,VLOOKUP(F81,'Exit Prices'!$A:$Q,17,FALSE),0)</f>
        <v>1.7838290820427986E-2</v>
      </c>
      <c r="X81" s="202">
        <f ca="1">V81*W81*'User Inputs'!$D$7/100</f>
        <v>35442.115187719588</v>
      </c>
      <c r="Y81" s="199">
        <f t="shared" ca="1" si="1"/>
        <v>1567519.8997449984</v>
      </c>
      <c r="AA81" s="164"/>
    </row>
    <row r="82" spans="5:27">
      <c r="E82" s="213" t="s">
        <v>474</v>
      </c>
      <c r="F82" s="213" t="s">
        <v>103</v>
      </c>
      <c r="G82" s="197">
        <f ca="1">(VLOOKUP(F82,'Anticipated Exit Bookings'!$B:$C,MATCH('Exit Anticipated Rev. Recovery'!$C$2,'Anticipated Exit Bookings'!$B$1:$C$1,0), FALSE))*VLOOKUP($F82, 'Exit Capacity Split'!A:H, 3,0)/100</f>
        <v>16179168.918420637</v>
      </c>
      <c r="H82" s="200">
        <f ca="1">IF(VLOOKUP(F82,'Exit Prices'!$A:$Q,12,FALSE)&gt;0,VLOOKUP(F82,'Exit Prices'!$A:$Q,12,FALSE),0)</f>
        <v>1.9820323133808871E-2</v>
      </c>
      <c r="I82" s="202">
        <f ca="1">G82*H82*'User Inputs'!$D$7/100</f>
        <v>1170468.6993984452</v>
      </c>
      <c r="J82" s="209">
        <f ca="1">(VLOOKUP(F82,'Anticipated Exit Bookings'!$B:$C,MATCH('Exit Anticipated Rev. Recovery'!$C$2,'Anticipated Exit Bookings'!$B$1:$C$1,0), FALSE))*VLOOKUP($F82, 'Exit Capacity Split'!A:H, 4,0)/100</f>
        <v>0</v>
      </c>
      <c r="K82" s="205" t="str">
        <f>IF(VLOOKUP(F82,'Exit Prices'!$A:$Q,13,FALSE)&gt;0,VLOOKUP(F82,'Exit Prices'!$A:$Q,13,FALSE),0)</f>
        <v>N/A</v>
      </c>
      <c r="L82" s="207" t="s">
        <v>428</v>
      </c>
      <c r="M82" s="209">
        <f ca="1">(VLOOKUP(F82,'Anticipated Exit Bookings'!$B:$C,MATCH('Exit Anticipated Rev. Recovery'!$C$2,'Anticipated Exit Bookings'!$B$1:$C$1,0), FALSE))*VLOOKUP($F82, 'Exit Capacity Split'!A:H, 5,0)/100</f>
        <v>0</v>
      </c>
      <c r="N82" s="205" t="str">
        <f>IF(VLOOKUP(F82,'Exit Prices'!$A:$Q,14,FALSE)&gt;0,VLOOKUP(F82,'Exit Prices'!$A:$Q,14,FALSE),0)</f>
        <v>N/A</v>
      </c>
      <c r="O82" s="207" t="s">
        <v>428</v>
      </c>
      <c r="P82" s="204">
        <f ca="1">(VLOOKUP(F82,'Anticipated Exit Bookings'!$B:$C,MATCH('Exit Anticipated Rev. Recovery'!$C$2,'Anticipated Exit Bookings'!$B$1:$C$1,0), FALSE))*VLOOKUP($F82, 'Exit Capacity Split'!A:H, 6,0)/100</f>
        <v>0</v>
      </c>
      <c r="Q82" s="200">
        <f ca="1">IF(VLOOKUP(F82,'Exit Prices'!$A:$Q,15,FALSE)&gt;0,VLOOKUP(F82,'Exit Prices'!$A:$Q,15,FALSE),0)</f>
        <v>1.9820323133808871E-2</v>
      </c>
      <c r="R82" s="202">
        <f ca="1">P82*Q82*'User Inputs'!$D$7/100</f>
        <v>0</v>
      </c>
      <c r="S82" s="209">
        <f ca="1">(VLOOKUP(F82,'Anticipated Exit Bookings'!$B:$C,MATCH('Exit Anticipated Rev. Recovery'!$C$2,'Anticipated Exit Bookings'!$B$1:$C$1,0), FALSE))*VLOOKUP($F82, 'Exit Capacity Split'!A:H, 7,0)/100</f>
        <v>15295.941348004271</v>
      </c>
      <c r="T82" s="205" t="str">
        <f>IF(VLOOKUP(F82,'Exit Prices'!$A:$Q,16,FALSE)&gt;0,VLOOKUP(F82,'Exit Prices'!$A:$Q,16,FALSE),0)</f>
        <v>N/A</v>
      </c>
      <c r="U82" s="207" t="s">
        <v>428</v>
      </c>
      <c r="V82" s="204">
        <f ca="1">(VLOOKUP(F82,'Anticipated Exit Bookings'!$B:$C,MATCH('Exit Anticipated Rev. Recovery'!$C$2,'Anticipated Exit Bookings'!$B$1:$C$1,0), FALSE))*VLOOKUP($F82, 'Exit Capacity Split'!A:H, 8,0)/100</f>
        <v>415865.14023135928</v>
      </c>
      <c r="W82" s="200">
        <f ca="1">IF(VLOOKUP(F82,'Exit Prices'!$A:$Q,17,FALSE)&gt;0,VLOOKUP(F82,'Exit Prices'!$A:$Q,17,FALSE),0)</f>
        <v>1.7838290820427986E-2</v>
      </c>
      <c r="X82" s="202">
        <f ca="1">V82*W82*'User Inputs'!$D$7/100</f>
        <v>27076.880094366443</v>
      </c>
      <c r="Y82" s="199">
        <f t="shared" ca="1" si="1"/>
        <v>1197545.5794928116</v>
      </c>
      <c r="AA82" s="164"/>
    </row>
    <row r="83" spans="5:27">
      <c r="E83" s="213" t="s">
        <v>474</v>
      </c>
      <c r="F83" s="213" t="s">
        <v>104</v>
      </c>
      <c r="G83" s="197">
        <f ca="1">(VLOOKUP(F83,'Anticipated Exit Bookings'!$B:$C,MATCH('Exit Anticipated Rev. Recovery'!$C$2,'Anticipated Exit Bookings'!$B$1:$C$1,0), FALSE))*VLOOKUP($F83, 'Exit Capacity Split'!A:H, 3,0)/100</f>
        <v>90190060.89816913</v>
      </c>
      <c r="H83" s="200">
        <f ca="1">IF(VLOOKUP(F83,'Exit Prices'!$A:$Q,12,FALSE)&gt;0,VLOOKUP(F83,'Exit Prices'!$A:$Q,12,FALSE),0)</f>
        <v>9.9101615669044355E-3</v>
      </c>
      <c r="I83" s="202">
        <f ca="1">G83*H83*'User Inputs'!$D$7/100</f>
        <v>3262362.9745887928</v>
      </c>
      <c r="J83" s="209">
        <f ca="1">(VLOOKUP(F83,'Anticipated Exit Bookings'!$B:$C,MATCH('Exit Anticipated Rev. Recovery'!$C$2,'Anticipated Exit Bookings'!$B$1:$C$1,0), FALSE))*VLOOKUP($F83, 'Exit Capacity Split'!A:H, 4,0)/100</f>
        <v>0</v>
      </c>
      <c r="K83" s="205" t="str">
        <f>IF(VLOOKUP(F83,'Exit Prices'!$A:$Q,13,FALSE)&gt;0,VLOOKUP(F83,'Exit Prices'!$A:$Q,13,FALSE),0)</f>
        <v>N/A</v>
      </c>
      <c r="L83" s="207" t="s">
        <v>428</v>
      </c>
      <c r="M83" s="209">
        <f ca="1">(VLOOKUP(F83,'Anticipated Exit Bookings'!$B:$C,MATCH('Exit Anticipated Rev. Recovery'!$C$2,'Anticipated Exit Bookings'!$B$1:$C$1,0), FALSE))*VLOOKUP($F83, 'Exit Capacity Split'!A:H, 5,0)/100</f>
        <v>0</v>
      </c>
      <c r="N83" s="205" t="str">
        <f>IF(VLOOKUP(F83,'Exit Prices'!$A:$Q,14,FALSE)&gt;0,VLOOKUP(F83,'Exit Prices'!$A:$Q,14,FALSE),0)</f>
        <v>N/A</v>
      </c>
      <c r="O83" s="207" t="s">
        <v>428</v>
      </c>
      <c r="P83" s="204">
        <f ca="1">(VLOOKUP(F83,'Anticipated Exit Bookings'!$B:$C,MATCH('Exit Anticipated Rev. Recovery'!$C$2,'Anticipated Exit Bookings'!$B$1:$C$1,0), FALSE))*VLOOKUP($F83, 'Exit Capacity Split'!A:H, 6,0)/100</f>
        <v>0</v>
      </c>
      <c r="Q83" s="200">
        <f ca="1">IF(VLOOKUP(F83,'Exit Prices'!$A:$Q,15,FALSE)&gt;0,VLOOKUP(F83,'Exit Prices'!$A:$Q,15,FALSE),0)</f>
        <v>9.9101615669044355E-3</v>
      </c>
      <c r="R83" s="202">
        <f ca="1">P83*Q83*'User Inputs'!$D$7/100</f>
        <v>0</v>
      </c>
      <c r="S83" s="209">
        <f ca="1">(VLOOKUP(F83,'Anticipated Exit Bookings'!$B:$C,MATCH('Exit Anticipated Rev. Recovery'!$C$2,'Anticipated Exit Bookings'!$B$1:$C$1,0), FALSE))*VLOOKUP($F83, 'Exit Capacity Split'!A:H, 7,0)/100</f>
        <v>504695.33750256756</v>
      </c>
      <c r="T83" s="205" t="str">
        <f>IF(VLOOKUP(F83,'Exit Prices'!$A:$Q,16,FALSE)&gt;0,VLOOKUP(F83,'Exit Prices'!$A:$Q,16,FALSE),0)</f>
        <v>N/A</v>
      </c>
      <c r="U83" s="207" t="s">
        <v>428</v>
      </c>
      <c r="V83" s="204">
        <f ca="1">(VLOOKUP(F83,'Anticipated Exit Bookings'!$B:$C,MATCH('Exit Anticipated Rev. Recovery'!$C$2,'Anticipated Exit Bookings'!$B$1:$C$1,0), FALSE))*VLOOKUP($F83, 'Exit Capacity Split'!A:H, 8,0)/100</f>
        <v>235308394.44925988</v>
      </c>
      <c r="W83" s="200">
        <f ca="1">IF(VLOOKUP(F83,'Exit Prices'!$A:$Q,17,FALSE)&gt;0,VLOOKUP(F83,'Exit Prices'!$A:$Q,17,FALSE),0)</f>
        <v>8.9191454102139928E-3</v>
      </c>
      <c r="X83" s="202">
        <f ca="1">V83*W83*'User Inputs'!$D$7/100</f>
        <v>7660436.7201298317</v>
      </c>
      <c r="Y83" s="199">
        <f t="shared" ca="1" si="1"/>
        <v>10922799.694718625</v>
      </c>
      <c r="AA83" s="164"/>
    </row>
    <row r="84" spans="5:27">
      <c r="E84" s="213" t="s">
        <v>474</v>
      </c>
      <c r="F84" s="213" t="s">
        <v>105</v>
      </c>
      <c r="G84" s="197">
        <f ca="1">(VLOOKUP(F84,'Anticipated Exit Bookings'!$B:$C,MATCH('Exit Anticipated Rev. Recovery'!$C$2,'Anticipated Exit Bookings'!$B$1:$C$1,0), FALSE))*VLOOKUP($F84, 'Exit Capacity Split'!A:H, 3,0)/100</f>
        <v>73446857.751568034</v>
      </c>
      <c r="H84" s="200">
        <f ca="1">IF(VLOOKUP(F84,'Exit Prices'!$A:$Q,12,FALSE)&gt;0,VLOOKUP(F84,'Exit Prices'!$A:$Q,12,FALSE),0)</f>
        <v>1.9820323133808871E-2</v>
      </c>
      <c r="I84" s="202">
        <f ca="1">G84*H84*'User Inputs'!$D$7/100</f>
        <v>5313452.6563662523</v>
      </c>
      <c r="J84" s="209">
        <f ca="1">(VLOOKUP(F84,'Anticipated Exit Bookings'!$B:$C,MATCH('Exit Anticipated Rev. Recovery'!$C$2,'Anticipated Exit Bookings'!$B$1:$C$1,0), FALSE))*VLOOKUP($F84, 'Exit Capacity Split'!A:H, 4,0)/100</f>
        <v>0</v>
      </c>
      <c r="K84" s="205" t="str">
        <f>IF(VLOOKUP(F84,'Exit Prices'!$A:$Q,13,FALSE)&gt;0,VLOOKUP(F84,'Exit Prices'!$A:$Q,13,FALSE),0)</f>
        <v>N/A</v>
      </c>
      <c r="L84" s="207" t="s">
        <v>428</v>
      </c>
      <c r="M84" s="209">
        <f ca="1">(VLOOKUP(F84,'Anticipated Exit Bookings'!$B:$C,MATCH('Exit Anticipated Rev. Recovery'!$C$2,'Anticipated Exit Bookings'!$B$1:$C$1,0), FALSE))*VLOOKUP($F84, 'Exit Capacity Split'!A:H, 5,0)/100</f>
        <v>0</v>
      </c>
      <c r="N84" s="205" t="str">
        <f>IF(VLOOKUP(F84,'Exit Prices'!$A:$Q,14,FALSE)&gt;0,VLOOKUP(F84,'Exit Prices'!$A:$Q,14,FALSE),0)</f>
        <v>N/A</v>
      </c>
      <c r="O84" s="207" t="s">
        <v>428</v>
      </c>
      <c r="P84" s="204">
        <f ca="1">(VLOOKUP(F84,'Anticipated Exit Bookings'!$B:$C,MATCH('Exit Anticipated Rev. Recovery'!$C$2,'Anticipated Exit Bookings'!$B$1:$C$1,0), FALSE))*VLOOKUP($F84, 'Exit Capacity Split'!A:H, 6,0)/100</f>
        <v>0</v>
      </c>
      <c r="Q84" s="200">
        <f ca="1">IF(VLOOKUP(F84,'Exit Prices'!$A:$Q,15,FALSE)&gt;0,VLOOKUP(F84,'Exit Prices'!$A:$Q,15,FALSE),0)</f>
        <v>1.9820323133808871E-2</v>
      </c>
      <c r="R84" s="202">
        <f ca="1">P84*Q84*'User Inputs'!$D$7/100</f>
        <v>0</v>
      </c>
      <c r="S84" s="209">
        <f ca="1">(VLOOKUP(F84,'Anticipated Exit Bookings'!$B:$C,MATCH('Exit Anticipated Rev. Recovery'!$C$2,'Anticipated Exit Bookings'!$B$1:$C$1,0), FALSE))*VLOOKUP($F84, 'Exit Capacity Split'!A:H, 7,0)/100</f>
        <v>69437.363193860787</v>
      </c>
      <c r="T84" s="205" t="str">
        <f>IF(VLOOKUP(F84,'Exit Prices'!$A:$Q,16,FALSE)&gt;0,VLOOKUP(F84,'Exit Prices'!$A:$Q,16,FALSE),0)</f>
        <v>N/A</v>
      </c>
      <c r="U84" s="207" t="s">
        <v>428</v>
      </c>
      <c r="V84" s="204">
        <f ca="1">(VLOOKUP(F84,'Anticipated Exit Bookings'!$B:$C,MATCH('Exit Anticipated Rev. Recovery'!$C$2,'Anticipated Exit Bookings'!$B$1:$C$1,0), FALSE))*VLOOKUP($F84, 'Exit Capacity Split'!A:H, 8,0)/100</f>
        <v>1887858.8852381026</v>
      </c>
      <c r="W84" s="200">
        <f ca="1">IF(VLOOKUP(F84,'Exit Prices'!$A:$Q,17,FALSE)&gt;0,VLOOKUP(F84,'Exit Prices'!$A:$Q,17,FALSE),0)</f>
        <v>1.7838290820427986E-2</v>
      </c>
      <c r="X84" s="202">
        <f ca="1">V84*W84*'User Inputs'!$D$7/100</f>
        <v>122918.04175324281</v>
      </c>
      <c r="Y84" s="199">
        <f t="shared" ca="1" si="1"/>
        <v>5436370.6981194951</v>
      </c>
      <c r="AA84" s="164"/>
    </row>
    <row r="85" spans="5:27">
      <c r="E85" s="213" t="s">
        <v>474</v>
      </c>
      <c r="F85" s="213" t="s">
        <v>12</v>
      </c>
      <c r="G85" s="197">
        <f ca="1">(VLOOKUP(F85,'Anticipated Exit Bookings'!$B:$C,MATCH('Exit Anticipated Rev. Recovery'!$C$2,'Anticipated Exit Bookings'!$B$1:$C$1,0), FALSE))*VLOOKUP($F85, 'Exit Capacity Split'!A:H, 3,0)/100</f>
        <v>124932986.24702674</v>
      </c>
      <c r="H85" s="200">
        <f ca="1">IF(VLOOKUP(F85,'Exit Prices'!$A:$Q,12,FALSE)&gt;0,VLOOKUP(F85,'Exit Prices'!$A:$Q,12,FALSE),0)</f>
        <v>1.9820323133808871E-2</v>
      </c>
      <c r="I85" s="202">
        <f ca="1">G85*H85*'User Inputs'!$D$7/100</f>
        <v>9038174.3748303596</v>
      </c>
      <c r="J85" s="209">
        <f ca="1">(VLOOKUP(F85,'Anticipated Exit Bookings'!$B:$C,MATCH('Exit Anticipated Rev. Recovery'!$C$2,'Anticipated Exit Bookings'!$B$1:$C$1,0), FALSE))*VLOOKUP($F85, 'Exit Capacity Split'!A:H, 4,0)/100</f>
        <v>0</v>
      </c>
      <c r="K85" s="205" t="str">
        <f>IF(VLOOKUP(F85,'Exit Prices'!$A:$Q,13,FALSE)&gt;0,VLOOKUP(F85,'Exit Prices'!$A:$Q,13,FALSE),0)</f>
        <v>N/A</v>
      </c>
      <c r="L85" s="207" t="s">
        <v>428</v>
      </c>
      <c r="M85" s="209">
        <f ca="1">(VLOOKUP(F85,'Anticipated Exit Bookings'!$B:$C,MATCH('Exit Anticipated Rev. Recovery'!$C$2,'Anticipated Exit Bookings'!$B$1:$C$1,0), FALSE))*VLOOKUP($F85, 'Exit Capacity Split'!A:H, 5,0)/100</f>
        <v>0</v>
      </c>
      <c r="N85" s="205" t="str">
        <f>IF(VLOOKUP(F85,'Exit Prices'!$A:$Q,14,FALSE)&gt;0,VLOOKUP(F85,'Exit Prices'!$A:$Q,14,FALSE),0)</f>
        <v>N/A</v>
      </c>
      <c r="O85" s="207" t="s">
        <v>428</v>
      </c>
      <c r="P85" s="204">
        <f ca="1">(VLOOKUP(F85,'Anticipated Exit Bookings'!$B:$C,MATCH('Exit Anticipated Rev. Recovery'!$C$2,'Anticipated Exit Bookings'!$B$1:$C$1,0), FALSE))*VLOOKUP($F85, 'Exit Capacity Split'!A:H, 6,0)/100</f>
        <v>0</v>
      </c>
      <c r="Q85" s="200">
        <f ca="1">IF(VLOOKUP(F85,'Exit Prices'!$A:$Q,15,FALSE)&gt;0,VLOOKUP(F85,'Exit Prices'!$A:$Q,15,FALSE),0)</f>
        <v>1.9820323133808871E-2</v>
      </c>
      <c r="R85" s="202">
        <f ca="1">P85*Q85*'User Inputs'!$D$7/100</f>
        <v>0</v>
      </c>
      <c r="S85" s="209">
        <f ca="1">(VLOOKUP(F85,'Anticipated Exit Bookings'!$B:$C,MATCH('Exit Anticipated Rev. Recovery'!$C$2,'Anticipated Exit Bookings'!$B$1:$C$1,0), FALSE))*VLOOKUP($F85, 'Exit Capacity Split'!A:H, 7,0)/100</f>
        <v>118112.84248907444</v>
      </c>
      <c r="T85" s="205" t="str">
        <f>IF(VLOOKUP(F85,'Exit Prices'!$A:$Q,16,FALSE)&gt;0,VLOOKUP(F85,'Exit Prices'!$A:$Q,16,FALSE),0)</f>
        <v>N/A</v>
      </c>
      <c r="U85" s="207" t="s">
        <v>428</v>
      </c>
      <c r="V85" s="204">
        <f ca="1">(VLOOKUP(F85,'Anticipated Exit Bookings'!$B:$C,MATCH('Exit Anticipated Rev. Recovery'!$C$2,'Anticipated Exit Bookings'!$B$1:$C$1,0), FALSE))*VLOOKUP($F85, 'Exit Capacity Split'!A:H, 8,0)/100</f>
        <v>3211244.9104841892</v>
      </c>
      <c r="W85" s="200">
        <f ca="1">IF(VLOOKUP(F85,'Exit Prices'!$A:$Q,17,FALSE)&gt;0,VLOOKUP(F85,'Exit Prices'!$A:$Q,17,FALSE),0)</f>
        <v>1.7838290820427986E-2</v>
      </c>
      <c r="X85" s="202">
        <f ca="1">V85*W85*'User Inputs'!$D$7/100</f>
        <v>209083.39022225211</v>
      </c>
      <c r="Y85" s="199">
        <f t="shared" ca="1" si="1"/>
        <v>9247257.765052611</v>
      </c>
      <c r="AA85" s="164"/>
    </row>
    <row r="86" spans="5:27">
      <c r="E86" s="213" t="s">
        <v>474</v>
      </c>
      <c r="F86" s="213" t="s">
        <v>106</v>
      </c>
      <c r="G86" s="197">
        <f ca="1">(VLOOKUP(F86,'Anticipated Exit Bookings'!$B:$C,MATCH('Exit Anticipated Rev. Recovery'!$C$2,'Anticipated Exit Bookings'!$B$1:$C$1,0), FALSE))*VLOOKUP($F86, 'Exit Capacity Split'!A:H, 3,0)/100</f>
        <v>35610.897055507914</v>
      </c>
      <c r="H86" s="200">
        <f ca="1">IF(VLOOKUP(F86,'Exit Prices'!$A:$Q,12,FALSE)&gt;0,VLOOKUP(F86,'Exit Prices'!$A:$Q,12,FALSE),0)</f>
        <v>9.9101615669044355E-3</v>
      </c>
      <c r="I86" s="202">
        <f ca="1">G86*H86*'User Inputs'!$D$7/100</f>
        <v>1288.1205632730698</v>
      </c>
      <c r="J86" s="209">
        <f ca="1">(VLOOKUP(F86,'Anticipated Exit Bookings'!$B:$C,MATCH('Exit Anticipated Rev. Recovery'!$C$2,'Anticipated Exit Bookings'!$B$1:$C$1,0), FALSE))*VLOOKUP($F86, 'Exit Capacity Split'!A:H, 4,0)/100</f>
        <v>0</v>
      </c>
      <c r="K86" s="205" t="str">
        <f>IF(VLOOKUP(F86,'Exit Prices'!$A:$Q,13,FALSE)&gt;0,VLOOKUP(F86,'Exit Prices'!$A:$Q,13,FALSE),0)</f>
        <v>N/A</v>
      </c>
      <c r="L86" s="207" t="s">
        <v>428</v>
      </c>
      <c r="M86" s="209">
        <f ca="1">(VLOOKUP(F86,'Anticipated Exit Bookings'!$B:$C,MATCH('Exit Anticipated Rev. Recovery'!$C$2,'Anticipated Exit Bookings'!$B$1:$C$1,0), FALSE))*VLOOKUP($F86, 'Exit Capacity Split'!A:H, 5,0)/100</f>
        <v>0</v>
      </c>
      <c r="N86" s="205" t="str">
        <f>IF(VLOOKUP(F86,'Exit Prices'!$A:$Q,14,FALSE)&gt;0,VLOOKUP(F86,'Exit Prices'!$A:$Q,14,FALSE),0)</f>
        <v>N/A</v>
      </c>
      <c r="O86" s="207" t="s">
        <v>428</v>
      </c>
      <c r="P86" s="204">
        <f ca="1">(VLOOKUP(F86,'Anticipated Exit Bookings'!$B:$C,MATCH('Exit Anticipated Rev. Recovery'!$C$2,'Anticipated Exit Bookings'!$B$1:$C$1,0), FALSE))*VLOOKUP($F86, 'Exit Capacity Split'!A:H, 6,0)/100</f>
        <v>0</v>
      </c>
      <c r="Q86" s="200">
        <f ca="1">IF(VLOOKUP(F86,'Exit Prices'!$A:$Q,15,FALSE)&gt;0,VLOOKUP(F86,'Exit Prices'!$A:$Q,15,FALSE),0)</f>
        <v>9.9101615669044355E-3</v>
      </c>
      <c r="R86" s="202">
        <f ca="1">P86*Q86*'User Inputs'!$D$7/100</f>
        <v>0</v>
      </c>
      <c r="S86" s="209">
        <f ca="1">(VLOOKUP(F86,'Anticipated Exit Bookings'!$B:$C,MATCH('Exit Anticipated Rev. Recovery'!$C$2,'Anticipated Exit Bookings'!$B$1:$C$1,0), FALSE))*VLOOKUP($F86, 'Exit Capacity Split'!A:H, 7,0)/100</f>
        <v>199.27532512136935</v>
      </c>
      <c r="T86" s="205" t="str">
        <f>IF(VLOOKUP(F86,'Exit Prices'!$A:$Q,16,FALSE)&gt;0,VLOOKUP(F86,'Exit Prices'!$A:$Q,16,FALSE),0)</f>
        <v>N/A</v>
      </c>
      <c r="U86" s="207" t="s">
        <v>428</v>
      </c>
      <c r="V86" s="204">
        <f ca="1">(VLOOKUP(F86,'Anticipated Exit Bookings'!$B:$C,MATCH('Exit Anticipated Rev. Recovery'!$C$2,'Anticipated Exit Bookings'!$B$1:$C$1,0), FALSE))*VLOOKUP($F86, 'Exit Capacity Split'!A:H, 8,0)/100</f>
        <v>92909.827619370742</v>
      </c>
      <c r="W86" s="200">
        <f ca="1">IF(VLOOKUP(F86,'Exit Prices'!$A:$Q,17,FALSE)&gt;0,VLOOKUP(F86,'Exit Prices'!$A:$Q,17,FALSE),0)</f>
        <v>8.9191454102139928E-3</v>
      </c>
      <c r="X86" s="202">
        <f ca="1">V86*W86*'User Inputs'!$D$7/100</f>
        <v>3024.6683583990562</v>
      </c>
      <c r="Y86" s="199">
        <f t="shared" ref="Y86:Y134" ca="1" si="2">I86+R86+X86</f>
        <v>4312.788921672126</v>
      </c>
      <c r="AA86" s="164"/>
    </row>
    <row r="87" spans="5:27">
      <c r="E87" s="213" t="s">
        <v>474</v>
      </c>
      <c r="F87" s="213" t="s">
        <v>107</v>
      </c>
      <c r="G87" s="197">
        <f ca="1">(VLOOKUP(F87,'Anticipated Exit Bookings'!$B:$C,MATCH('Exit Anticipated Rev. Recovery'!$C$2,'Anticipated Exit Bookings'!$B$1:$C$1,0), FALSE))*VLOOKUP($F87, 'Exit Capacity Split'!A:H, 3,0)/100</f>
        <v>1284908.7067284577</v>
      </c>
      <c r="H87" s="200">
        <f ca="1">IF(VLOOKUP(F87,'Exit Prices'!$A:$Q,12,FALSE)&gt;0,VLOOKUP(F87,'Exit Prices'!$A:$Q,12,FALSE),0)</f>
        <v>1.9820323133808871E-2</v>
      </c>
      <c r="I87" s="202">
        <f ca="1">G87*H87*'User Inputs'!$D$7/100</f>
        <v>92955.666041529083</v>
      </c>
      <c r="J87" s="209">
        <f ca="1">(VLOOKUP(F87,'Anticipated Exit Bookings'!$B:$C,MATCH('Exit Anticipated Rev. Recovery'!$C$2,'Anticipated Exit Bookings'!$B$1:$C$1,0), FALSE))*VLOOKUP($F87, 'Exit Capacity Split'!A:H, 4,0)/100</f>
        <v>0</v>
      </c>
      <c r="K87" s="205" t="str">
        <f>IF(VLOOKUP(F87,'Exit Prices'!$A:$Q,13,FALSE)&gt;0,VLOOKUP(F87,'Exit Prices'!$A:$Q,13,FALSE),0)</f>
        <v>N/A</v>
      </c>
      <c r="L87" s="207" t="s">
        <v>428</v>
      </c>
      <c r="M87" s="209">
        <f ca="1">(VLOOKUP(F87,'Anticipated Exit Bookings'!$B:$C,MATCH('Exit Anticipated Rev. Recovery'!$C$2,'Anticipated Exit Bookings'!$B$1:$C$1,0), FALSE))*VLOOKUP($F87, 'Exit Capacity Split'!A:H, 5,0)/100</f>
        <v>0</v>
      </c>
      <c r="N87" s="205" t="str">
        <f>IF(VLOOKUP(F87,'Exit Prices'!$A:$Q,14,FALSE)&gt;0,VLOOKUP(F87,'Exit Prices'!$A:$Q,14,FALSE),0)</f>
        <v>N/A</v>
      </c>
      <c r="O87" s="207" t="s">
        <v>428</v>
      </c>
      <c r="P87" s="204">
        <f ca="1">(VLOOKUP(F87,'Anticipated Exit Bookings'!$B:$C,MATCH('Exit Anticipated Rev. Recovery'!$C$2,'Anticipated Exit Bookings'!$B$1:$C$1,0), FALSE))*VLOOKUP($F87, 'Exit Capacity Split'!A:H, 6,0)/100</f>
        <v>44.631545492225456</v>
      </c>
      <c r="Q87" s="200">
        <f ca="1">IF(VLOOKUP(F87,'Exit Prices'!$A:$Q,15,FALSE)&gt;0,VLOOKUP(F87,'Exit Prices'!$A:$Q,15,FALSE),0)</f>
        <v>1.9820323133808871E-2</v>
      </c>
      <c r="R87" s="202">
        <f ca="1">P87*Q87*'User Inputs'!$D$7/100</f>
        <v>3.2288325357027774</v>
      </c>
      <c r="S87" s="209">
        <f ca="1">(VLOOKUP(F87,'Anticipated Exit Bookings'!$B:$C,MATCH('Exit Anticipated Rev. Recovery'!$C$2,'Anticipated Exit Bookings'!$B$1:$C$1,0), FALSE))*VLOOKUP($F87, 'Exit Capacity Split'!A:H, 7,0)/100</f>
        <v>1603.3024419130193</v>
      </c>
      <c r="T87" s="205" t="str">
        <f>IF(VLOOKUP(F87,'Exit Prices'!$A:$Q,16,FALSE)&gt;0,VLOOKUP(F87,'Exit Prices'!$A:$Q,16,FALSE),0)</f>
        <v>N/A</v>
      </c>
      <c r="U87" s="207" t="s">
        <v>428</v>
      </c>
      <c r="V87" s="204">
        <f ca="1">(VLOOKUP(F87,'Anticipated Exit Bookings'!$B:$C,MATCH('Exit Anticipated Rev. Recovery'!$C$2,'Anticipated Exit Bookings'!$B$1:$C$1,0), FALSE))*VLOOKUP($F87, 'Exit Capacity Split'!A:H, 8,0)/100</f>
        <v>413717.33188687725</v>
      </c>
      <c r="W87" s="200">
        <f ca="1">IF(VLOOKUP(F87,'Exit Prices'!$A:$Q,17,FALSE)&gt;0,VLOOKUP(F87,'Exit Prices'!$A:$Q,17,FALSE),0)</f>
        <v>1.7838290820427986E-2</v>
      </c>
      <c r="X87" s="202">
        <f ca="1">V87*W87*'User Inputs'!$D$7/100</f>
        <v>26937.036805321186</v>
      </c>
      <c r="Y87" s="199">
        <f t="shared" ca="1" si="2"/>
        <v>119895.93167938598</v>
      </c>
      <c r="AA87" s="164"/>
    </row>
    <row r="88" spans="5:27">
      <c r="E88" s="213" t="s">
        <v>474</v>
      </c>
      <c r="F88" s="213" t="s">
        <v>108</v>
      </c>
      <c r="G88" s="197">
        <f ca="1">(VLOOKUP(F88,'Anticipated Exit Bookings'!$B:$C,MATCH('Exit Anticipated Rev. Recovery'!$C$2,'Anticipated Exit Bookings'!$B$1:$C$1,0), FALSE))*VLOOKUP($F88, 'Exit Capacity Split'!A:H, 3,0)/100</f>
        <v>12001295.684319992</v>
      </c>
      <c r="H88" s="200">
        <f ca="1">IF(VLOOKUP(F88,'Exit Prices'!$A:$Q,12,FALSE)&gt;0,VLOOKUP(F88,'Exit Prices'!$A:$Q,12,FALSE),0)</f>
        <v>1.9820323133808871E-2</v>
      </c>
      <c r="I88" s="202">
        <f ca="1">G88*H88*'User Inputs'!$D$7/100</f>
        <v>868223.88847976958</v>
      </c>
      <c r="J88" s="209">
        <f ca="1">(VLOOKUP(F88,'Anticipated Exit Bookings'!$B:$C,MATCH('Exit Anticipated Rev. Recovery'!$C$2,'Anticipated Exit Bookings'!$B$1:$C$1,0), FALSE))*VLOOKUP($F88, 'Exit Capacity Split'!A:H, 4,0)/100</f>
        <v>0</v>
      </c>
      <c r="K88" s="205" t="str">
        <f>IF(VLOOKUP(F88,'Exit Prices'!$A:$Q,13,FALSE)&gt;0,VLOOKUP(F88,'Exit Prices'!$A:$Q,13,FALSE),0)</f>
        <v>N/A</v>
      </c>
      <c r="L88" s="207" t="s">
        <v>428</v>
      </c>
      <c r="M88" s="209">
        <f ca="1">(VLOOKUP(F88,'Anticipated Exit Bookings'!$B:$C,MATCH('Exit Anticipated Rev. Recovery'!$C$2,'Anticipated Exit Bookings'!$B$1:$C$1,0), FALSE))*VLOOKUP($F88, 'Exit Capacity Split'!A:H, 5,0)/100</f>
        <v>0</v>
      </c>
      <c r="N88" s="205" t="str">
        <f>IF(VLOOKUP(F88,'Exit Prices'!$A:$Q,14,FALSE)&gt;0,VLOOKUP(F88,'Exit Prices'!$A:$Q,14,FALSE),0)</f>
        <v>N/A</v>
      </c>
      <c r="O88" s="207" t="s">
        <v>428</v>
      </c>
      <c r="P88" s="204">
        <f ca="1">(VLOOKUP(F88,'Anticipated Exit Bookings'!$B:$C,MATCH('Exit Anticipated Rev. Recovery'!$C$2,'Anticipated Exit Bookings'!$B$1:$C$1,0), FALSE))*VLOOKUP($F88, 'Exit Capacity Split'!A:H, 6,0)/100</f>
        <v>0</v>
      </c>
      <c r="Q88" s="200">
        <f ca="1">IF(VLOOKUP(F88,'Exit Prices'!$A:$Q,15,FALSE)&gt;0,VLOOKUP(F88,'Exit Prices'!$A:$Q,15,FALSE),0)</f>
        <v>1.9820323133808871E-2</v>
      </c>
      <c r="R88" s="202">
        <f ca="1">P88*Q88*'User Inputs'!$D$7/100</f>
        <v>0</v>
      </c>
      <c r="S88" s="209">
        <f ca="1">(VLOOKUP(F88,'Anticipated Exit Bookings'!$B:$C,MATCH('Exit Anticipated Rev. Recovery'!$C$2,'Anticipated Exit Bookings'!$B$1:$C$1,0), FALSE))*VLOOKUP($F88, 'Exit Capacity Split'!A:H, 7,0)/100</f>
        <v>11346.139953975773</v>
      </c>
      <c r="T88" s="205" t="str">
        <f>IF(VLOOKUP(F88,'Exit Prices'!$A:$Q,16,FALSE)&gt;0,VLOOKUP(F88,'Exit Prices'!$A:$Q,16,FALSE),0)</f>
        <v>N/A</v>
      </c>
      <c r="U88" s="207" t="s">
        <v>428</v>
      </c>
      <c r="V88" s="204">
        <f ca="1">(VLOOKUP(F88,'Anticipated Exit Bookings'!$B:$C,MATCH('Exit Anticipated Rev. Recovery'!$C$2,'Anticipated Exit Bookings'!$B$1:$C$1,0), FALSE))*VLOOKUP($F88, 'Exit Capacity Split'!A:H, 8,0)/100</f>
        <v>308478.17572603351</v>
      </c>
      <c r="W88" s="200">
        <f ca="1">IF(VLOOKUP(F88,'Exit Prices'!$A:$Q,17,FALSE)&gt;0,VLOOKUP(F88,'Exit Prices'!$A:$Q,17,FALSE),0)</f>
        <v>1.7838290820427986E-2</v>
      </c>
      <c r="X88" s="202">
        <f ca="1">V88*W88*'User Inputs'!$D$7/100</f>
        <v>20084.940447799672</v>
      </c>
      <c r="Y88" s="199">
        <f t="shared" ca="1" si="2"/>
        <v>888308.82892756921</v>
      </c>
      <c r="AA88" s="164"/>
    </row>
    <row r="89" spans="5:27">
      <c r="E89" s="213" t="s">
        <v>474</v>
      </c>
      <c r="F89" s="213" t="s">
        <v>109</v>
      </c>
      <c r="G89" s="197">
        <f ca="1">(VLOOKUP(F89,'Anticipated Exit Bookings'!$B:$C,MATCH('Exit Anticipated Rev. Recovery'!$C$2,'Anticipated Exit Bookings'!$B$1:$C$1,0), FALSE))*VLOOKUP($F89, 'Exit Capacity Split'!A:H, 3,0)/100</f>
        <v>21348014.008113146</v>
      </c>
      <c r="H89" s="200">
        <f ca="1">IF(VLOOKUP(F89,'Exit Prices'!$A:$Q,12,FALSE)&gt;0,VLOOKUP(F89,'Exit Prices'!$A:$Q,12,FALSE),0)</f>
        <v>1.9820323133808871E-2</v>
      </c>
      <c r="I89" s="202">
        <f ca="1">G89*H89*'User Inputs'!$D$7/100</f>
        <v>1544404.556056465</v>
      </c>
      <c r="J89" s="209">
        <f ca="1">(VLOOKUP(F89,'Anticipated Exit Bookings'!$B:$C,MATCH('Exit Anticipated Rev. Recovery'!$C$2,'Anticipated Exit Bookings'!$B$1:$C$1,0), FALSE))*VLOOKUP($F89, 'Exit Capacity Split'!A:H, 4,0)/100</f>
        <v>0</v>
      </c>
      <c r="K89" s="205" t="str">
        <f>IF(VLOOKUP(F89,'Exit Prices'!$A:$Q,13,FALSE)&gt;0,VLOOKUP(F89,'Exit Prices'!$A:$Q,13,FALSE),0)</f>
        <v>N/A</v>
      </c>
      <c r="L89" s="207" t="s">
        <v>428</v>
      </c>
      <c r="M89" s="209">
        <f ca="1">(VLOOKUP(F89,'Anticipated Exit Bookings'!$B:$C,MATCH('Exit Anticipated Rev. Recovery'!$C$2,'Anticipated Exit Bookings'!$B$1:$C$1,0), FALSE))*VLOOKUP($F89, 'Exit Capacity Split'!A:H, 5,0)/100</f>
        <v>0</v>
      </c>
      <c r="N89" s="205" t="str">
        <f>IF(VLOOKUP(F89,'Exit Prices'!$A:$Q,14,FALSE)&gt;0,VLOOKUP(F89,'Exit Prices'!$A:$Q,14,FALSE),0)</f>
        <v>N/A</v>
      </c>
      <c r="O89" s="207" t="s">
        <v>428</v>
      </c>
      <c r="P89" s="204">
        <f ca="1">(VLOOKUP(F89,'Anticipated Exit Bookings'!$B:$C,MATCH('Exit Anticipated Rev. Recovery'!$C$2,'Anticipated Exit Bookings'!$B$1:$C$1,0), FALSE))*VLOOKUP($F89, 'Exit Capacity Split'!A:H, 6,0)/100</f>
        <v>113132.03985409527</v>
      </c>
      <c r="Q89" s="200">
        <f ca="1">IF(VLOOKUP(F89,'Exit Prices'!$A:$Q,15,FALSE)&gt;0,VLOOKUP(F89,'Exit Prices'!$A:$Q,15,FALSE),0)</f>
        <v>1.9820323133808871E-2</v>
      </c>
      <c r="R89" s="202">
        <f ca="1">P89*Q89*'User Inputs'!$D$7/100</f>
        <v>8184.4445914371572</v>
      </c>
      <c r="S89" s="209">
        <f ca="1">(VLOOKUP(F89,'Anticipated Exit Bookings'!$B:$C,MATCH('Exit Anticipated Rev. Recovery'!$C$2,'Anticipated Exit Bookings'!$B$1:$C$1,0), FALSE))*VLOOKUP($F89, 'Exit Capacity Split'!A:H, 7,0)/100</f>
        <v>28803.293463453971</v>
      </c>
      <c r="T89" s="205" t="str">
        <f>IF(VLOOKUP(F89,'Exit Prices'!$A:$Q,16,FALSE)&gt;0,VLOOKUP(F89,'Exit Prices'!$A:$Q,16,FALSE),0)</f>
        <v>N/A</v>
      </c>
      <c r="U89" s="207" t="s">
        <v>428</v>
      </c>
      <c r="V89" s="204">
        <f ca="1">(VLOOKUP(F89,'Anticipated Exit Bookings'!$B:$C,MATCH('Exit Anticipated Rev. Recovery'!$C$2,'Anticipated Exit Bookings'!$B$1:$C$1,0), FALSE))*VLOOKUP($F89, 'Exit Capacity Split'!A:H, 8,0)/100</f>
        <v>21830050.658569299</v>
      </c>
      <c r="W89" s="200">
        <f ca="1">IF(VLOOKUP(F89,'Exit Prices'!$A:$Q,17,FALSE)&gt;0,VLOOKUP(F89,'Exit Prices'!$A:$Q,17,FALSE),0)</f>
        <v>1.7838290820427986E-2</v>
      </c>
      <c r="X89" s="202">
        <f ca="1">V89*W89*'User Inputs'!$D$7/100</f>
        <v>1421349.3917936564</v>
      </c>
      <c r="Y89" s="199">
        <f t="shared" ca="1" si="2"/>
        <v>2973938.3924415587</v>
      </c>
      <c r="AA89" s="164"/>
    </row>
    <row r="90" spans="5:27">
      <c r="E90" s="213" t="s">
        <v>474</v>
      </c>
      <c r="F90" s="213" t="s">
        <v>110</v>
      </c>
      <c r="G90" s="197">
        <f ca="1">(VLOOKUP(F90,'Anticipated Exit Bookings'!$B:$C,MATCH('Exit Anticipated Rev. Recovery'!$C$2,'Anticipated Exit Bookings'!$B$1:$C$1,0), FALSE))*VLOOKUP($F90, 'Exit Capacity Split'!A:H, 3,0)/100</f>
        <v>20697836.386017267</v>
      </c>
      <c r="H90" s="200">
        <f ca="1">IF(VLOOKUP(F90,'Exit Prices'!$A:$Q,12,FALSE)&gt;0,VLOOKUP(F90,'Exit Prices'!$A:$Q,12,FALSE),0)</f>
        <v>1.9820323133808871E-2</v>
      </c>
      <c r="I90" s="202">
        <f ca="1">G90*H90*'User Inputs'!$D$7/100</f>
        <v>1497367.989496727</v>
      </c>
      <c r="J90" s="209">
        <f ca="1">(VLOOKUP(F90,'Anticipated Exit Bookings'!$B:$C,MATCH('Exit Anticipated Rev. Recovery'!$C$2,'Anticipated Exit Bookings'!$B$1:$C$1,0), FALSE))*VLOOKUP($F90, 'Exit Capacity Split'!A:H, 4,0)/100</f>
        <v>0</v>
      </c>
      <c r="K90" s="205" t="str">
        <f>IF(VLOOKUP(F90,'Exit Prices'!$A:$Q,13,FALSE)&gt;0,VLOOKUP(F90,'Exit Prices'!$A:$Q,13,FALSE),0)</f>
        <v>N/A</v>
      </c>
      <c r="L90" s="207" t="s">
        <v>428</v>
      </c>
      <c r="M90" s="209">
        <f ca="1">(VLOOKUP(F90,'Anticipated Exit Bookings'!$B:$C,MATCH('Exit Anticipated Rev. Recovery'!$C$2,'Anticipated Exit Bookings'!$B$1:$C$1,0), FALSE))*VLOOKUP($F90, 'Exit Capacity Split'!A:H, 5,0)/100</f>
        <v>0</v>
      </c>
      <c r="N90" s="205" t="str">
        <f>IF(VLOOKUP(F90,'Exit Prices'!$A:$Q,14,FALSE)&gt;0,VLOOKUP(F90,'Exit Prices'!$A:$Q,14,FALSE),0)</f>
        <v>N/A</v>
      </c>
      <c r="O90" s="207" t="s">
        <v>428</v>
      </c>
      <c r="P90" s="204">
        <f ca="1">(VLOOKUP(F90,'Anticipated Exit Bookings'!$B:$C,MATCH('Exit Anticipated Rev. Recovery'!$C$2,'Anticipated Exit Bookings'!$B$1:$C$1,0), FALSE))*VLOOKUP($F90, 'Exit Capacity Split'!A:H, 6,0)/100</f>
        <v>109686.4771601961</v>
      </c>
      <c r="Q90" s="200">
        <f ca="1">IF(VLOOKUP(F90,'Exit Prices'!$A:$Q,15,FALSE)&gt;0,VLOOKUP(F90,'Exit Prices'!$A:$Q,15,FALSE),0)</f>
        <v>1.9820323133808871E-2</v>
      </c>
      <c r="R90" s="202">
        <f ca="1">P90*Q90*'User Inputs'!$D$7/100</f>
        <v>7935.17818564345</v>
      </c>
      <c r="S90" s="209">
        <f ca="1">(VLOOKUP(F90,'Anticipated Exit Bookings'!$B:$C,MATCH('Exit Anticipated Rev. Recovery'!$C$2,'Anticipated Exit Bookings'!$B$1:$C$1,0), FALSE))*VLOOKUP($F90, 'Exit Capacity Split'!A:H, 7,0)/100</f>
        <v>27926.056974594583</v>
      </c>
      <c r="T90" s="205" t="str">
        <f>IF(VLOOKUP(F90,'Exit Prices'!$A:$Q,16,FALSE)&gt;0,VLOOKUP(F90,'Exit Prices'!$A:$Q,16,FALSE),0)</f>
        <v>N/A</v>
      </c>
      <c r="U90" s="207" t="s">
        <v>428</v>
      </c>
      <c r="V90" s="204">
        <f ca="1">(VLOOKUP(F90,'Anticipated Exit Bookings'!$B:$C,MATCH('Exit Anticipated Rev. Recovery'!$C$2,'Anticipated Exit Bookings'!$B$1:$C$1,0), FALSE))*VLOOKUP($F90, 'Exit Capacity Split'!A:H, 8,0)/100</f>
        <v>21165192.071628753</v>
      </c>
      <c r="W90" s="200">
        <f ca="1">IF(VLOOKUP(F90,'Exit Prices'!$A:$Q,17,FALSE)&gt;0,VLOOKUP(F90,'Exit Prices'!$A:$Q,17,FALSE),0)</f>
        <v>1.7838290820427986E-2</v>
      </c>
      <c r="X90" s="202">
        <f ca="1">V90*W90*'User Inputs'!$D$7/100</f>
        <v>1378060.6077703459</v>
      </c>
      <c r="Y90" s="199">
        <f t="shared" ca="1" si="2"/>
        <v>2883363.7754527163</v>
      </c>
      <c r="AA90" s="164"/>
    </row>
    <row r="91" spans="5:27">
      <c r="E91" s="213" t="s">
        <v>474</v>
      </c>
      <c r="F91" s="213" t="s">
        <v>111</v>
      </c>
      <c r="G91" s="197">
        <f ca="1">(VLOOKUP(F91,'Anticipated Exit Bookings'!$B:$C,MATCH('Exit Anticipated Rev. Recovery'!$C$2,'Anticipated Exit Bookings'!$B$1:$C$1,0), FALSE))*VLOOKUP($F91, 'Exit Capacity Split'!A:H, 3,0)/100</f>
        <v>23062913.971513625</v>
      </c>
      <c r="H91" s="200">
        <f ca="1">IF(VLOOKUP(F91,'Exit Prices'!$A:$Q,12,FALSE)&gt;0,VLOOKUP(F91,'Exit Prices'!$A:$Q,12,FALSE),0)</f>
        <v>1.9820323133808871E-2</v>
      </c>
      <c r="I91" s="202">
        <f ca="1">G91*H91*'User Inputs'!$D$7/100</f>
        <v>1668467.5867276192</v>
      </c>
      <c r="J91" s="209">
        <f ca="1">(VLOOKUP(F91,'Anticipated Exit Bookings'!$B:$C,MATCH('Exit Anticipated Rev. Recovery'!$C$2,'Anticipated Exit Bookings'!$B$1:$C$1,0), FALSE))*VLOOKUP($F91, 'Exit Capacity Split'!A:H, 4,0)/100</f>
        <v>0</v>
      </c>
      <c r="K91" s="205" t="str">
        <f>IF(VLOOKUP(F91,'Exit Prices'!$A:$Q,13,FALSE)&gt;0,VLOOKUP(F91,'Exit Prices'!$A:$Q,13,FALSE),0)</f>
        <v>N/A</v>
      </c>
      <c r="L91" s="207" t="s">
        <v>428</v>
      </c>
      <c r="M91" s="209">
        <f ca="1">(VLOOKUP(F91,'Anticipated Exit Bookings'!$B:$C,MATCH('Exit Anticipated Rev. Recovery'!$C$2,'Anticipated Exit Bookings'!$B$1:$C$1,0), FALSE))*VLOOKUP($F91, 'Exit Capacity Split'!A:H, 5,0)/100</f>
        <v>0</v>
      </c>
      <c r="N91" s="205" t="str">
        <f>IF(VLOOKUP(F91,'Exit Prices'!$A:$Q,14,FALSE)&gt;0,VLOOKUP(F91,'Exit Prices'!$A:$Q,14,FALSE),0)</f>
        <v>N/A</v>
      </c>
      <c r="O91" s="207" t="s">
        <v>428</v>
      </c>
      <c r="P91" s="204">
        <f ca="1">(VLOOKUP(F91,'Anticipated Exit Bookings'!$B:$C,MATCH('Exit Anticipated Rev. Recovery'!$C$2,'Anticipated Exit Bookings'!$B$1:$C$1,0), FALSE))*VLOOKUP($F91, 'Exit Capacity Split'!A:H, 6,0)/100</f>
        <v>0</v>
      </c>
      <c r="Q91" s="200">
        <f ca="1">IF(VLOOKUP(F91,'Exit Prices'!$A:$Q,15,FALSE)&gt;0,VLOOKUP(F91,'Exit Prices'!$A:$Q,15,FALSE),0)</f>
        <v>1.9820323133808871E-2</v>
      </c>
      <c r="R91" s="202">
        <f ca="1">P91*Q91*'User Inputs'!$D$7/100</f>
        <v>0</v>
      </c>
      <c r="S91" s="209">
        <f ca="1">(VLOOKUP(F91,'Anticipated Exit Bookings'!$B:$C,MATCH('Exit Anticipated Rev. Recovery'!$C$2,'Anticipated Exit Bookings'!$B$1:$C$1,0), FALSE))*VLOOKUP($F91, 'Exit Capacity Split'!A:H, 7,0)/100</f>
        <v>21803.899891341076</v>
      </c>
      <c r="T91" s="205" t="str">
        <f>IF(VLOOKUP(F91,'Exit Prices'!$A:$Q,16,FALSE)&gt;0,VLOOKUP(F91,'Exit Prices'!$A:$Q,16,FALSE),0)</f>
        <v>N/A</v>
      </c>
      <c r="U91" s="207" t="s">
        <v>428</v>
      </c>
      <c r="V91" s="204">
        <f ca="1">(VLOOKUP(F91,'Anticipated Exit Bookings'!$B:$C,MATCH('Exit Anticipated Rev. Recovery'!$C$2,'Anticipated Exit Bookings'!$B$1:$C$1,0), FALSE))*VLOOKUP($F91, 'Exit Capacity Split'!A:H, 8,0)/100</f>
        <v>592803.12859503413</v>
      </c>
      <c r="W91" s="200">
        <f ca="1">IF(VLOOKUP(F91,'Exit Prices'!$A:$Q,17,FALSE)&gt;0,VLOOKUP(F91,'Exit Prices'!$A:$Q,17,FALSE),0)</f>
        <v>1.7838290820427986E-2</v>
      </c>
      <c r="X91" s="202">
        <f ca="1">V91*W91*'User Inputs'!$D$7/100</f>
        <v>38597.270316052927</v>
      </c>
      <c r="Y91" s="199">
        <f t="shared" ca="1" si="2"/>
        <v>1707064.8570436721</v>
      </c>
      <c r="AA91" s="164"/>
    </row>
    <row r="92" spans="5:27">
      <c r="E92" s="213" t="s">
        <v>474</v>
      </c>
      <c r="F92" s="213" t="s">
        <v>112</v>
      </c>
      <c r="G92" s="197">
        <f ca="1">(VLOOKUP(F92,'Anticipated Exit Bookings'!$B:$C,MATCH('Exit Anticipated Rev. Recovery'!$C$2,'Anticipated Exit Bookings'!$B$1:$C$1,0), FALSE))*VLOOKUP($F92, 'Exit Capacity Split'!A:H, 3,0)/100</f>
        <v>1760083.2786319759</v>
      </c>
      <c r="H92" s="200">
        <f ca="1">IF(VLOOKUP(F92,'Exit Prices'!$A:$Q,12,FALSE)&gt;0,VLOOKUP(F92,'Exit Prices'!$A:$Q,12,FALSE),0)</f>
        <v>1.9820323133808871E-2</v>
      </c>
      <c r="I92" s="202">
        <f ca="1">G92*H92*'User Inputs'!$D$7/100</f>
        <v>127331.78053588323</v>
      </c>
      <c r="J92" s="209">
        <f ca="1">(VLOOKUP(F92,'Anticipated Exit Bookings'!$B:$C,MATCH('Exit Anticipated Rev. Recovery'!$C$2,'Anticipated Exit Bookings'!$B$1:$C$1,0), FALSE))*VLOOKUP($F92, 'Exit Capacity Split'!A:H, 4,0)/100</f>
        <v>0</v>
      </c>
      <c r="K92" s="205" t="str">
        <f>IF(VLOOKUP(F92,'Exit Prices'!$A:$Q,13,FALSE)&gt;0,VLOOKUP(F92,'Exit Prices'!$A:$Q,13,FALSE),0)</f>
        <v>N/A</v>
      </c>
      <c r="L92" s="207" t="s">
        <v>428</v>
      </c>
      <c r="M92" s="209">
        <f ca="1">(VLOOKUP(F92,'Anticipated Exit Bookings'!$B:$C,MATCH('Exit Anticipated Rev. Recovery'!$C$2,'Anticipated Exit Bookings'!$B$1:$C$1,0), FALSE))*VLOOKUP($F92, 'Exit Capacity Split'!A:H, 5,0)/100</f>
        <v>0</v>
      </c>
      <c r="N92" s="205" t="str">
        <f>IF(VLOOKUP(F92,'Exit Prices'!$A:$Q,14,FALSE)&gt;0,VLOOKUP(F92,'Exit Prices'!$A:$Q,14,FALSE),0)</f>
        <v>N/A</v>
      </c>
      <c r="O92" s="207" t="s">
        <v>428</v>
      </c>
      <c r="P92" s="204">
        <f ca="1">(VLOOKUP(F92,'Anticipated Exit Bookings'!$B:$C,MATCH('Exit Anticipated Rev. Recovery'!$C$2,'Anticipated Exit Bookings'!$B$1:$C$1,0), FALSE))*VLOOKUP($F92, 'Exit Capacity Split'!A:H, 6,0)/100</f>
        <v>0</v>
      </c>
      <c r="Q92" s="200">
        <f ca="1">IF(VLOOKUP(F92,'Exit Prices'!$A:$Q,15,FALSE)&gt;0,VLOOKUP(F92,'Exit Prices'!$A:$Q,15,FALSE),0)</f>
        <v>1.9820323133808871E-2</v>
      </c>
      <c r="R92" s="202">
        <f ca="1">P92*Q92*'User Inputs'!$D$7/100</f>
        <v>0</v>
      </c>
      <c r="S92" s="209">
        <f ca="1">(VLOOKUP(F92,'Anticipated Exit Bookings'!$B:$C,MATCH('Exit Anticipated Rev. Recovery'!$C$2,'Anticipated Exit Bookings'!$B$1:$C$1,0), FALSE))*VLOOKUP($F92, 'Exit Capacity Split'!A:H, 7,0)/100</f>
        <v>1663.9995993184689</v>
      </c>
      <c r="T92" s="205" t="str">
        <f>IF(VLOOKUP(F92,'Exit Prices'!$A:$Q,16,FALSE)&gt;0,VLOOKUP(F92,'Exit Prices'!$A:$Q,16,FALSE),0)</f>
        <v>N/A</v>
      </c>
      <c r="U92" s="207" t="s">
        <v>428</v>
      </c>
      <c r="V92" s="204">
        <f ca="1">(VLOOKUP(F92,'Anticipated Exit Bookings'!$B:$C,MATCH('Exit Anticipated Rev. Recovery'!$C$2,'Anticipated Exit Bookings'!$B$1:$C$1,0), FALSE))*VLOOKUP($F92, 'Exit Capacity Split'!A:H, 8,0)/100</f>
        <v>45240.721768705582</v>
      </c>
      <c r="W92" s="200">
        <f ca="1">IF(VLOOKUP(F92,'Exit Prices'!$A:$Q,17,FALSE)&gt;0,VLOOKUP(F92,'Exit Prices'!$A:$Q,17,FALSE),0)</f>
        <v>1.7838290820427986E-2</v>
      </c>
      <c r="X92" s="202">
        <f ca="1">V92*W92*'User Inputs'!$D$7/100</f>
        <v>2945.6126042022661</v>
      </c>
      <c r="Y92" s="199">
        <f t="shared" ca="1" si="2"/>
        <v>130277.39314008549</v>
      </c>
      <c r="AA92" s="164"/>
    </row>
    <row r="93" spans="5:27">
      <c r="E93" s="213" t="s">
        <v>474</v>
      </c>
      <c r="F93" s="213" t="s">
        <v>113</v>
      </c>
      <c r="G93" s="197">
        <f ca="1">(VLOOKUP(F93,'Anticipated Exit Bookings'!$B:$C,MATCH('Exit Anticipated Rev. Recovery'!$C$2,'Anticipated Exit Bookings'!$B$1:$C$1,0), FALSE))*VLOOKUP($F93, 'Exit Capacity Split'!A:H, 3,0)/100</f>
        <v>103885699.52482018</v>
      </c>
      <c r="H93" s="200">
        <f ca="1">IF(VLOOKUP(F93,'Exit Prices'!$A:$Q,12,FALSE)&gt;0,VLOOKUP(F93,'Exit Prices'!$A:$Q,12,FALSE),0)</f>
        <v>1.9820323133808871E-2</v>
      </c>
      <c r="I93" s="202">
        <f ca="1">G93*H93*'User Inputs'!$D$7/100</f>
        <v>7515525.6875075437</v>
      </c>
      <c r="J93" s="209">
        <f ca="1">(VLOOKUP(F93,'Anticipated Exit Bookings'!$B:$C,MATCH('Exit Anticipated Rev. Recovery'!$C$2,'Anticipated Exit Bookings'!$B$1:$C$1,0), FALSE))*VLOOKUP($F93, 'Exit Capacity Split'!A:H, 4,0)/100</f>
        <v>0</v>
      </c>
      <c r="K93" s="205" t="str">
        <f>IF(VLOOKUP(F93,'Exit Prices'!$A:$Q,13,FALSE)&gt;0,VLOOKUP(F93,'Exit Prices'!$A:$Q,13,FALSE),0)</f>
        <v>N/A</v>
      </c>
      <c r="L93" s="207" t="s">
        <v>428</v>
      </c>
      <c r="M93" s="209">
        <f ca="1">(VLOOKUP(F93,'Anticipated Exit Bookings'!$B:$C,MATCH('Exit Anticipated Rev. Recovery'!$C$2,'Anticipated Exit Bookings'!$B$1:$C$1,0), FALSE))*VLOOKUP($F93, 'Exit Capacity Split'!A:H, 5,0)/100</f>
        <v>0</v>
      </c>
      <c r="N93" s="205" t="str">
        <f>IF(VLOOKUP(F93,'Exit Prices'!$A:$Q,14,FALSE)&gt;0,VLOOKUP(F93,'Exit Prices'!$A:$Q,14,FALSE),0)</f>
        <v>N/A</v>
      </c>
      <c r="O93" s="207" t="s">
        <v>428</v>
      </c>
      <c r="P93" s="204">
        <f ca="1">(VLOOKUP(F93,'Anticipated Exit Bookings'!$B:$C,MATCH('Exit Anticipated Rev. Recovery'!$C$2,'Anticipated Exit Bookings'!$B$1:$C$1,0), FALSE))*VLOOKUP($F93, 'Exit Capacity Split'!A:H, 6,0)/100</f>
        <v>0</v>
      </c>
      <c r="Q93" s="200">
        <f ca="1">IF(VLOOKUP(F93,'Exit Prices'!$A:$Q,15,FALSE)&gt;0,VLOOKUP(F93,'Exit Prices'!$A:$Q,15,FALSE),0)</f>
        <v>1.9820323133808871E-2</v>
      </c>
      <c r="R93" s="202">
        <f ca="1">P93*Q93*'User Inputs'!$D$7/100</f>
        <v>0</v>
      </c>
      <c r="S93" s="209">
        <f ca="1">(VLOOKUP(F93,'Anticipated Exit Bookings'!$B:$C,MATCH('Exit Anticipated Rev. Recovery'!$C$2,'Anticipated Exit Bookings'!$B$1:$C$1,0), FALSE))*VLOOKUP($F93, 'Exit Capacity Split'!A:H, 7,0)/100</f>
        <v>98214.535915925211</v>
      </c>
      <c r="T93" s="205" t="str">
        <f>IF(VLOOKUP(F93,'Exit Prices'!$A:$Q,16,FALSE)&gt;0,VLOOKUP(F93,'Exit Prices'!$A:$Q,16,FALSE),0)</f>
        <v>N/A</v>
      </c>
      <c r="U93" s="207" t="s">
        <v>428</v>
      </c>
      <c r="V93" s="204">
        <f ca="1">(VLOOKUP(F93,'Anticipated Exit Bookings'!$B:$C,MATCH('Exit Anticipated Rev. Recovery'!$C$2,'Anticipated Exit Bookings'!$B$1:$C$1,0), FALSE))*VLOOKUP($F93, 'Exit Capacity Split'!A:H, 8,0)/100</f>
        <v>2670250.9392639119</v>
      </c>
      <c r="W93" s="200">
        <f ca="1">IF(VLOOKUP(F93,'Exit Prices'!$A:$Q,17,FALSE)&gt;0,VLOOKUP(F93,'Exit Prices'!$A:$Q,17,FALSE),0)</f>
        <v>1.7838290820427986E-2</v>
      </c>
      <c r="X93" s="202">
        <f ca="1">V93*W93*'User Inputs'!$D$7/100</f>
        <v>173859.40178610384</v>
      </c>
      <c r="Y93" s="199">
        <f t="shared" ca="1" si="2"/>
        <v>7689385.0892936476</v>
      </c>
      <c r="AA93" s="164"/>
    </row>
    <row r="94" spans="5:27">
      <c r="E94" s="213" t="s">
        <v>474</v>
      </c>
      <c r="F94" s="213" t="s">
        <v>114</v>
      </c>
      <c r="G94" s="197">
        <f ca="1">(VLOOKUP(F94,'Anticipated Exit Bookings'!$B:$C,MATCH('Exit Anticipated Rev. Recovery'!$C$2,'Anticipated Exit Bookings'!$B$1:$C$1,0), FALSE))*VLOOKUP($F94, 'Exit Capacity Split'!A:H, 3,0)/100</f>
        <v>0</v>
      </c>
      <c r="H94" s="200">
        <f ca="1">IF(VLOOKUP(F94,'Exit Prices'!$A:$Q,12,FALSE)&gt;0,VLOOKUP(F94,'Exit Prices'!$A:$Q,12,FALSE),0)</f>
        <v>1.9820323133808871E-2</v>
      </c>
      <c r="I94" s="202">
        <f ca="1">G94*H94*'User Inputs'!$D$7/100</f>
        <v>0</v>
      </c>
      <c r="J94" s="209">
        <f ca="1">(VLOOKUP(F94,'Anticipated Exit Bookings'!$B:$C,MATCH('Exit Anticipated Rev. Recovery'!$C$2,'Anticipated Exit Bookings'!$B$1:$C$1,0), FALSE))*VLOOKUP($F94, 'Exit Capacity Split'!A:H, 4,0)/100</f>
        <v>0</v>
      </c>
      <c r="K94" s="205" t="str">
        <f>IF(VLOOKUP(F94,'Exit Prices'!$A:$Q,13,FALSE)&gt;0,VLOOKUP(F94,'Exit Prices'!$A:$Q,13,FALSE),0)</f>
        <v>N/A</v>
      </c>
      <c r="L94" s="207" t="s">
        <v>428</v>
      </c>
      <c r="M94" s="209">
        <f ca="1">(VLOOKUP(F94,'Anticipated Exit Bookings'!$B:$C,MATCH('Exit Anticipated Rev. Recovery'!$C$2,'Anticipated Exit Bookings'!$B$1:$C$1,0), FALSE))*VLOOKUP($F94, 'Exit Capacity Split'!A:H, 5,0)/100</f>
        <v>0</v>
      </c>
      <c r="N94" s="205" t="str">
        <f>IF(VLOOKUP(F94,'Exit Prices'!$A:$Q,14,FALSE)&gt;0,VLOOKUP(F94,'Exit Prices'!$A:$Q,14,FALSE),0)</f>
        <v>N/A</v>
      </c>
      <c r="O94" s="207" t="s">
        <v>428</v>
      </c>
      <c r="P94" s="204">
        <f ca="1">(VLOOKUP(F94,'Anticipated Exit Bookings'!$B:$C,MATCH('Exit Anticipated Rev. Recovery'!$C$2,'Anticipated Exit Bookings'!$B$1:$C$1,0), FALSE))*VLOOKUP($F94, 'Exit Capacity Split'!A:H, 6,0)/100</f>
        <v>0</v>
      </c>
      <c r="Q94" s="200">
        <f ca="1">IF(VLOOKUP(F94,'Exit Prices'!$A:$Q,15,FALSE)&gt;0,VLOOKUP(F94,'Exit Prices'!$A:$Q,15,FALSE),0)</f>
        <v>1.9820323133808871E-2</v>
      </c>
      <c r="R94" s="202">
        <f ca="1">P94*Q94*'User Inputs'!$D$7/100</f>
        <v>0</v>
      </c>
      <c r="S94" s="209">
        <f ca="1">(VLOOKUP(F94,'Anticipated Exit Bookings'!$B:$C,MATCH('Exit Anticipated Rev. Recovery'!$C$2,'Anticipated Exit Bookings'!$B$1:$C$1,0), FALSE))*VLOOKUP($F94, 'Exit Capacity Split'!A:H, 7,0)/100</f>
        <v>0</v>
      </c>
      <c r="T94" s="205" t="str">
        <f>IF(VLOOKUP(F94,'Exit Prices'!$A:$Q,16,FALSE)&gt;0,VLOOKUP(F94,'Exit Prices'!$A:$Q,16,FALSE),0)</f>
        <v>N/A</v>
      </c>
      <c r="U94" s="207" t="s">
        <v>428</v>
      </c>
      <c r="V94" s="204">
        <f ca="1">(VLOOKUP(F94,'Anticipated Exit Bookings'!$B:$C,MATCH('Exit Anticipated Rev. Recovery'!$C$2,'Anticipated Exit Bookings'!$B$1:$C$1,0), FALSE))*VLOOKUP($F94, 'Exit Capacity Split'!A:H, 8,0)/100</f>
        <v>0</v>
      </c>
      <c r="W94" s="200">
        <f ca="1">IF(VLOOKUP(F94,'Exit Prices'!$A:$Q,17,FALSE)&gt;0,VLOOKUP(F94,'Exit Prices'!$A:$Q,17,FALSE),0)</f>
        <v>1.7838290820427986E-2</v>
      </c>
      <c r="X94" s="202">
        <f ca="1">V94*W94*'User Inputs'!$D$7/100</f>
        <v>0</v>
      </c>
      <c r="Y94" s="199">
        <f t="shared" ca="1" si="2"/>
        <v>0</v>
      </c>
      <c r="AA94" s="164"/>
    </row>
    <row r="95" spans="5:27">
      <c r="E95" s="213" t="s">
        <v>474</v>
      </c>
      <c r="F95" s="213" t="s">
        <v>115</v>
      </c>
      <c r="G95" s="197">
        <f ca="1">(VLOOKUP(F95,'Anticipated Exit Bookings'!$B:$C,MATCH('Exit Anticipated Rev. Recovery'!$C$2,'Anticipated Exit Bookings'!$B$1:$C$1,0), FALSE))*VLOOKUP($F95, 'Exit Capacity Split'!A:H, 3,0)/100</f>
        <v>8357715.973018134</v>
      </c>
      <c r="H95" s="200">
        <f ca="1">IF(VLOOKUP(F95,'Exit Prices'!$A:$Q,12,FALSE)&gt;0,VLOOKUP(F95,'Exit Prices'!$A:$Q,12,FALSE),0)</f>
        <v>9.9101615669044355E-3</v>
      </c>
      <c r="I95" s="202">
        <f ca="1">G95*H95*'User Inputs'!$D$7/100</f>
        <v>302316.05202361284</v>
      </c>
      <c r="J95" s="209">
        <f ca="1">(VLOOKUP(F95,'Anticipated Exit Bookings'!$B:$C,MATCH('Exit Anticipated Rev. Recovery'!$C$2,'Anticipated Exit Bookings'!$B$1:$C$1,0), FALSE))*VLOOKUP($F95, 'Exit Capacity Split'!A:H, 4,0)/100</f>
        <v>0</v>
      </c>
      <c r="K95" s="205" t="str">
        <f>IF(VLOOKUP(F95,'Exit Prices'!$A:$Q,13,FALSE)&gt;0,VLOOKUP(F95,'Exit Prices'!$A:$Q,13,FALSE),0)</f>
        <v>N/A</v>
      </c>
      <c r="L95" s="207" t="s">
        <v>428</v>
      </c>
      <c r="M95" s="209">
        <f ca="1">(VLOOKUP(F95,'Anticipated Exit Bookings'!$B:$C,MATCH('Exit Anticipated Rev. Recovery'!$C$2,'Anticipated Exit Bookings'!$B$1:$C$1,0), FALSE))*VLOOKUP($F95, 'Exit Capacity Split'!A:H, 5,0)/100</f>
        <v>0</v>
      </c>
      <c r="N95" s="205" t="str">
        <f>IF(VLOOKUP(F95,'Exit Prices'!$A:$Q,14,FALSE)&gt;0,VLOOKUP(F95,'Exit Prices'!$A:$Q,14,FALSE),0)</f>
        <v>N/A</v>
      </c>
      <c r="O95" s="207" t="s">
        <v>428</v>
      </c>
      <c r="P95" s="204">
        <f ca="1">(VLOOKUP(F95,'Anticipated Exit Bookings'!$B:$C,MATCH('Exit Anticipated Rev. Recovery'!$C$2,'Anticipated Exit Bookings'!$B$1:$C$1,0), FALSE))*VLOOKUP($F95, 'Exit Capacity Split'!A:H, 6,0)/100</f>
        <v>0</v>
      </c>
      <c r="Q95" s="200">
        <f ca="1">IF(VLOOKUP(F95,'Exit Prices'!$A:$Q,15,FALSE)&gt;0,VLOOKUP(F95,'Exit Prices'!$A:$Q,15,FALSE),0)</f>
        <v>9.9101615669044355E-3</v>
      </c>
      <c r="R95" s="202">
        <f ca="1">P95*Q95*'User Inputs'!$D$7/100</f>
        <v>0</v>
      </c>
      <c r="S95" s="209">
        <f ca="1">(VLOOKUP(F95,'Anticipated Exit Bookings'!$B:$C,MATCH('Exit Anticipated Rev. Recovery'!$C$2,'Anticipated Exit Bookings'!$B$1:$C$1,0), FALSE))*VLOOKUP($F95, 'Exit Capacity Split'!A:H, 7,0)/100</f>
        <v>46769.014697922372</v>
      </c>
      <c r="T95" s="205" t="str">
        <f>IF(VLOOKUP(F95,'Exit Prices'!$A:$Q,16,FALSE)&gt;0,VLOOKUP(F95,'Exit Prices'!$A:$Q,16,FALSE),0)</f>
        <v>N/A</v>
      </c>
      <c r="U95" s="207" t="s">
        <v>428</v>
      </c>
      <c r="V95" s="204">
        <f ca="1">(VLOOKUP(F95,'Anticipated Exit Bookings'!$B:$C,MATCH('Exit Anticipated Rev. Recovery'!$C$2,'Anticipated Exit Bookings'!$B$1:$C$1,0), FALSE))*VLOOKUP($F95, 'Exit Capacity Split'!A:H, 8,0)/100</f>
        <v>21805515.012283951</v>
      </c>
      <c r="W95" s="200">
        <f ca="1">IF(VLOOKUP(F95,'Exit Prices'!$A:$Q,17,FALSE)&gt;0,VLOOKUP(F95,'Exit Prices'!$A:$Q,17,FALSE),0)</f>
        <v>8.9191454102139928E-3</v>
      </c>
      <c r="X95" s="202">
        <f ca="1">V95*W95*'User Inputs'!$D$7/100</f>
        <v>709875.94085795118</v>
      </c>
      <c r="Y95" s="199">
        <f t="shared" ca="1" si="2"/>
        <v>1012191.992881564</v>
      </c>
      <c r="AA95" s="164"/>
    </row>
    <row r="96" spans="5:27">
      <c r="E96" s="213" t="s">
        <v>474</v>
      </c>
      <c r="F96" s="213" t="s">
        <v>116</v>
      </c>
      <c r="G96" s="197">
        <f ca="1">(VLOOKUP(F96,'Anticipated Exit Bookings'!$B:$C,MATCH('Exit Anticipated Rev. Recovery'!$C$2,'Anticipated Exit Bookings'!$B$1:$C$1,0), FALSE))*VLOOKUP($F96, 'Exit Capacity Split'!A:H, 3,0)/100</f>
        <v>0</v>
      </c>
      <c r="H96" s="200">
        <f ca="1">IF(VLOOKUP(F96,'Exit Prices'!$A:$Q,12,FALSE)&gt;0,VLOOKUP(F96,'Exit Prices'!$A:$Q,12,FALSE),0)</f>
        <v>1.9820323133808871E-2</v>
      </c>
      <c r="I96" s="202">
        <f ca="1">G96*H96*'User Inputs'!$D$7/100</f>
        <v>0</v>
      </c>
      <c r="J96" s="209">
        <f ca="1">(VLOOKUP(F96,'Anticipated Exit Bookings'!$B:$C,MATCH('Exit Anticipated Rev. Recovery'!$C$2,'Anticipated Exit Bookings'!$B$1:$C$1,0), FALSE))*VLOOKUP($F96, 'Exit Capacity Split'!A:H, 4,0)/100</f>
        <v>0</v>
      </c>
      <c r="K96" s="205" t="str">
        <f>IF(VLOOKUP(F96,'Exit Prices'!$A:$Q,13,FALSE)&gt;0,VLOOKUP(F96,'Exit Prices'!$A:$Q,13,FALSE),0)</f>
        <v>N/A</v>
      </c>
      <c r="L96" s="207" t="s">
        <v>428</v>
      </c>
      <c r="M96" s="209">
        <f ca="1">(VLOOKUP(F96,'Anticipated Exit Bookings'!$B:$C,MATCH('Exit Anticipated Rev. Recovery'!$C$2,'Anticipated Exit Bookings'!$B$1:$C$1,0), FALSE))*VLOOKUP($F96, 'Exit Capacity Split'!A:H, 5,0)/100</f>
        <v>0</v>
      </c>
      <c r="N96" s="205" t="str">
        <f>IF(VLOOKUP(F96,'Exit Prices'!$A:$Q,14,FALSE)&gt;0,VLOOKUP(F96,'Exit Prices'!$A:$Q,14,FALSE),0)</f>
        <v>N/A</v>
      </c>
      <c r="O96" s="207" t="s">
        <v>428</v>
      </c>
      <c r="P96" s="204">
        <f ca="1">(VLOOKUP(F96,'Anticipated Exit Bookings'!$B:$C,MATCH('Exit Anticipated Rev. Recovery'!$C$2,'Anticipated Exit Bookings'!$B$1:$C$1,0), FALSE))*VLOOKUP($F96, 'Exit Capacity Split'!A:H, 6,0)/100</f>
        <v>0</v>
      </c>
      <c r="Q96" s="200">
        <f ca="1">IF(VLOOKUP(F96,'Exit Prices'!$A:$Q,15,FALSE)&gt;0,VLOOKUP(F96,'Exit Prices'!$A:$Q,15,FALSE),0)</f>
        <v>1.9820323133808871E-2</v>
      </c>
      <c r="R96" s="202">
        <f ca="1">P96*Q96*'User Inputs'!$D$7/100</f>
        <v>0</v>
      </c>
      <c r="S96" s="209">
        <f ca="1">(VLOOKUP(F96,'Anticipated Exit Bookings'!$B:$C,MATCH('Exit Anticipated Rev. Recovery'!$C$2,'Anticipated Exit Bookings'!$B$1:$C$1,0), FALSE))*VLOOKUP($F96, 'Exit Capacity Split'!A:H, 7,0)/100</f>
        <v>0</v>
      </c>
      <c r="T96" s="205" t="str">
        <f>IF(VLOOKUP(F96,'Exit Prices'!$A:$Q,16,FALSE)&gt;0,VLOOKUP(F96,'Exit Prices'!$A:$Q,16,FALSE),0)</f>
        <v>N/A</v>
      </c>
      <c r="U96" s="207" t="s">
        <v>428</v>
      </c>
      <c r="V96" s="204">
        <f ca="1">(VLOOKUP(F96,'Anticipated Exit Bookings'!$B:$C,MATCH('Exit Anticipated Rev. Recovery'!$C$2,'Anticipated Exit Bookings'!$B$1:$C$1,0), FALSE))*VLOOKUP($F96, 'Exit Capacity Split'!A:H, 8,0)/100</f>
        <v>0</v>
      </c>
      <c r="W96" s="200">
        <f ca="1">IF(VLOOKUP(F96,'Exit Prices'!$A:$Q,17,FALSE)&gt;0,VLOOKUP(F96,'Exit Prices'!$A:$Q,17,FALSE),0)</f>
        <v>1.7838290820427986E-2</v>
      </c>
      <c r="X96" s="202">
        <f ca="1">V96*W96*'User Inputs'!$D$7/100</f>
        <v>0</v>
      </c>
      <c r="Y96" s="199">
        <f t="shared" ca="1" si="2"/>
        <v>0</v>
      </c>
      <c r="AA96" s="164"/>
    </row>
    <row r="97" spans="5:27">
      <c r="E97" s="213" t="s">
        <v>474</v>
      </c>
      <c r="F97" s="213" t="s">
        <v>117</v>
      </c>
      <c r="G97" s="197">
        <f ca="1">(VLOOKUP(F97,'Anticipated Exit Bookings'!$B:$C,MATCH('Exit Anticipated Rev. Recovery'!$C$2,'Anticipated Exit Bookings'!$B$1:$C$1,0), FALSE))*VLOOKUP($F97, 'Exit Capacity Split'!A:H, 3,0)/100</f>
        <v>1664747.6563481404</v>
      </c>
      <c r="H97" s="200">
        <f ca="1">IF(VLOOKUP(F97,'Exit Prices'!$A:$Q,12,FALSE)&gt;0,VLOOKUP(F97,'Exit Prices'!$A:$Q,12,FALSE),0)</f>
        <v>9.9101615669044355E-3</v>
      </c>
      <c r="I97" s="202">
        <f ca="1">G97*H97*'User Inputs'!$D$7/100</f>
        <v>60217.401585254855</v>
      </c>
      <c r="J97" s="209">
        <f ca="1">(VLOOKUP(F97,'Anticipated Exit Bookings'!$B:$C,MATCH('Exit Anticipated Rev. Recovery'!$C$2,'Anticipated Exit Bookings'!$B$1:$C$1,0), FALSE))*VLOOKUP($F97, 'Exit Capacity Split'!A:H, 4,0)/100</f>
        <v>0</v>
      </c>
      <c r="K97" s="205" t="str">
        <f>IF(VLOOKUP(F97,'Exit Prices'!$A:$Q,13,FALSE)&gt;0,VLOOKUP(F97,'Exit Prices'!$A:$Q,13,FALSE),0)</f>
        <v>N/A</v>
      </c>
      <c r="L97" s="207" t="s">
        <v>428</v>
      </c>
      <c r="M97" s="209">
        <f ca="1">(VLOOKUP(F97,'Anticipated Exit Bookings'!$B:$C,MATCH('Exit Anticipated Rev. Recovery'!$C$2,'Anticipated Exit Bookings'!$B$1:$C$1,0), FALSE))*VLOOKUP($F97, 'Exit Capacity Split'!A:H, 5,0)/100</f>
        <v>0</v>
      </c>
      <c r="N97" s="205" t="str">
        <f>IF(VLOOKUP(F97,'Exit Prices'!$A:$Q,14,FALSE)&gt;0,VLOOKUP(F97,'Exit Prices'!$A:$Q,14,FALSE),0)</f>
        <v>N/A</v>
      </c>
      <c r="O97" s="207" t="s">
        <v>428</v>
      </c>
      <c r="P97" s="204">
        <f ca="1">(VLOOKUP(F97,'Anticipated Exit Bookings'!$B:$C,MATCH('Exit Anticipated Rev. Recovery'!$C$2,'Anticipated Exit Bookings'!$B$1:$C$1,0), FALSE))*VLOOKUP($F97, 'Exit Capacity Split'!A:H, 6,0)/100</f>
        <v>0</v>
      </c>
      <c r="Q97" s="200">
        <f ca="1">IF(VLOOKUP(F97,'Exit Prices'!$A:$Q,15,FALSE)&gt;0,VLOOKUP(F97,'Exit Prices'!$A:$Q,15,FALSE),0)</f>
        <v>9.9101615669044355E-3</v>
      </c>
      <c r="R97" s="202">
        <f ca="1">P97*Q97*'User Inputs'!$D$7/100</f>
        <v>0</v>
      </c>
      <c r="S97" s="209">
        <f ca="1">(VLOOKUP(F97,'Anticipated Exit Bookings'!$B:$C,MATCH('Exit Anticipated Rev. Recovery'!$C$2,'Anticipated Exit Bookings'!$B$1:$C$1,0), FALSE))*VLOOKUP($F97, 'Exit Capacity Split'!A:H, 7,0)/100</f>
        <v>9315.7757286123415</v>
      </c>
      <c r="T97" s="205" t="str">
        <f>IF(VLOOKUP(F97,'Exit Prices'!$A:$Q,16,FALSE)&gt;0,VLOOKUP(F97,'Exit Prices'!$A:$Q,16,FALSE),0)</f>
        <v>N/A</v>
      </c>
      <c r="U97" s="207" t="s">
        <v>428</v>
      </c>
      <c r="V97" s="204">
        <f ca="1">(VLOOKUP(F97,'Anticipated Exit Bookings'!$B:$C,MATCH('Exit Anticipated Rev. Recovery'!$C$2,'Anticipated Exit Bookings'!$B$1:$C$1,0), FALSE))*VLOOKUP($F97, 'Exit Capacity Split'!A:H, 8,0)/100</f>
        <v>4343373.2528547533</v>
      </c>
      <c r="W97" s="200">
        <f ca="1">IF(VLOOKUP(F97,'Exit Prices'!$A:$Q,17,FALSE)&gt;0,VLOOKUP(F97,'Exit Prices'!$A:$Q,17,FALSE),0)</f>
        <v>8.9191454102139928E-3</v>
      </c>
      <c r="X97" s="202">
        <f ca="1">V97*W97*'User Inputs'!$D$7/100</f>
        <v>141397.99828761679</v>
      </c>
      <c r="Y97" s="199">
        <f t="shared" ca="1" si="2"/>
        <v>201615.39987287164</v>
      </c>
      <c r="AA97" s="164"/>
    </row>
    <row r="98" spans="5:27">
      <c r="E98" s="213" t="s">
        <v>474</v>
      </c>
      <c r="F98" s="213" t="s">
        <v>118</v>
      </c>
      <c r="G98" s="197">
        <f ca="1">(VLOOKUP(F98,'Anticipated Exit Bookings'!$B:$C,MATCH('Exit Anticipated Rev. Recovery'!$C$2,'Anticipated Exit Bookings'!$B$1:$C$1,0), FALSE))*VLOOKUP($F98, 'Exit Capacity Split'!A:H, 3,0)/100</f>
        <v>161781.00233954718</v>
      </c>
      <c r="H98" s="200">
        <f ca="1">IF(VLOOKUP(F98,'Exit Prices'!$A:$Q,12,FALSE)&gt;0,VLOOKUP(F98,'Exit Prices'!$A:$Q,12,FALSE),0)</f>
        <v>9.9101615669044355E-3</v>
      </c>
      <c r="I98" s="202">
        <f ca="1">G98*H98*'User Inputs'!$D$7/100</f>
        <v>5851.9569314883975</v>
      </c>
      <c r="J98" s="209">
        <f ca="1">(VLOOKUP(F98,'Anticipated Exit Bookings'!$B:$C,MATCH('Exit Anticipated Rev. Recovery'!$C$2,'Anticipated Exit Bookings'!$B$1:$C$1,0), FALSE))*VLOOKUP($F98, 'Exit Capacity Split'!A:H, 4,0)/100</f>
        <v>0</v>
      </c>
      <c r="K98" s="205" t="str">
        <f>IF(VLOOKUP(F98,'Exit Prices'!$A:$Q,13,FALSE)&gt;0,VLOOKUP(F98,'Exit Prices'!$A:$Q,13,FALSE),0)</f>
        <v>N/A</v>
      </c>
      <c r="L98" s="207" t="s">
        <v>428</v>
      </c>
      <c r="M98" s="209">
        <f ca="1">(VLOOKUP(F98,'Anticipated Exit Bookings'!$B:$C,MATCH('Exit Anticipated Rev. Recovery'!$C$2,'Anticipated Exit Bookings'!$B$1:$C$1,0), FALSE))*VLOOKUP($F98, 'Exit Capacity Split'!A:H, 5,0)/100</f>
        <v>0</v>
      </c>
      <c r="N98" s="205" t="str">
        <f>IF(VLOOKUP(F98,'Exit Prices'!$A:$Q,14,FALSE)&gt;0,VLOOKUP(F98,'Exit Prices'!$A:$Q,14,FALSE),0)</f>
        <v>N/A</v>
      </c>
      <c r="O98" s="207" t="s">
        <v>428</v>
      </c>
      <c r="P98" s="204">
        <f ca="1">(VLOOKUP(F98,'Anticipated Exit Bookings'!$B:$C,MATCH('Exit Anticipated Rev. Recovery'!$C$2,'Anticipated Exit Bookings'!$B$1:$C$1,0), FALSE))*VLOOKUP($F98, 'Exit Capacity Split'!A:H, 6,0)/100</f>
        <v>0</v>
      </c>
      <c r="Q98" s="200">
        <f ca="1">IF(VLOOKUP(F98,'Exit Prices'!$A:$Q,15,FALSE)&gt;0,VLOOKUP(F98,'Exit Prices'!$A:$Q,15,FALSE),0)</f>
        <v>9.9101615669044355E-3</v>
      </c>
      <c r="R98" s="202">
        <f ca="1">P98*Q98*'User Inputs'!$D$7/100</f>
        <v>0</v>
      </c>
      <c r="S98" s="209">
        <f ca="1">(VLOOKUP(F98,'Anticipated Exit Bookings'!$B:$C,MATCH('Exit Anticipated Rev. Recovery'!$C$2,'Anticipated Exit Bookings'!$B$1:$C$1,0), FALSE))*VLOOKUP($F98, 'Exit Capacity Split'!A:H, 7,0)/100</f>
        <v>905.31170246630722</v>
      </c>
      <c r="T98" s="205" t="str">
        <f>IF(VLOOKUP(F98,'Exit Prices'!$A:$Q,16,FALSE)&gt;0,VLOOKUP(F98,'Exit Prices'!$A:$Q,16,FALSE),0)</f>
        <v>N/A</v>
      </c>
      <c r="U98" s="207" t="s">
        <v>428</v>
      </c>
      <c r="V98" s="204">
        <f ca="1">(VLOOKUP(F98,'Anticipated Exit Bookings'!$B:$C,MATCH('Exit Anticipated Rev. Recovery'!$C$2,'Anticipated Exit Bookings'!$B$1:$C$1,0), FALSE))*VLOOKUP($F98, 'Exit Capacity Split'!A:H, 8,0)/100</f>
        <v>422091.16541004129</v>
      </c>
      <c r="W98" s="200">
        <f ca="1">IF(VLOOKUP(F98,'Exit Prices'!$A:$Q,17,FALSE)&gt;0,VLOOKUP(F98,'Exit Prices'!$A:$Q,17,FALSE),0)</f>
        <v>8.9191454102139928E-3</v>
      </c>
      <c r="X98" s="202">
        <f ca="1">V98*W98*'User Inputs'!$D$7/100</f>
        <v>13741.127554404784</v>
      </c>
      <c r="Y98" s="199">
        <f t="shared" ca="1" si="2"/>
        <v>19593.084485893181</v>
      </c>
      <c r="AA98" s="164"/>
    </row>
    <row r="99" spans="5:27">
      <c r="E99" s="213" t="s">
        <v>474</v>
      </c>
      <c r="F99" s="213" t="s">
        <v>119</v>
      </c>
      <c r="G99" s="197">
        <f ca="1">(VLOOKUP(F99,'Anticipated Exit Bookings'!$B:$C,MATCH('Exit Anticipated Rev. Recovery'!$C$2,'Anticipated Exit Bookings'!$B$1:$C$1,0), FALSE))*VLOOKUP($F99, 'Exit Capacity Split'!A:H, 3,0)/100</f>
        <v>8805853.4192678444</v>
      </c>
      <c r="H99" s="200">
        <f ca="1">IF(VLOOKUP(F99,'Exit Prices'!$A:$Q,12,FALSE)&gt;0,VLOOKUP(F99,'Exit Prices'!$A:$Q,12,FALSE),0)</f>
        <v>9.9101615669044355E-3</v>
      </c>
      <c r="I99" s="202">
        <f ca="1">G99*H99*'User Inputs'!$D$7/100</f>
        <v>318526.11993589107</v>
      </c>
      <c r="J99" s="209">
        <f ca="1">(VLOOKUP(F99,'Anticipated Exit Bookings'!$B:$C,MATCH('Exit Anticipated Rev. Recovery'!$C$2,'Anticipated Exit Bookings'!$B$1:$C$1,0), FALSE))*VLOOKUP($F99, 'Exit Capacity Split'!A:H, 4,0)/100</f>
        <v>0</v>
      </c>
      <c r="K99" s="205" t="str">
        <f>IF(VLOOKUP(F99,'Exit Prices'!$A:$Q,13,FALSE)&gt;0,VLOOKUP(F99,'Exit Prices'!$A:$Q,13,FALSE),0)</f>
        <v>N/A</v>
      </c>
      <c r="L99" s="207" t="s">
        <v>428</v>
      </c>
      <c r="M99" s="209">
        <f ca="1">(VLOOKUP(F99,'Anticipated Exit Bookings'!$B:$C,MATCH('Exit Anticipated Rev. Recovery'!$C$2,'Anticipated Exit Bookings'!$B$1:$C$1,0), FALSE))*VLOOKUP($F99, 'Exit Capacity Split'!A:H, 5,0)/100</f>
        <v>0</v>
      </c>
      <c r="N99" s="205" t="str">
        <f>IF(VLOOKUP(F99,'Exit Prices'!$A:$Q,14,FALSE)&gt;0,VLOOKUP(F99,'Exit Prices'!$A:$Q,14,FALSE),0)</f>
        <v>N/A</v>
      </c>
      <c r="O99" s="207" t="s">
        <v>428</v>
      </c>
      <c r="P99" s="204">
        <f ca="1">(VLOOKUP(F99,'Anticipated Exit Bookings'!$B:$C,MATCH('Exit Anticipated Rev. Recovery'!$C$2,'Anticipated Exit Bookings'!$B$1:$C$1,0), FALSE))*VLOOKUP($F99, 'Exit Capacity Split'!A:H, 6,0)/100</f>
        <v>0</v>
      </c>
      <c r="Q99" s="200">
        <f ca="1">IF(VLOOKUP(F99,'Exit Prices'!$A:$Q,15,FALSE)&gt;0,VLOOKUP(F99,'Exit Prices'!$A:$Q,15,FALSE),0)</f>
        <v>9.9101615669044355E-3</v>
      </c>
      <c r="R99" s="202">
        <f ca="1">P99*Q99*'User Inputs'!$D$7/100</f>
        <v>0</v>
      </c>
      <c r="S99" s="209">
        <f ca="1">(VLOOKUP(F99,'Anticipated Exit Bookings'!$B:$C,MATCH('Exit Anticipated Rev. Recovery'!$C$2,'Anticipated Exit Bookings'!$B$1:$C$1,0), FALSE))*VLOOKUP($F99, 'Exit Capacity Split'!A:H, 7,0)/100</f>
        <v>49276.750887810318</v>
      </c>
      <c r="T99" s="205" t="str">
        <f>IF(VLOOKUP(F99,'Exit Prices'!$A:$Q,16,FALSE)&gt;0,VLOOKUP(F99,'Exit Prices'!$A:$Q,16,FALSE),0)</f>
        <v>N/A</v>
      </c>
      <c r="U99" s="207" t="s">
        <v>428</v>
      </c>
      <c r="V99" s="204">
        <f ca="1">(VLOOKUP(F99,'Anticipated Exit Bookings'!$B:$C,MATCH('Exit Anticipated Rev. Recovery'!$C$2,'Anticipated Exit Bookings'!$B$1:$C$1,0), FALSE))*VLOOKUP($F99, 'Exit Capacity Split'!A:H, 8,0)/100</f>
        <v>22974718.15861148</v>
      </c>
      <c r="W99" s="200">
        <f ca="1">IF(VLOOKUP(F99,'Exit Prices'!$A:$Q,17,FALSE)&gt;0,VLOOKUP(F99,'Exit Prices'!$A:$Q,17,FALSE),0)</f>
        <v>8.9191454102139928E-3</v>
      </c>
      <c r="X99" s="202">
        <f ca="1">V99*W99*'User Inputs'!$D$7/100</f>
        <v>747939.20985598967</v>
      </c>
      <c r="Y99" s="199">
        <f t="shared" ca="1" si="2"/>
        <v>1066465.3297918807</v>
      </c>
      <c r="AA99" s="164"/>
    </row>
    <row r="100" spans="5:27">
      <c r="E100" s="213" t="s">
        <v>474</v>
      </c>
      <c r="F100" s="213" t="s">
        <v>120</v>
      </c>
      <c r="G100" s="197">
        <f ca="1">(VLOOKUP(F100,'Anticipated Exit Bookings'!$B:$C,MATCH('Exit Anticipated Rev. Recovery'!$C$2,'Anticipated Exit Bookings'!$B$1:$C$1,0), FALSE))*VLOOKUP($F100, 'Exit Capacity Split'!A:H, 3,0)/100</f>
        <v>343350.26983815461</v>
      </c>
      <c r="H100" s="200">
        <f ca="1">IF(VLOOKUP(F100,'Exit Prices'!$A:$Q,12,FALSE)&gt;0,VLOOKUP(F100,'Exit Prices'!$A:$Q,12,FALSE),0)</f>
        <v>1.9820323133808871E-2</v>
      </c>
      <c r="I100" s="202">
        <f ca="1">G100*H100*'User Inputs'!$D$7/100</f>
        <v>24839.393531395333</v>
      </c>
      <c r="J100" s="209">
        <f ca="1">(VLOOKUP(F100,'Anticipated Exit Bookings'!$B:$C,MATCH('Exit Anticipated Rev. Recovery'!$C$2,'Anticipated Exit Bookings'!$B$1:$C$1,0), FALSE))*VLOOKUP($F100, 'Exit Capacity Split'!A:H, 4,0)/100</f>
        <v>0</v>
      </c>
      <c r="K100" s="205" t="str">
        <f>IF(VLOOKUP(F100,'Exit Prices'!$A:$Q,13,FALSE)&gt;0,VLOOKUP(F100,'Exit Prices'!$A:$Q,13,FALSE),0)</f>
        <v>N/A</v>
      </c>
      <c r="L100" s="207" t="s">
        <v>428</v>
      </c>
      <c r="M100" s="209">
        <f ca="1">(VLOOKUP(F100,'Anticipated Exit Bookings'!$B:$C,MATCH('Exit Anticipated Rev. Recovery'!$C$2,'Anticipated Exit Bookings'!$B$1:$C$1,0), FALSE))*VLOOKUP($F100, 'Exit Capacity Split'!A:H, 5,0)/100</f>
        <v>0</v>
      </c>
      <c r="N100" s="205" t="str">
        <f>IF(VLOOKUP(F100,'Exit Prices'!$A:$Q,14,FALSE)&gt;0,VLOOKUP(F100,'Exit Prices'!$A:$Q,14,FALSE),0)</f>
        <v>N/A</v>
      </c>
      <c r="O100" s="207" t="s">
        <v>428</v>
      </c>
      <c r="P100" s="204">
        <f ca="1">(VLOOKUP(F100,'Anticipated Exit Bookings'!$B:$C,MATCH('Exit Anticipated Rev. Recovery'!$C$2,'Anticipated Exit Bookings'!$B$1:$C$1,0), FALSE))*VLOOKUP($F100, 'Exit Capacity Split'!A:H, 6,0)/100</f>
        <v>11.926336172993176</v>
      </c>
      <c r="Q100" s="200">
        <f ca="1">IF(VLOOKUP(F100,'Exit Prices'!$A:$Q,15,FALSE)&gt;0,VLOOKUP(F100,'Exit Prices'!$A:$Q,15,FALSE),0)</f>
        <v>1.9820323133808871E-2</v>
      </c>
      <c r="R100" s="202">
        <f ca="1">P100*Q100*'User Inputs'!$D$7/100</f>
        <v>0.86280100414172756</v>
      </c>
      <c r="S100" s="209">
        <f ca="1">(VLOOKUP(F100,'Anticipated Exit Bookings'!$B:$C,MATCH('Exit Anticipated Rev. Recovery'!$C$2,'Anticipated Exit Bookings'!$B$1:$C$1,0), FALSE))*VLOOKUP($F100, 'Exit Capacity Split'!A:H, 7,0)/100</f>
        <v>428.43069175290793</v>
      </c>
      <c r="T100" s="205" t="str">
        <f>IF(VLOOKUP(F100,'Exit Prices'!$A:$Q,16,FALSE)&gt;0,VLOOKUP(F100,'Exit Prices'!$A:$Q,16,FALSE),0)</f>
        <v>N/A</v>
      </c>
      <c r="U100" s="207" t="s">
        <v>428</v>
      </c>
      <c r="V100" s="204">
        <f ca="1">(VLOOKUP(F100,'Anticipated Exit Bookings'!$B:$C,MATCH('Exit Anticipated Rev. Recovery'!$C$2,'Anticipated Exit Bookings'!$B$1:$C$1,0), FALSE))*VLOOKUP($F100, 'Exit Capacity Split'!A:H, 8,0)/100</f>
        <v>110552.56828460451</v>
      </c>
      <c r="W100" s="200">
        <f ca="1">IF(VLOOKUP(F100,'Exit Prices'!$A:$Q,17,FALSE)&gt;0,VLOOKUP(F100,'Exit Prices'!$A:$Q,17,FALSE),0)</f>
        <v>1.7838290820427986E-2</v>
      </c>
      <c r="X100" s="202">
        <f ca="1">V100*W100*'User Inputs'!$D$7/100</f>
        <v>7198.051353621895</v>
      </c>
      <c r="Y100" s="199">
        <f t="shared" ca="1" si="2"/>
        <v>32038.30768602137</v>
      </c>
      <c r="AA100" s="164"/>
    </row>
    <row r="101" spans="5:27">
      <c r="E101" s="213" t="s">
        <v>474</v>
      </c>
      <c r="F101" s="213" t="s">
        <v>121</v>
      </c>
      <c r="G101" s="197">
        <f ca="1">(VLOOKUP(F101,'Anticipated Exit Bookings'!$B:$C,MATCH('Exit Anticipated Rev. Recovery'!$C$2,'Anticipated Exit Bookings'!$B$1:$C$1,0), FALSE))*VLOOKUP($F101, 'Exit Capacity Split'!A:H, 3,0)/100</f>
        <v>21116048.285079014</v>
      </c>
      <c r="H101" s="200">
        <f ca="1">IF(VLOOKUP(F101,'Exit Prices'!$A:$Q,12,FALSE)&gt;0,VLOOKUP(F101,'Exit Prices'!$A:$Q,12,FALSE),0)</f>
        <v>1.9820323133808871E-2</v>
      </c>
      <c r="I101" s="202">
        <f ca="1">G101*H101*'User Inputs'!$D$7/100</f>
        <v>1527623.1861657249</v>
      </c>
      <c r="J101" s="209">
        <f ca="1">(VLOOKUP(F101,'Anticipated Exit Bookings'!$B:$C,MATCH('Exit Anticipated Rev. Recovery'!$C$2,'Anticipated Exit Bookings'!$B$1:$C$1,0), FALSE))*VLOOKUP($F101, 'Exit Capacity Split'!A:H, 4,0)/100</f>
        <v>0</v>
      </c>
      <c r="K101" s="205" t="str">
        <f>IF(VLOOKUP(F101,'Exit Prices'!$A:$Q,13,FALSE)&gt;0,VLOOKUP(F101,'Exit Prices'!$A:$Q,13,FALSE),0)</f>
        <v>N/A</v>
      </c>
      <c r="L101" s="207" t="s">
        <v>428</v>
      </c>
      <c r="M101" s="209">
        <f ca="1">(VLOOKUP(F101,'Anticipated Exit Bookings'!$B:$C,MATCH('Exit Anticipated Rev. Recovery'!$C$2,'Anticipated Exit Bookings'!$B$1:$C$1,0), FALSE))*VLOOKUP($F101, 'Exit Capacity Split'!A:H, 5,0)/100</f>
        <v>0</v>
      </c>
      <c r="N101" s="205" t="str">
        <f>IF(VLOOKUP(F101,'Exit Prices'!$A:$Q,14,FALSE)&gt;0,VLOOKUP(F101,'Exit Prices'!$A:$Q,14,FALSE),0)</f>
        <v>N/A</v>
      </c>
      <c r="O101" s="207" t="s">
        <v>428</v>
      </c>
      <c r="P101" s="204">
        <f ca="1">(VLOOKUP(F101,'Anticipated Exit Bookings'!$B:$C,MATCH('Exit Anticipated Rev. Recovery'!$C$2,'Anticipated Exit Bookings'!$B$1:$C$1,0), FALSE))*VLOOKUP($F101, 'Exit Capacity Split'!A:H, 6,0)/100</f>
        <v>0</v>
      </c>
      <c r="Q101" s="200">
        <f ca="1">IF(VLOOKUP(F101,'Exit Prices'!$A:$Q,15,FALSE)&gt;0,VLOOKUP(F101,'Exit Prices'!$A:$Q,15,FALSE),0)</f>
        <v>1.9820323133808871E-2</v>
      </c>
      <c r="R101" s="202">
        <f ca="1">P101*Q101*'User Inputs'!$D$7/100</f>
        <v>0</v>
      </c>
      <c r="S101" s="209">
        <f ca="1">(VLOOKUP(F101,'Anticipated Exit Bookings'!$B:$C,MATCH('Exit Anticipated Rev. Recovery'!$C$2,'Anticipated Exit Bookings'!$B$1:$C$1,0), FALSE))*VLOOKUP($F101, 'Exit Capacity Split'!A:H, 7,0)/100</f>
        <v>19963.314413662982</v>
      </c>
      <c r="T101" s="205" t="str">
        <f>IF(VLOOKUP(F101,'Exit Prices'!$A:$Q,16,FALSE)&gt;0,VLOOKUP(F101,'Exit Prices'!$A:$Q,16,FALSE),0)</f>
        <v>N/A</v>
      </c>
      <c r="U101" s="207" t="s">
        <v>428</v>
      </c>
      <c r="V101" s="204">
        <f ca="1">(VLOOKUP(F101,'Anticipated Exit Bookings'!$B:$C,MATCH('Exit Anticipated Rev. Recovery'!$C$2,'Anticipated Exit Bookings'!$B$1:$C$1,0), FALSE))*VLOOKUP($F101, 'Exit Capacity Split'!A:H, 8,0)/100</f>
        <v>542761.40050732321</v>
      </c>
      <c r="W101" s="200">
        <f ca="1">IF(VLOOKUP(F101,'Exit Prices'!$A:$Q,17,FALSE)&gt;0,VLOOKUP(F101,'Exit Prices'!$A:$Q,17,FALSE),0)</f>
        <v>1.7838290820427986E-2</v>
      </c>
      <c r="X101" s="202">
        <f ca="1">V101*W101*'User Inputs'!$D$7/100</f>
        <v>35339.065335486339</v>
      </c>
      <c r="Y101" s="199">
        <f t="shared" ca="1" si="2"/>
        <v>1562962.2515012112</v>
      </c>
      <c r="AA101" s="164"/>
    </row>
    <row r="102" spans="5:27">
      <c r="E102" s="213" t="s">
        <v>474</v>
      </c>
      <c r="F102" s="213" t="s">
        <v>122</v>
      </c>
      <c r="G102" s="197">
        <f ca="1">(VLOOKUP(F102,'Anticipated Exit Bookings'!$B:$C,MATCH('Exit Anticipated Rev. Recovery'!$C$2,'Anticipated Exit Bookings'!$B$1:$C$1,0), FALSE))*VLOOKUP($F102, 'Exit Capacity Split'!A:H, 3,0)/100</f>
        <v>32443088.308892272</v>
      </c>
      <c r="H102" s="200">
        <f ca="1">IF(VLOOKUP(F102,'Exit Prices'!$A:$Q,12,FALSE)&gt;0,VLOOKUP(F102,'Exit Prices'!$A:$Q,12,FALSE),0)</f>
        <v>1.9820323133808871E-2</v>
      </c>
      <c r="I102" s="202">
        <f ca="1">G102*H102*'User Inputs'!$D$7/100</f>
        <v>2347068.602154437</v>
      </c>
      <c r="J102" s="209">
        <f ca="1">(VLOOKUP(F102,'Anticipated Exit Bookings'!$B:$C,MATCH('Exit Anticipated Rev. Recovery'!$C$2,'Anticipated Exit Bookings'!$B$1:$C$1,0), FALSE))*VLOOKUP($F102, 'Exit Capacity Split'!A:H, 4,0)/100</f>
        <v>0</v>
      </c>
      <c r="K102" s="205" t="str">
        <f>IF(VLOOKUP(F102,'Exit Prices'!$A:$Q,13,FALSE)&gt;0,VLOOKUP(F102,'Exit Prices'!$A:$Q,13,FALSE),0)</f>
        <v>N/A</v>
      </c>
      <c r="L102" s="207" t="s">
        <v>428</v>
      </c>
      <c r="M102" s="209">
        <f ca="1">(VLOOKUP(F102,'Anticipated Exit Bookings'!$B:$C,MATCH('Exit Anticipated Rev. Recovery'!$C$2,'Anticipated Exit Bookings'!$B$1:$C$1,0), FALSE))*VLOOKUP($F102, 'Exit Capacity Split'!A:H, 5,0)/100</f>
        <v>0</v>
      </c>
      <c r="N102" s="205" t="str">
        <f>IF(VLOOKUP(F102,'Exit Prices'!$A:$Q,14,FALSE)&gt;0,VLOOKUP(F102,'Exit Prices'!$A:$Q,14,FALSE),0)</f>
        <v>N/A</v>
      </c>
      <c r="O102" s="207" t="s">
        <v>428</v>
      </c>
      <c r="P102" s="204">
        <f ca="1">(VLOOKUP(F102,'Anticipated Exit Bookings'!$B:$C,MATCH('Exit Anticipated Rev. Recovery'!$C$2,'Anticipated Exit Bookings'!$B$1:$C$1,0), FALSE))*VLOOKUP($F102, 'Exit Capacity Split'!A:H, 6,0)/100</f>
        <v>0</v>
      </c>
      <c r="Q102" s="200">
        <f ca="1">IF(VLOOKUP(F102,'Exit Prices'!$A:$Q,15,FALSE)&gt;0,VLOOKUP(F102,'Exit Prices'!$A:$Q,15,FALSE),0)</f>
        <v>1.9820323133808871E-2</v>
      </c>
      <c r="R102" s="202">
        <f ca="1">P102*Q102*'User Inputs'!$D$7/100</f>
        <v>0</v>
      </c>
      <c r="S102" s="209">
        <f ca="1">(VLOOKUP(F102,'Anticipated Exit Bookings'!$B:$C,MATCH('Exit Anticipated Rev. Recovery'!$C$2,'Anticipated Exit Bookings'!$B$1:$C$1,0), FALSE))*VLOOKUP($F102, 'Exit Capacity Split'!A:H, 7,0)/100</f>
        <v>30672.006604488895</v>
      </c>
      <c r="T102" s="205" t="str">
        <f>IF(VLOOKUP(F102,'Exit Prices'!$A:$Q,16,FALSE)&gt;0,VLOOKUP(F102,'Exit Prices'!$A:$Q,16,FALSE),0)</f>
        <v>N/A</v>
      </c>
      <c r="U102" s="207" t="s">
        <v>428</v>
      </c>
      <c r="V102" s="204">
        <f ca="1">(VLOOKUP(F102,'Anticipated Exit Bookings'!$B:$C,MATCH('Exit Anticipated Rev. Recovery'!$C$2,'Anticipated Exit Bookings'!$B$1:$C$1,0), FALSE))*VLOOKUP($F102, 'Exit Capacity Split'!A:H, 8,0)/100</f>
        <v>833908.68450323981</v>
      </c>
      <c r="W102" s="200">
        <f ca="1">IF(VLOOKUP(F102,'Exit Prices'!$A:$Q,17,FALSE)&gt;0,VLOOKUP(F102,'Exit Prices'!$A:$Q,17,FALSE),0)</f>
        <v>1.7838290820427986E-2</v>
      </c>
      <c r="X102" s="202">
        <f ca="1">V102*W102*'User Inputs'!$D$7/100</f>
        <v>54295.595556250017</v>
      </c>
      <c r="Y102" s="199">
        <f t="shared" ca="1" si="2"/>
        <v>2401364.1977106868</v>
      </c>
      <c r="AA102" s="164"/>
    </row>
    <row r="103" spans="5:27">
      <c r="E103" s="213" t="s">
        <v>474</v>
      </c>
      <c r="F103" s="213" t="s">
        <v>123</v>
      </c>
      <c r="G103" s="197">
        <f ca="1">(VLOOKUP(F103,'Anticipated Exit Bookings'!$B:$C,MATCH('Exit Anticipated Rev. Recovery'!$C$2,'Anticipated Exit Bookings'!$B$1:$C$1,0), FALSE))*VLOOKUP($F103, 'Exit Capacity Split'!A:H, 3,0)/100</f>
        <v>11484321.465015283</v>
      </c>
      <c r="H103" s="200">
        <f ca="1">IF(VLOOKUP(F103,'Exit Prices'!$A:$Q,12,FALSE)&gt;0,VLOOKUP(F103,'Exit Prices'!$A:$Q,12,FALSE),0)</f>
        <v>9.9101615669044355E-3</v>
      </c>
      <c r="I103" s="202">
        <f ca="1">G103*H103*'User Inputs'!$D$7/100</f>
        <v>415411.90639668086</v>
      </c>
      <c r="J103" s="209">
        <f ca="1">(VLOOKUP(F103,'Anticipated Exit Bookings'!$B:$C,MATCH('Exit Anticipated Rev. Recovery'!$C$2,'Anticipated Exit Bookings'!$B$1:$C$1,0), FALSE))*VLOOKUP($F103, 'Exit Capacity Split'!A:H, 4,0)/100</f>
        <v>0</v>
      </c>
      <c r="K103" s="205" t="str">
        <f>IF(VLOOKUP(F103,'Exit Prices'!$A:$Q,13,FALSE)&gt;0,VLOOKUP(F103,'Exit Prices'!$A:$Q,13,FALSE),0)</f>
        <v>N/A</v>
      </c>
      <c r="L103" s="207" t="s">
        <v>428</v>
      </c>
      <c r="M103" s="209">
        <f ca="1">(VLOOKUP(F103,'Anticipated Exit Bookings'!$B:$C,MATCH('Exit Anticipated Rev. Recovery'!$C$2,'Anticipated Exit Bookings'!$B$1:$C$1,0), FALSE))*VLOOKUP($F103, 'Exit Capacity Split'!A:H, 5,0)/100</f>
        <v>0</v>
      </c>
      <c r="N103" s="205" t="str">
        <f>IF(VLOOKUP(F103,'Exit Prices'!$A:$Q,14,FALSE)&gt;0,VLOOKUP(F103,'Exit Prices'!$A:$Q,14,FALSE),0)</f>
        <v>N/A</v>
      </c>
      <c r="O103" s="207" t="s">
        <v>428</v>
      </c>
      <c r="P103" s="204">
        <f ca="1">(VLOOKUP(F103,'Anticipated Exit Bookings'!$B:$C,MATCH('Exit Anticipated Rev. Recovery'!$C$2,'Anticipated Exit Bookings'!$B$1:$C$1,0), FALSE))*VLOOKUP($F103, 'Exit Capacity Split'!A:H, 6,0)/100</f>
        <v>0</v>
      </c>
      <c r="Q103" s="200">
        <f ca="1">IF(VLOOKUP(F103,'Exit Prices'!$A:$Q,15,FALSE)&gt;0,VLOOKUP(F103,'Exit Prices'!$A:$Q,15,FALSE),0)</f>
        <v>9.9101615669044355E-3</v>
      </c>
      <c r="R103" s="202">
        <f ca="1">P103*Q103*'User Inputs'!$D$7/100</f>
        <v>0</v>
      </c>
      <c r="S103" s="209">
        <f ca="1">(VLOOKUP(F103,'Anticipated Exit Bookings'!$B:$C,MATCH('Exit Anticipated Rev. Recovery'!$C$2,'Anticipated Exit Bookings'!$B$1:$C$1,0), FALSE))*VLOOKUP($F103, 'Exit Capacity Split'!A:H, 7,0)/100</f>
        <v>64265.213262446399</v>
      </c>
      <c r="T103" s="205" t="str">
        <f>IF(VLOOKUP(F103,'Exit Prices'!$A:$Q,16,FALSE)&gt;0,VLOOKUP(F103,'Exit Prices'!$A:$Q,16,FALSE),0)</f>
        <v>N/A</v>
      </c>
      <c r="U103" s="207" t="s">
        <v>428</v>
      </c>
      <c r="V103" s="204">
        <f ca="1">(VLOOKUP(F103,'Anticipated Exit Bookings'!$B:$C,MATCH('Exit Anticipated Rev. Recovery'!$C$2,'Anticipated Exit Bookings'!$B$1:$C$1,0), FALSE))*VLOOKUP($F103, 'Exit Capacity Split'!A:H, 8,0)/100</f>
        <v>29962916.294325024</v>
      </c>
      <c r="W103" s="200">
        <f ca="1">IF(VLOOKUP(F103,'Exit Prices'!$A:$Q,17,FALSE)&gt;0,VLOOKUP(F103,'Exit Prices'!$A:$Q,17,FALSE),0)</f>
        <v>8.9191454102139928E-3</v>
      </c>
      <c r="X103" s="202">
        <f ca="1">V103*W103*'User Inputs'!$D$7/100</f>
        <v>975439.16680251597</v>
      </c>
      <c r="Y103" s="199">
        <f t="shared" ca="1" si="2"/>
        <v>1390851.0731991967</v>
      </c>
      <c r="AA103" s="164"/>
    </row>
    <row r="104" spans="5:27">
      <c r="E104" s="213" t="s">
        <v>474</v>
      </c>
      <c r="F104" s="213" t="s">
        <v>124</v>
      </c>
      <c r="G104" s="197">
        <f ca="1">(VLOOKUP(F104,'Anticipated Exit Bookings'!$B:$C,MATCH('Exit Anticipated Rev. Recovery'!$C$2,'Anticipated Exit Bookings'!$B$1:$C$1,0), FALSE))*VLOOKUP($F104, 'Exit Capacity Split'!A:H, 3,0)/100</f>
        <v>144617.07795611711</v>
      </c>
      <c r="H104" s="200">
        <f ca="1">IF(VLOOKUP(F104,'Exit Prices'!$A:$Q,12,FALSE)&gt;0,VLOOKUP(F104,'Exit Prices'!$A:$Q,12,FALSE),0)</f>
        <v>1.9820323133808871E-2</v>
      </c>
      <c r="I104" s="202">
        <f ca="1">G104*H104*'User Inputs'!$D$7/100</f>
        <v>10462.203837514762</v>
      </c>
      <c r="J104" s="209">
        <f ca="1">(VLOOKUP(F104,'Anticipated Exit Bookings'!$B:$C,MATCH('Exit Anticipated Rev. Recovery'!$C$2,'Anticipated Exit Bookings'!$B$1:$C$1,0), FALSE))*VLOOKUP($F104, 'Exit Capacity Split'!A:H, 4,0)/100</f>
        <v>0</v>
      </c>
      <c r="K104" s="205" t="str">
        <f>IF(VLOOKUP(F104,'Exit Prices'!$A:$Q,13,FALSE)&gt;0,VLOOKUP(F104,'Exit Prices'!$A:$Q,13,FALSE),0)</f>
        <v>N/A</v>
      </c>
      <c r="L104" s="207" t="s">
        <v>428</v>
      </c>
      <c r="M104" s="209">
        <f ca="1">(VLOOKUP(F104,'Anticipated Exit Bookings'!$B:$C,MATCH('Exit Anticipated Rev. Recovery'!$C$2,'Anticipated Exit Bookings'!$B$1:$C$1,0), FALSE))*VLOOKUP($F104, 'Exit Capacity Split'!A:H, 5,0)/100</f>
        <v>0</v>
      </c>
      <c r="N104" s="205" t="str">
        <f>IF(VLOOKUP(F104,'Exit Prices'!$A:$Q,14,FALSE)&gt;0,VLOOKUP(F104,'Exit Prices'!$A:$Q,14,FALSE),0)</f>
        <v>N/A</v>
      </c>
      <c r="O104" s="207" t="s">
        <v>428</v>
      </c>
      <c r="P104" s="204">
        <f ca="1">(VLOOKUP(F104,'Anticipated Exit Bookings'!$B:$C,MATCH('Exit Anticipated Rev. Recovery'!$C$2,'Anticipated Exit Bookings'!$B$1:$C$1,0), FALSE))*VLOOKUP($F104, 'Exit Capacity Split'!A:H, 6,0)/100</f>
        <v>0</v>
      </c>
      <c r="Q104" s="200">
        <f ca="1">IF(VLOOKUP(F104,'Exit Prices'!$A:$Q,15,FALSE)&gt;0,VLOOKUP(F104,'Exit Prices'!$A:$Q,15,FALSE),0)</f>
        <v>1.9820323133808871E-2</v>
      </c>
      <c r="R104" s="202">
        <f ca="1">P104*Q104*'User Inputs'!$D$7/100</f>
        <v>0</v>
      </c>
      <c r="S104" s="209">
        <f ca="1">(VLOOKUP(F104,'Anticipated Exit Bookings'!$B:$C,MATCH('Exit Anticipated Rev. Recovery'!$C$2,'Anticipated Exit Bookings'!$B$1:$C$1,0), FALSE))*VLOOKUP($F104, 'Exit Capacity Split'!A:H, 7,0)/100</f>
        <v>136.7223714326893</v>
      </c>
      <c r="T104" s="205" t="str">
        <f>IF(VLOOKUP(F104,'Exit Prices'!$A:$Q,16,FALSE)&gt;0,VLOOKUP(F104,'Exit Prices'!$A:$Q,16,FALSE),0)</f>
        <v>N/A</v>
      </c>
      <c r="U104" s="207" t="s">
        <v>428</v>
      </c>
      <c r="V104" s="204">
        <f ca="1">(VLOOKUP(F104,'Anticipated Exit Bookings'!$B:$C,MATCH('Exit Anticipated Rev. Recovery'!$C$2,'Anticipated Exit Bookings'!$B$1:$C$1,0), FALSE))*VLOOKUP($F104, 'Exit Capacity Split'!A:H, 8,0)/100</f>
        <v>3717.1996724502246</v>
      </c>
      <c r="W104" s="200">
        <f ca="1">IF(VLOOKUP(F104,'Exit Prices'!$A:$Q,17,FALSE)&gt;0,VLOOKUP(F104,'Exit Prices'!$A:$Q,17,FALSE),0)</f>
        <v>1.7838290820427986E-2</v>
      </c>
      <c r="X104" s="202">
        <f ca="1">V104*W104*'User Inputs'!$D$7/100</f>
        <v>242.02598410089868</v>
      </c>
      <c r="Y104" s="199">
        <f t="shared" ca="1" si="2"/>
        <v>10704.229821615661</v>
      </c>
      <c r="AA104" s="164"/>
    </row>
    <row r="105" spans="5:27">
      <c r="E105" s="213" t="s">
        <v>474</v>
      </c>
      <c r="F105" s="213" t="s">
        <v>125</v>
      </c>
      <c r="G105" s="197">
        <f ca="1">(VLOOKUP(F105,'Anticipated Exit Bookings'!$B:$C,MATCH('Exit Anticipated Rev. Recovery'!$C$2,'Anticipated Exit Bookings'!$B$1:$C$1,0), FALSE))*VLOOKUP($F105, 'Exit Capacity Split'!A:H, 3,0)/100</f>
        <v>1640662.7344943746</v>
      </c>
      <c r="H105" s="200">
        <f ca="1">IF(VLOOKUP(F105,'Exit Prices'!$A:$Q,12,FALSE)&gt;0,VLOOKUP(F105,'Exit Prices'!$A:$Q,12,FALSE),0)</f>
        <v>1.9820323133808871E-2</v>
      </c>
      <c r="I105" s="202">
        <f ca="1">G105*H105*'User Inputs'!$D$7/100</f>
        <v>118692.39926216095</v>
      </c>
      <c r="J105" s="209">
        <f ca="1">(VLOOKUP(F105,'Anticipated Exit Bookings'!$B:$C,MATCH('Exit Anticipated Rev. Recovery'!$C$2,'Anticipated Exit Bookings'!$B$1:$C$1,0), FALSE))*VLOOKUP($F105, 'Exit Capacity Split'!A:H, 4,0)/100</f>
        <v>0</v>
      </c>
      <c r="K105" s="205" t="str">
        <f>IF(VLOOKUP(F105,'Exit Prices'!$A:$Q,13,FALSE)&gt;0,VLOOKUP(F105,'Exit Prices'!$A:$Q,13,FALSE),0)</f>
        <v>N/A</v>
      </c>
      <c r="L105" s="207" t="s">
        <v>428</v>
      </c>
      <c r="M105" s="209">
        <f ca="1">(VLOOKUP(F105,'Anticipated Exit Bookings'!$B:$C,MATCH('Exit Anticipated Rev. Recovery'!$C$2,'Anticipated Exit Bookings'!$B$1:$C$1,0), FALSE))*VLOOKUP($F105, 'Exit Capacity Split'!A:H, 5,0)/100</f>
        <v>0</v>
      </c>
      <c r="N105" s="205" t="str">
        <f>IF(VLOOKUP(F105,'Exit Prices'!$A:$Q,14,FALSE)&gt;0,VLOOKUP(F105,'Exit Prices'!$A:$Q,14,FALSE),0)</f>
        <v>N/A</v>
      </c>
      <c r="O105" s="207" t="s">
        <v>428</v>
      </c>
      <c r="P105" s="204">
        <f ca="1">(VLOOKUP(F105,'Anticipated Exit Bookings'!$B:$C,MATCH('Exit Anticipated Rev. Recovery'!$C$2,'Anticipated Exit Bookings'!$B$1:$C$1,0), FALSE))*VLOOKUP($F105, 'Exit Capacity Split'!A:H, 6,0)/100</f>
        <v>0</v>
      </c>
      <c r="Q105" s="200">
        <f ca="1">IF(VLOOKUP(F105,'Exit Prices'!$A:$Q,15,FALSE)&gt;0,VLOOKUP(F105,'Exit Prices'!$A:$Q,15,FALSE),0)</f>
        <v>1.9820323133808871E-2</v>
      </c>
      <c r="R105" s="202">
        <f ca="1">P105*Q105*'User Inputs'!$D$7/100</f>
        <v>0</v>
      </c>
      <c r="S105" s="209">
        <f ca="1">(VLOOKUP(F105,'Anticipated Exit Bookings'!$B:$C,MATCH('Exit Anticipated Rev. Recovery'!$C$2,'Anticipated Exit Bookings'!$B$1:$C$1,0), FALSE))*VLOOKUP($F105, 'Exit Capacity Split'!A:H, 7,0)/100</f>
        <v>1551.0982724279515</v>
      </c>
      <c r="T105" s="205" t="str">
        <f>IF(VLOOKUP(F105,'Exit Prices'!$A:$Q,16,FALSE)&gt;0,VLOOKUP(F105,'Exit Prices'!$A:$Q,16,FALSE),0)</f>
        <v>N/A</v>
      </c>
      <c r="U105" s="207" t="s">
        <v>428</v>
      </c>
      <c r="V105" s="204">
        <f ca="1">(VLOOKUP(F105,'Anticipated Exit Bookings'!$B:$C,MATCH('Exit Anticipated Rev. Recovery'!$C$2,'Anticipated Exit Bookings'!$B$1:$C$1,0), FALSE))*VLOOKUP($F105, 'Exit Capacity Split'!A:H, 8,0)/100</f>
        <v>42171.167233197542</v>
      </c>
      <c r="W105" s="200">
        <f ca="1">IF(VLOOKUP(F105,'Exit Prices'!$A:$Q,17,FALSE)&gt;0,VLOOKUP(F105,'Exit Prices'!$A:$Q,17,FALSE),0)</f>
        <v>1.7838290820427986E-2</v>
      </c>
      <c r="X105" s="202">
        <f ca="1">V105*W105*'User Inputs'!$D$7/100</f>
        <v>2745.7546405007865</v>
      </c>
      <c r="Y105" s="199">
        <f t="shared" ca="1" si="2"/>
        <v>121438.15390266174</v>
      </c>
      <c r="AA105" s="164"/>
    </row>
    <row r="106" spans="5:27">
      <c r="E106" s="213" t="s">
        <v>474</v>
      </c>
      <c r="F106" s="213" t="s">
        <v>126</v>
      </c>
      <c r="G106" s="197">
        <f ca="1">(VLOOKUP(F106,'Anticipated Exit Bookings'!$B:$C,MATCH('Exit Anticipated Rev. Recovery'!$C$2,'Anticipated Exit Bookings'!$B$1:$C$1,0), FALSE))*VLOOKUP($F106, 'Exit Capacity Split'!A:H, 3,0)/100</f>
        <v>31651044.599635281</v>
      </c>
      <c r="H106" s="200">
        <f ca="1">IF(VLOOKUP(F106,'Exit Prices'!$A:$Q,12,FALSE)&gt;0,VLOOKUP(F106,'Exit Prices'!$A:$Q,12,FALSE),0)</f>
        <v>1.9820323133808871E-2</v>
      </c>
      <c r="I106" s="202">
        <f ca="1">G106*H106*'User Inputs'!$D$7/100</f>
        <v>2289768.8499288913</v>
      </c>
      <c r="J106" s="209">
        <f ca="1">(VLOOKUP(F106,'Anticipated Exit Bookings'!$B:$C,MATCH('Exit Anticipated Rev. Recovery'!$C$2,'Anticipated Exit Bookings'!$B$1:$C$1,0), FALSE))*VLOOKUP($F106, 'Exit Capacity Split'!A:H, 4,0)/100</f>
        <v>0</v>
      </c>
      <c r="K106" s="205" t="str">
        <f>IF(VLOOKUP(F106,'Exit Prices'!$A:$Q,13,FALSE)&gt;0,VLOOKUP(F106,'Exit Prices'!$A:$Q,13,FALSE),0)</f>
        <v>N/A</v>
      </c>
      <c r="L106" s="207" t="s">
        <v>428</v>
      </c>
      <c r="M106" s="209">
        <f ca="1">(VLOOKUP(F106,'Anticipated Exit Bookings'!$B:$C,MATCH('Exit Anticipated Rev. Recovery'!$C$2,'Anticipated Exit Bookings'!$B$1:$C$1,0), FALSE))*VLOOKUP($F106, 'Exit Capacity Split'!A:H, 5,0)/100</f>
        <v>0</v>
      </c>
      <c r="N106" s="205" t="str">
        <f>IF(VLOOKUP(F106,'Exit Prices'!$A:$Q,14,FALSE)&gt;0,VLOOKUP(F106,'Exit Prices'!$A:$Q,14,FALSE),0)</f>
        <v>N/A</v>
      </c>
      <c r="O106" s="207" t="s">
        <v>428</v>
      </c>
      <c r="P106" s="204">
        <f ca="1">(VLOOKUP(F106,'Anticipated Exit Bookings'!$B:$C,MATCH('Exit Anticipated Rev. Recovery'!$C$2,'Anticipated Exit Bookings'!$B$1:$C$1,0), FALSE))*VLOOKUP($F106, 'Exit Capacity Split'!A:H, 6,0)/100</f>
        <v>0</v>
      </c>
      <c r="Q106" s="200">
        <f ca="1">IF(VLOOKUP(F106,'Exit Prices'!$A:$Q,15,FALSE)&gt;0,VLOOKUP(F106,'Exit Prices'!$A:$Q,15,FALSE),0)</f>
        <v>1.9820323133808871E-2</v>
      </c>
      <c r="R106" s="202">
        <f ca="1">P106*Q106*'User Inputs'!$D$7/100</f>
        <v>0</v>
      </c>
      <c r="S106" s="209">
        <f ca="1">(VLOOKUP(F106,'Anticipated Exit Bookings'!$B:$C,MATCH('Exit Anticipated Rev. Recovery'!$C$2,'Anticipated Exit Bookings'!$B$1:$C$1,0), FALSE))*VLOOKUP($F106, 'Exit Capacity Split'!A:H, 7,0)/100</f>
        <v>29923.200891232689</v>
      </c>
      <c r="T106" s="205" t="str">
        <f>IF(VLOOKUP(F106,'Exit Prices'!$A:$Q,16,FALSE)&gt;0,VLOOKUP(F106,'Exit Prices'!$A:$Q,16,FALSE),0)</f>
        <v>N/A</v>
      </c>
      <c r="U106" s="207" t="s">
        <v>428</v>
      </c>
      <c r="V106" s="204">
        <f ca="1">(VLOOKUP(F106,'Anticipated Exit Bookings'!$B:$C,MATCH('Exit Anticipated Rev. Recovery'!$C$2,'Anticipated Exit Bookings'!$B$1:$C$1,0), FALSE))*VLOOKUP($F106, 'Exit Capacity Split'!A:H, 8,0)/100</f>
        <v>813550.19947348593</v>
      </c>
      <c r="W106" s="200">
        <f ca="1">IF(VLOOKUP(F106,'Exit Prices'!$A:$Q,17,FALSE)&gt;0,VLOOKUP(F106,'Exit Prices'!$A:$Q,17,FALSE),0)</f>
        <v>1.7838290820427986E-2</v>
      </c>
      <c r="X106" s="202">
        <f ca="1">V106*W106*'User Inputs'!$D$7/100</f>
        <v>52970.059451572131</v>
      </c>
      <c r="Y106" s="199">
        <f t="shared" ca="1" si="2"/>
        <v>2342738.9093804634</v>
      </c>
      <c r="AA106" s="164"/>
    </row>
    <row r="107" spans="5:27">
      <c r="E107" s="213" t="s">
        <v>474</v>
      </c>
      <c r="F107" s="213" t="s">
        <v>127</v>
      </c>
      <c r="G107" s="197">
        <f ca="1">(VLOOKUP(F107,'Anticipated Exit Bookings'!$B:$C,MATCH('Exit Anticipated Rev. Recovery'!$C$2,'Anticipated Exit Bookings'!$B$1:$C$1,0), FALSE))*VLOOKUP($F107, 'Exit Capacity Split'!A:H, 3,0)/100</f>
        <v>8684304.6717136931</v>
      </c>
      <c r="H107" s="200">
        <f ca="1">IF(VLOOKUP(F107,'Exit Prices'!$A:$Q,12,FALSE)&gt;0,VLOOKUP(F107,'Exit Prices'!$A:$Q,12,FALSE),0)</f>
        <v>1.9820323133808871E-2</v>
      </c>
      <c r="I107" s="202">
        <f ca="1">G107*H107*'User Inputs'!$D$7/100</f>
        <v>628258.8954682115</v>
      </c>
      <c r="J107" s="209">
        <f ca="1">(VLOOKUP(F107,'Anticipated Exit Bookings'!$B:$C,MATCH('Exit Anticipated Rev. Recovery'!$C$2,'Anticipated Exit Bookings'!$B$1:$C$1,0), FALSE))*VLOOKUP($F107, 'Exit Capacity Split'!A:H, 4,0)/100</f>
        <v>0</v>
      </c>
      <c r="K107" s="205" t="str">
        <f>IF(VLOOKUP(F107,'Exit Prices'!$A:$Q,13,FALSE)&gt;0,VLOOKUP(F107,'Exit Prices'!$A:$Q,13,FALSE),0)</f>
        <v>N/A</v>
      </c>
      <c r="L107" s="207" t="s">
        <v>428</v>
      </c>
      <c r="M107" s="209">
        <f ca="1">(VLOOKUP(F107,'Anticipated Exit Bookings'!$B:$C,MATCH('Exit Anticipated Rev. Recovery'!$C$2,'Anticipated Exit Bookings'!$B$1:$C$1,0), FALSE))*VLOOKUP($F107, 'Exit Capacity Split'!A:H, 5,0)/100</f>
        <v>0</v>
      </c>
      <c r="N107" s="205" t="str">
        <f>IF(VLOOKUP(F107,'Exit Prices'!$A:$Q,14,FALSE)&gt;0,VLOOKUP(F107,'Exit Prices'!$A:$Q,14,FALSE),0)</f>
        <v>N/A</v>
      </c>
      <c r="O107" s="207" t="s">
        <v>428</v>
      </c>
      <c r="P107" s="204">
        <f ca="1">(VLOOKUP(F107,'Anticipated Exit Bookings'!$B:$C,MATCH('Exit Anticipated Rev. Recovery'!$C$2,'Anticipated Exit Bookings'!$B$1:$C$1,0), FALSE))*VLOOKUP($F107, 'Exit Capacity Split'!A:H, 6,0)/100</f>
        <v>0</v>
      </c>
      <c r="Q107" s="200">
        <f ca="1">IF(VLOOKUP(F107,'Exit Prices'!$A:$Q,15,FALSE)&gt;0,VLOOKUP(F107,'Exit Prices'!$A:$Q,15,FALSE),0)</f>
        <v>1.9820323133808871E-2</v>
      </c>
      <c r="R107" s="202">
        <f ca="1">P107*Q107*'User Inputs'!$D$7/100</f>
        <v>0</v>
      </c>
      <c r="S107" s="209">
        <f ca="1">(VLOOKUP(F107,'Anticipated Exit Bookings'!$B:$C,MATCH('Exit Anticipated Rev. Recovery'!$C$2,'Anticipated Exit Bookings'!$B$1:$C$1,0), FALSE))*VLOOKUP($F107, 'Exit Capacity Split'!A:H, 7,0)/100</f>
        <v>8210.2248623842825</v>
      </c>
      <c r="T107" s="205" t="str">
        <f>IF(VLOOKUP(F107,'Exit Prices'!$A:$Q,16,FALSE)&gt;0,VLOOKUP(F107,'Exit Prices'!$A:$Q,16,FALSE),0)</f>
        <v>N/A</v>
      </c>
      <c r="U107" s="207" t="s">
        <v>428</v>
      </c>
      <c r="V107" s="204">
        <f ca="1">(VLOOKUP(F107,'Anticipated Exit Bookings'!$B:$C,MATCH('Exit Anticipated Rev. Recovery'!$C$2,'Anticipated Exit Bookings'!$B$1:$C$1,0), FALSE))*VLOOKUP($F107, 'Exit Capacity Split'!A:H, 8,0)/100</f>
        <v>223219.1034239234</v>
      </c>
      <c r="W107" s="200">
        <f ca="1">IF(VLOOKUP(F107,'Exit Prices'!$A:$Q,17,FALSE)&gt;0,VLOOKUP(F107,'Exit Prices'!$A:$Q,17,FALSE),0)</f>
        <v>1.7838290820427986E-2</v>
      </c>
      <c r="X107" s="202">
        <f ca="1">V107*W107*'User Inputs'!$D$7/100</f>
        <v>14533.742584961652</v>
      </c>
      <c r="Y107" s="199">
        <f t="shared" ca="1" si="2"/>
        <v>642792.6380531732</v>
      </c>
      <c r="AA107" s="164"/>
    </row>
    <row r="108" spans="5:27">
      <c r="E108" s="213" t="s">
        <v>474</v>
      </c>
      <c r="F108" s="213" t="s">
        <v>128</v>
      </c>
      <c r="G108" s="197">
        <f ca="1">(VLOOKUP(F108,'Anticipated Exit Bookings'!$B:$C,MATCH('Exit Anticipated Rev. Recovery'!$C$2,'Anticipated Exit Bookings'!$B$1:$C$1,0), FALSE))*VLOOKUP($F108, 'Exit Capacity Split'!A:H, 3,0)/100</f>
        <v>11770207.001049487</v>
      </c>
      <c r="H108" s="200">
        <f ca="1">IF(VLOOKUP(F108,'Exit Prices'!$A:$Q,12,FALSE)&gt;0,VLOOKUP(F108,'Exit Prices'!$A:$Q,12,FALSE),0)</f>
        <v>1.9820323133808871E-2</v>
      </c>
      <c r="I108" s="202">
        <f ca="1">G108*H108*'User Inputs'!$D$7/100</f>
        <v>851505.96731106401</v>
      </c>
      <c r="J108" s="209">
        <f ca="1">(VLOOKUP(F108,'Anticipated Exit Bookings'!$B:$C,MATCH('Exit Anticipated Rev. Recovery'!$C$2,'Anticipated Exit Bookings'!$B$1:$C$1,0), FALSE))*VLOOKUP($F108, 'Exit Capacity Split'!A:H, 4,0)/100</f>
        <v>0</v>
      </c>
      <c r="K108" s="205" t="str">
        <f>IF(VLOOKUP(F108,'Exit Prices'!$A:$Q,13,FALSE)&gt;0,VLOOKUP(F108,'Exit Prices'!$A:$Q,13,FALSE),0)</f>
        <v>N/A</v>
      </c>
      <c r="L108" s="207" t="s">
        <v>428</v>
      </c>
      <c r="M108" s="209">
        <f ca="1">(VLOOKUP(F108,'Anticipated Exit Bookings'!$B:$C,MATCH('Exit Anticipated Rev. Recovery'!$C$2,'Anticipated Exit Bookings'!$B$1:$C$1,0), FALSE))*VLOOKUP($F108, 'Exit Capacity Split'!A:H, 5,0)/100</f>
        <v>0</v>
      </c>
      <c r="N108" s="205" t="str">
        <f>IF(VLOOKUP(F108,'Exit Prices'!$A:$Q,14,FALSE)&gt;0,VLOOKUP(F108,'Exit Prices'!$A:$Q,14,FALSE),0)</f>
        <v>N/A</v>
      </c>
      <c r="O108" s="207" t="s">
        <v>428</v>
      </c>
      <c r="P108" s="204">
        <f ca="1">(VLOOKUP(F108,'Anticipated Exit Bookings'!$B:$C,MATCH('Exit Anticipated Rev. Recovery'!$C$2,'Anticipated Exit Bookings'!$B$1:$C$1,0), FALSE))*VLOOKUP($F108, 'Exit Capacity Split'!A:H, 6,0)/100</f>
        <v>0</v>
      </c>
      <c r="Q108" s="200">
        <f ca="1">IF(VLOOKUP(F108,'Exit Prices'!$A:$Q,15,FALSE)&gt;0,VLOOKUP(F108,'Exit Prices'!$A:$Q,15,FALSE),0)</f>
        <v>1.9820323133808871E-2</v>
      </c>
      <c r="R108" s="202">
        <f ca="1">P108*Q108*'User Inputs'!$D$7/100</f>
        <v>0</v>
      </c>
      <c r="S108" s="209">
        <f ca="1">(VLOOKUP(F108,'Anticipated Exit Bookings'!$B:$C,MATCH('Exit Anticipated Rev. Recovery'!$C$2,'Anticipated Exit Bookings'!$B$1:$C$1,0), FALSE))*VLOOKUP($F108, 'Exit Capacity Split'!A:H, 7,0)/100</f>
        <v>11127.666498181097</v>
      </c>
      <c r="T108" s="205" t="str">
        <f>IF(VLOOKUP(F108,'Exit Prices'!$A:$Q,16,FALSE)&gt;0,VLOOKUP(F108,'Exit Prices'!$A:$Q,16,FALSE),0)</f>
        <v>N/A</v>
      </c>
      <c r="U108" s="207" t="s">
        <v>428</v>
      </c>
      <c r="V108" s="204">
        <f ca="1">(VLOOKUP(F108,'Anticipated Exit Bookings'!$B:$C,MATCH('Exit Anticipated Rev. Recovery'!$C$2,'Anticipated Exit Bookings'!$B$1:$C$1,0), FALSE))*VLOOKUP($F108, 'Exit Capacity Split'!A:H, 8,0)/100</f>
        <v>302538.33245233155</v>
      </c>
      <c r="W108" s="200">
        <f ca="1">IF(VLOOKUP(F108,'Exit Prices'!$A:$Q,17,FALSE)&gt;0,VLOOKUP(F108,'Exit Prices'!$A:$Q,17,FALSE),0)</f>
        <v>1.7838290820427986E-2</v>
      </c>
      <c r="X108" s="202">
        <f ca="1">V108*W108*'User Inputs'!$D$7/100</f>
        <v>19698.198668933859</v>
      </c>
      <c r="Y108" s="199">
        <f t="shared" ca="1" si="2"/>
        <v>871204.16597999784</v>
      </c>
      <c r="AA108" s="164"/>
    </row>
    <row r="109" spans="5:27">
      <c r="E109" s="213" t="s">
        <v>474</v>
      </c>
      <c r="F109" s="213" t="s">
        <v>129</v>
      </c>
      <c r="G109" s="197">
        <f ca="1">(VLOOKUP(F109,'Anticipated Exit Bookings'!$B:$C,MATCH('Exit Anticipated Rev. Recovery'!$C$2,'Anticipated Exit Bookings'!$B$1:$C$1,0), FALSE))*VLOOKUP($F109, 'Exit Capacity Split'!A:H, 3,0)/100</f>
        <v>1126166.6181082337</v>
      </c>
      <c r="H109" s="200">
        <f ca="1">IF(VLOOKUP(F109,'Exit Prices'!$A:$Q,12,FALSE)&gt;0,VLOOKUP(F109,'Exit Prices'!$A:$Q,12,FALSE),0)</f>
        <v>1.9820323133808871E-2</v>
      </c>
      <c r="I109" s="202">
        <f ca="1">G109*H109*'User Inputs'!$D$7/100</f>
        <v>81471.599897960827</v>
      </c>
      <c r="J109" s="209">
        <f ca="1">(VLOOKUP(F109,'Anticipated Exit Bookings'!$B:$C,MATCH('Exit Anticipated Rev. Recovery'!$C$2,'Anticipated Exit Bookings'!$B$1:$C$1,0), FALSE))*VLOOKUP($F109, 'Exit Capacity Split'!A:H, 4,0)/100</f>
        <v>0</v>
      </c>
      <c r="K109" s="205" t="str">
        <f>IF(VLOOKUP(F109,'Exit Prices'!$A:$Q,13,FALSE)&gt;0,VLOOKUP(F109,'Exit Prices'!$A:$Q,13,FALSE),0)</f>
        <v>N/A</v>
      </c>
      <c r="L109" s="207" t="s">
        <v>428</v>
      </c>
      <c r="M109" s="209">
        <f ca="1">(VLOOKUP(F109,'Anticipated Exit Bookings'!$B:$C,MATCH('Exit Anticipated Rev. Recovery'!$C$2,'Anticipated Exit Bookings'!$B$1:$C$1,0), FALSE))*VLOOKUP($F109, 'Exit Capacity Split'!A:H, 5,0)/100</f>
        <v>0</v>
      </c>
      <c r="N109" s="205" t="str">
        <f>IF(VLOOKUP(F109,'Exit Prices'!$A:$Q,14,FALSE)&gt;0,VLOOKUP(F109,'Exit Prices'!$A:$Q,14,FALSE),0)</f>
        <v>N/A</v>
      </c>
      <c r="O109" s="207" t="s">
        <v>428</v>
      </c>
      <c r="P109" s="204">
        <f ca="1">(VLOOKUP(F109,'Anticipated Exit Bookings'!$B:$C,MATCH('Exit Anticipated Rev. Recovery'!$C$2,'Anticipated Exit Bookings'!$B$1:$C$1,0), FALSE))*VLOOKUP($F109, 'Exit Capacity Split'!A:H, 6,0)/100</f>
        <v>0</v>
      </c>
      <c r="Q109" s="200">
        <f ca="1">IF(VLOOKUP(F109,'Exit Prices'!$A:$Q,15,FALSE)&gt;0,VLOOKUP(F109,'Exit Prices'!$A:$Q,15,FALSE),0)</f>
        <v>1.9820323133808871E-2</v>
      </c>
      <c r="R109" s="202">
        <f ca="1">P109*Q109*'User Inputs'!$D$7/100</f>
        <v>0</v>
      </c>
      <c r="S109" s="209">
        <f ca="1">(VLOOKUP(F109,'Anticipated Exit Bookings'!$B:$C,MATCH('Exit Anticipated Rev. Recovery'!$C$2,'Anticipated Exit Bookings'!$B$1:$C$1,0), FALSE))*VLOOKUP($F109, 'Exit Capacity Split'!A:H, 7,0)/100</f>
        <v>1064.6887133400048</v>
      </c>
      <c r="T109" s="205" t="str">
        <f>IF(VLOOKUP(F109,'Exit Prices'!$A:$Q,16,FALSE)&gt;0,VLOOKUP(F109,'Exit Prices'!$A:$Q,16,FALSE),0)</f>
        <v>N/A</v>
      </c>
      <c r="U109" s="207" t="s">
        <v>428</v>
      </c>
      <c r="V109" s="204">
        <f ca="1">(VLOOKUP(F109,'Anticipated Exit Bookings'!$B:$C,MATCH('Exit Anticipated Rev. Recovery'!$C$2,'Anticipated Exit Bookings'!$B$1:$C$1,0), FALSE))*VLOOKUP($F109, 'Exit Capacity Split'!A:H, 8,0)/100</f>
        <v>28946.693178426471</v>
      </c>
      <c r="W109" s="200">
        <f ca="1">IF(VLOOKUP(F109,'Exit Prices'!$A:$Q,17,FALSE)&gt;0,VLOOKUP(F109,'Exit Prices'!$A:$Q,17,FALSE),0)</f>
        <v>1.7838290820427986E-2</v>
      </c>
      <c r="X109" s="202">
        <f ca="1">V109*W109*'User Inputs'!$D$7/100</f>
        <v>1884.7122889036164</v>
      </c>
      <c r="Y109" s="199">
        <f t="shared" ca="1" si="2"/>
        <v>83356.312186864438</v>
      </c>
      <c r="AA109" s="164"/>
    </row>
    <row r="110" spans="5:27">
      <c r="E110" s="213" t="s">
        <v>474</v>
      </c>
      <c r="F110" s="213" t="s">
        <v>130</v>
      </c>
      <c r="G110" s="197">
        <f ca="1">(VLOOKUP(F110,'Anticipated Exit Bookings'!$B:$C,MATCH('Exit Anticipated Rev. Recovery'!$C$2,'Anticipated Exit Bookings'!$B$1:$C$1,0), FALSE))*VLOOKUP($F110, 'Exit Capacity Split'!A:H, 3,0)/100</f>
        <v>13637456.393945448</v>
      </c>
      <c r="H110" s="200">
        <f ca="1">IF(VLOOKUP(F110,'Exit Prices'!$A:$Q,12,FALSE)&gt;0,VLOOKUP(F110,'Exit Prices'!$A:$Q,12,FALSE),0)</f>
        <v>1.9820323133808871E-2</v>
      </c>
      <c r="I110" s="202">
        <f ca="1">G110*H110*'User Inputs'!$D$7/100</f>
        <v>986590.59244697739</v>
      </c>
      <c r="J110" s="209">
        <f ca="1">(VLOOKUP(F110,'Anticipated Exit Bookings'!$B:$C,MATCH('Exit Anticipated Rev. Recovery'!$C$2,'Anticipated Exit Bookings'!$B$1:$C$1,0), FALSE))*VLOOKUP($F110, 'Exit Capacity Split'!A:H, 4,0)/100</f>
        <v>0</v>
      </c>
      <c r="K110" s="205" t="str">
        <f>IF(VLOOKUP(F110,'Exit Prices'!$A:$Q,13,FALSE)&gt;0,VLOOKUP(F110,'Exit Prices'!$A:$Q,13,FALSE),0)</f>
        <v>N/A</v>
      </c>
      <c r="L110" s="207" t="s">
        <v>428</v>
      </c>
      <c r="M110" s="209">
        <f ca="1">(VLOOKUP(F110,'Anticipated Exit Bookings'!$B:$C,MATCH('Exit Anticipated Rev. Recovery'!$C$2,'Anticipated Exit Bookings'!$B$1:$C$1,0), FALSE))*VLOOKUP($F110, 'Exit Capacity Split'!A:H, 5,0)/100</f>
        <v>0</v>
      </c>
      <c r="N110" s="205" t="str">
        <f>IF(VLOOKUP(F110,'Exit Prices'!$A:$Q,14,FALSE)&gt;0,VLOOKUP(F110,'Exit Prices'!$A:$Q,14,FALSE),0)</f>
        <v>N/A</v>
      </c>
      <c r="O110" s="207" t="s">
        <v>428</v>
      </c>
      <c r="P110" s="204">
        <f ca="1">(VLOOKUP(F110,'Anticipated Exit Bookings'!$B:$C,MATCH('Exit Anticipated Rev. Recovery'!$C$2,'Anticipated Exit Bookings'!$B$1:$C$1,0), FALSE))*VLOOKUP($F110, 'Exit Capacity Split'!A:H, 6,0)/100</f>
        <v>0</v>
      </c>
      <c r="Q110" s="200">
        <f ca="1">IF(VLOOKUP(F110,'Exit Prices'!$A:$Q,15,FALSE)&gt;0,VLOOKUP(F110,'Exit Prices'!$A:$Q,15,FALSE),0)</f>
        <v>1.9820323133808871E-2</v>
      </c>
      <c r="R110" s="202">
        <f ca="1">P110*Q110*'User Inputs'!$D$7/100</f>
        <v>0</v>
      </c>
      <c r="S110" s="209">
        <f ca="1">(VLOOKUP(F110,'Anticipated Exit Bookings'!$B:$C,MATCH('Exit Anticipated Rev. Recovery'!$C$2,'Anticipated Exit Bookings'!$B$1:$C$1,0), FALSE))*VLOOKUP($F110, 'Exit Capacity Split'!A:H, 7,0)/100</f>
        <v>12892.981968947643</v>
      </c>
      <c r="T110" s="205" t="str">
        <f>IF(VLOOKUP(F110,'Exit Prices'!$A:$Q,16,FALSE)&gt;0,VLOOKUP(F110,'Exit Prices'!$A:$Q,16,FALSE),0)</f>
        <v>N/A</v>
      </c>
      <c r="U110" s="207" t="s">
        <v>428</v>
      </c>
      <c r="V110" s="204">
        <f ca="1">(VLOOKUP(F110,'Anticipated Exit Bookings'!$B:$C,MATCH('Exit Anticipated Rev. Recovery'!$C$2,'Anticipated Exit Bookings'!$B$1:$C$1,0), FALSE))*VLOOKUP($F110, 'Exit Capacity Split'!A:H, 8,0)/100</f>
        <v>350533.62408560544</v>
      </c>
      <c r="W110" s="200">
        <f ca="1">IF(VLOOKUP(F110,'Exit Prices'!$A:$Q,17,FALSE)&gt;0,VLOOKUP(F110,'Exit Prices'!$A:$Q,17,FALSE),0)</f>
        <v>1.7838290820427986E-2</v>
      </c>
      <c r="X110" s="202">
        <f ca="1">V110*W110*'User Inputs'!$D$7/100</f>
        <v>22823.160660038273</v>
      </c>
      <c r="Y110" s="199">
        <f t="shared" ca="1" si="2"/>
        <v>1009413.7531070156</v>
      </c>
      <c r="AA110" s="164"/>
    </row>
    <row r="111" spans="5:27">
      <c r="E111" s="213" t="s">
        <v>474</v>
      </c>
      <c r="F111" s="213" t="s">
        <v>131</v>
      </c>
      <c r="G111" s="197">
        <f ca="1">(VLOOKUP(F111,'Anticipated Exit Bookings'!$B:$C,MATCH('Exit Anticipated Rev. Recovery'!$C$2,'Anticipated Exit Bookings'!$B$1:$C$1,0), FALSE))*VLOOKUP($F111, 'Exit Capacity Split'!A:H, 3,0)/100</f>
        <v>2988744.5027239393</v>
      </c>
      <c r="H111" s="200">
        <f ca="1">IF(VLOOKUP(F111,'Exit Prices'!$A:$Q,12,FALSE)&gt;0,VLOOKUP(F111,'Exit Prices'!$A:$Q,12,FALSE),0)</f>
        <v>1.9820323133808871E-2</v>
      </c>
      <c r="I111" s="202">
        <f ca="1">G111*H111*'User Inputs'!$D$7/100</f>
        <v>216218.26860059935</v>
      </c>
      <c r="J111" s="209">
        <f ca="1">(VLOOKUP(F111,'Anticipated Exit Bookings'!$B:$C,MATCH('Exit Anticipated Rev. Recovery'!$C$2,'Anticipated Exit Bookings'!$B$1:$C$1,0), FALSE))*VLOOKUP($F111, 'Exit Capacity Split'!A:H, 4,0)/100</f>
        <v>0</v>
      </c>
      <c r="K111" s="205" t="str">
        <f>IF(VLOOKUP(F111,'Exit Prices'!$A:$Q,13,FALSE)&gt;0,VLOOKUP(F111,'Exit Prices'!$A:$Q,13,FALSE),0)</f>
        <v>N/A</v>
      </c>
      <c r="L111" s="207" t="s">
        <v>428</v>
      </c>
      <c r="M111" s="209">
        <f ca="1">(VLOOKUP(F111,'Anticipated Exit Bookings'!$B:$C,MATCH('Exit Anticipated Rev. Recovery'!$C$2,'Anticipated Exit Bookings'!$B$1:$C$1,0), FALSE))*VLOOKUP($F111, 'Exit Capacity Split'!A:H, 5,0)/100</f>
        <v>0</v>
      </c>
      <c r="N111" s="205" t="str">
        <f>IF(VLOOKUP(F111,'Exit Prices'!$A:$Q,14,FALSE)&gt;0,VLOOKUP(F111,'Exit Prices'!$A:$Q,14,FALSE),0)</f>
        <v>N/A</v>
      </c>
      <c r="O111" s="207" t="s">
        <v>428</v>
      </c>
      <c r="P111" s="204">
        <f ca="1">(VLOOKUP(F111,'Anticipated Exit Bookings'!$B:$C,MATCH('Exit Anticipated Rev. Recovery'!$C$2,'Anticipated Exit Bookings'!$B$1:$C$1,0), FALSE))*VLOOKUP($F111, 'Exit Capacity Split'!A:H, 6,0)/100</f>
        <v>0</v>
      </c>
      <c r="Q111" s="200">
        <f ca="1">IF(VLOOKUP(F111,'Exit Prices'!$A:$Q,15,FALSE)&gt;0,VLOOKUP(F111,'Exit Prices'!$A:$Q,15,FALSE),0)</f>
        <v>1.9820323133808871E-2</v>
      </c>
      <c r="R111" s="202">
        <f ca="1">P111*Q111*'User Inputs'!$D$7/100</f>
        <v>0</v>
      </c>
      <c r="S111" s="209">
        <f ca="1">(VLOOKUP(F111,'Anticipated Exit Bookings'!$B:$C,MATCH('Exit Anticipated Rev. Recovery'!$C$2,'Anticipated Exit Bookings'!$B$1:$C$1,0), FALSE))*VLOOKUP($F111, 'Exit Capacity Split'!A:H, 7,0)/100</f>
        <v>2825.5876954091532</v>
      </c>
      <c r="T111" s="205" t="str">
        <f>IF(VLOOKUP(F111,'Exit Prices'!$A:$Q,16,FALSE)&gt;0,VLOOKUP(F111,'Exit Prices'!$A:$Q,16,FALSE),0)</f>
        <v>N/A</v>
      </c>
      <c r="U111" s="207" t="s">
        <v>428</v>
      </c>
      <c r="V111" s="204">
        <f ca="1">(VLOOKUP(F111,'Anticipated Exit Bookings'!$B:$C,MATCH('Exit Anticipated Rev. Recovery'!$C$2,'Anticipated Exit Bookings'!$B$1:$C$1,0), FALSE))*VLOOKUP($F111, 'Exit Capacity Split'!A:H, 8,0)/100</f>
        <v>76821.90958065138</v>
      </c>
      <c r="W111" s="200">
        <f ca="1">IF(VLOOKUP(F111,'Exit Prices'!$A:$Q,17,FALSE)&gt;0,VLOOKUP(F111,'Exit Prices'!$A:$Q,17,FALSE),0)</f>
        <v>1.7838290820427986E-2</v>
      </c>
      <c r="X111" s="202">
        <f ca="1">V111*W111*'User Inputs'!$D$7/100</f>
        <v>5001.8562103530303</v>
      </c>
      <c r="Y111" s="199">
        <f t="shared" ca="1" si="2"/>
        <v>221220.12481095237</v>
      </c>
      <c r="AA111" s="164"/>
    </row>
    <row r="112" spans="5:27">
      <c r="E112" s="213" t="s">
        <v>474</v>
      </c>
      <c r="F112" s="213" t="s">
        <v>132</v>
      </c>
      <c r="G112" s="197">
        <f ca="1">(VLOOKUP(F112,'Anticipated Exit Bookings'!$B:$C,MATCH('Exit Anticipated Rev. Recovery'!$C$2,'Anticipated Exit Bookings'!$B$1:$C$1,0), FALSE))*VLOOKUP($F112, 'Exit Capacity Split'!A:H, 3,0)/100</f>
        <v>836413.29749346082</v>
      </c>
      <c r="H112" s="200">
        <f ca="1">IF(VLOOKUP(F112,'Exit Prices'!$A:$Q,12,FALSE)&gt;0,VLOOKUP(F112,'Exit Prices'!$A:$Q,12,FALSE),0)</f>
        <v>1.9820323133808871E-2</v>
      </c>
      <c r="I112" s="202">
        <f ca="1">G112*H112*'User Inputs'!$D$7/100</f>
        <v>60509.633678532766</v>
      </c>
      <c r="J112" s="209">
        <f ca="1">(VLOOKUP(F112,'Anticipated Exit Bookings'!$B:$C,MATCH('Exit Anticipated Rev. Recovery'!$C$2,'Anticipated Exit Bookings'!$B$1:$C$1,0), FALSE))*VLOOKUP($F112, 'Exit Capacity Split'!A:H, 4,0)/100</f>
        <v>0</v>
      </c>
      <c r="K112" s="205" t="str">
        <f>IF(VLOOKUP(F112,'Exit Prices'!$A:$Q,13,FALSE)&gt;0,VLOOKUP(F112,'Exit Prices'!$A:$Q,13,FALSE),0)</f>
        <v>N/A</v>
      </c>
      <c r="L112" s="207" t="s">
        <v>428</v>
      </c>
      <c r="M112" s="209">
        <f ca="1">(VLOOKUP(F112,'Anticipated Exit Bookings'!$B:$C,MATCH('Exit Anticipated Rev. Recovery'!$C$2,'Anticipated Exit Bookings'!$B$1:$C$1,0), FALSE))*VLOOKUP($F112, 'Exit Capacity Split'!A:H, 5,0)/100</f>
        <v>0</v>
      </c>
      <c r="N112" s="205" t="str">
        <f>IF(VLOOKUP(F112,'Exit Prices'!$A:$Q,14,FALSE)&gt;0,VLOOKUP(F112,'Exit Prices'!$A:$Q,14,FALSE),0)</f>
        <v>N/A</v>
      </c>
      <c r="O112" s="207" t="s">
        <v>428</v>
      </c>
      <c r="P112" s="204">
        <f ca="1">(VLOOKUP(F112,'Anticipated Exit Bookings'!$B:$C,MATCH('Exit Anticipated Rev. Recovery'!$C$2,'Anticipated Exit Bookings'!$B$1:$C$1,0), FALSE))*VLOOKUP($F112, 'Exit Capacity Split'!A:H, 6,0)/100</f>
        <v>0</v>
      </c>
      <c r="Q112" s="200">
        <f ca="1">IF(VLOOKUP(F112,'Exit Prices'!$A:$Q,15,FALSE)&gt;0,VLOOKUP(F112,'Exit Prices'!$A:$Q,15,FALSE),0)</f>
        <v>1.9820323133808871E-2</v>
      </c>
      <c r="R112" s="202">
        <f ca="1">P112*Q112*'User Inputs'!$D$7/100</f>
        <v>0</v>
      </c>
      <c r="S112" s="209">
        <f ca="1">(VLOOKUP(F112,'Anticipated Exit Bookings'!$B:$C,MATCH('Exit Anticipated Rev. Recovery'!$C$2,'Anticipated Exit Bookings'!$B$1:$C$1,0), FALSE))*VLOOKUP($F112, 'Exit Capacity Split'!A:H, 7,0)/100</f>
        <v>790.75314718944855</v>
      </c>
      <c r="T112" s="205" t="str">
        <f>IF(VLOOKUP(F112,'Exit Prices'!$A:$Q,16,FALSE)&gt;0,VLOOKUP(F112,'Exit Prices'!$A:$Q,16,FALSE),0)</f>
        <v>N/A</v>
      </c>
      <c r="U112" s="207" t="s">
        <v>428</v>
      </c>
      <c r="V112" s="204">
        <f ca="1">(VLOOKUP(F112,'Anticipated Exit Bookings'!$B:$C,MATCH('Exit Anticipated Rev. Recovery'!$C$2,'Anticipated Exit Bookings'!$B$1:$C$1,0), FALSE))*VLOOKUP($F112, 'Exit Capacity Split'!A:H, 8,0)/100</f>
        <v>21498.949359349808</v>
      </c>
      <c r="W112" s="200">
        <f ca="1">IF(VLOOKUP(F112,'Exit Prices'!$A:$Q,17,FALSE)&gt;0,VLOOKUP(F112,'Exit Prices'!$A:$Q,17,FALSE),0)</f>
        <v>1.7838290820427986E-2</v>
      </c>
      <c r="X112" s="202">
        <f ca="1">V112*W112*'User Inputs'!$D$7/100</f>
        <v>1399.7914651709359</v>
      </c>
      <c r="Y112" s="199">
        <f t="shared" ca="1" si="2"/>
        <v>61909.425143703702</v>
      </c>
      <c r="AA112" s="164"/>
    </row>
    <row r="113" spans="5:27">
      <c r="E113" s="213" t="s">
        <v>474</v>
      </c>
      <c r="F113" s="213" t="s">
        <v>133</v>
      </c>
      <c r="G113" s="197">
        <f ca="1">(VLOOKUP(F113,'Anticipated Exit Bookings'!$B:$C,MATCH('Exit Anticipated Rev. Recovery'!$C$2,'Anticipated Exit Bookings'!$B$1:$C$1,0), FALSE))*VLOOKUP($F113, 'Exit Capacity Split'!A:H, 3,0)/100</f>
        <v>15621700.001320099</v>
      </c>
      <c r="H113" s="200">
        <f ca="1">IF(VLOOKUP(F113,'Exit Prices'!$A:$Q,12,FALSE)&gt;0,VLOOKUP(F113,'Exit Prices'!$A:$Q,12,FALSE),0)</f>
        <v>1.9820323133808871E-2</v>
      </c>
      <c r="I113" s="202">
        <f ca="1">G113*H113*'User Inputs'!$D$7/100</f>
        <v>1130139.068028392</v>
      </c>
      <c r="J113" s="209">
        <f ca="1">(VLOOKUP(F113,'Anticipated Exit Bookings'!$B:$C,MATCH('Exit Anticipated Rev. Recovery'!$C$2,'Anticipated Exit Bookings'!$B$1:$C$1,0), FALSE))*VLOOKUP($F113, 'Exit Capacity Split'!A:H, 4,0)/100</f>
        <v>0</v>
      </c>
      <c r="K113" s="205" t="str">
        <f>IF(VLOOKUP(F113,'Exit Prices'!$A:$Q,13,FALSE)&gt;0,VLOOKUP(F113,'Exit Prices'!$A:$Q,13,FALSE),0)</f>
        <v>N/A</v>
      </c>
      <c r="L113" s="207" t="s">
        <v>428</v>
      </c>
      <c r="M113" s="209">
        <f ca="1">(VLOOKUP(F113,'Anticipated Exit Bookings'!$B:$C,MATCH('Exit Anticipated Rev. Recovery'!$C$2,'Anticipated Exit Bookings'!$B$1:$C$1,0), FALSE))*VLOOKUP($F113, 'Exit Capacity Split'!A:H, 5,0)/100</f>
        <v>0</v>
      </c>
      <c r="N113" s="205" t="str">
        <f>IF(VLOOKUP(F113,'Exit Prices'!$A:$Q,14,FALSE)&gt;0,VLOOKUP(F113,'Exit Prices'!$A:$Q,14,FALSE),0)</f>
        <v>N/A</v>
      </c>
      <c r="O113" s="207" t="s">
        <v>428</v>
      </c>
      <c r="P113" s="204">
        <f ca="1">(VLOOKUP(F113,'Anticipated Exit Bookings'!$B:$C,MATCH('Exit Anticipated Rev. Recovery'!$C$2,'Anticipated Exit Bookings'!$B$1:$C$1,0), FALSE))*VLOOKUP($F113, 'Exit Capacity Split'!A:H, 6,0)/100</f>
        <v>82785.910973564634</v>
      </c>
      <c r="Q113" s="200">
        <f ca="1">IF(VLOOKUP(F113,'Exit Prices'!$A:$Q,15,FALSE)&gt;0,VLOOKUP(F113,'Exit Prices'!$A:$Q,15,FALSE),0)</f>
        <v>1.9820323133808871E-2</v>
      </c>
      <c r="R113" s="202">
        <f ca="1">P113*Q113*'User Inputs'!$D$7/100</f>
        <v>5989.0787984431654</v>
      </c>
      <c r="S113" s="209">
        <f ca="1">(VLOOKUP(F113,'Anticipated Exit Bookings'!$B:$C,MATCH('Exit Anticipated Rev. Recovery'!$C$2,'Anticipated Exit Bookings'!$B$1:$C$1,0), FALSE))*VLOOKUP($F113, 'Exit Capacity Split'!A:H, 7,0)/100</f>
        <v>21077.202280505331</v>
      </c>
      <c r="T113" s="205" t="str">
        <f>IF(VLOOKUP(F113,'Exit Prices'!$A:$Q,16,FALSE)&gt;0,VLOOKUP(F113,'Exit Prices'!$A:$Q,16,FALSE),0)</f>
        <v>N/A</v>
      </c>
      <c r="U113" s="207" t="s">
        <v>428</v>
      </c>
      <c r="V113" s="204">
        <f ca="1">(VLOOKUP(F113,'Anticipated Exit Bookings'!$B:$C,MATCH('Exit Anticipated Rev. Recovery'!$C$2,'Anticipated Exit Bookings'!$B$1:$C$1,0), FALSE))*VLOOKUP($F113, 'Exit Capacity Split'!A:H, 8,0)/100</f>
        <v>15974436.885425828</v>
      </c>
      <c r="W113" s="200">
        <f ca="1">IF(VLOOKUP(F113,'Exit Prices'!$A:$Q,17,FALSE)&gt;0,VLOOKUP(F113,'Exit Prices'!$A:$Q,17,FALSE),0)</f>
        <v>1.7838290820427986E-2</v>
      </c>
      <c r="X113" s="202">
        <f ca="1">V113*W113*'User Inputs'!$D$7/100</f>
        <v>1040091.775620012</v>
      </c>
      <c r="Y113" s="199">
        <f t="shared" ca="1" si="2"/>
        <v>2176219.922446847</v>
      </c>
      <c r="AA113" s="164"/>
    </row>
    <row r="114" spans="5:27">
      <c r="E114" s="213" t="s">
        <v>474</v>
      </c>
      <c r="F114" s="213" t="s">
        <v>134</v>
      </c>
      <c r="G114" s="197">
        <f ca="1">(VLOOKUP(F114,'Anticipated Exit Bookings'!$B:$C,MATCH('Exit Anticipated Rev. Recovery'!$C$2,'Anticipated Exit Bookings'!$B$1:$C$1,0), FALSE))*VLOOKUP($F114, 'Exit Capacity Split'!A:H, 3,0)/100</f>
        <v>151287.3216390147</v>
      </c>
      <c r="H114" s="200">
        <f ca="1">IF(VLOOKUP(F114,'Exit Prices'!$A:$Q,12,FALSE)&gt;0,VLOOKUP(F114,'Exit Prices'!$A:$Q,12,FALSE),0)</f>
        <v>1.9820323133808871E-2</v>
      </c>
      <c r="I114" s="202">
        <f ca="1">G114*H114*'User Inputs'!$D$7/100</f>
        <v>10944.757143408175</v>
      </c>
      <c r="J114" s="209">
        <f ca="1">(VLOOKUP(F114,'Anticipated Exit Bookings'!$B:$C,MATCH('Exit Anticipated Rev. Recovery'!$C$2,'Anticipated Exit Bookings'!$B$1:$C$1,0), FALSE))*VLOOKUP($F114, 'Exit Capacity Split'!A:H, 4,0)/100</f>
        <v>0</v>
      </c>
      <c r="K114" s="205" t="str">
        <f>IF(VLOOKUP(F114,'Exit Prices'!$A:$Q,13,FALSE)&gt;0,VLOOKUP(F114,'Exit Prices'!$A:$Q,13,FALSE),0)</f>
        <v>N/A</v>
      </c>
      <c r="L114" s="207" t="s">
        <v>428</v>
      </c>
      <c r="M114" s="209">
        <f ca="1">(VLOOKUP(F114,'Anticipated Exit Bookings'!$B:$C,MATCH('Exit Anticipated Rev. Recovery'!$C$2,'Anticipated Exit Bookings'!$B$1:$C$1,0), FALSE))*VLOOKUP($F114, 'Exit Capacity Split'!A:H, 5,0)/100</f>
        <v>0</v>
      </c>
      <c r="N114" s="205" t="str">
        <f>IF(VLOOKUP(F114,'Exit Prices'!$A:$Q,14,FALSE)&gt;0,VLOOKUP(F114,'Exit Prices'!$A:$Q,14,FALSE),0)</f>
        <v>N/A</v>
      </c>
      <c r="O114" s="207" t="s">
        <v>428</v>
      </c>
      <c r="P114" s="204">
        <f ca="1">(VLOOKUP(F114,'Anticipated Exit Bookings'!$B:$C,MATCH('Exit Anticipated Rev. Recovery'!$C$2,'Anticipated Exit Bookings'!$B$1:$C$1,0), FALSE))*VLOOKUP($F114, 'Exit Capacity Split'!A:H, 6,0)/100</f>
        <v>0</v>
      </c>
      <c r="Q114" s="200">
        <f ca="1">IF(VLOOKUP(F114,'Exit Prices'!$A:$Q,15,FALSE)&gt;0,VLOOKUP(F114,'Exit Prices'!$A:$Q,15,FALSE),0)</f>
        <v>1.9820323133808871E-2</v>
      </c>
      <c r="R114" s="202">
        <f ca="1">P114*Q114*'User Inputs'!$D$7/100</f>
        <v>0</v>
      </c>
      <c r="S114" s="209">
        <f ca="1">(VLOOKUP(F114,'Anticipated Exit Bookings'!$B:$C,MATCH('Exit Anticipated Rev. Recovery'!$C$2,'Anticipated Exit Bookings'!$B$1:$C$1,0), FALSE))*VLOOKUP($F114, 'Exit Capacity Split'!A:H, 7,0)/100</f>
        <v>143.0284837345601</v>
      </c>
      <c r="T114" s="205" t="str">
        <f>IF(VLOOKUP(F114,'Exit Prices'!$A:$Q,16,FALSE)&gt;0,VLOOKUP(F114,'Exit Prices'!$A:$Q,16,FALSE),0)</f>
        <v>N/A</v>
      </c>
      <c r="U114" s="207" t="s">
        <v>428</v>
      </c>
      <c r="V114" s="204">
        <f ca="1">(VLOOKUP(F114,'Anticipated Exit Bookings'!$B:$C,MATCH('Exit Anticipated Rev. Recovery'!$C$2,'Anticipated Exit Bookings'!$B$1:$C$1,0), FALSE))*VLOOKUP($F114, 'Exit Capacity Split'!A:H, 8,0)/100</f>
        <v>3888.649877250753</v>
      </c>
      <c r="W114" s="200">
        <f ca="1">IF(VLOOKUP(F114,'Exit Prices'!$A:$Q,17,FALSE)&gt;0,VLOOKUP(F114,'Exit Prices'!$A:$Q,17,FALSE),0)</f>
        <v>1.7838290820427986E-2</v>
      </c>
      <c r="X114" s="202">
        <f ca="1">V114*W114*'User Inputs'!$D$7/100</f>
        <v>253.18906604365489</v>
      </c>
      <c r="Y114" s="199">
        <f t="shared" ca="1" si="2"/>
        <v>11197.946209451829</v>
      </c>
      <c r="AA114" s="164"/>
    </row>
    <row r="115" spans="5:27">
      <c r="E115" s="213" t="s">
        <v>474</v>
      </c>
      <c r="F115" s="213" t="s">
        <v>135</v>
      </c>
      <c r="G115" s="197">
        <f ca="1">(VLOOKUP(F115,'Anticipated Exit Bookings'!$B:$C,MATCH('Exit Anticipated Rev. Recovery'!$C$2,'Anticipated Exit Bookings'!$B$1:$C$1,0), FALSE))*VLOOKUP($F115, 'Exit Capacity Split'!A:H, 3,0)/100</f>
        <v>0</v>
      </c>
      <c r="H115" s="200">
        <f ca="1">IF(VLOOKUP(F115,'Exit Prices'!$A:$Q,12,FALSE)&gt;0,VLOOKUP(F115,'Exit Prices'!$A:$Q,12,FALSE),0)</f>
        <v>1.9820323133808871E-2</v>
      </c>
      <c r="I115" s="202">
        <f ca="1">G115*H115*'User Inputs'!$D$7/100</f>
        <v>0</v>
      </c>
      <c r="J115" s="209">
        <f ca="1">(VLOOKUP(F115,'Anticipated Exit Bookings'!$B:$C,MATCH('Exit Anticipated Rev. Recovery'!$C$2,'Anticipated Exit Bookings'!$B$1:$C$1,0), FALSE))*VLOOKUP($F115, 'Exit Capacity Split'!A:H, 4,0)/100</f>
        <v>0</v>
      </c>
      <c r="K115" s="205" t="str">
        <f>IF(VLOOKUP(F115,'Exit Prices'!$A:$Q,13,FALSE)&gt;0,VLOOKUP(F115,'Exit Prices'!$A:$Q,13,FALSE),0)</f>
        <v>N/A</v>
      </c>
      <c r="L115" s="207" t="s">
        <v>428</v>
      </c>
      <c r="M115" s="209">
        <f ca="1">(VLOOKUP(F115,'Anticipated Exit Bookings'!$B:$C,MATCH('Exit Anticipated Rev. Recovery'!$C$2,'Anticipated Exit Bookings'!$B$1:$C$1,0), FALSE))*VLOOKUP($F115, 'Exit Capacity Split'!A:H, 5,0)/100</f>
        <v>0</v>
      </c>
      <c r="N115" s="205" t="str">
        <f>IF(VLOOKUP(F115,'Exit Prices'!$A:$Q,14,FALSE)&gt;0,VLOOKUP(F115,'Exit Prices'!$A:$Q,14,FALSE),0)</f>
        <v>N/A</v>
      </c>
      <c r="O115" s="207" t="s">
        <v>428</v>
      </c>
      <c r="P115" s="204">
        <f ca="1">(VLOOKUP(F115,'Anticipated Exit Bookings'!$B:$C,MATCH('Exit Anticipated Rev. Recovery'!$C$2,'Anticipated Exit Bookings'!$B$1:$C$1,0), FALSE))*VLOOKUP($F115, 'Exit Capacity Split'!A:H, 6,0)/100</f>
        <v>0</v>
      </c>
      <c r="Q115" s="200">
        <f ca="1">IF(VLOOKUP(F115,'Exit Prices'!$A:$Q,15,FALSE)&gt;0,VLOOKUP(F115,'Exit Prices'!$A:$Q,15,FALSE),0)</f>
        <v>1.9820323133808871E-2</v>
      </c>
      <c r="R115" s="202">
        <f ca="1">P115*Q115*'User Inputs'!$D$7/100</f>
        <v>0</v>
      </c>
      <c r="S115" s="209">
        <f ca="1">(VLOOKUP(F115,'Anticipated Exit Bookings'!$B:$C,MATCH('Exit Anticipated Rev. Recovery'!$C$2,'Anticipated Exit Bookings'!$B$1:$C$1,0), FALSE))*VLOOKUP($F115, 'Exit Capacity Split'!A:H, 7,0)/100</f>
        <v>0</v>
      </c>
      <c r="T115" s="205" t="str">
        <f>IF(VLOOKUP(F115,'Exit Prices'!$A:$Q,16,FALSE)&gt;0,VLOOKUP(F115,'Exit Prices'!$A:$Q,16,FALSE),0)</f>
        <v>N/A</v>
      </c>
      <c r="U115" s="207" t="s">
        <v>428</v>
      </c>
      <c r="V115" s="204">
        <f ca="1">(VLOOKUP(F115,'Anticipated Exit Bookings'!$B:$C,MATCH('Exit Anticipated Rev. Recovery'!$C$2,'Anticipated Exit Bookings'!$B$1:$C$1,0), FALSE))*VLOOKUP($F115, 'Exit Capacity Split'!A:H, 8,0)/100</f>
        <v>0</v>
      </c>
      <c r="W115" s="200">
        <f ca="1">IF(VLOOKUP(F115,'Exit Prices'!$A:$Q,17,FALSE)&gt;0,VLOOKUP(F115,'Exit Prices'!$A:$Q,17,FALSE),0)</f>
        <v>1.7838290820427986E-2</v>
      </c>
      <c r="X115" s="202">
        <f ca="1">V115*W115*'User Inputs'!$D$7/100</f>
        <v>0</v>
      </c>
      <c r="Y115" s="199">
        <f t="shared" ca="1" si="2"/>
        <v>0</v>
      </c>
      <c r="AA115" s="164"/>
    </row>
    <row r="116" spans="5:27">
      <c r="E116" s="213" t="s">
        <v>474</v>
      </c>
      <c r="F116" s="213" t="s">
        <v>136</v>
      </c>
      <c r="G116" s="197">
        <f ca="1">(VLOOKUP(F116,'Anticipated Exit Bookings'!$B:$C,MATCH('Exit Anticipated Rev. Recovery'!$C$2,'Anticipated Exit Bookings'!$B$1:$C$1,0), FALSE))*VLOOKUP($F116, 'Exit Capacity Split'!A:H, 3,0)/100</f>
        <v>3540399.3700240497</v>
      </c>
      <c r="H116" s="200">
        <f ca="1">IF(VLOOKUP(F116,'Exit Prices'!$A:$Q,12,FALSE)&gt;0,VLOOKUP(F116,'Exit Prices'!$A:$Q,12,FALSE),0)</f>
        <v>1.9820323133808871E-2</v>
      </c>
      <c r="I116" s="202">
        <f ca="1">G116*H116*'User Inputs'!$D$7/100</f>
        <v>256127.28730862658</v>
      </c>
      <c r="J116" s="209">
        <f ca="1">(VLOOKUP(F116,'Anticipated Exit Bookings'!$B:$C,MATCH('Exit Anticipated Rev. Recovery'!$C$2,'Anticipated Exit Bookings'!$B$1:$C$1,0), FALSE))*VLOOKUP($F116, 'Exit Capacity Split'!A:H, 4,0)/100</f>
        <v>0</v>
      </c>
      <c r="K116" s="205" t="str">
        <f>IF(VLOOKUP(F116,'Exit Prices'!$A:$Q,13,FALSE)&gt;0,VLOOKUP(F116,'Exit Prices'!$A:$Q,13,FALSE),0)</f>
        <v>N/A</v>
      </c>
      <c r="L116" s="207" t="s">
        <v>428</v>
      </c>
      <c r="M116" s="209">
        <f ca="1">(VLOOKUP(F116,'Anticipated Exit Bookings'!$B:$C,MATCH('Exit Anticipated Rev. Recovery'!$C$2,'Anticipated Exit Bookings'!$B$1:$C$1,0), FALSE))*VLOOKUP($F116, 'Exit Capacity Split'!A:H, 5,0)/100</f>
        <v>0</v>
      </c>
      <c r="N116" s="205" t="str">
        <f>IF(VLOOKUP(F116,'Exit Prices'!$A:$Q,14,FALSE)&gt;0,VLOOKUP(F116,'Exit Prices'!$A:$Q,14,FALSE),0)</f>
        <v>N/A</v>
      </c>
      <c r="O116" s="207" t="s">
        <v>428</v>
      </c>
      <c r="P116" s="204">
        <f ca="1">(VLOOKUP(F116,'Anticipated Exit Bookings'!$B:$C,MATCH('Exit Anticipated Rev. Recovery'!$C$2,'Anticipated Exit Bookings'!$B$1:$C$1,0), FALSE))*VLOOKUP($F116, 'Exit Capacity Split'!A:H, 6,0)/100</f>
        <v>0</v>
      </c>
      <c r="Q116" s="200">
        <f ca="1">IF(VLOOKUP(F116,'Exit Prices'!$A:$Q,15,FALSE)&gt;0,VLOOKUP(F116,'Exit Prices'!$A:$Q,15,FALSE),0)</f>
        <v>1.9820323133808871E-2</v>
      </c>
      <c r="R116" s="202">
        <f ca="1">P116*Q116*'User Inputs'!$D$7/100</f>
        <v>0</v>
      </c>
      <c r="S116" s="209">
        <f ca="1">(VLOOKUP(F116,'Anticipated Exit Bookings'!$B:$C,MATCH('Exit Anticipated Rev. Recovery'!$C$2,'Anticipated Exit Bookings'!$B$1:$C$1,0), FALSE))*VLOOKUP($F116, 'Exit Capacity Split'!A:H, 7,0)/100</f>
        <v>3347.1274937208254</v>
      </c>
      <c r="T116" s="205" t="str">
        <f>IF(VLOOKUP(F116,'Exit Prices'!$A:$Q,16,FALSE)&gt;0,VLOOKUP(F116,'Exit Prices'!$A:$Q,16,FALSE),0)</f>
        <v>N/A</v>
      </c>
      <c r="U116" s="207" t="s">
        <v>428</v>
      </c>
      <c r="V116" s="204">
        <f ca="1">(VLOOKUP(F116,'Anticipated Exit Bookings'!$B:$C,MATCH('Exit Anticipated Rev. Recovery'!$C$2,'Anticipated Exit Bookings'!$B$1:$C$1,0), FALSE))*VLOOKUP($F116, 'Exit Capacity Split'!A:H, 8,0)/100</f>
        <v>91001.502482229596</v>
      </c>
      <c r="W116" s="200">
        <f ca="1">IF(VLOOKUP(F116,'Exit Prices'!$A:$Q,17,FALSE)&gt;0,VLOOKUP(F116,'Exit Prices'!$A:$Q,17,FALSE),0)</f>
        <v>1.7838290820427986E-2</v>
      </c>
      <c r="X116" s="202">
        <f ca="1">V116*W116*'User Inputs'!$D$7/100</f>
        <v>5925.0861222647736</v>
      </c>
      <c r="Y116" s="199">
        <f t="shared" ca="1" si="2"/>
        <v>262052.37343089134</v>
      </c>
      <c r="AA116" s="164"/>
    </row>
    <row r="117" spans="5:27">
      <c r="E117" s="213" t="s">
        <v>474</v>
      </c>
      <c r="F117" s="213" t="s">
        <v>137</v>
      </c>
      <c r="G117" s="197">
        <f ca="1">(VLOOKUP(F117,'Anticipated Exit Bookings'!$B:$C,MATCH('Exit Anticipated Rev. Recovery'!$C$2,'Anticipated Exit Bookings'!$B$1:$C$1,0), FALSE))*VLOOKUP($F117, 'Exit Capacity Split'!A:H, 3,0)/100</f>
        <v>13723598.772863101</v>
      </c>
      <c r="H117" s="200">
        <f ca="1">IF(VLOOKUP(F117,'Exit Prices'!$A:$Q,12,FALSE)&gt;0,VLOOKUP(F117,'Exit Prices'!$A:$Q,12,FALSE),0)</f>
        <v>1.9820323133808871E-2</v>
      </c>
      <c r="I117" s="202">
        <f ca="1">G117*H117*'User Inputs'!$D$7/100</f>
        <v>992822.49216464686</v>
      </c>
      <c r="J117" s="209">
        <f ca="1">(VLOOKUP(F117,'Anticipated Exit Bookings'!$B:$C,MATCH('Exit Anticipated Rev. Recovery'!$C$2,'Anticipated Exit Bookings'!$B$1:$C$1,0), FALSE))*VLOOKUP($F117, 'Exit Capacity Split'!A:H, 4,0)/100</f>
        <v>0</v>
      </c>
      <c r="K117" s="205" t="str">
        <f>IF(VLOOKUP(F117,'Exit Prices'!$A:$Q,13,FALSE)&gt;0,VLOOKUP(F117,'Exit Prices'!$A:$Q,13,FALSE),0)</f>
        <v>N/A</v>
      </c>
      <c r="L117" s="207" t="s">
        <v>428</v>
      </c>
      <c r="M117" s="209">
        <f ca="1">(VLOOKUP(F117,'Anticipated Exit Bookings'!$B:$C,MATCH('Exit Anticipated Rev. Recovery'!$C$2,'Anticipated Exit Bookings'!$B$1:$C$1,0), FALSE))*VLOOKUP($F117, 'Exit Capacity Split'!A:H, 5,0)/100</f>
        <v>0</v>
      </c>
      <c r="N117" s="205" t="str">
        <f>IF(VLOOKUP(F117,'Exit Prices'!$A:$Q,14,FALSE)&gt;0,VLOOKUP(F117,'Exit Prices'!$A:$Q,14,FALSE),0)</f>
        <v>N/A</v>
      </c>
      <c r="O117" s="207" t="s">
        <v>428</v>
      </c>
      <c r="P117" s="204">
        <f ca="1">(VLOOKUP(F117,'Anticipated Exit Bookings'!$B:$C,MATCH('Exit Anticipated Rev. Recovery'!$C$2,'Anticipated Exit Bookings'!$B$1:$C$1,0), FALSE))*VLOOKUP($F117, 'Exit Capacity Split'!A:H, 6,0)/100</f>
        <v>0</v>
      </c>
      <c r="Q117" s="200">
        <f ca="1">IF(VLOOKUP(F117,'Exit Prices'!$A:$Q,15,FALSE)&gt;0,VLOOKUP(F117,'Exit Prices'!$A:$Q,15,FALSE),0)</f>
        <v>1.9820323133808871E-2</v>
      </c>
      <c r="R117" s="202">
        <f ca="1">P117*Q117*'User Inputs'!$D$7/100</f>
        <v>0</v>
      </c>
      <c r="S117" s="209">
        <f ca="1">(VLOOKUP(F117,'Anticipated Exit Bookings'!$B:$C,MATCH('Exit Anticipated Rev. Recovery'!$C$2,'Anticipated Exit Bookings'!$B$1:$C$1,0), FALSE))*VLOOKUP($F117, 'Exit Capacity Split'!A:H, 7,0)/100</f>
        <v>12974.421799519027</v>
      </c>
      <c r="T117" s="205" t="str">
        <f>IF(VLOOKUP(F117,'Exit Prices'!$A:$Q,16,FALSE)&gt;0,VLOOKUP(F117,'Exit Prices'!$A:$Q,16,FALSE),0)</f>
        <v>N/A</v>
      </c>
      <c r="U117" s="207" t="s">
        <v>428</v>
      </c>
      <c r="V117" s="204">
        <f ca="1">(VLOOKUP(F117,'Anticipated Exit Bookings'!$B:$C,MATCH('Exit Anticipated Rev. Recovery'!$C$2,'Anticipated Exit Bookings'!$B$1:$C$1,0), FALSE))*VLOOKUP($F117, 'Exit Capacity Split'!A:H, 8,0)/100</f>
        <v>352747.80533737951</v>
      </c>
      <c r="W117" s="200">
        <f ca="1">IF(VLOOKUP(F117,'Exit Prices'!$A:$Q,17,FALSE)&gt;0,VLOOKUP(F117,'Exit Prices'!$A:$Q,17,FALSE),0)</f>
        <v>1.7838290820427986E-2</v>
      </c>
      <c r="X117" s="202">
        <f ca="1">V117*W117*'User Inputs'!$D$7/100</f>
        <v>22967.325473247016</v>
      </c>
      <c r="Y117" s="199">
        <f t="shared" ca="1" si="2"/>
        <v>1015789.8176378938</v>
      </c>
      <c r="AA117" s="164"/>
    </row>
    <row r="118" spans="5:27">
      <c r="E118" s="213" t="s">
        <v>474</v>
      </c>
      <c r="F118" s="213" t="s">
        <v>138</v>
      </c>
      <c r="G118" s="197">
        <f ca="1">(VLOOKUP(F118,'Anticipated Exit Bookings'!$B:$C,MATCH('Exit Anticipated Rev. Recovery'!$C$2,'Anticipated Exit Bookings'!$B$1:$C$1,0), FALSE))*VLOOKUP($F118, 'Exit Capacity Split'!A:H, 3,0)/100</f>
        <v>2239774.9050535583</v>
      </c>
      <c r="H118" s="200">
        <f ca="1">IF(VLOOKUP(F118,'Exit Prices'!$A:$Q,12,FALSE)&gt;0,VLOOKUP(F118,'Exit Prices'!$A:$Q,12,FALSE),0)</f>
        <v>1.9820323133808871E-2</v>
      </c>
      <c r="I118" s="202">
        <f ca="1">G118*H118*'User Inputs'!$D$7/100</f>
        <v>162034.67763282527</v>
      </c>
      <c r="J118" s="209">
        <f ca="1">(VLOOKUP(F118,'Anticipated Exit Bookings'!$B:$C,MATCH('Exit Anticipated Rev. Recovery'!$C$2,'Anticipated Exit Bookings'!$B$1:$C$1,0), FALSE))*VLOOKUP($F118, 'Exit Capacity Split'!A:H, 4,0)/100</f>
        <v>0</v>
      </c>
      <c r="K118" s="205" t="str">
        <f>IF(VLOOKUP(F118,'Exit Prices'!$A:$Q,13,FALSE)&gt;0,VLOOKUP(F118,'Exit Prices'!$A:$Q,13,FALSE),0)</f>
        <v>N/A</v>
      </c>
      <c r="L118" s="207" t="s">
        <v>428</v>
      </c>
      <c r="M118" s="209">
        <f ca="1">(VLOOKUP(F118,'Anticipated Exit Bookings'!$B:$C,MATCH('Exit Anticipated Rev. Recovery'!$C$2,'Anticipated Exit Bookings'!$B$1:$C$1,0), FALSE))*VLOOKUP($F118, 'Exit Capacity Split'!A:H, 5,0)/100</f>
        <v>0</v>
      </c>
      <c r="N118" s="205" t="str">
        <f>IF(VLOOKUP(F118,'Exit Prices'!$A:$Q,14,FALSE)&gt;0,VLOOKUP(F118,'Exit Prices'!$A:$Q,14,FALSE),0)</f>
        <v>N/A</v>
      </c>
      <c r="O118" s="207" t="s">
        <v>428</v>
      </c>
      <c r="P118" s="204">
        <f ca="1">(VLOOKUP(F118,'Anticipated Exit Bookings'!$B:$C,MATCH('Exit Anticipated Rev. Recovery'!$C$2,'Anticipated Exit Bookings'!$B$1:$C$1,0), FALSE))*VLOOKUP($F118, 'Exit Capacity Split'!A:H, 6,0)/100</f>
        <v>0</v>
      </c>
      <c r="Q118" s="200">
        <f ca="1">IF(VLOOKUP(F118,'Exit Prices'!$A:$Q,15,FALSE)&gt;0,VLOOKUP(F118,'Exit Prices'!$A:$Q,15,FALSE),0)</f>
        <v>1.9820323133808871E-2</v>
      </c>
      <c r="R118" s="202">
        <f ca="1">P118*Q118*'User Inputs'!$D$7/100</f>
        <v>0</v>
      </c>
      <c r="S118" s="209">
        <f ca="1">(VLOOKUP(F118,'Anticipated Exit Bookings'!$B:$C,MATCH('Exit Anticipated Rev. Recovery'!$C$2,'Anticipated Exit Bookings'!$B$1:$C$1,0), FALSE))*VLOOKUP($F118, 'Exit Capacity Split'!A:H, 7,0)/100</f>
        <v>2117.5046600462451</v>
      </c>
      <c r="T118" s="205" t="str">
        <f>IF(VLOOKUP(F118,'Exit Prices'!$A:$Q,16,FALSE)&gt;0,VLOOKUP(F118,'Exit Prices'!$A:$Q,16,FALSE),0)</f>
        <v>N/A</v>
      </c>
      <c r="U118" s="207" t="s">
        <v>428</v>
      </c>
      <c r="V118" s="204">
        <f ca="1">(VLOOKUP(F118,'Anticipated Exit Bookings'!$B:$C,MATCH('Exit Anticipated Rev. Recovery'!$C$2,'Anticipated Exit Bookings'!$B$1:$C$1,0), FALSE))*VLOOKUP($F118, 'Exit Capacity Split'!A:H, 8,0)/100</f>
        <v>57570.590286395403</v>
      </c>
      <c r="W118" s="200">
        <f ca="1">IF(VLOOKUP(F118,'Exit Prices'!$A:$Q,17,FALSE)&gt;0,VLOOKUP(F118,'Exit Prices'!$A:$Q,17,FALSE),0)</f>
        <v>1.7838290820427986E-2</v>
      </c>
      <c r="X118" s="202">
        <f ca="1">V118*W118*'User Inputs'!$D$7/100</f>
        <v>3748.4074026483613</v>
      </c>
      <c r="Y118" s="199">
        <f t="shared" ca="1" si="2"/>
        <v>165783.08503547363</v>
      </c>
      <c r="AA118" s="164"/>
    </row>
    <row r="119" spans="5:27">
      <c r="E119" s="213" t="s">
        <v>474</v>
      </c>
      <c r="F119" s="213" t="s">
        <v>139</v>
      </c>
      <c r="G119" s="197">
        <f ca="1">(VLOOKUP(F119,'Anticipated Exit Bookings'!$B:$C,MATCH('Exit Anticipated Rev. Recovery'!$C$2,'Anticipated Exit Bookings'!$B$1:$C$1,0), FALSE))*VLOOKUP($F119, 'Exit Capacity Split'!A:H, 3,0)/100</f>
        <v>6581713.9255823446</v>
      </c>
      <c r="H119" s="200">
        <f ca="1">IF(VLOOKUP(F119,'Exit Prices'!$A:$Q,12,FALSE)&gt;0,VLOOKUP(F119,'Exit Prices'!$A:$Q,12,FALSE),0)</f>
        <v>1.9820323133808871E-2</v>
      </c>
      <c r="I119" s="202">
        <f ca="1">G119*H119*'User Inputs'!$D$7/100</f>
        <v>476148.69324456085</v>
      </c>
      <c r="J119" s="209">
        <f ca="1">(VLOOKUP(F119,'Anticipated Exit Bookings'!$B:$C,MATCH('Exit Anticipated Rev. Recovery'!$C$2,'Anticipated Exit Bookings'!$B$1:$C$1,0), FALSE))*VLOOKUP($F119, 'Exit Capacity Split'!A:H, 4,0)/100</f>
        <v>0</v>
      </c>
      <c r="K119" s="205" t="str">
        <f>IF(VLOOKUP(F119,'Exit Prices'!$A:$Q,13,FALSE)&gt;0,VLOOKUP(F119,'Exit Prices'!$A:$Q,13,FALSE),0)</f>
        <v>N/A</v>
      </c>
      <c r="L119" s="207" t="s">
        <v>428</v>
      </c>
      <c r="M119" s="209">
        <f ca="1">(VLOOKUP(F119,'Anticipated Exit Bookings'!$B:$C,MATCH('Exit Anticipated Rev. Recovery'!$C$2,'Anticipated Exit Bookings'!$B$1:$C$1,0), FALSE))*VLOOKUP($F119, 'Exit Capacity Split'!A:H, 5,0)/100</f>
        <v>0</v>
      </c>
      <c r="N119" s="205" t="str">
        <f>IF(VLOOKUP(F119,'Exit Prices'!$A:$Q,14,FALSE)&gt;0,VLOOKUP(F119,'Exit Prices'!$A:$Q,14,FALSE),0)</f>
        <v>N/A</v>
      </c>
      <c r="O119" s="207" t="s">
        <v>428</v>
      </c>
      <c r="P119" s="204">
        <f ca="1">(VLOOKUP(F119,'Anticipated Exit Bookings'!$B:$C,MATCH('Exit Anticipated Rev. Recovery'!$C$2,'Anticipated Exit Bookings'!$B$1:$C$1,0), FALSE))*VLOOKUP($F119, 'Exit Capacity Split'!A:H, 6,0)/100</f>
        <v>0</v>
      </c>
      <c r="Q119" s="200">
        <f ca="1">IF(VLOOKUP(F119,'Exit Prices'!$A:$Q,15,FALSE)&gt;0,VLOOKUP(F119,'Exit Prices'!$A:$Q,15,FALSE),0)</f>
        <v>1.9820323133808871E-2</v>
      </c>
      <c r="R119" s="202">
        <f ca="1">P119*Q119*'User Inputs'!$D$7/100</f>
        <v>0</v>
      </c>
      <c r="S119" s="209">
        <f ca="1">(VLOOKUP(F119,'Anticipated Exit Bookings'!$B:$C,MATCH('Exit Anticipated Rev. Recovery'!$C$2,'Anticipated Exit Bookings'!$B$1:$C$1,0), FALSE))*VLOOKUP($F119, 'Exit Capacity Split'!A:H, 7,0)/100</f>
        <v>6222.4154208829386</v>
      </c>
      <c r="T119" s="205" t="str">
        <f>IF(VLOOKUP(F119,'Exit Prices'!$A:$Q,16,FALSE)&gt;0,VLOOKUP(F119,'Exit Prices'!$A:$Q,16,FALSE),0)</f>
        <v>N/A</v>
      </c>
      <c r="U119" s="207" t="s">
        <v>428</v>
      </c>
      <c r="V119" s="204">
        <f ca="1">(VLOOKUP(F119,'Anticipated Exit Bookings'!$B:$C,MATCH('Exit Anticipated Rev. Recovery'!$C$2,'Anticipated Exit Bookings'!$B$1:$C$1,0), FALSE))*VLOOKUP($F119, 'Exit Capacity Split'!A:H, 8,0)/100</f>
        <v>169174.65899677252</v>
      </c>
      <c r="W119" s="200">
        <f ca="1">IF(VLOOKUP(F119,'Exit Prices'!$A:$Q,17,FALSE)&gt;0,VLOOKUP(F119,'Exit Prices'!$A:$Q,17,FALSE),0)</f>
        <v>1.7838290820427986E-2</v>
      </c>
      <c r="X119" s="202">
        <f ca="1">V119*W119*'User Inputs'!$D$7/100</f>
        <v>11014.921698203741</v>
      </c>
      <c r="Y119" s="199">
        <f t="shared" ca="1" si="2"/>
        <v>487163.61494276457</v>
      </c>
      <c r="AA119" s="164"/>
    </row>
    <row r="120" spans="5:27">
      <c r="E120" s="213" t="s">
        <v>474</v>
      </c>
      <c r="F120" s="213" t="s">
        <v>140</v>
      </c>
      <c r="G120" s="197">
        <f ca="1">(VLOOKUP(F120,'Anticipated Exit Bookings'!$B:$C,MATCH('Exit Anticipated Rev. Recovery'!$C$2,'Anticipated Exit Bookings'!$B$1:$C$1,0), FALSE))*VLOOKUP($F120, 'Exit Capacity Split'!A:H, 3,0)/100</f>
        <v>29133613.982982956</v>
      </c>
      <c r="H120" s="200">
        <f ca="1">IF(VLOOKUP(F120,'Exit Prices'!$A:$Q,12,FALSE)&gt;0,VLOOKUP(F120,'Exit Prices'!$A:$Q,12,FALSE),0)</f>
        <v>1.9820323133808871E-2</v>
      </c>
      <c r="I120" s="202">
        <f ca="1">G120*H120*'User Inputs'!$D$7/100</f>
        <v>2107647.3976740674</v>
      </c>
      <c r="J120" s="209">
        <f ca="1">(VLOOKUP(F120,'Anticipated Exit Bookings'!$B:$C,MATCH('Exit Anticipated Rev. Recovery'!$C$2,'Anticipated Exit Bookings'!$B$1:$C$1,0), FALSE))*VLOOKUP($F120, 'Exit Capacity Split'!A:H, 4,0)/100</f>
        <v>0</v>
      </c>
      <c r="K120" s="205" t="str">
        <f>IF(VLOOKUP(F120,'Exit Prices'!$A:$Q,13,FALSE)&gt;0,VLOOKUP(F120,'Exit Prices'!$A:$Q,13,FALSE),0)</f>
        <v>N/A</v>
      </c>
      <c r="L120" s="207" t="s">
        <v>428</v>
      </c>
      <c r="M120" s="209">
        <f ca="1">(VLOOKUP(F120,'Anticipated Exit Bookings'!$B:$C,MATCH('Exit Anticipated Rev. Recovery'!$C$2,'Anticipated Exit Bookings'!$B$1:$C$1,0), FALSE))*VLOOKUP($F120, 'Exit Capacity Split'!A:H, 5,0)/100</f>
        <v>0</v>
      </c>
      <c r="N120" s="205" t="str">
        <f>IF(VLOOKUP(F120,'Exit Prices'!$A:$Q,14,FALSE)&gt;0,VLOOKUP(F120,'Exit Prices'!$A:$Q,14,FALSE),0)</f>
        <v>N/A</v>
      </c>
      <c r="O120" s="207" t="s">
        <v>428</v>
      </c>
      <c r="P120" s="204">
        <f ca="1">(VLOOKUP(F120,'Anticipated Exit Bookings'!$B:$C,MATCH('Exit Anticipated Rev. Recovery'!$C$2,'Anticipated Exit Bookings'!$B$1:$C$1,0), FALSE))*VLOOKUP($F120, 'Exit Capacity Split'!A:H, 6,0)/100</f>
        <v>0</v>
      </c>
      <c r="Q120" s="200">
        <f ca="1">IF(VLOOKUP(F120,'Exit Prices'!$A:$Q,15,FALSE)&gt;0,VLOOKUP(F120,'Exit Prices'!$A:$Q,15,FALSE),0)</f>
        <v>1.9820323133808871E-2</v>
      </c>
      <c r="R120" s="202">
        <f ca="1">P120*Q120*'User Inputs'!$D$7/100</f>
        <v>0</v>
      </c>
      <c r="S120" s="209">
        <f ca="1">(VLOOKUP(F120,'Anticipated Exit Bookings'!$B:$C,MATCH('Exit Anticipated Rev. Recovery'!$C$2,'Anticipated Exit Bookings'!$B$1:$C$1,0), FALSE))*VLOOKUP($F120, 'Exit Capacity Split'!A:H, 7,0)/100</f>
        <v>27543.197860536653</v>
      </c>
      <c r="T120" s="205" t="str">
        <f>IF(VLOOKUP(F120,'Exit Prices'!$A:$Q,16,FALSE)&gt;0,VLOOKUP(F120,'Exit Prices'!$A:$Q,16,FALSE),0)</f>
        <v>N/A</v>
      </c>
      <c r="U120" s="207" t="s">
        <v>428</v>
      </c>
      <c r="V120" s="204">
        <f ca="1">(VLOOKUP(F120,'Anticipated Exit Bookings'!$B:$C,MATCH('Exit Anticipated Rev. Recovery'!$C$2,'Anticipated Exit Bookings'!$B$1:$C$1,0), FALSE))*VLOOKUP($F120, 'Exit Capacity Split'!A:H, 8,0)/100</f>
        <v>748842.81915651029</v>
      </c>
      <c r="W120" s="200">
        <f ca="1">IF(VLOOKUP(F120,'Exit Prices'!$A:$Q,17,FALSE)&gt;0,VLOOKUP(F120,'Exit Prices'!$A:$Q,17,FALSE),0)</f>
        <v>1.7838290820427986E-2</v>
      </c>
      <c r="X120" s="202">
        <f ca="1">V120*W120*'User Inputs'!$D$7/100</f>
        <v>48756.977352195921</v>
      </c>
      <c r="Y120" s="199">
        <f t="shared" ca="1" si="2"/>
        <v>2156404.3750262633</v>
      </c>
      <c r="AA120" s="164"/>
    </row>
    <row r="121" spans="5:27">
      <c r="E121" s="213" t="s">
        <v>474</v>
      </c>
      <c r="F121" s="213" t="s">
        <v>141</v>
      </c>
      <c r="G121" s="197">
        <f ca="1">(VLOOKUP(F121,'Anticipated Exit Bookings'!$B:$C,MATCH('Exit Anticipated Rev. Recovery'!$C$2,'Anticipated Exit Bookings'!$B$1:$C$1,0), FALSE))*VLOOKUP($F121, 'Exit Capacity Split'!A:H, 3,0)/100</f>
        <v>19301608.559495505</v>
      </c>
      <c r="H121" s="200">
        <f ca="1">IF(VLOOKUP(F121,'Exit Prices'!$A:$Q,12,FALSE)&gt;0,VLOOKUP(F121,'Exit Prices'!$A:$Q,12,FALSE),0)</f>
        <v>1.9820323133808871E-2</v>
      </c>
      <c r="I121" s="202">
        <f ca="1">G121*H121*'User Inputs'!$D$7/100</f>
        <v>1396359.0330779459</v>
      </c>
      <c r="J121" s="209">
        <f ca="1">(VLOOKUP(F121,'Anticipated Exit Bookings'!$B:$C,MATCH('Exit Anticipated Rev. Recovery'!$C$2,'Anticipated Exit Bookings'!$B$1:$C$1,0), FALSE))*VLOOKUP($F121, 'Exit Capacity Split'!A:H, 4,0)/100</f>
        <v>0</v>
      </c>
      <c r="K121" s="205" t="str">
        <f>IF(VLOOKUP(F121,'Exit Prices'!$A:$Q,13,FALSE)&gt;0,VLOOKUP(F121,'Exit Prices'!$A:$Q,13,FALSE),0)</f>
        <v>N/A</v>
      </c>
      <c r="L121" s="207" t="s">
        <v>428</v>
      </c>
      <c r="M121" s="209">
        <f ca="1">(VLOOKUP(F121,'Anticipated Exit Bookings'!$B:$C,MATCH('Exit Anticipated Rev. Recovery'!$C$2,'Anticipated Exit Bookings'!$B$1:$C$1,0), FALSE))*VLOOKUP($F121, 'Exit Capacity Split'!A:H, 5,0)/100</f>
        <v>0</v>
      </c>
      <c r="N121" s="205" t="str">
        <f>IF(VLOOKUP(F121,'Exit Prices'!$A:$Q,14,FALSE)&gt;0,VLOOKUP(F121,'Exit Prices'!$A:$Q,14,FALSE),0)</f>
        <v>N/A</v>
      </c>
      <c r="O121" s="207" t="s">
        <v>428</v>
      </c>
      <c r="P121" s="204">
        <f ca="1">(VLOOKUP(F121,'Anticipated Exit Bookings'!$B:$C,MATCH('Exit Anticipated Rev. Recovery'!$C$2,'Anticipated Exit Bookings'!$B$1:$C$1,0), FALSE))*VLOOKUP($F121, 'Exit Capacity Split'!A:H, 6,0)/100</f>
        <v>0</v>
      </c>
      <c r="Q121" s="200">
        <f ca="1">IF(VLOOKUP(F121,'Exit Prices'!$A:$Q,15,FALSE)&gt;0,VLOOKUP(F121,'Exit Prices'!$A:$Q,15,FALSE),0)</f>
        <v>1.9820323133808871E-2</v>
      </c>
      <c r="R121" s="202">
        <f ca="1">P121*Q121*'User Inputs'!$D$7/100</f>
        <v>0</v>
      </c>
      <c r="S121" s="209">
        <f ca="1">(VLOOKUP(F121,'Anticipated Exit Bookings'!$B:$C,MATCH('Exit Anticipated Rev. Recovery'!$C$2,'Anticipated Exit Bookings'!$B$1:$C$1,0), FALSE))*VLOOKUP($F121, 'Exit Capacity Split'!A:H, 7,0)/100</f>
        <v>18247.925708473322</v>
      </c>
      <c r="T121" s="205" t="str">
        <f>IF(VLOOKUP(F121,'Exit Prices'!$A:$Q,16,FALSE)&gt;0,VLOOKUP(F121,'Exit Prices'!$A:$Q,16,FALSE),0)</f>
        <v>N/A</v>
      </c>
      <c r="U121" s="207" t="s">
        <v>428</v>
      </c>
      <c r="V121" s="204">
        <f ca="1">(VLOOKUP(F121,'Anticipated Exit Bookings'!$B:$C,MATCH('Exit Anticipated Rev. Recovery'!$C$2,'Anticipated Exit Bookings'!$B$1:$C$1,0), FALSE))*VLOOKUP($F121, 'Exit Capacity Split'!A:H, 8,0)/100</f>
        <v>496123.51479602215</v>
      </c>
      <c r="W121" s="200">
        <f ca="1">IF(VLOOKUP(F121,'Exit Prices'!$A:$Q,17,FALSE)&gt;0,VLOOKUP(F121,'Exit Prices'!$A:$Q,17,FALSE),0)</f>
        <v>1.7838290820427986E-2</v>
      </c>
      <c r="X121" s="202">
        <f ca="1">V121*W121*'User Inputs'!$D$7/100</f>
        <v>32302.483720212877</v>
      </c>
      <c r="Y121" s="199">
        <f t="shared" ca="1" si="2"/>
        <v>1428661.5167981589</v>
      </c>
      <c r="AA121" s="164"/>
    </row>
    <row r="122" spans="5:27">
      <c r="E122" s="213" t="s">
        <v>474</v>
      </c>
      <c r="F122" s="213" t="s">
        <v>142</v>
      </c>
      <c r="G122" s="197">
        <f ca="1">(VLOOKUP(F122,'Anticipated Exit Bookings'!$B:$C,MATCH('Exit Anticipated Rev. Recovery'!$C$2,'Anticipated Exit Bookings'!$B$1:$C$1,0), FALSE))*VLOOKUP($F122, 'Exit Capacity Split'!A:H, 3,0)/100</f>
        <v>74171092.511609405</v>
      </c>
      <c r="H122" s="200">
        <f ca="1">IF(VLOOKUP(F122,'Exit Prices'!$A:$Q,12,FALSE)&gt;0,VLOOKUP(F122,'Exit Prices'!$A:$Q,12,FALSE),0)</f>
        <v>1.9820323133808871E-2</v>
      </c>
      <c r="I122" s="202">
        <f ca="1">G122*H122*'User Inputs'!$D$7/100</f>
        <v>5365846.8258022135</v>
      </c>
      <c r="J122" s="209">
        <f ca="1">(VLOOKUP(F122,'Anticipated Exit Bookings'!$B:$C,MATCH('Exit Anticipated Rev. Recovery'!$C$2,'Anticipated Exit Bookings'!$B$1:$C$1,0), FALSE))*VLOOKUP($F122, 'Exit Capacity Split'!A:H, 4,0)/100</f>
        <v>0</v>
      </c>
      <c r="K122" s="205" t="str">
        <f>IF(VLOOKUP(F122,'Exit Prices'!$A:$Q,13,FALSE)&gt;0,VLOOKUP(F122,'Exit Prices'!$A:$Q,13,FALSE),0)</f>
        <v>N/A</v>
      </c>
      <c r="L122" s="207" t="s">
        <v>428</v>
      </c>
      <c r="M122" s="209">
        <f ca="1">(VLOOKUP(F122,'Anticipated Exit Bookings'!$B:$C,MATCH('Exit Anticipated Rev. Recovery'!$C$2,'Anticipated Exit Bookings'!$B$1:$C$1,0), FALSE))*VLOOKUP($F122, 'Exit Capacity Split'!A:H, 5,0)/100</f>
        <v>0</v>
      </c>
      <c r="N122" s="205" t="str">
        <f>IF(VLOOKUP(F122,'Exit Prices'!$A:$Q,14,FALSE)&gt;0,VLOOKUP(F122,'Exit Prices'!$A:$Q,14,FALSE),0)</f>
        <v>N/A</v>
      </c>
      <c r="O122" s="207" t="s">
        <v>428</v>
      </c>
      <c r="P122" s="204">
        <f ca="1">(VLOOKUP(F122,'Anticipated Exit Bookings'!$B:$C,MATCH('Exit Anticipated Rev. Recovery'!$C$2,'Anticipated Exit Bookings'!$B$1:$C$1,0), FALSE))*VLOOKUP($F122, 'Exit Capacity Split'!A:H, 6,0)/100</f>
        <v>0</v>
      </c>
      <c r="Q122" s="200">
        <f ca="1">IF(VLOOKUP(F122,'Exit Prices'!$A:$Q,15,FALSE)&gt;0,VLOOKUP(F122,'Exit Prices'!$A:$Q,15,FALSE),0)</f>
        <v>1.9820323133808871E-2</v>
      </c>
      <c r="R122" s="202">
        <f ca="1">P122*Q122*'User Inputs'!$D$7/100</f>
        <v>0</v>
      </c>
      <c r="S122" s="209">
        <f ca="1">(VLOOKUP(F122,'Anticipated Exit Bookings'!$B:$C,MATCH('Exit Anticipated Rev. Recovery'!$C$2,'Anticipated Exit Bookings'!$B$1:$C$1,0), FALSE))*VLOOKUP($F122, 'Exit Capacity Split'!A:H, 7,0)/100</f>
        <v>70122.061676683734</v>
      </c>
      <c r="T122" s="205" t="str">
        <f>IF(VLOOKUP(F122,'Exit Prices'!$A:$Q,16,FALSE)&gt;0,VLOOKUP(F122,'Exit Prices'!$A:$Q,16,FALSE),0)</f>
        <v>N/A</v>
      </c>
      <c r="U122" s="207" t="s">
        <v>428</v>
      </c>
      <c r="V122" s="204">
        <f ca="1">(VLOOKUP(F122,'Anticipated Exit Bookings'!$B:$C,MATCH('Exit Anticipated Rev. Recovery'!$C$2,'Anticipated Exit Bookings'!$B$1:$C$1,0), FALSE))*VLOOKUP($F122, 'Exit Capacity Split'!A:H, 8,0)/100</f>
        <v>1906474.4267139146</v>
      </c>
      <c r="W122" s="200">
        <f ca="1">IF(VLOOKUP(F122,'Exit Prices'!$A:$Q,17,FALSE)&gt;0,VLOOKUP(F122,'Exit Prices'!$A:$Q,17,FALSE),0)</f>
        <v>1.7838290820427986E-2</v>
      </c>
      <c r="X122" s="202">
        <f ca="1">V122*W122*'User Inputs'!$D$7/100</f>
        <v>124130.09521882508</v>
      </c>
      <c r="Y122" s="199">
        <f t="shared" ca="1" si="2"/>
        <v>5489976.9210210387</v>
      </c>
      <c r="AA122" s="164"/>
    </row>
    <row r="123" spans="5:27">
      <c r="E123" s="213" t="s">
        <v>474</v>
      </c>
      <c r="F123" s="213" t="s">
        <v>143</v>
      </c>
      <c r="G123" s="197">
        <f ca="1">(VLOOKUP(F123,'Anticipated Exit Bookings'!$B:$C,MATCH('Exit Anticipated Rev. Recovery'!$C$2,'Anticipated Exit Bookings'!$B$1:$C$1,0), FALSE))*VLOOKUP($F123, 'Exit Capacity Split'!A:H, 3,0)/100</f>
        <v>44628001.736627378</v>
      </c>
      <c r="H123" s="200">
        <f ca="1">IF(VLOOKUP(F123,'Exit Prices'!$A:$Q,12,FALSE)&gt;0,VLOOKUP(F123,'Exit Prices'!$A:$Q,12,FALSE),0)</f>
        <v>1.9820323133808871E-2</v>
      </c>
      <c r="I123" s="202">
        <f ca="1">G123*H123*'User Inputs'!$D$7/100</f>
        <v>3228576.1656119036</v>
      </c>
      <c r="J123" s="209">
        <f ca="1">(VLOOKUP(F123,'Anticipated Exit Bookings'!$B:$C,MATCH('Exit Anticipated Rev. Recovery'!$C$2,'Anticipated Exit Bookings'!$B$1:$C$1,0), FALSE))*VLOOKUP($F123, 'Exit Capacity Split'!A:H, 4,0)/100</f>
        <v>0</v>
      </c>
      <c r="K123" s="205" t="str">
        <f>IF(VLOOKUP(F123,'Exit Prices'!$A:$Q,13,FALSE)&gt;0,VLOOKUP(F123,'Exit Prices'!$A:$Q,13,FALSE),0)</f>
        <v>N/A</v>
      </c>
      <c r="L123" s="207" t="s">
        <v>428</v>
      </c>
      <c r="M123" s="209">
        <f ca="1">(VLOOKUP(F123,'Anticipated Exit Bookings'!$B:$C,MATCH('Exit Anticipated Rev. Recovery'!$C$2,'Anticipated Exit Bookings'!$B$1:$C$1,0), FALSE))*VLOOKUP($F123, 'Exit Capacity Split'!A:H, 5,0)/100</f>
        <v>0</v>
      </c>
      <c r="N123" s="205" t="str">
        <f>IF(VLOOKUP(F123,'Exit Prices'!$A:$Q,14,FALSE)&gt;0,VLOOKUP(F123,'Exit Prices'!$A:$Q,14,FALSE),0)</f>
        <v>N/A</v>
      </c>
      <c r="O123" s="207" t="s">
        <v>428</v>
      </c>
      <c r="P123" s="204">
        <f ca="1">(VLOOKUP(F123,'Anticipated Exit Bookings'!$B:$C,MATCH('Exit Anticipated Rev. Recovery'!$C$2,'Anticipated Exit Bookings'!$B$1:$C$1,0), FALSE))*VLOOKUP($F123, 'Exit Capacity Split'!A:H, 6,0)/100</f>
        <v>0</v>
      </c>
      <c r="Q123" s="200">
        <f ca="1">IF(VLOOKUP(F123,'Exit Prices'!$A:$Q,15,FALSE)&gt;0,VLOOKUP(F123,'Exit Prices'!$A:$Q,15,FALSE),0)</f>
        <v>1.9820323133808871E-2</v>
      </c>
      <c r="R123" s="202">
        <f ca="1">P123*Q123*'User Inputs'!$D$7/100</f>
        <v>0</v>
      </c>
      <c r="S123" s="209">
        <f ca="1">(VLOOKUP(F123,'Anticipated Exit Bookings'!$B:$C,MATCH('Exit Anticipated Rev. Recovery'!$C$2,'Anticipated Exit Bookings'!$B$1:$C$1,0), FALSE))*VLOOKUP($F123, 'Exit Capacity Split'!A:H, 7,0)/100</f>
        <v>42191.740532783886</v>
      </c>
      <c r="T123" s="205" t="str">
        <f>IF(VLOOKUP(F123,'Exit Prices'!$A:$Q,16,FALSE)&gt;0,VLOOKUP(F123,'Exit Prices'!$A:$Q,16,FALSE),0)</f>
        <v>N/A</v>
      </c>
      <c r="U123" s="207" t="s">
        <v>428</v>
      </c>
      <c r="V123" s="204">
        <f ca="1">(VLOOKUP(F123,'Anticipated Exit Bookings'!$B:$C,MATCH('Exit Anticipated Rev. Recovery'!$C$2,'Anticipated Exit Bookings'!$B$1:$C$1,0), FALSE))*VLOOKUP($F123, 'Exit Capacity Split'!A:H, 8,0)/100</f>
        <v>1147106.5228398386</v>
      </c>
      <c r="W123" s="200">
        <f ca="1">IF(VLOOKUP(F123,'Exit Prices'!$A:$Q,17,FALSE)&gt;0,VLOOKUP(F123,'Exit Prices'!$A:$Q,17,FALSE),0)</f>
        <v>1.7838290820427986E-2</v>
      </c>
      <c r="X123" s="202">
        <f ca="1">V123*W123*'User Inputs'!$D$7/100</f>
        <v>74687.832110958407</v>
      </c>
      <c r="Y123" s="199">
        <f t="shared" ca="1" si="2"/>
        <v>3303263.9977228623</v>
      </c>
      <c r="AA123" s="164"/>
    </row>
    <row r="124" spans="5:27">
      <c r="E124" s="213" t="s">
        <v>474</v>
      </c>
      <c r="F124" s="213" t="s">
        <v>144</v>
      </c>
      <c r="G124" s="197">
        <f ca="1">(VLOOKUP(F124,'Anticipated Exit Bookings'!$B:$C,MATCH('Exit Anticipated Rev. Recovery'!$C$2,'Anticipated Exit Bookings'!$B$1:$C$1,0), FALSE))*VLOOKUP($F124, 'Exit Capacity Split'!A:H, 3,0)/100</f>
        <v>47980354.39156194</v>
      </c>
      <c r="H124" s="200">
        <f ca="1">IF(VLOOKUP(F124,'Exit Prices'!$A:$Q,12,FALSE)&gt;0,VLOOKUP(F124,'Exit Prices'!$A:$Q,12,FALSE),0)</f>
        <v>1.9820323133808871E-2</v>
      </c>
      <c r="I124" s="202">
        <f ca="1">G124*H124*'User Inputs'!$D$7/100</f>
        <v>3471099.3676212942</v>
      </c>
      <c r="J124" s="209">
        <f ca="1">(VLOOKUP(F124,'Anticipated Exit Bookings'!$B:$C,MATCH('Exit Anticipated Rev. Recovery'!$C$2,'Anticipated Exit Bookings'!$B$1:$C$1,0), FALSE))*VLOOKUP($F124, 'Exit Capacity Split'!A:H, 4,0)/100</f>
        <v>0</v>
      </c>
      <c r="K124" s="205" t="str">
        <f>IF(VLOOKUP(F124,'Exit Prices'!$A:$Q,13,FALSE)&gt;0,VLOOKUP(F124,'Exit Prices'!$A:$Q,13,FALSE),0)</f>
        <v>N/A</v>
      </c>
      <c r="L124" s="207" t="s">
        <v>428</v>
      </c>
      <c r="M124" s="209">
        <f ca="1">(VLOOKUP(F124,'Anticipated Exit Bookings'!$B:$C,MATCH('Exit Anticipated Rev. Recovery'!$C$2,'Anticipated Exit Bookings'!$B$1:$C$1,0), FALSE))*VLOOKUP($F124, 'Exit Capacity Split'!A:H, 5,0)/100</f>
        <v>0</v>
      </c>
      <c r="N124" s="205" t="str">
        <f>IF(VLOOKUP(F124,'Exit Prices'!$A:$Q,14,FALSE)&gt;0,VLOOKUP(F124,'Exit Prices'!$A:$Q,14,FALSE),0)</f>
        <v>N/A</v>
      </c>
      <c r="O124" s="207" t="s">
        <v>428</v>
      </c>
      <c r="P124" s="204">
        <f ca="1">(VLOOKUP(F124,'Anticipated Exit Bookings'!$B:$C,MATCH('Exit Anticipated Rev. Recovery'!$C$2,'Anticipated Exit Bookings'!$B$1:$C$1,0), FALSE))*VLOOKUP($F124, 'Exit Capacity Split'!A:H, 6,0)/100</f>
        <v>0</v>
      </c>
      <c r="Q124" s="200">
        <f ca="1">IF(VLOOKUP(F124,'Exit Prices'!$A:$Q,15,FALSE)&gt;0,VLOOKUP(F124,'Exit Prices'!$A:$Q,15,FALSE),0)</f>
        <v>1.9820323133808871E-2</v>
      </c>
      <c r="R124" s="202">
        <f ca="1">P124*Q124*'User Inputs'!$D$7/100</f>
        <v>0</v>
      </c>
      <c r="S124" s="209">
        <f ca="1">(VLOOKUP(F124,'Anticipated Exit Bookings'!$B:$C,MATCH('Exit Anticipated Rev. Recovery'!$C$2,'Anticipated Exit Bookings'!$B$1:$C$1,0), FALSE))*VLOOKUP($F124, 'Exit Capacity Split'!A:H, 7,0)/100</f>
        <v>45361.086859919633</v>
      </c>
      <c r="T124" s="205" t="str">
        <f>IF(VLOOKUP(F124,'Exit Prices'!$A:$Q,16,FALSE)&gt;0,VLOOKUP(F124,'Exit Prices'!$A:$Q,16,FALSE),0)</f>
        <v>N/A</v>
      </c>
      <c r="U124" s="207" t="s">
        <v>428</v>
      </c>
      <c r="V124" s="204">
        <f ca="1">(VLOOKUP(F124,'Anticipated Exit Bookings'!$B:$C,MATCH('Exit Anticipated Rev. Recovery'!$C$2,'Anticipated Exit Bookings'!$B$1:$C$1,0), FALSE))*VLOOKUP($F124, 'Exit Capacity Split'!A:H, 8,0)/100</f>
        <v>1233274.5215781459</v>
      </c>
      <c r="W124" s="200">
        <f ca="1">IF(VLOOKUP(F124,'Exit Prices'!$A:$Q,17,FALSE)&gt;0,VLOOKUP(F124,'Exit Prices'!$A:$Q,17,FALSE),0)</f>
        <v>1.7838290820427986E-2</v>
      </c>
      <c r="X124" s="202">
        <f ca="1">V124*W124*'User Inputs'!$D$7/100</f>
        <v>80298.209957273328</v>
      </c>
      <c r="Y124" s="199">
        <f t="shared" ca="1" si="2"/>
        <v>3551397.5775785674</v>
      </c>
      <c r="AA124" s="164"/>
    </row>
    <row r="125" spans="5:27">
      <c r="E125" s="213" t="s">
        <v>474</v>
      </c>
      <c r="F125" s="213" t="s">
        <v>145</v>
      </c>
      <c r="G125" s="197">
        <f ca="1">(VLOOKUP(F125,'Anticipated Exit Bookings'!$B:$C,MATCH('Exit Anticipated Rev. Recovery'!$C$2,'Anticipated Exit Bookings'!$B$1:$C$1,0), FALSE))*VLOOKUP($F125, 'Exit Capacity Split'!A:H, 3,0)/100</f>
        <v>667435.41426437802</v>
      </c>
      <c r="H125" s="200">
        <f ca="1">IF(VLOOKUP(F125,'Exit Prices'!$A:$Q,12,FALSE)&gt;0,VLOOKUP(F125,'Exit Prices'!$A:$Q,12,FALSE),0)</f>
        <v>1.9820323133808871E-2</v>
      </c>
      <c r="I125" s="202">
        <f ca="1">G125*H125*'User Inputs'!$D$7/100</f>
        <v>48285.067373086589</v>
      </c>
      <c r="J125" s="209">
        <f ca="1">(VLOOKUP(F125,'Anticipated Exit Bookings'!$B:$C,MATCH('Exit Anticipated Rev. Recovery'!$C$2,'Anticipated Exit Bookings'!$B$1:$C$1,0), FALSE))*VLOOKUP($F125, 'Exit Capacity Split'!A:H, 4,0)/100</f>
        <v>0</v>
      </c>
      <c r="K125" s="205" t="str">
        <f>IF(VLOOKUP(F125,'Exit Prices'!$A:$Q,13,FALSE)&gt;0,VLOOKUP(F125,'Exit Prices'!$A:$Q,13,FALSE),0)</f>
        <v>N/A</v>
      </c>
      <c r="L125" s="207" t="s">
        <v>428</v>
      </c>
      <c r="M125" s="209">
        <f ca="1">(VLOOKUP(F125,'Anticipated Exit Bookings'!$B:$C,MATCH('Exit Anticipated Rev. Recovery'!$C$2,'Anticipated Exit Bookings'!$B$1:$C$1,0), FALSE))*VLOOKUP($F125, 'Exit Capacity Split'!A:H, 5,0)/100</f>
        <v>0</v>
      </c>
      <c r="N125" s="205" t="str">
        <f>IF(VLOOKUP(F125,'Exit Prices'!$A:$Q,14,FALSE)&gt;0,VLOOKUP(F125,'Exit Prices'!$A:$Q,14,FALSE),0)</f>
        <v>N/A</v>
      </c>
      <c r="O125" s="207" t="s">
        <v>428</v>
      </c>
      <c r="P125" s="204">
        <f ca="1">(VLOOKUP(F125,'Anticipated Exit Bookings'!$B:$C,MATCH('Exit Anticipated Rev. Recovery'!$C$2,'Anticipated Exit Bookings'!$B$1:$C$1,0), FALSE))*VLOOKUP($F125, 'Exit Capacity Split'!A:H, 6,0)/100</f>
        <v>0</v>
      </c>
      <c r="Q125" s="200">
        <f ca="1">IF(VLOOKUP(F125,'Exit Prices'!$A:$Q,15,FALSE)&gt;0,VLOOKUP(F125,'Exit Prices'!$A:$Q,15,FALSE),0)</f>
        <v>1.9820323133808871E-2</v>
      </c>
      <c r="R125" s="202">
        <f ca="1">P125*Q125*'User Inputs'!$D$7/100</f>
        <v>0</v>
      </c>
      <c r="S125" s="209">
        <f ca="1">(VLOOKUP(F125,'Anticipated Exit Bookings'!$B:$C,MATCH('Exit Anticipated Rev. Recovery'!$C$2,'Anticipated Exit Bookings'!$B$1:$C$1,0), FALSE))*VLOOKUP($F125, 'Exit Capacity Split'!A:H, 7,0)/100</f>
        <v>630.99983699072709</v>
      </c>
      <c r="T125" s="205" t="str">
        <f>IF(VLOOKUP(F125,'Exit Prices'!$A:$Q,16,FALSE)&gt;0,VLOOKUP(F125,'Exit Prices'!$A:$Q,16,FALSE),0)</f>
        <v>N/A</v>
      </c>
      <c r="U125" s="207" t="s">
        <v>428</v>
      </c>
      <c r="V125" s="204">
        <f ca="1">(VLOOKUP(F125,'Anticipated Exit Bookings'!$B:$C,MATCH('Exit Anticipated Rev. Recovery'!$C$2,'Anticipated Exit Bookings'!$B$1:$C$1,0), FALSE))*VLOOKUP($F125, 'Exit Capacity Split'!A:H, 8,0)/100</f>
        <v>17155.5858986313</v>
      </c>
      <c r="W125" s="200">
        <f ca="1">IF(VLOOKUP(F125,'Exit Prices'!$A:$Q,17,FALSE)&gt;0,VLOOKUP(F125,'Exit Prices'!$A:$Q,17,FALSE),0)</f>
        <v>1.7838290820427986E-2</v>
      </c>
      <c r="X125" s="202">
        <f ca="1">V125*W125*'User Inputs'!$D$7/100</f>
        <v>1116.9961061593576</v>
      </c>
      <c r="Y125" s="199">
        <f t="shared" ca="1" si="2"/>
        <v>49402.063479245946</v>
      </c>
      <c r="AA125" s="164"/>
    </row>
    <row r="126" spans="5:27">
      <c r="E126" s="213" t="s">
        <v>474</v>
      </c>
      <c r="F126" s="213" t="s">
        <v>146</v>
      </c>
      <c r="G126" s="197">
        <f ca="1">(VLOOKUP(F126,'Anticipated Exit Bookings'!$B:$C,MATCH('Exit Anticipated Rev. Recovery'!$C$2,'Anticipated Exit Bookings'!$B$1:$C$1,0), FALSE))*VLOOKUP($F126, 'Exit Capacity Split'!A:H, 3,0)/100</f>
        <v>37538511.614514083</v>
      </c>
      <c r="H126" s="200">
        <f ca="1">IF(VLOOKUP(F126,'Exit Prices'!$A:$Q,12,FALSE)&gt;0,VLOOKUP(F126,'Exit Prices'!$A:$Q,12,FALSE),0)</f>
        <v>1.9820323133808871E-2</v>
      </c>
      <c r="I126" s="202">
        <f ca="1">G126*H126*'User Inputs'!$D$7/100</f>
        <v>2715692.8200909588</v>
      </c>
      <c r="J126" s="209">
        <f ca="1">(VLOOKUP(F126,'Anticipated Exit Bookings'!$B:$C,MATCH('Exit Anticipated Rev. Recovery'!$C$2,'Anticipated Exit Bookings'!$B$1:$C$1,0), FALSE))*VLOOKUP($F126, 'Exit Capacity Split'!A:H, 4,0)/100</f>
        <v>0</v>
      </c>
      <c r="K126" s="205" t="str">
        <f>IF(VLOOKUP(F126,'Exit Prices'!$A:$Q,13,FALSE)&gt;0,VLOOKUP(F126,'Exit Prices'!$A:$Q,13,FALSE),0)</f>
        <v>N/A</v>
      </c>
      <c r="L126" s="207" t="s">
        <v>428</v>
      </c>
      <c r="M126" s="209">
        <f ca="1">(VLOOKUP(F126,'Anticipated Exit Bookings'!$B:$C,MATCH('Exit Anticipated Rev. Recovery'!$C$2,'Anticipated Exit Bookings'!$B$1:$C$1,0), FALSE))*VLOOKUP($F126, 'Exit Capacity Split'!A:H, 5,0)/100</f>
        <v>0</v>
      </c>
      <c r="N126" s="205" t="str">
        <f>IF(VLOOKUP(F126,'Exit Prices'!$A:$Q,14,FALSE)&gt;0,VLOOKUP(F126,'Exit Prices'!$A:$Q,14,FALSE),0)</f>
        <v>N/A</v>
      </c>
      <c r="O126" s="207" t="s">
        <v>428</v>
      </c>
      <c r="P126" s="204">
        <f ca="1">(VLOOKUP(F126,'Anticipated Exit Bookings'!$B:$C,MATCH('Exit Anticipated Rev. Recovery'!$C$2,'Anticipated Exit Bookings'!$B$1:$C$1,0), FALSE))*VLOOKUP($F126, 'Exit Capacity Split'!A:H, 6,0)/100</f>
        <v>0</v>
      </c>
      <c r="Q126" s="200">
        <f ca="1">IF(VLOOKUP(F126,'Exit Prices'!$A:$Q,15,FALSE)&gt;0,VLOOKUP(F126,'Exit Prices'!$A:$Q,15,FALSE),0)</f>
        <v>1.9820323133808871E-2</v>
      </c>
      <c r="R126" s="202">
        <f ca="1">P126*Q126*'User Inputs'!$D$7/100</f>
        <v>0</v>
      </c>
      <c r="S126" s="209">
        <f ca="1">(VLOOKUP(F126,'Anticipated Exit Bookings'!$B:$C,MATCH('Exit Anticipated Rev. Recovery'!$C$2,'Anticipated Exit Bookings'!$B$1:$C$1,0), FALSE))*VLOOKUP($F126, 'Exit Capacity Split'!A:H, 7,0)/100</f>
        <v>35489.268629444225</v>
      </c>
      <c r="T126" s="205" t="str">
        <f>IF(VLOOKUP(F126,'Exit Prices'!$A:$Q,16,FALSE)&gt;0,VLOOKUP(F126,'Exit Prices'!$A:$Q,16,FALSE),0)</f>
        <v>N/A</v>
      </c>
      <c r="U126" s="207" t="s">
        <v>428</v>
      </c>
      <c r="V126" s="204">
        <f ca="1">(VLOOKUP(F126,'Anticipated Exit Bookings'!$B:$C,MATCH('Exit Anticipated Rev. Recovery'!$C$2,'Anticipated Exit Bookings'!$B$1:$C$1,0), FALSE))*VLOOKUP($F126, 'Exit Capacity Split'!A:H, 8,0)/100</f>
        <v>964880.11685647827</v>
      </c>
      <c r="W126" s="200">
        <f ca="1">IF(VLOOKUP(F126,'Exit Prices'!$A:$Q,17,FALSE)&gt;0,VLOOKUP(F126,'Exit Prices'!$A:$Q,17,FALSE),0)</f>
        <v>1.7838290820427986E-2</v>
      </c>
      <c r="X126" s="202">
        <f ca="1">V126*W126*'User Inputs'!$D$7/100</f>
        <v>62823.114279370551</v>
      </c>
      <c r="Y126" s="199">
        <f t="shared" ca="1" si="2"/>
        <v>2778515.9343703296</v>
      </c>
      <c r="AA126" s="164"/>
    </row>
    <row r="127" spans="5:27">
      <c r="E127" s="213" t="s">
        <v>474</v>
      </c>
      <c r="F127" s="213" t="s">
        <v>147</v>
      </c>
      <c r="G127" s="197">
        <f ca="1">(VLOOKUP(F127,'Anticipated Exit Bookings'!$B:$C,MATCH('Exit Anticipated Rev. Recovery'!$C$2,'Anticipated Exit Bookings'!$B$1:$C$1,0), FALSE))*VLOOKUP($F127, 'Exit Capacity Split'!A:H, 3,0)/100</f>
        <v>19633076.594719015</v>
      </c>
      <c r="H127" s="200">
        <f ca="1">IF(VLOOKUP(F127,'Exit Prices'!$A:$Q,12,FALSE)&gt;0,VLOOKUP(F127,'Exit Prices'!$A:$Q,12,FALSE),0)</f>
        <v>1.9820323133808871E-2</v>
      </c>
      <c r="I127" s="202">
        <f ca="1">G127*H127*'User Inputs'!$D$7/100</f>
        <v>1420338.8160962504</v>
      </c>
      <c r="J127" s="209">
        <f ca="1">(VLOOKUP(F127,'Anticipated Exit Bookings'!$B:$C,MATCH('Exit Anticipated Rev. Recovery'!$C$2,'Anticipated Exit Bookings'!$B$1:$C$1,0), FALSE))*VLOOKUP($F127, 'Exit Capacity Split'!A:H, 4,0)/100</f>
        <v>0</v>
      </c>
      <c r="K127" s="205" t="str">
        <f>IF(VLOOKUP(F127,'Exit Prices'!$A:$Q,13,FALSE)&gt;0,VLOOKUP(F127,'Exit Prices'!$A:$Q,13,FALSE),0)</f>
        <v>N/A</v>
      </c>
      <c r="L127" s="207" t="s">
        <v>428</v>
      </c>
      <c r="M127" s="209">
        <f ca="1">(VLOOKUP(F127,'Anticipated Exit Bookings'!$B:$C,MATCH('Exit Anticipated Rev. Recovery'!$C$2,'Anticipated Exit Bookings'!$B$1:$C$1,0), FALSE))*VLOOKUP($F127, 'Exit Capacity Split'!A:H, 5,0)/100</f>
        <v>0</v>
      </c>
      <c r="N127" s="205" t="str">
        <f>IF(VLOOKUP(F127,'Exit Prices'!$A:$Q,14,FALSE)&gt;0,VLOOKUP(F127,'Exit Prices'!$A:$Q,14,FALSE),0)</f>
        <v>N/A</v>
      </c>
      <c r="O127" s="207" t="s">
        <v>428</v>
      </c>
      <c r="P127" s="204">
        <f ca="1">(VLOOKUP(F127,'Anticipated Exit Bookings'!$B:$C,MATCH('Exit Anticipated Rev. Recovery'!$C$2,'Anticipated Exit Bookings'!$B$1:$C$1,0), FALSE))*VLOOKUP($F127, 'Exit Capacity Split'!A:H, 6,0)/100</f>
        <v>104043.8704475336</v>
      </c>
      <c r="Q127" s="200">
        <f ca="1">IF(VLOOKUP(F127,'Exit Prices'!$A:$Q,15,FALSE)&gt;0,VLOOKUP(F127,'Exit Prices'!$A:$Q,15,FALSE),0)</f>
        <v>1.9820323133808871E-2</v>
      </c>
      <c r="R127" s="202">
        <f ca="1">P127*Q127*'User Inputs'!$D$7/100</f>
        <v>7526.9684331222616</v>
      </c>
      <c r="S127" s="209">
        <f ca="1">(VLOOKUP(F127,'Anticipated Exit Bookings'!$B:$C,MATCH('Exit Anticipated Rev. Recovery'!$C$2,'Anticipated Exit Bookings'!$B$1:$C$1,0), FALSE))*VLOOKUP($F127, 'Exit Capacity Split'!A:H, 7,0)/100</f>
        <v>26489.455484395345</v>
      </c>
      <c r="T127" s="205" t="str">
        <f>IF(VLOOKUP(F127,'Exit Prices'!$A:$Q,16,FALSE)&gt;0,VLOOKUP(F127,'Exit Prices'!$A:$Q,16,FALSE),0)</f>
        <v>N/A</v>
      </c>
      <c r="U127" s="207" t="s">
        <v>428</v>
      </c>
      <c r="V127" s="204">
        <f ca="1">(VLOOKUP(F127,'Anticipated Exit Bookings'!$B:$C,MATCH('Exit Anticipated Rev. Recovery'!$C$2,'Anticipated Exit Bookings'!$B$1:$C$1,0), FALSE))*VLOOKUP($F127, 'Exit Capacity Split'!A:H, 8,0)/100</f>
        <v>20076390.079349052</v>
      </c>
      <c r="W127" s="200">
        <f ca="1">IF(VLOOKUP(F127,'Exit Prices'!$A:$Q,17,FALSE)&gt;0,VLOOKUP(F127,'Exit Prices'!$A:$Q,17,FALSE),0)</f>
        <v>1.7838290820427986E-2</v>
      </c>
      <c r="X127" s="202">
        <f ca="1">V127*W127*'User Inputs'!$D$7/100</f>
        <v>1307168.9697382106</v>
      </c>
      <c r="Y127" s="199">
        <f t="shared" ca="1" si="2"/>
        <v>2735034.7542675831</v>
      </c>
      <c r="AA127" s="164"/>
    </row>
    <row r="128" spans="5:27">
      <c r="E128" s="213" t="s">
        <v>474</v>
      </c>
      <c r="F128" s="213" t="s">
        <v>148</v>
      </c>
      <c r="G128" s="197">
        <f ca="1">(VLOOKUP(F128,'Anticipated Exit Bookings'!$B:$C,MATCH('Exit Anticipated Rev. Recovery'!$C$2,'Anticipated Exit Bookings'!$B$1:$C$1,0), FALSE))*VLOOKUP($F128, 'Exit Capacity Split'!A:H, 3,0)/100</f>
        <v>6785163.1762088789</v>
      </c>
      <c r="H128" s="200">
        <f ca="1">IF(VLOOKUP(F128,'Exit Prices'!$A:$Q,12,FALSE)&gt;0,VLOOKUP(F128,'Exit Prices'!$A:$Q,12,FALSE),0)</f>
        <v>1.9820323133808871E-2</v>
      </c>
      <c r="I128" s="202">
        <f ca="1">G128*H128*'User Inputs'!$D$7/100</f>
        <v>490867.06233849534</v>
      </c>
      <c r="J128" s="209">
        <f ca="1">(VLOOKUP(F128,'Anticipated Exit Bookings'!$B:$C,MATCH('Exit Anticipated Rev. Recovery'!$C$2,'Anticipated Exit Bookings'!$B$1:$C$1,0), FALSE))*VLOOKUP($F128, 'Exit Capacity Split'!A:H, 4,0)/100</f>
        <v>0</v>
      </c>
      <c r="K128" s="205" t="str">
        <f>IF(VLOOKUP(F128,'Exit Prices'!$A:$Q,13,FALSE)&gt;0,VLOOKUP(F128,'Exit Prices'!$A:$Q,13,FALSE),0)</f>
        <v>N/A</v>
      </c>
      <c r="L128" s="207" t="s">
        <v>428</v>
      </c>
      <c r="M128" s="209">
        <f ca="1">(VLOOKUP(F128,'Anticipated Exit Bookings'!$B:$C,MATCH('Exit Anticipated Rev. Recovery'!$C$2,'Anticipated Exit Bookings'!$B$1:$C$1,0), FALSE))*VLOOKUP($F128, 'Exit Capacity Split'!A:H, 5,0)/100</f>
        <v>0</v>
      </c>
      <c r="N128" s="205" t="str">
        <f>IF(VLOOKUP(F128,'Exit Prices'!$A:$Q,14,FALSE)&gt;0,VLOOKUP(F128,'Exit Prices'!$A:$Q,14,FALSE),0)</f>
        <v>N/A</v>
      </c>
      <c r="O128" s="207" t="s">
        <v>428</v>
      </c>
      <c r="P128" s="204">
        <f ca="1">(VLOOKUP(F128,'Anticipated Exit Bookings'!$B:$C,MATCH('Exit Anticipated Rev. Recovery'!$C$2,'Anticipated Exit Bookings'!$B$1:$C$1,0), FALSE))*VLOOKUP($F128, 'Exit Capacity Split'!A:H, 6,0)/100</f>
        <v>0</v>
      </c>
      <c r="Q128" s="200">
        <f ca="1">IF(VLOOKUP(F128,'Exit Prices'!$A:$Q,15,FALSE)&gt;0,VLOOKUP(F128,'Exit Prices'!$A:$Q,15,FALSE),0)</f>
        <v>1.9820323133808871E-2</v>
      </c>
      <c r="R128" s="202">
        <f ca="1">P128*Q128*'User Inputs'!$D$7/100</f>
        <v>0</v>
      </c>
      <c r="S128" s="209">
        <f ca="1">(VLOOKUP(F128,'Anticipated Exit Bookings'!$B:$C,MATCH('Exit Anticipated Rev. Recovery'!$C$2,'Anticipated Exit Bookings'!$B$1:$C$1,0), FALSE))*VLOOKUP($F128, 'Exit Capacity Split'!A:H, 7,0)/100</f>
        <v>6414.758292174417</v>
      </c>
      <c r="T128" s="205" t="str">
        <f>IF(VLOOKUP(F128,'Exit Prices'!$A:$Q,16,FALSE)&gt;0,VLOOKUP(F128,'Exit Prices'!$A:$Q,16,FALSE),0)</f>
        <v>N/A</v>
      </c>
      <c r="U128" s="207" t="s">
        <v>428</v>
      </c>
      <c r="V128" s="204">
        <f ca="1">(VLOOKUP(F128,'Anticipated Exit Bookings'!$B:$C,MATCH('Exit Anticipated Rev. Recovery'!$C$2,'Anticipated Exit Bookings'!$B$1:$C$1,0), FALSE))*VLOOKUP($F128, 'Exit Capacity Split'!A:H, 8,0)/100</f>
        <v>174404.06549894702</v>
      </c>
      <c r="W128" s="200">
        <f ca="1">IF(VLOOKUP(F128,'Exit Prices'!$A:$Q,17,FALSE)&gt;0,VLOOKUP(F128,'Exit Prices'!$A:$Q,17,FALSE),0)</f>
        <v>1.7838290820427986E-2</v>
      </c>
      <c r="X128" s="202">
        <f ca="1">V128*W128*'User Inputs'!$D$7/100</f>
        <v>11355.407108318435</v>
      </c>
      <c r="Y128" s="199">
        <f t="shared" ca="1" si="2"/>
        <v>502222.46944681375</v>
      </c>
      <c r="AA128" s="164"/>
    </row>
    <row r="129" spans="5:27">
      <c r="E129" s="213" t="s">
        <v>474</v>
      </c>
      <c r="F129" s="213" t="s">
        <v>149</v>
      </c>
      <c r="G129" s="197">
        <f ca="1">(VLOOKUP(F129,'Anticipated Exit Bookings'!$B:$C,MATCH('Exit Anticipated Rev. Recovery'!$C$2,'Anticipated Exit Bookings'!$B$1:$C$1,0), FALSE))*VLOOKUP($F129, 'Exit Capacity Split'!A:H, 3,0)/100</f>
        <v>49160420.630645171</v>
      </c>
      <c r="H129" s="200">
        <f ca="1">IF(VLOOKUP(F129,'Exit Prices'!$A:$Q,12,FALSE)&gt;0,VLOOKUP(F129,'Exit Prices'!$A:$Q,12,FALSE),0)</f>
        <v>1.9820323133808871E-2</v>
      </c>
      <c r="I129" s="202">
        <f ca="1">G129*H129*'User Inputs'!$D$7/100</f>
        <v>3556470.2913707327</v>
      </c>
      <c r="J129" s="209">
        <f ca="1">(VLOOKUP(F129,'Anticipated Exit Bookings'!$B:$C,MATCH('Exit Anticipated Rev. Recovery'!$C$2,'Anticipated Exit Bookings'!$B$1:$C$1,0), FALSE))*VLOOKUP($F129, 'Exit Capacity Split'!A:H, 4,0)/100</f>
        <v>0</v>
      </c>
      <c r="K129" s="205" t="str">
        <f>IF(VLOOKUP(F129,'Exit Prices'!$A:$Q,13,FALSE)&gt;0,VLOOKUP(F129,'Exit Prices'!$A:$Q,13,FALSE),0)</f>
        <v>N/A</v>
      </c>
      <c r="L129" s="207" t="s">
        <v>428</v>
      </c>
      <c r="M129" s="209">
        <f ca="1">(VLOOKUP(F129,'Anticipated Exit Bookings'!$B:$C,MATCH('Exit Anticipated Rev. Recovery'!$C$2,'Anticipated Exit Bookings'!$B$1:$C$1,0), FALSE))*VLOOKUP($F129, 'Exit Capacity Split'!A:H, 5,0)/100</f>
        <v>0</v>
      </c>
      <c r="N129" s="205" t="str">
        <f>IF(VLOOKUP(F129,'Exit Prices'!$A:$Q,14,FALSE)&gt;0,VLOOKUP(F129,'Exit Prices'!$A:$Q,14,FALSE),0)</f>
        <v>N/A</v>
      </c>
      <c r="O129" s="207" t="s">
        <v>428</v>
      </c>
      <c r="P129" s="204">
        <f ca="1">(VLOOKUP(F129,'Anticipated Exit Bookings'!$B:$C,MATCH('Exit Anticipated Rev. Recovery'!$C$2,'Anticipated Exit Bookings'!$B$1:$C$1,0), FALSE))*VLOOKUP($F129, 'Exit Capacity Split'!A:H, 6,0)/100</f>
        <v>0</v>
      </c>
      <c r="Q129" s="200">
        <f ca="1">IF(VLOOKUP(F129,'Exit Prices'!$A:$Q,15,FALSE)&gt;0,VLOOKUP(F129,'Exit Prices'!$A:$Q,15,FALSE),0)</f>
        <v>1.9820323133808871E-2</v>
      </c>
      <c r="R129" s="202">
        <f ca="1">P129*Q129*'User Inputs'!$D$7/100</f>
        <v>0</v>
      </c>
      <c r="S129" s="209">
        <f ca="1">(VLOOKUP(F129,'Anticipated Exit Bookings'!$B:$C,MATCH('Exit Anticipated Rev. Recovery'!$C$2,'Anticipated Exit Bookings'!$B$1:$C$1,0), FALSE))*VLOOKUP($F129, 'Exit Capacity Split'!A:H, 7,0)/100</f>
        <v>46476.732791474642</v>
      </c>
      <c r="T129" s="205" t="str">
        <f>IF(VLOOKUP(F129,'Exit Prices'!$A:$Q,16,FALSE)&gt;0,VLOOKUP(F129,'Exit Prices'!$A:$Q,16,FALSE),0)</f>
        <v>N/A</v>
      </c>
      <c r="U129" s="207" t="s">
        <v>428</v>
      </c>
      <c r="V129" s="204">
        <f ca="1">(VLOOKUP(F129,'Anticipated Exit Bookings'!$B:$C,MATCH('Exit Anticipated Rev. Recovery'!$C$2,'Anticipated Exit Bookings'!$B$1:$C$1,0), FALSE))*VLOOKUP($F129, 'Exit Capacity Split'!A:H, 8,0)/100</f>
        <v>1263606.6365633542</v>
      </c>
      <c r="W129" s="200">
        <f ca="1">IF(VLOOKUP(F129,'Exit Prices'!$A:$Q,17,FALSE)&gt;0,VLOOKUP(F129,'Exit Prices'!$A:$Q,17,FALSE),0)</f>
        <v>1.7838290820427986E-2</v>
      </c>
      <c r="X129" s="202">
        <f ca="1">V129*W129*'User Inputs'!$D$7/100</f>
        <v>82273.126729585871</v>
      </c>
      <c r="Y129" s="199">
        <f t="shared" ca="1" si="2"/>
        <v>3638743.4181003184</v>
      </c>
      <c r="AA129" s="164"/>
    </row>
    <row r="130" spans="5:27">
      <c r="E130" s="213" t="s">
        <v>474</v>
      </c>
      <c r="F130" s="213" t="s">
        <v>150</v>
      </c>
      <c r="G130" s="197">
        <f ca="1">(VLOOKUP(F130,'Anticipated Exit Bookings'!$B:$C,MATCH('Exit Anticipated Rev. Recovery'!$C$2,'Anticipated Exit Bookings'!$B$1:$C$1,0), FALSE))*VLOOKUP($F130, 'Exit Capacity Split'!A:H, 3,0)/100</f>
        <v>16149528.169276375</v>
      </c>
      <c r="H130" s="200">
        <f ca="1">IF(VLOOKUP(F130,'Exit Prices'!$A:$Q,12,FALSE)&gt;0,VLOOKUP(F130,'Exit Prices'!$A:$Q,12,FALSE),0)</f>
        <v>1.9820323133808871E-2</v>
      </c>
      <c r="I130" s="202">
        <f ca="1">G130*H130*'User Inputs'!$D$7/100</f>
        <v>1168324.3637236641</v>
      </c>
      <c r="J130" s="209">
        <f ca="1">(VLOOKUP(F130,'Anticipated Exit Bookings'!$B:$C,MATCH('Exit Anticipated Rev. Recovery'!$C$2,'Anticipated Exit Bookings'!$B$1:$C$1,0), FALSE))*VLOOKUP($F130, 'Exit Capacity Split'!A:H, 4,0)/100</f>
        <v>0</v>
      </c>
      <c r="K130" s="205" t="str">
        <f>IF(VLOOKUP(F130,'Exit Prices'!$A:$Q,13,FALSE)&gt;0,VLOOKUP(F130,'Exit Prices'!$A:$Q,13,FALSE),0)</f>
        <v>N/A</v>
      </c>
      <c r="L130" s="207" t="s">
        <v>428</v>
      </c>
      <c r="M130" s="209">
        <f ca="1">(VLOOKUP(F130,'Anticipated Exit Bookings'!$B:$C,MATCH('Exit Anticipated Rev. Recovery'!$C$2,'Anticipated Exit Bookings'!$B$1:$C$1,0), FALSE))*VLOOKUP($F130, 'Exit Capacity Split'!A:H, 5,0)/100</f>
        <v>0</v>
      </c>
      <c r="N130" s="205" t="str">
        <f>IF(VLOOKUP(F130,'Exit Prices'!$A:$Q,14,FALSE)&gt;0,VLOOKUP(F130,'Exit Prices'!$A:$Q,14,FALSE),0)</f>
        <v>N/A</v>
      </c>
      <c r="O130" s="207" t="s">
        <v>428</v>
      </c>
      <c r="P130" s="204">
        <f ca="1">(VLOOKUP(F130,'Anticipated Exit Bookings'!$B:$C,MATCH('Exit Anticipated Rev. Recovery'!$C$2,'Anticipated Exit Bookings'!$B$1:$C$1,0), FALSE))*VLOOKUP($F130, 'Exit Capacity Split'!A:H, 6,0)/100</f>
        <v>85583.092824328342</v>
      </c>
      <c r="Q130" s="200">
        <f ca="1">IF(VLOOKUP(F130,'Exit Prices'!$A:$Q,15,FALSE)&gt;0,VLOOKUP(F130,'Exit Prices'!$A:$Q,15,FALSE),0)</f>
        <v>1.9820323133808871E-2</v>
      </c>
      <c r="R130" s="202">
        <f ca="1">P130*Q130*'User Inputs'!$D$7/100</f>
        <v>6191.438624176657</v>
      </c>
      <c r="S130" s="209">
        <f ca="1">(VLOOKUP(F130,'Anticipated Exit Bookings'!$B:$C,MATCH('Exit Anticipated Rev. Recovery'!$C$2,'Anticipated Exit Bookings'!$B$1:$C$1,0), FALSE))*VLOOKUP($F130, 'Exit Capacity Split'!A:H, 7,0)/100</f>
        <v>21789.361716701318</v>
      </c>
      <c r="T130" s="205" t="str">
        <f>IF(VLOOKUP(F130,'Exit Prices'!$A:$Q,16,FALSE)&gt;0,VLOOKUP(F130,'Exit Prices'!$A:$Q,16,FALSE),0)</f>
        <v>N/A</v>
      </c>
      <c r="U130" s="207" t="s">
        <v>428</v>
      </c>
      <c r="V130" s="204">
        <f ca="1">(VLOOKUP(F130,'Anticipated Exit Bookings'!$B:$C,MATCH('Exit Anticipated Rev. Recovery'!$C$2,'Anticipated Exit Bookings'!$B$1:$C$1,0), FALSE))*VLOOKUP($F130, 'Exit Capacity Split'!A:H, 8,0)/100</f>
        <v>16514183.376182592</v>
      </c>
      <c r="W130" s="200">
        <f ca="1">IF(VLOOKUP(F130,'Exit Prices'!$A:$Q,17,FALSE)&gt;0,VLOOKUP(F130,'Exit Prices'!$A:$Q,17,FALSE),0)</f>
        <v>1.7838290820427986E-2</v>
      </c>
      <c r="X130" s="202">
        <f ca="1">V130*W130*'User Inputs'!$D$7/100</f>
        <v>1075234.5409007117</v>
      </c>
      <c r="Y130" s="199">
        <f t="shared" ca="1" si="2"/>
        <v>2249750.3432485526</v>
      </c>
      <c r="AA130" s="164"/>
    </row>
    <row r="131" spans="5:27">
      <c r="E131" s="213" t="s">
        <v>474</v>
      </c>
      <c r="F131" s="213" t="s">
        <v>151</v>
      </c>
      <c r="G131" s="197">
        <f ca="1">(VLOOKUP(F131,'Anticipated Exit Bookings'!$B:$C,MATCH('Exit Anticipated Rev. Recovery'!$C$2,'Anticipated Exit Bookings'!$B$1:$C$1,0), FALSE))*VLOOKUP($F131, 'Exit Capacity Split'!A:H, 3,0)/100</f>
        <v>924720.97309731285</v>
      </c>
      <c r="H131" s="200">
        <f ca="1">IF(VLOOKUP(F131,'Exit Prices'!$A:$Q,12,FALSE)&gt;0,VLOOKUP(F131,'Exit Prices'!$A:$Q,12,FALSE),0)</f>
        <v>1.9820323133808871E-2</v>
      </c>
      <c r="I131" s="202">
        <f ca="1">G131*H131*'User Inputs'!$D$7/100</f>
        <v>66898.180008206051</v>
      </c>
      <c r="J131" s="209">
        <f ca="1">(VLOOKUP(F131,'Anticipated Exit Bookings'!$B:$C,MATCH('Exit Anticipated Rev. Recovery'!$C$2,'Anticipated Exit Bookings'!$B$1:$C$1,0), FALSE))*VLOOKUP($F131, 'Exit Capacity Split'!A:H, 4,0)/100</f>
        <v>0</v>
      </c>
      <c r="K131" s="205" t="str">
        <f>IF(VLOOKUP(F131,'Exit Prices'!$A:$Q,13,FALSE)&gt;0,VLOOKUP(F131,'Exit Prices'!$A:$Q,13,FALSE),0)</f>
        <v>N/A</v>
      </c>
      <c r="L131" s="207" t="s">
        <v>428</v>
      </c>
      <c r="M131" s="209">
        <f ca="1">(VLOOKUP(F131,'Anticipated Exit Bookings'!$B:$C,MATCH('Exit Anticipated Rev. Recovery'!$C$2,'Anticipated Exit Bookings'!$B$1:$C$1,0), FALSE))*VLOOKUP($F131, 'Exit Capacity Split'!A:H, 5,0)/100</f>
        <v>0</v>
      </c>
      <c r="N131" s="205" t="str">
        <f>IF(VLOOKUP(F131,'Exit Prices'!$A:$Q,14,FALSE)&gt;0,VLOOKUP(F131,'Exit Prices'!$A:$Q,14,FALSE),0)</f>
        <v>N/A</v>
      </c>
      <c r="O131" s="207" t="s">
        <v>428</v>
      </c>
      <c r="P131" s="204">
        <f ca="1">(VLOOKUP(F131,'Anticipated Exit Bookings'!$B:$C,MATCH('Exit Anticipated Rev. Recovery'!$C$2,'Anticipated Exit Bookings'!$B$1:$C$1,0), FALSE))*VLOOKUP($F131, 'Exit Capacity Split'!A:H, 6,0)/100</f>
        <v>0</v>
      </c>
      <c r="Q131" s="200">
        <f ca="1">IF(VLOOKUP(F131,'Exit Prices'!$A:$Q,15,FALSE)&gt;0,VLOOKUP(F131,'Exit Prices'!$A:$Q,15,FALSE),0)</f>
        <v>1.9820323133808871E-2</v>
      </c>
      <c r="R131" s="202">
        <f ca="1">P131*Q131*'User Inputs'!$D$7/100</f>
        <v>0</v>
      </c>
      <c r="S131" s="209">
        <f ca="1">(VLOOKUP(F131,'Anticipated Exit Bookings'!$B:$C,MATCH('Exit Anticipated Rev. Recovery'!$C$2,'Anticipated Exit Bookings'!$B$1:$C$1,0), FALSE))*VLOOKUP($F131, 'Exit Capacity Split'!A:H, 7,0)/100</f>
        <v>874.24006999901439</v>
      </c>
      <c r="T131" s="205" t="str">
        <f>IF(VLOOKUP(F131,'Exit Prices'!$A:$Q,16,FALSE)&gt;0,VLOOKUP(F131,'Exit Prices'!$A:$Q,16,FALSE),0)</f>
        <v>N/A</v>
      </c>
      <c r="U131" s="207" t="s">
        <v>428</v>
      </c>
      <c r="V131" s="204">
        <f ca="1">(VLOOKUP(F131,'Anticipated Exit Bookings'!$B:$C,MATCH('Exit Anticipated Rev. Recovery'!$C$2,'Anticipated Exit Bookings'!$B$1:$C$1,0), FALSE))*VLOOKUP($F131, 'Exit Capacity Split'!A:H, 8,0)/100</f>
        <v>23768.7868326881</v>
      </c>
      <c r="W131" s="200">
        <f ca="1">IF(VLOOKUP(F131,'Exit Prices'!$A:$Q,17,FALSE)&gt;0,VLOOKUP(F131,'Exit Prices'!$A:$Q,17,FALSE),0)</f>
        <v>1.7838290820427986E-2</v>
      </c>
      <c r="X131" s="202">
        <f ca="1">V131*W131*'User Inputs'!$D$7/100</f>
        <v>1547.5800416914115</v>
      </c>
      <c r="Y131" s="199">
        <f t="shared" ca="1" si="2"/>
        <v>68445.760049897464</v>
      </c>
      <c r="AA131" s="164"/>
    </row>
    <row r="132" spans="5:27">
      <c r="E132" s="213" t="s">
        <v>474</v>
      </c>
      <c r="F132" s="213" t="s">
        <v>152</v>
      </c>
      <c r="G132" s="197">
        <f ca="1">(VLOOKUP(F132,'Anticipated Exit Bookings'!$B:$C,MATCH('Exit Anticipated Rev. Recovery'!$C$2,'Anticipated Exit Bookings'!$B$1:$C$1,0), FALSE))*VLOOKUP($F132, 'Exit Capacity Split'!A:H, 3,0)/100</f>
        <v>28451210.456178408</v>
      </c>
      <c r="H132" s="200">
        <f ca="1">IF(VLOOKUP(F132,'Exit Prices'!$A:$Q,12,FALSE)&gt;0,VLOOKUP(F132,'Exit Prices'!$A:$Q,12,FALSE),0)</f>
        <v>1.9820323133808871E-2</v>
      </c>
      <c r="I132" s="202">
        <f ca="1">G132*H132*'User Inputs'!$D$7/100</f>
        <v>2058279.4744815207</v>
      </c>
      <c r="J132" s="209">
        <f ca="1">(VLOOKUP(F132,'Anticipated Exit Bookings'!$B:$C,MATCH('Exit Anticipated Rev. Recovery'!$C$2,'Anticipated Exit Bookings'!$B$1:$C$1,0), FALSE))*VLOOKUP($F132, 'Exit Capacity Split'!A:H, 4,0)/100</f>
        <v>0</v>
      </c>
      <c r="K132" s="205" t="str">
        <f>IF(VLOOKUP(F132,'Exit Prices'!$A:$Q,13,FALSE)&gt;0,VLOOKUP(F132,'Exit Prices'!$A:$Q,13,FALSE),0)</f>
        <v>N/A</v>
      </c>
      <c r="L132" s="207" t="s">
        <v>428</v>
      </c>
      <c r="M132" s="209">
        <f ca="1">(VLOOKUP(F132,'Anticipated Exit Bookings'!$B:$C,MATCH('Exit Anticipated Rev. Recovery'!$C$2,'Anticipated Exit Bookings'!$B$1:$C$1,0), FALSE))*VLOOKUP($F132, 'Exit Capacity Split'!A:H, 5,0)/100</f>
        <v>0</v>
      </c>
      <c r="N132" s="205" t="str">
        <f>IF(VLOOKUP(F132,'Exit Prices'!$A:$Q,14,FALSE)&gt;0,VLOOKUP(F132,'Exit Prices'!$A:$Q,14,FALSE),0)</f>
        <v>N/A</v>
      </c>
      <c r="O132" s="207" t="s">
        <v>428</v>
      </c>
      <c r="P132" s="204">
        <f ca="1">(VLOOKUP(F132,'Anticipated Exit Bookings'!$B:$C,MATCH('Exit Anticipated Rev. Recovery'!$C$2,'Anticipated Exit Bookings'!$B$1:$C$1,0), FALSE))*VLOOKUP($F132, 'Exit Capacity Split'!A:H, 6,0)/100</f>
        <v>0</v>
      </c>
      <c r="Q132" s="200">
        <f ca="1">IF(VLOOKUP(F132,'Exit Prices'!$A:$Q,15,FALSE)&gt;0,VLOOKUP(F132,'Exit Prices'!$A:$Q,15,FALSE),0)</f>
        <v>1.9820323133808871E-2</v>
      </c>
      <c r="R132" s="202">
        <f ca="1">P132*Q132*'User Inputs'!$D$7/100</f>
        <v>0</v>
      </c>
      <c r="S132" s="209">
        <f ca="1">(VLOOKUP(F132,'Anticipated Exit Bookings'!$B:$C,MATCH('Exit Anticipated Rev. Recovery'!$C$2,'Anticipated Exit Bookings'!$B$1:$C$1,0), FALSE))*VLOOKUP($F132, 'Exit Capacity Split'!A:H, 7,0)/100</f>
        <v>26898.047026504035</v>
      </c>
      <c r="T132" s="205" t="str">
        <f>IF(VLOOKUP(F132,'Exit Prices'!$A:$Q,16,FALSE)&gt;0,VLOOKUP(F132,'Exit Prices'!$A:$Q,16,FALSE),0)</f>
        <v>N/A</v>
      </c>
      <c r="U132" s="207" t="s">
        <v>428</v>
      </c>
      <c r="V132" s="204">
        <f ca="1">(VLOOKUP(F132,'Anticipated Exit Bookings'!$B:$C,MATCH('Exit Anticipated Rev. Recovery'!$C$2,'Anticipated Exit Bookings'!$B$1:$C$1,0), FALSE))*VLOOKUP($F132, 'Exit Capacity Split'!A:H, 8,0)/100</f>
        <v>731302.49679509131</v>
      </c>
      <c r="W132" s="200">
        <f ca="1">IF(VLOOKUP(F132,'Exit Prices'!$A:$Q,17,FALSE)&gt;0,VLOOKUP(F132,'Exit Prices'!$A:$Q,17,FALSE),0)</f>
        <v>1.7838290820427986E-2</v>
      </c>
      <c r="X132" s="202">
        <f ca="1">V132*W132*'User Inputs'!$D$7/100</f>
        <v>47614.931146706193</v>
      </c>
      <c r="Y132" s="199">
        <f t="shared" ca="1" si="2"/>
        <v>2105894.4056282267</v>
      </c>
      <c r="AA132" s="164"/>
    </row>
    <row r="133" spans="5:27">
      <c r="E133" s="213" t="s">
        <v>474</v>
      </c>
      <c r="F133" s="213" t="s">
        <v>153</v>
      </c>
      <c r="G133" s="197">
        <f ca="1">(VLOOKUP(F133,'Anticipated Exit Bookings'!$B:$C,MATCH('Exit Anticipated Rev. Recovery'!$C$2,'Anticipated Exit Bookings'!$B$1:$C$1,0), FALSE))*VLOOKUP($F133, 'Exit Capacity Split'!A:H, 3,0)/100</f>
        <v>46981491.032134168</v>
      </c>
      <c r="H133" s="200">
        <f ca="1">IF(VLOOKUP(F133,'Exit Prices'!$A:$Q,12,FALSE)&gt;0,VLOOKUP(F133,'Exit Prices'!$A:$Q,12,FALSE),0)</f>
        <v>1.9820323133808871E-2</v>
      </c>
      <c r="I133" s="202">
        <f ca="1">G133*H133*'User Inputs'!$D$7/100</f>
        <v>3398837.4175124061</v>
      </c>
      <c r="J133" s="209">
        <f ca="1">(VLOOKUP(F133,'Anticipated Exit Bookings'!$B:$C,MATCH('Exit Anticipated Rev. Recovery'!$C$2,'Anticipated Exit Bookings'!$B$1:$C$1,0), FALSE))*VLOOKUP($F133, 'Exit Capacity Split'!A:H, 4,0)/100</f>
        <v>0</v>
      </c>
      <c r="K133" s="205" t="str">
        <f>IF(VLOOKUP(F133,'Exit Prices'!$A:$Q,13,FALSE)&gt;0,VLOOKUP(F133,'Exit Prices'!$A:$Q,13,FALSE),0)</f>
        <v>N/A</v>
      </c>
      <c r="L133" s="207" t="s">
        <v>428</v>
      </c>
      <c r="M133" s="209">
        <f ca="1">(VLOOKUP(F133,'Anticipated Exit Bookings'!$B:$C,MATCH('Exit Anticipated Rev. Recovery'!$C$2,'Anticipated Exit Bookings'!$B$1:$C$1,0), FALSE))*VLOOKUP($F133, 'Exit Capacity Split'!A:H, 5,0)/100</f>
        <v>0</v>
      </c>
      <c r="N133" s="205" t="str">
        <f>IF(VLOOKUP(F133,'Exit Prices'!$A:$Q,14,FALSE)&gt;0,VLOOKUP(F133,'Exit Prices'!$A:$Q,14,FALSE),0)</f>
        <v>N/A</v>
      </c>
      <c r="O133" s="207" t="s">
        <v>428</v>
      </c>
      <c r="P133" s="204">
        <f ca="1">(VLOOKUP(F133,'Anticipated Exit Bookings'!$B:$C,MATCH('Exit Anticipated Rev. Recovery'!$C$2,'Anticipated Exit Bookings'!$B$1:$C$1,0), FALSE))*VLOOKUP($F133, 'Exit Capacity Split'!A:H, 6,0)/100</f>
        <v>248974.5375767627</v>
      </c>
      <c r="Q133" s="200">
        <f ca="1">IF(VLOOKUP(F133,'Exit Prices'!$A:$Q,15,FALSE)&gt;0,VLOOKUP(F133,'Exit Prices'!$A:$Q,15,FALSE),0)</f>
        <v>1.9820323133808871E-2</v>
      </c>
      <c r="R133" s="202">
        <f ca="1">P133*Q133*'User Inputs'!$D$7/100</f>
        <v>18011.85862204658</v>
      </c>
      <c r="S133" s="209">
        <f ca="1">(VLOOKUP(F133,'Anticipated Exit Bookings'!$B:$C,MATCH('Exit Anticipated Rev. Recovery'!$C$2,'Anticipated Exit Bookings'!$B$1:$C$1,0), FALSE))*VLOOKUP($F133, 'Exit Capacity Split'!A:H, 7,0)/100</f>
        <v>63388.644631529205</v>
      </c>
      <c r="T133" s="205" t="str">
        <f>IF(VLOOKUP(F133,'Exit Prices'!$A:$Q,16,FALSE)&gt;0,VLOOKUP(F133,'Exit Prices'!$A:$Q,16,FALSE),0)</f>
        <v>N/A</v>
      </c>
      <c r="U133" s="207" t="s">
        <v>428</v>
      </c>
      <c r="V133" s="204">
        <f ca="1">(VLOOKUP(F133,'Anticipated Exit Bookings'!$B:$C,MATCH('Exit Anticipated Rev. Recovery'!$C$2,'Anticipated Exit Bookings'!$B$1:$C$1,0), FALSE))*VLOOKUP($F133, 'Exit Capacity Split'!A:H, 8,0)/100</f>
        <v>48042329.785657518</v>
      </c>
      <c r="W133" s="200">
        <f ca="1">IF(VLOOKUP(F133,'Exit Prices'!$A:$Q,17,FALSE)&gt;0,VLOOKUP(F133,'Exit Prices'!$A:$Q,17,FALSE),0)</f>
        <v>1.7838290820427986E-2</v>
      </c>
      <c r="X133" s="202">
        <f ca="1">V133*W133*'User Inputs'!$D$7/100</f>
        <v>3128024.6339872601</v>
      </c>
      <c r="Y133" s="199">
        <f t="shared" ca="1" si="2"/>
        <v>6544873.9101217128</v>
      </c>
      <c r="AA133" s="164"/>
    </row>
    <row r="134" spans="5:27">
      <c r="E134" s="213" t="s">
        <v>474</v>
      </c>
      <c r="F134" s="213" t="s">
        <v>154</v>
      </c>
      <c r="G134" s="197">
        <f ca="1">(VLOOKUP(F134,'Anticipated Exit Bookings'!$B:$C,MATCH('Exit Anticipated Rev. Recovery'!$C$2,'Anticipated Exit Bookings'!$B$1:$C$1,0), FALSE))*VLOOKUP($F134, 'Exit Capacity Split'!A:H, 3,0)/100</f>
        <v>18458095.465535246</v>
      </c>
      <c r="H134" s="200">
        <f ca="1">IF(VLOOKUP(F134,'Exit Prices'!$A:$Q,12,FALSE)&gt;0,VLOOKUP(F134,'Exit Prices'!$A:$Q,12,FALSE),0)</f>
        <v>1.9820323133808871E-2</v>
      </c>
      <c r="I134" s="202">
        <f ca="1">G134*H134*'User Inputs'!$D$7/100</f>
        <v>1335335.770449843</v>
      </c>
      <c r="J134" s="209">
        <f ca="1">(VLOOKUP(F134,'Anticipated Exit Bookings'!$B:$C,MATCH('Exit Anticipated Rev. Recovery'!$C$2,'Anticipated Exit Bookings'!$B$1:$C$1,0), FALSE))*VLOOKUP($F134, 'Exit Capacity Split'!A:H, 4,0)/100</f>
        <v>0</v>
      </c>
      <c r="K134" s="205" t="str">
        <f>IF(VLOOKUP(F134,'Exit Prices'!$A:$Q,13,FALSE)&gt;0,VLOOKUP(F134,'Exit Prices'!$A:$Q,13,FALSE),0)</f>
        <v>N/A</v>
      </c>
      <c r="L134" s="207" t="s">
        <v>428</v>
      </c>
      <c r="M134" s="209">
        <f ca="1">(VLOOKUP(F134,'Anticipated Exit Bookings'!$B:$C,MATCH('Exit Anticipated Rev. Recovery'!$C$2,'Anticipated Exit Bookings'!$B$1:$C$1,0), FALSE))*VLOOKUP($F134, 'Exit Capacity Split'!A:H, 5,0)/100</f>
        <v>0</v>
      </c>
      <c r="N134" s="205" t="str">
        <f>IF(VLOOKUP(F134,'Exit Prices'!$A:$Q,14,FALSE)&gt;0,VLOOKUP(F134,'Exit Prices'!$A:$Q,14,FALSE),0)</f>
        <v>N/A</v>
      </c>
      <c r="O134" s="207" t="s">
        <v>428</v>
      </c>
      <c r="P134" s="204">
        <f ca="1">(VLOOKUP(F134,'Anticipated Exit Bookings'!$B:$C,MATCH('Exit Anticipated Rev. Recovery'!$C$2,'Anticipated Exit Bookings'!$B$1:$C$1,0), FALSE))*VLOOKUP($F134, 'Exit Capacity Split'!A:H, 6,0)/100</f>
        <v>0</v>
      </c>
      <c r="Q134" s="200">
        <f ca="1">IF(VLOOKUP(F134,'Exit Prices'!$A:$Q,15,FALSE)&gt;0,VLOOKUP(F134,'Exit Prices'!$A:$Q,15,FALSE),0)</f>
        <v>1.9820323133808871E-2</v>
      </c>
      <c r="R134" s="202">
        <f ca="1">P134*Q134*'User Inputs'!$D$7/100</f>
        <v>0</v>
      </c>
      <c r="S134" s="209">
        <f ca="1">(VLOOKUP(F134,'Anticipated Exit Bookings'!$B:$C,MATCH('Exit Anticipated Rev. Recovery'!$C$2,'Anticipated Exit Bookings'!$B$1:$C$1,0), FALSE))*VLOOKUP($F134, 'Exit Capacity Split'!A:H, 7,0)/100</f>
        <v>17450.460345663498</v>
      </c>
      <c r="T134" s="205" t="str">
        <f>IF(VLOOKUP(F134,'Exit Prices'!$A:$Q,16,FALSE)&gt;0,VLOOKUP(F134,'Exit Prices'!$A:$Q,16,FALSE),0)</f>
        <v>N/A</v>
      </c>
      <c r="U134" s="207" t="s">
        <v>428</v>
      </c>
      <c r="V134" s="204">
        <f ca="1">(VLOOKUP(F134,'Anticipated Exit Bookings'!$B:$C,MATCH('Exit Anticipated Rev. Recovery'!$C$2,'Anticipated Exit Bookings'!$B$1:$C$1,0), FALSE))*VLOOKUP($F134, 'Exit Capacity Split'!A:H, 8,0)/100</f>
        <v>474442.07411909191</v>
      </c>
      <c r="W134" s="200">
        <f ca="1">IF(VLOOKUP(F134,'Exit Prices'!$A:$Q,17,FALSE)&gt;0,VLOOKUP(F134,'Exit Prices'!$A:$Q,17,FALSE),0)</f>
        <v>1.7838290820427986E-2</v>
      </c>
      <c r="X134" s="202">
        <f ca="1">V134*W134*'User Inputs'!$D$7/100</f>
        <v>30890.810288879453</v>
      </c>
      <c r="Y134" s="199">
        <f t="shared" ca="1" si="2"/>
        <v>1366226.5807387226</v>
      </c>
      <c r="AA134" s="164"/>
    </row>
    <row r="135" spans="5:27">
      <c r="E135" s="213" t="s">
        <v>473</v>
      </c>
      <c r="F135" s="213" t="s">
        <v>155</v>
      </c>
      <c r="G135" s="197">
        <f ca="1">(VLOOKUP(F135,'Anticipated Exit Bookings'!$B:$C,MATCH('Exit Anticipated Rev. Recovery'!$C$2,'Anticipated Exit Bookings'!$B$1:$C$1,0), FALSE))*VLOOKUP($F135, 'Exit Capacity Split'!A:H, 3,0)/100</f>
        <v>90359605.285818383</v>
      </c>
      <c r="H135" s="200">
        <f ca="1">IF(VLOOKUP(F135,'Exit Prices'!$A:$Q,12,FALSE)&gt;0,VLOOKUP(F135,'Exit Prices'!$A:$Q,12,FALSE),0)</f>
        <v>1.9820323133808871E-2</v>
      </c>
      <c r="I135" s="202">
        <f ca="1">G135*H135*'User Inputs'!$D$7/100</f>
        <v>6536991.4987804564</v>
      </c>
      <c r="J135" s="209">
        <f ca="1">(VLOOKUP(F135,'Anticipated Exit Bookings'!$B:$C,MATCH('Exit Anticipated Rev. Recovery'!$C$2,'Anticipated Exit Bookings'!$B$1:$C$1,0), FALSE))*VLOOKUP($F135, 'Exit Capacity Split'!A:H, 4,0)/100</f>
        <v>16444191.908242531</v>
      </c>
      <c r="K135" s="200">
        <f ca="1">IF(VLOOKUP(F135,'Exit Prices'!$A:$Q,13,FALSE)&gt;0,VLOOKUP(F135,'Exit Prices'!$A:$Q,13,FALSE),0)</f>
        <v>1.9820323133808871E-2</v>
      </c>
      <c r="L135" s="202">
        <f ca="1">J135*K135*'User Inputs'!$D$7/100</f>
        <v>1189641.570129422</v>
      </c>
      <c r="M135" s="209">
        <f ca="1">(VLOOKUP(F135,'Anticipated Exit Bookings'!$B:$C,MATCH('Exit Anticipated Rev. Recovery'!$C$2,'Anticipated Exit Bookings'!$B$1:$C$1,0), FALSE))*VLOOKUP($F135, 'Exit Capacity Split'!A:H, 5,0)/100</f>
        <v>5091687.6790724872</v>
      </c>
      <c r="N135" s="200">
        <f ca="1">IF(VLOOKUP(F135,'Exit Prices'!$A:$Q,14,FALSE)&gt;0,VLOOKUP(F135,'Exit Prices'!$A:$Q,14,FALSE),0)</f>
        <v>1.9820323133808871E-2</v>
      </c>
      <c r="O135" s="202">
        <f ca="1">M135*N135*'User Inputs'!$D$7/100</f>
        <v>368353.96709912253</v>
      </c>
      <c r="P135" s="204">
        <f ca="1">(VLOOKUP(F135,'Anticipated Exit Bookings'!$B:$C,MATCH('Exit Anticipated Rev. Recovery'!$C$2,'Anticipated Exit Bookings'!$B$1:$C$1,0), FALSE))*VLOOKUP($F135, 'Exit Capacity Split'!A:H, 6,0)/100</f>
        <v>2430132.4222370074</v>
      </c>
      <c r="Q135" s="200">
        <f ca="1">IF(VLOOKUP(F135,'Exit Prices'!$A:$Q,15,FALSE)&gt;0,VLOOKUP(F135,'Exit Prices'!$A:$Q,15,FALSE),0)</f>
        <v>1.9820323133808871E-2</v>
      </c>
      <c r="R135" s="202">
        <f ca="1">P135*Q135*'User Inputs'!$D$7/100</f>
        <v>175805.93601339348</v>
      </c>
      <c r="S135" s="209">
        <f ca="1">(VLOOKUP(F135,'Anticipated Exit Bookings'!$B:$C,MATCH('Exit Anticipated Rev. Recovery'!$C$2,'Anticipated Exit Bookings'!$B$1:$C$1,0), FALSE))*VLOOKUP($F135, 'Exit Capacity Split'!A:H, 7,0)/100</f>
        <v>4969993.9644703967</v>
      </c>
      <c r="T135" s="200">
        <f ca="1">IF(VLOOKUP(F135,'Exit Prices'!$A:$Q,16,FALSE)&gt;0,VLOOKUP(F135,'Exit Prices'!$A:$Q,16,FALSE),0)</f>
        <v>1.9820323133808871E-2</v>
      </c>
      <c r="U135" s="202">
        <f ca="1">S135*T135*'User Inputs'!$D$7/100</f>
        <v>359550.13517342322</v>
      </c>
      <c r="V135" s="204">
        <f ca="1">(VLOOKUP(F135,'Anticipated Exit Bookings'!$B:$C,MATCH('Exit Anticipated Rev. Recovery'!$C$2,'Anticipated Exit Bookings'!$B$1:$C$1,0), FALSE))*VLOOKUP($F135, 'Exit Capacity Split'!A:H, 8,0)/100</f>
        <v>124353817.20591259</v>
      </c>
      <c r="W135" s="200">
        <f ca="1">IF(VLOOKUP(F135,'Exit Prices'!$A:$Q,17,FALSE)&gt;0,VLOOKUP(F135,'Exit Prices'!$A:$Q,17,FALSE),0)</f>
        <v>1.7838290820427986E-2</v>
      </c>
      <c r="X135" s="202">
        <f ca="1">V135*W135*'User Inputs'!$D$7/100</f>
        <v>8096647.3792153476</v>
      </c>
      <c r="Y135" s="199">
        <f ca="1">I135+L135+O135+R135+U135+X135</f>
        <v>16726990.486411165</v>
      </c>
      <c r="AA135" s="164"/>
    </row>
    <row r="136" spans="5:27">
      <c r="E136" s="213" t="s">
        <v>474</v>
      </c>
      <c r="F136" s="213" t="s">
        <v>156</v>
      </c>
      <c r="G136" s="197">
        <f ca="1">(VLOOKUP(F136,'Anticipated Exit Bookings'!$B:$C,MATCH('Exit Anticipated Rev. Recovery'!$C$2,'Anticipated Exit Bookings'!$B$1:$C$1,0), FALSE))*VLOOKUP($F136, 'Exit Capacity Split'!A:H, 3,0)/100</f>
        <v>313750.80800022086</v>
      </c>
      <c r="H136" s="200">
        <f ca="1">IF(VLOOKUP(F136,'Exit Prices'!$A:$Q,12,FALSE)&gt;0,VLOOKUP(F136,'Exit Prices'!$A:$Q,12,FALSE),0)</f>
        <v>1.9820323133808871E-2</v>
      </c>
      <c r="I136" s="202">
        <f ca="1">G136*H136*'User Inputs'!$D$7/100</f>
        <v>22698.044752911712</v>
      </c>
      <c r="J136" s="209">
        <f ca="1">(VLOOKUP(F136,'Anticipated Exit Bookings'!$B:$C,MATCH('Exit Anticipated Rev. Recovery'!$C$2,'Anticipated Exit Bookings'!$B$1:$C$1,0), FALSE))*VLOOKUP($F136, 'Exit Capacity Split'!A:H, 4,0)/100</f>
        <v>0</v>
      </c>
      <c r="K136" s="205" t="str">
        <f>IF(VLOOKUP(F136,'Exit Prices'!$A:$Q,13,FALSE)&gt;0,VLOOKUP(F136,'Exit Prices'!$A:$Q,13,FALSE),0)</f>
        <v>N/A</v>
      </c>
      <c r="L136" s="207" t="s">
        <v>428</v>
      </c>
      <c r="M136" s="209">
        <f ca="1">(VLOOKUP(F136,'Anticipated Exit Bookings'!$B:$C,MATCH('Exit Anticipated Rev. Recovery'!$C$2,'Anticipated Exit Bookings'!$B$1:$C$1,0), FALSE))*VLOOKUP($F136, 'Exit Capacity Split'!A:H, 5,0)/100</f>
        <v>0</v>
      </c>
      <c r="N136" s="205" t="str">
        <f>IF(VLOOKUP(F136,'Exit Prices'!$A:$Q,14,FALSE)&gt;0,VLOOKUP(F136,'Exit Prices'!$A:$Q,14,FALSE),0)</f>
        <v>N/A</v>
      </c>
      <c r="O136" s="207" t="s">
        <v>428</v>
      </c>
      <c r="P136" s="204">
        <f ca="1">(VLOOKUP(F136,'Anticipated Exit Bookings'!$B:$C,MATCH('Exit Anticipated Rev. Recovery'!$C$2,'Anticipated Exit Bookings'!$B$1:$C$1,0), FALSE))*VLOOKUP($F136, 'Exit Capacity Split'!A:H, 6,0)/100</f>
        <v>0</v>
      </c>
      <c r="Q136" s="200">
        <f ca="1">IF(VLOOKUP(F136,'Exit Prices'!$A:$Q,15,FALSE)&gt;0,VLOOKUP(F136,'Exit Prices'!$A:$Q,15,FALSE),0)</f>
        <v>1.9820323133808871E-2</v>
      </c>
      <c r="R136" s="202">
        <f ca="1">P136*Q136*'User Inputs'!$D$7/100</f>
        <v>0</v>
      </c>
      <c r="S136" s="209">
        <f ca="1">(VLOOKUP(F136,'Anticipated Exit Bookings'!$B:$C,MATCH('Exit Anticipated Rev. Recovery'!$C$2,'Anticipated Exit Bookings'!$B$1:$C$1,0), FALSE))*VLOOKUP($F136, 'Exit Capacity Split'!A:H, 7,0)/100</f>
        <v>296.62302070388438</v>
      </c>
      <c r="T136" s="205" t="str">
        <f>IF(VLOOKUP(F136,'Exit Prices'!$A:$Q,16,FALSE)&gt;0,VLOOKUP(F136,'Exit Prices'!$A:$Q,16,FALSE),0)</f>
        <v>N/A</v>
      </c>
      <c r="U136" s="207" t="s">
        <v>428</v>
      </c>
      <c r="V136" s="204">
        <f ca="1">(VLOOKUP(F136,'Anticipated Exit Bookings'!$B:$C,MATCH('Exit Anticipated Rev. Recovery'!$C$2,'Anticipated Exit Bookings'!$B$1:$C$1,0), FALSE))*VLOOKUP($F136, 'Exit Capacity Split'!A:H, 8,0)/100</f>
        <v>8064.5689790752867</v>
      </c>
      <c r="W136" s="200">
        <f ca="1">IF(VLOOKUP(F136,'Exit Prices'!$A:$Q,17,FALSE)&gt;0,VLOOKUP(F136,'Exit Prices'!$A:$Q,17,FALSE),0)</f>
        <v>1.7838290820427986E-2</v>
      </c>
      <c r="X136" s="202">
        <f ca="1">V136*W136*'User Inputs'!$D$7/100</f>
        <v>525.08216278403643</v>
      </c>
      <c r="Y136" s="199">
        <f ca="1">I136+R136+X136</f>
        <v>23223.12691569575</v>
      </c>
      <c r="AA136" s="164"/>
    </row>
    <row r="137" spans="5:27">
      <c r="E137" s="213" t="s">
        <v>474</v>
      </c>
      <c r="F137" s="213" t="s">
        <v>157</v>
      </c>
      <c r="G137" s="197">
        <f ca="1">(VLOOKUP(F137,'Anticipated Exit Bookings'!$B:$C,MATCH('Exit Anticipated Rev. Recovery'!$C$2,'Anticipated Exit Bookings'!$B$1:$C$1,0), FALSE))*VLOOKUP($F137, 'Exit Capacity Split'!A:H, 3,0)/100</f>
        <v>117060398.99688126</v>
      </c>
      <c r="H137" s="200">
        <f ca="1">IF(VLOOKUP(F137,'Exit Prices'!$A:$Q,12,FALSE)&gt;0,VLOOKUP(F137,'Exit Prices'!$A:$Q,12,FALSE),0)</f>
        <v>1.9820323133808871E-2</v>
      </c>
      <c r="I137" s="202">
        <f ca="1">G137*H137*'User Inputs'!$D$7/100</f>
        <v>8468638.5101613551</v>
      </c>
      <c r="J137" s="209">
        <f ca="1">(VLOOKUP(F137,'Anticipated Exit Bookings'!$B:$C,MATCH('Exit Anticipated Rev. Recovery'!$C$2,'Anticipated Exit Bookings'!$B$1:$C$1,0), FALSE))*VLOOKUP($F137, 'Exit Capacity Split'!A:H, 4,0)/100</f>
        <v>0</v>
      </c>
      <c r="K137" s="205" t="str">
        <f>IF(VLOOKUP(F137,'Exit Prices'!$A:$Q,13,FALSE)&gt;0,VLOOKUP(F137,'Exit Prices'!$A:$Q,13,FALSE),0)</f>
        <v>N/A</v>
      </c>
      <c r="L137" s="207" t="s">
        <v>428</v>
      </c>
      <c r="M137" s="209">
        <f ca="1">(VLOOKUP(F137,'Anticipated Exit Bookings'!$B:$C,MATCH('Exit Anticipated Rev. Recovery'!$C$2,'Anticipated Exit Bookings'!$B$1:$C$1,0), FALSE))*VLOOKUP($F137, 'Exit Capacity Split'!A:H, 5,0)/100</f>
        <v>0</v>
      </c>
      <c r="N137" s="205" t="str">
        <f>IF(VLOOKUP(F137,'Exit Prices'!$A:$Q,14,FALSE)&gt;0,VLOOKUP(F137,'Exit Prices'!$A:$Q,14,FALSE),0)</f>
        <v>N/A</v>
      </c>
      <c r="O137" s="207" t="s">
        <v>428</v>
      </c>
      <c r="P137" s="204">
        <f ca="1">(VLOOKUP(F137,'Anticipated Exit Bookings'!$B:$C,MATCH('Exit Anticipated Rev. Recovery'!$C$2,'Anticipated Exit Bookings'!$B$1:$C$1,0), FALSE))*VLOOKUP($F137, 'Exit Capacity Split'!A:H, 6,0)/100</f>
        <v>0</v>
      </c>
      <c r="Q137" s="200">
        <f ca="1">IF(VLOOKUP(F137,'Exit Prices'!$A:$Q,15,FALSE)&gt;0,VLOOKUP(F137,'Exit Prices'!$A:$Q,15,FALSE),0)</f>
        <v>1.9820323133808871E-2</v>
      </c>
      <c r="R137" s="202">
        <f ca="1">P137*Q137*'User Inputs'!$D$7/100</f>
        <v>0</v>
      </c>
      <c r="S137" s="209">
        <f ca="1">(VLOOKUP(F137,'Anticipated Exit Bookings'!$B:$C,MATCH('Exit Anticipated Rev. Recovery'!$C$2,'Anticipated Exit Bookings'!$B$1:$C$1,0), FALSE))*VLOOKUP($F137, 'Exit Capacity Split'!A:H, 7,0)/100</f>
        <v>110670.02305610775</v>
      </c>
      <c r="T137" s="205" t="str">
        <f>IF(VLOOKUP(F137,'Exit Prices'!$A:$Q,16,FALSE)&gt;0,VLOOKUP(F137,'Exit Prices'!$A:$Q,16,FALSE),0)</f>
        <v>N/A</v>
      </c>
      <c r="U137" s="207" t="s">
        <v>428</v>
      </c>
      <c r="V137" s="204">
        <f ca="1">(VLOOKUP(F137,'Anticipated Exit Bookings'!$B:$C,MATCH('Exit Anticipated Rev. Recovery'!$C$2,'Anticipated Exit Bookings'!$B$1:$C$1,0), FALSE))*VLOOKUP($F137, 'Exit Capacity Split'!A:H, 8,0)/100</f>
        <v>3008889.9800626487</v>
      </c>
      <c r="W137" s="200">
        <f ca="1">IF(VLOOKUP(F137,'Exit Prices'!$A:$Q,17,FALSE)&gt;0,VLOOKUP(F137,'Exit Prices'!$A:$Q,17,FALSE),0)</f>
        <v>1.7838290820427986E-2</v>
      </c>
      <c r="X137" s="202">
        <f ca="1">V137*W137*'User Inputs'!$D$7/100</f>
        <v>195908.10896525692</v>
      </c>
      <c r="Y137" s="199">
        <f t="shared" ref="Y137:Y199" ca="1" si="3">I137+R137+X137</f>
        <v>8664546.6191266123</v>
      </c>
      <c r="AA137" s="164"/>
    </row>
    <row r="138" spans="5:27">
      <c r="E138" s="213" t="s">
        <v>474</v>
      </c>
      <c r="F138" s="213" t="s">
        <v>20</v>
      </c>
      <c r="G138" s="197">
        <f ca="1">(VLOOKUP(F138,'Anticipated Exit Bookings'!$B:$C,MATCH('Exit Anticipated Rev. Recovery'!$C$2,'Anticipated Exit Bookings'!$B$1:$C$1,0), FALSE))*VLOOKUP($F138, 'Exit Capacity Split'!A:H, 3,0)/100</f>
        <v>38956072.815007776</v>
      </c>
      <c r="H138" s="200">
        <f ca="1">IF(VLOOKUP(F138,'Exit Prices'!$A:$Q,12,FALSE)&gt;0,VLOOKUP(F138,'Exit Prices'!$A:$Q,12,FALSE),0)</f>
        <v>1.9820323133808871E-2</v>
      </c>
      <c r="I138" s="202">
        <f ca="1">G138*H138*'User Inputs'!$D$7/100</f>
        <v>2818245.1219443912</v>
      </c>
      <c r="J138" s="209">
        <f ca="1">(VLOOKUP(F138,'Anticipated Exit Bookings'!$B:$C,MATCH('Exit Anticipated Rev. Recovery'!$C$2,'Anticipated Exit Bookings'!$B$1:$C$1,0), FALSE))*VLOOKUP($F138, 'Exit Capacity Split'!A:H, 4,0)/100</f>
        <v>0</v>
      </c>
      <c r="K138" s="205" t="str">
        <f>IF(VLOOKUP(F138,'Exit Prices'!$A:$Q,13,FALSE)&gt;0,VLOOKUP(F138,'Exit Prices'!$A:$Q,13,FALSE),0)</f>
        <v>N/A</v>
      </c>
      <c r="L138" s="207" t="s">
        <v>428</v>
      </c>
      <c r="M138" s="209">
        <f ca="1">(VLOOKUP(F138,'Anticipated Exit Bookings'!$B:$C,MATCH('Exit Anticipated Rev. Recovery'!$C$2,'Anticipated Exit Bookings'!$B$1:$C$1,0), FALSE))*VLOOKUP($F138, 'Exit Capacity Split'!A:H, 5,0)/100</f>
        <v>0</v>
      </c>
      <c r="N138" s="205" t="str">
        <f>IF(VLOOKUP(F138,'Exit Prices'!$A:$Q,14,FALSE)&gt;0,VLOOKUP(F138,'Exit Prices'!$A:$Q,14,FALSE),0)</f>
        <v>N/A</v>
      </c>
      <c r="O138" s="207" t="s">
        <v>428</v>
      </c>
      <c r="P138" s="204">
        <f ca="1">(VLOOKUP(F138,'Anticipated Exit Bookings'!$B:$C,MATCH('Exit Anticipated Rev. Recovery'!$C$2,'Anticipated Exit Bookings'!$B$1:$C$1,0), FALSE))*VLOOKUP($F138, 'Exit Capacity Split'!A:H, 6,0)/100</f>
        <v>0</v>
      </c>
      <c r="Q138" s="200">
        <f ca="1">IF(VLOOKUP(F138,'Exit Prices'!$A:$Q,15,FALSE)&gt;0,VLOOKUP(F138,'Exit Prices'!$A:$Q,15,FALSE),0)</f>
        <v>1.9820323133808871E-2</v>
      </c>
      <c r="R138" s="202">
        <f ca="1">P138*Q138*'User Inputs'!$D$7/100</f>
        <v>0</v>
      </c>
      <c r="S138" s="209">
        <f ca="1">(VLOOKUP(F138,'Anticipated Exit Bookings'!$B:$C,MATCH('Exit Anticipated Rev. Recovery'!$C$2,'Anticipated Exit Bookings'!$B$1:$C$1,0), FALSE))*VLOOKUP($F138, 'Exit Capacity Split'!A:H, 7,0)/100</f>
        <v>36829.444573541768</v>
      </c>
      <c r="T138" s="205" t="str">
        <f>IF(VLOOKUP(F138,'Exit Prices'!$A:$Q,16,FALSE)&gt;0,VLOOKUP(F138,'Exit Prices'!$A:$Q,16,FALSE),0)</f>
        <v>N/A</v>
      </c>
      <c r="U138" s="207" t="s">
        <v>428</v>
      </c>
      <c r="V138" s="204">
        <f ca="1">(VLOOKUP(F138,'Anticipated Exit Bookings'!$B:$C,MATCH('Exit Anticipated Rev. Recovery'!$C$2,'Anticipated Exit Bookings'!$B$1:$C$1,0), FALSE))*VLOOKUP($F138, 'Exit Capacity Split'!A:H, 8,0)/100</f>
        <v>1001316.7404186849</v>
      </c>
      <c r="W138" s="200">
        <f ca="1">IF(VLOOKUP(F138,'Exit Prices'!$A:$Q,17,FALSE)&gt;0,VLOOKUP(F138,'Exit Prices'!$A:$Q,17,FALSE),0)</f>
        <v>1.7838290820427986E-2</v>
      </c>
      <c r="X138" s="202">
        <f ca="1">V138*W138*'User Inputs'!$D$7/100</f>
        <v>65195.49414917297</v>
      </c>
      <c r="Y138" s="199">
        <f t="shared" ca="1" si="3"/>
        <v>2883440.6160935643</v>
      </c>
      <c r="AA138" s="164"/>
    </row>
    <row r="139" spans="5:27">
      <c r="E139" s="213" t="s">
        <v>474</v>
      </c>
      <c r="F139" s="213" t="s">
        <v>158</v>
      </c>
      <c r="G139" s="197">
        <f ca="1">(VLOOKUP(F139,'Anticipated Exit Bookings'!$B:$C,MATCH('Exit Anticipated Rev. Recovery'!$C$2,'Anticipated Exit Bookings'!$B$1:$C$1,0), FALSE))*VLOOKUP($F139, 'Exit Capacity Split'!A:H, 3,0)/100</f>
        <v>0</v>
      </c>
      <c r="H139" s="200">
        <f ca="1">IF(VLOOKUP(F139,'Exit Prices'!$A:$Q,12,FALSE)&gt;0,VLOOKUP(F139,'Exit Prices'!$A:$Q,12,FALSE),0)</f>
        <v>9.9101615669044355E-3</v>
      </c>
      <c r="I139" s="202">
        <f ca="1">G139*H139*'User Inputs'!$D$7/100</f>
        <v>0</v>
      </c>
      <c r="J139" s="209">
        <f ca="1">(VLOOKUP(F139,'Anticipated Exit Bookings'!$B:$C,MATCH('Exit Anticipated Rev. Recovery'!$C$2,'Anticipated Exit Bookings'!$B$1:$C$1,0), FALSE))*VLOOKUP($F139, 'Exit Capacity Split'!A:H, 4,0)/100</f>
        <v>0</v>
      </c>
      <c r="K139" s="205" t="str">
        <f>IF(VLOOKUP(F139,'Exit Prices'!$A:$Q,13,FALSE)&gt;0,VLOOKUP(F139,'Exit Prices'!$A:$Q,13,FALSE),0)</f>
        <v>N/A</v>
      </c>
      <c r="L139" s="207" t="s">
        <v>428</v>
      </c>
      <c r="M139" s="209">
        <f ca="1">(VLOOKUP(F139,'Anticipated Exit Bookings'!$B:$C,MATCH('Exit Anticipated Rev. Recovery'!$C$2,'Anticipated Exit Bookings'!$B$1:$C$1,0), FALSE))*VLOOKUP($F139, 'Exit Capacity Split'!A:H, 5,0)/100</f>
        <v>0</v>
      </c>
      <c r="N139" s="205" t="str">
        <f>IF(VLOOKUP(F139,'Exit Prices'!$A:$Q,14,FALSE)&gt;0,VLOOKUP(F139,'Exit Prices'!$A:$Q,14,FALSE),0)</f>
        <v>N/A</v>
      </c>
      <c r="O139" s="207" t="s">
        <v>428</v>
      </c>
      <c r="P139" s="204">
        <f ca="1">(VLOOKUP(F139,'Anticipated Exit Bookings'!$B:$C,MATCH('Exit Anticipated Rev. Recovery'!$C$2,'Anticipated Exit Bookings'!$B$1:$C$1,0), FALSE))*VLOOKUP($F139, 'Exit Capacity Split'!A:H, 6,0)/100</f>
        <v>0</v>
      </c>
      <c r="Q139" s="200">
        <f ca="1">IF(VLOOKUP(F139,'Exit Prices'!$A:$Q,15,FALSE)&gt;0,VLOOKUP(F139,'Exit Prices'!$A:$Q,15,FALSE),0)</f>
        <v>9.9101615669044355E-3</v>
      </c>
      <c r="R139" s="202">
        <f ca="1">P139*Q139*'User Inputs'!$D$7/100</f>
        <v>0</v>
      </c>
      <c r="S139" s="209">
        <f ca="1">(VLOOKUP(F139,'Anticipated Exit Bookings'!$B:$C,MATCH('Exit Anticipated Rev. Recovery'!$C$2,'Anticipated Exit Bookings'!$B$1:$C$1,0), FALSE))*VLOOKUP($F139, 'Exit Capacity Split'!A:H, 7,0)/100</f>
        <v>0</v>
      </c>
      <c r="T139" s="205" t="str">
        <f>IF(VLOOKUP(F139,'Exit Prices'!$A:$Q,16,FALSE)&gt;0,VLOOKUP(F139,'Exit Prices'!$A:$Q,16,FALSE),0)</f>
        <v>N/A</v>
      </c>
      <c r="U139" s="207" t="s">
        <v>428</v>
      </c>
      <c r="V139" s="204">
        <f ca="1">(VLOOKUP(F139,'Anticipated Exit Bookings'!$B:$C,MATCH('Exit Anticipated Rev. Recovery'!$C$2,'Anticipated Exit Bookings'!$B$1:$C$1,0), FALSE))*VLOOKUP($F139, 'Exit Capacity Split'!A:H, 8,0)/100</f>
        <v>0</v>
      </c>
      <c r="W139" s="200">
        <f ca="1">IF(VLOOKUP(F139,'Exit Prices'!$A:$Q,17,FALSE)&gt;0,VLOOKUP(F139,'Exit Prices'!$A:$Q,17,FALSE),0)</f>
        <v>8.9191454102139928E-3</v>
      </c>
      <c r="X139" s="202">
        <f ca="1">V139*W139*'User Inputs'!$D$7/100</f>
        <v>0</v>
      </c>
      <c r="Y139" s="199">
        <f t="shared" ca="1" si="3"/>
        <v>0</v>
      </c>
      <c r="AA139" s="164"/>
    </row>
    <row r="140" spans="5:27">
      <c r="E140" s="213" t="s">
        <v>474</v>
      </c>
      <c r="F140" s="213" t="s">
        <v>159</v>
      </c>
      <c r="G140" s="197">
        <f ca="1">(VLOOKUP(F140,'Anticipated Exit Bookings'!$B:$C,MATCH('Exit Anticipated Rev. Recovery'!$C$2,'Anticipated Exit Bookings'!$B$1:$C$1,0), FALSE))*VLOOKUP($F140, 'Exit Capacity Split'!A:H, 3,0)/100</f>
        <v>45642234.30197458</v>
      </c>
      <c r="H140" s="200">
        <f ca="1">IF(VLOOKUP(F140,'Exit Prices'!$A:$Q,12,FALSE)&gt;0,VLOOKUP(F140,'Exit Prices'!$A:$Q,12,FALSE),0)</f>
        <v>1.9820323133808871E-2</v>
      </c>
      <c r="I140" s="202">
        <f ca="1">G140*H140*'User Inputs'!$D$7/100</f>
        <v>3301949.988311653</v>
      </c>
      <c r="J140" s="209">
        <f ca="1">(VLOOKUP(F140,'Anticipated Exit Bookings'!$B:$C,MATCH('Exit Anticipated Rev. Recovery'!$C$2,'Anticipated Exit Bookings'!$B$1:$C$1,0), FALSE))*VLOOKUP($F140, 'Exit Capacity Split'!A:H, 4,0)/100</f>
        <v>0</v>
      </c>
      <c r="K140" s="205" t="str">
        <f>IF(VLOOKUP(F140,'Exit Prices'!$A:$Q,13,FALSE)&gt;0,VLOOKUP(F140,'Exit Prices'!$A:$Q,13,FALSE),0)</f>
        <v>N/A</v>
      </c>
      <c r="L140" s="207" t="s">
        <v>428</v>
      </c>
      <c r="M140" s="209">
        <f ca="1">(VLOOKUP(F140,'Anticipated Exit Bookings'!$B:$C,MATCH('Exit Anticipated Rev. Recovery'!$C$2,'Anticipated Exit Bookings'!$B$1:$C$1,0), FALSE))*VLOOKUP($F140, 'Exit Capacity Split'!A:H, 5,0)/100</f>
        <v>0</v>
      </c>
      <c r="N140" s="205" t="str">
        <f>IF(VLOOKUP(F140,'Exit Prices'!$A:$Q,14,FALSE)&gt;0,VLOOKUP(F140,'Exit Prices'!$A:$Q,14,FALSE),0)</f>
        <v>N/A</v>
      </c>
      <c r="O140" s="207" t="s">
        <v>428</v>
      </c>
      <c r="P140" s="204">
        <f ca="1">(VLOOKUP(F140,'Anticipated Exit Bookings'!$B:$C,MATCH('Exit Anticipated Rev. Recovery'!$C$2,'Anticipated Exit Bookings'!$B$1:$C$1,0), FALSE))*VLOOKUP($F140, 'Exit Capacity Split'!A:H, 6,0)/100</f>
        <v>0</v>
      </c>
      <c r="Q140" s="200">
        <f ca="1">IF(VLOOKUP(F140,'Exit Prices'!$A:$Q,15,FALSE)&gt;0,VLOOKUP(F140,'Exit Prices'!$A:$Q,15,FALSE),0)</f>
        <v>1.9820323133808871E-2</v>
      </c>
      <c r="R140" s="202">
        <f ca="1">P140*Q140*'User Inputs'!$D$7/100</f>
        <v>0</v>
      </c>
      <c r="S140" s="209">
        <f ca="1">(VLOOKUP(F140,'Anticipated Exit Bookings'!$B:$C,MATCH('Exit Anticipated Rev. Recovery'!$C$2,'Anticipated Exit Bookings'!$B$1:$C$1,0), FALSE))*VLOOKUP($F140, 'Exit Capacity Split'!A:H, 7,0)/100</f>
        <v>43150.605719927327</v>
      </c>
      <c r="T140" s="205" t="str">
        <f>IF(VLOOKUP(F140,'Exit Prices'!$A:$Q,16,FALSE)&gt;0,VLOOKUP(F140,'Exit Prices'!$A:$Q,16,FALSE),0)</f>
        <v>N/A</v>
      </c>
      <c r="U140" s="207" t="s">
        <v>428</v>
      </c>
      <c r="V140" s="204">
        <f ca="1">(VLOOKUP(F140,'Anticipated Exit Bookings'!$B:$C,MATCH('Exit Anticipated Rev. Recovery'!$C$2,'Anticipated Exit Bookings'!$B$1:$C$1,0), FALSE))*VLOOKUP($F140, 'Exit Capacity Split'!A:H, 8,0)/100</f>
        <v>1173176.0923054933</v>
      </c>
      <c r="W140" s="200">
        <f ca="1">IF(VLOOKUP(F140,'Exit Prices'!$A:$Q,17,FALSE)&gt;0,VLOOKUP(F140,'Exit Prices'!$A:$Q,17,FALSE),0)</f>
        <v>1.7838290820427986E-2</v>
      </c>
      <c r="X140" s="202">
        <f ca="1">V140*W140*'User Inputs'!$D$7/100</f>
        <v>76385.215561133096</v>
      </c>
      <c r="Y140" s="199">
        <f t="shared" ca="1" si="3"/>
        <v>3378335.2038727859</v>
      </c>
      <c r="AA140" s="164"/>
    </row>
    <row r="141" spans="5:27">
      <c r="E141" s="213" t="s">
        <v>474</v>
      </c>
      <c r="F141" s="213" t="s">
        <v>160</v>
      </c>
      <c r="G141" s="197">
        <f ca="1">(VLOOKUP(F141,'Anticipated Exit Bookings'!$B:$C,MATCH('Exit Anticipated Rev. Recovery'!$C$2,'Anticipated Exit Bookings'!$B$1:$C$1,0), FALSE))*VLOOKUP($F141, 'Exit Capacity Split'!A:H, 3,0)/100</f>
        <v>59727130.604416274</v>
      </c>
      <c r="H141" s="200">
        <f ca="1">IF(VLOOKUP(F141,'Exit Prices'!$A:$Q,12,FALSE)&gt;0,VLOOKUP(F141,'Exit Prices'!$A:$Q,12,FALSE),0)</f>
        <v>1.9820323133808871E-2</v>
      </c>
      <c r="I141" s="202">
        <f ca="1">G141*H141*'User Inputs'!$D$7/100</f>
        <v>4320910.2537867855</v>
      </c>
      <c r="J141" s="209">
        <f ca="1">(VLOOKUP(F141,'Anticipated Exit Bookings'!$B:$C,MATCH('Exit Anticipated Rev. Recovery'!$C$2,'Anticipated Exit Bookings'!$B$1:$C$1,0), FALSE))*VLOOKUP($F141, 'Exit Capacity Split'!A:H, 4,0)/100</f>
        <v>0</v>
      </c>
      <c r="K141" s="205" t="str">
        <f>IF(VLOOKUP(F141,'Exit Prices'!$A:$Q,13,FALSE)&gt;0,VLOOKUP(F141,'Exit Prices'!$A:$Q,13,FALSE),0)</f>
        <v>N/A</v>
      </c>
      <c r="L141" s="207" t="s">
        <v>428</v>
      </c>
      <c r="M141" s="209">
        <f ca="1">(VLOOKUP(F141,'Anticipated Exit Bookings'!$B:$C,MATCH('Exit Anticipated Rev. Recovery'!$C$2,'Anticipated Exit Bookings'!$B$1:$C$1,0), FALSE))*VLOOKUP($F141, 'Exit Capacity Split'!A:H, 5,0)/100</f>
        <v>0</v>
      </c>
      <c r="N141" s="205" t="str">
        <f>IF(VLOOKUP(F141,'Exit Prices'!$A:$Q,14,FALSE)&gt;0,VLOOKUP(F141,'Exit Prices'!$A:$Q,14,FALSE),0)</f>
        <v>N/A</v>
      </c>
      <c r="O141" s="207" t="s">
        <v>428</v>
      </c>
      <c r="P141" s="204">
        <f ca="1">(VLOOKUP(F141,'Anticipated Exit Bookings'!$B:$C,MATCH('Exit Anticipated Rev. Recovery'!$C$2,'Anticipated Exit Bookings'!$B$1:$C$1,0), FALSE))*VLOOKUP($F141, 'Exit Capacity Split'!A:H, 6,0)/100</f>
        <v>316519.00346990646</v>
      </c>
      <c r="Q141" s="200">
        <f ca="1">IF(VLOOKUP(F141,'Exit Prices'!$A:$Q,15,FALSE)&gt;0,VLOOKUP(F141,'Exit Prices'!$A:$Q,15,FALSE),0)</f>
        <v>1.9820323133808871E-2</v>
      </c>
      <c r="R141" s="202">
        <f ca="1">P141*Q141*'User Inputs'!$D$7/100</f>
        <v>22898.307582691217</v>
      </c>
      <c r="S141" s="209">
        <f ca="1">(VLOOKUP(F141,'Anticipated Exit Bookings'!$B:$C,MATCH('Exit Anticipated Rev. Recovery'!$C$2,'Anticipated Exit Bookings'!$B$1:$C$1,0), FALSE))*VLOOKUP($F141, 'Exit Capacity Split'!A:H, 7,0)/100</f>
        <v>80585.39168445571</v>
      </c>
      <c r="T141" s="205" t="str">
        <f>IF(VLOOKUP(F141,'Exit Prices'!$A:$Q,16,FALSE)&gt;0,VLOOKUP(F141,'Exit Prices'!$A:$Q,16,FALSE),0)</f>
        <v>N/A</v>
      </c>
      <c r="U141" s="207" t="s">
        <v>428</v>
      </c>
      <c r="V141" s="204">
        <f ca="1">(VLOOKUP(F141,'Anticipated Exit Bookings'!$B:$C,MATCH('Exit Anticipated Rev. Recovery'!$C$2,'Anticipated Exit Bookings'!$B$1:$C$1,0), FALSE))*VLOOKUP($F141, 'Exit Capacity Split'!A:H, 8,0)/100</f>
        <v>61075765.000429347</v>
      </c>
      <c r="W141" s="200">
        <f ca="1">IF(VLOOKUP(F141,'Exit Prices'!$A:$Q,17,FALSE)&gt;0,VLOOKUP(F141,'Exit Prices'!$A:$Q,17,FALSE),0)</f>
        <v>1.7838290820427986E-2</v>
      </c>
      <c r="X141" s="202">
        <f ca="1">V141*W141*'User Inputs'!$D$7/100</f>
        <v>3976628.4922758811</v>
      </c>
      <c r="Y141" s="199">
        <f t="shared" ca="1" si="3"/>
        <v>8320437.0536453575</v>
      </c>
      <c r="AA141" s="164"/>
    </row>
    <row r="142" spans="5:27">
      <c r="E142" s="213" t="s">
        <v>474</v>
      </c>
      <c r="F142" s="213" t="s">
        <v>161</v>
      </c>
      <c r="G142" s="197">
        <f ca="1">(VLOOKUP(F142,'Anticipated Exit Bookings'!$B:$C,MATCH('Exit Anticipated Rev. Recovery'!$C$2,'Anticipated Exit Bookings'!$B$1:$C$1,0), FALSE))*VLOOKUP($F142, 'Exit Capacity Split'!A:H, 3,0)/100</f>
        <v>1382534.9640336875</v>
      </c>
      <c r="H142" s="200">
        <f ca="1">IF(VLOOKUP(F142,'Exit Prices'!$A:$Q,12,FALSE)&gt;0,VLOOKUP(F142,'Exit Prices'!$A:$Q,12,FALSE),0)</f>
        <v>1.9820323133808871E-2</v>
      </c>
      <c r="I142" s="202">
        <f ca="1">G142*H142*'User Inputs'!$D$7/100</f>
        <v>100018.35751791825</v>
      </c>
      <c r="J142" s="209">
        <f ca="1">(VLOOKUP(F142,'Anticipated Exit Bookings'!$B:$C,MATCH('Exit Anticipated Rev. Recovery'!$C$2,'Anticipated Exit Bookings'!$B$1:$C$1,0), FALSE))*VLOOKUP($F142, 'Exit Capacity Split'!A:H, 4,0)/100</f>
        <v>0</v>
      </c>
      <c r="K142" s="205" t="str">
        <f>IF(VLOOKUP(F142,'Exit Prices'!$A:$Q,13,FALSE)&gt;0,VLOOKUP(F142,'Exit Prices'!$A:$Q,13,FALSE),0)</f>
        <v>N/A</v>
      </c>
      <c r="L142" s="207" t="s">
        <v>428</v>
      </c>
      <c r="M142" s="209">
        <f ca="1">(VLOOKUP(F142,'Anticipated Exit Bookings'!$B:$C,MATCH('Exit Anticipated Rev. Recovery'!$C$2,'Anticipated Exit Bookings'!$B$1:$C$1,0), FALSE))*VLOOKUP($F142, 'Exit Capacity Split'!A:H, 5,0)/100</f>
        <v>0</v>
      </c>
      <c r="N142" s="205" t="str">
        <f>IF(VLOOKUP(F142,'Exit Prices'!$A:$Q,14,FALSE)&gt;0,VLOOKUP(F142,'Exit Prices'!$A:$Q,14,FALSE),0)</f>
        <v>N/A</v>
      </c>
      <c r="O142" s="207" t="s">
        <v>428</v>
      </c>
      <c r="P142" s="204">
        <f ca="1">(VLOOKUP(F142,'Anticipated Exit Bookings'!$B:$C,MATCH('Exit Anticipated Rev. Recovery'!$C$2,'Anticipated Exit Bookings'!$B$1:$C$1,0), FALSE))*VLOOKUP($F142, 'Exit Capacity Split'!A:H, 6,0)/100</f>
        <v>7326.6300364660283</v>
      </c>
      <c r="Q142" s="200">
        <f ca="1">IF(VLOOKUP(F142,'Exit Prices'!$A:$Q,15,FALSE)&gt;0,VLOOKUP(F142,'Exit Prices'!$A:$Q,15,FALSE),0)</f>
        <v>1.9820323133808871E-2</v>
      </c>
      <c r="R142" s="202">
        <f ca="1">P142*Q142*'User Inputs'!$D$7/100</f>
        <v>530.03903803688695</v>
      </c>
      <c r="S142" s="209">
        <f ca="1">(VLOOKUP(F142,'Anticipated Exit Bookings'!$B:$C,MATCH('Exit Anticipated Rev. Recovery'!$C$2,'Anticipated Exit Bookings'!$B$1:$C$1,0), FALSE))*VLOOKUP($F142, 'Exit Capacity Split'!A:H, 7,0)/100</f>
        <v>1865.3519843772922</v>
      </c>
      <c r="T142" s="205" t="str">
        <f>IF(VLOOKUP(F142,'Exit Prices'!$A:$Q,16,FALSE)&gt;0,VLOOKUP(F142,'Exit Prices'!$A:$Q,16,FALSE),0)</f>
        <v>N/A</v>
      </c>
      <c r="U142" s="207" t="s">
        <v>428</v>
      </c>
      <c r="V142" s="204">
        <f ca="1">(VLOOKUP(F142,'Anticipated Exit Bookings'!$B:$C,MATCH('Exit Anticipated Rev. Recovery'!$C$2,'Anticipated Exit Bookings'!$B$1:$C$1,0), FALSE))*VLOOKUP($F142, 'Exit Capacity Split'!A:H, 8,0)/100</f>
        <v>1413752.5060002634</v>
      </c>
      <c r="W142" s="200">
        <f ca="1">IF(VLOOKUP(F142,'Exit Prices'!$A:$Q,17,FALSE)&gt;0,VLOOKUP(F142,'Exit Prices'!$A:$Q,17,FALSE),0)</f>
        <v>1.7838290820427986E-2</v>
      </c>
      <c r="X142" s="202">
        <f ca="1">V142*W142*'User Inputs'!$D$7/100</f>
        <v>92049.088478016682</v>
      </c>
      <c r="Y142" s="199">
        <f t="shared" ca="1" si="3"/>
        <v>192597.48503397184</v>
      </c>
      <c r="AA142" s="164"/>
    </row>
    <row r="143" spans="5:27">
      <c r="E143" s="213" t="s">
        <v>474</v>
      </c>
      <c r="F143" s="213" t="s">
        <v>162</v>
      </c>
      <c r="G143" s="197">
        <f ca="1">(VLOOKUP(F143,'Anticipated Exit Bookings'!$B:$C,MATCH('Exit Anticipated Rev. Recovery'!$C$2,'Anticipated Exit Bookings'!$B$1:$C$1,0), FALSE))*VLOOKUP($F143, 'Exit Capacity Split'!A:H, 3,0)/100</f>
        <v>19797925.144909453</v>
      </c>
      <c r="H143" s="200">
        <f ca="1">IF(VLOOKUP(F143,'Exit Prices'!$A:$Q,12,FALSE)&gt;0,VLOOKUP(F143,'Exit Prices'!$A:$Q,12,FALSE),0)</f>
        <v>1.9820323133808871E-2</v>
      </c>
      <c r="I143" s="202">
        <f ca="1">G143*H143*'User Inputs'!$D$7/100</f>
        <v>1432264.6491913879</v>
      </c>
      <c r="J143" s="209">
        <f ca="1">(VLOOKUP(F143,'Anticipated Exit Bookings'!$B:$C,MATCH('Exit Anticipated Rev. Recovery'!$C$2,'Anticipated Exit Bookings'!$B$1:$C$1,0), FALSE))*VLOOKUP($F143, 'Exit Capacity Split'!A:H, 4,0)/100</f>
        <v>0</v>
      </c>
      <c r="K143" s="205" t="str">
        <f>IF(VLOOKUP(F143,'Exit Prices'!$A:$Q,13,FALSE)&gt;0,VLOOKUP(F143,'Exit Prices'!$A:$Q,13,FALSE),0)</f>
        <v>N/A</v>
      </c>
      <c r="L143" s="207" t="s">
        <v>428</v>
      </c>
      <c r="M143" s="209">
        <f ca="1">(VLOOKUP(F143,'Anticipated Exit Bookings'!$B:$C,MATCH('Exit Anticipated Rev. Recovery'!$C$2,'Anticipated Exit Bookings'!$B$1:$C$1,0), FALSE))*VLOOKUP($F143, 'Exit Capacity Split'!A:H, 5,0)/100</f>
        <v>0</v>
      </c>
      <c r="N143" s="205" t="str">
        <f>IF(VLOOKUP(F143,'Exit Prices'!$A:$Q,14,FALSE)&gt;0,VLOOKUP(F143,'Exit Prices'!$A:$Q,14,FALSE),0)</f>
        <v>N/A</v>
      </c>
      <c r="O143" s="207" t="s">
        <v>428</v>
      </c>
      <c r="P143" s="204">
        <f ca="1">(VLOOKUP(F143,'Anticipated Exit Bookings'!$B:$C,MATCH('Exit Anticipated Rev. Recovery'!$C$2,'Anticipated Exit Bookings'!$B$1:$C$1,0), FALSE))*VLOOKUP($F143, 'Exit Capacity Split'!A:H, 6,0)/100</f>
        <v>0</v>
      </c>
      <c r="Q143" s="200">
        <f ca="1">IF(VLOOKUP(F143,'Exit Prices'!$A:$Q,15,FALSE)&gt;0,VLOOKUP(F143,'Exit Prices'!$A:$Q,15,FALSE),0)</f>
        <v>1.9820323133808871E-2</v>
      </c>
      <c r="R143" s="202">
        <f ca="1">P143*Q143*'User Inputs'!$D$7/100</f>
        <v>0</v>
      </c>
      <c r="S143" s="209">
        <f ca="1">(VLOOKUP(F143,'Anticipated Exit Bookings'!$B:$C,MATCH('Exit Anticipated Rev. Recovery'!$C$2,'Anticipated Exit Bookings'!$B$1:$C$1,0), FALSE))*VLOOKUP($F143, 'Exit Capacity Split'!A:H, 7,0)/100</f>
        <v>18717.148164757222</v>
      </c>
      <c r="T143" s="205" t="str">
        <f>IF(VLOOKUP(F143,'Exit Prices'!$A:$Q,16,FALSE)&gt;0,VLOOKUP(F143,'Exit Prices'!$A:$Q,16,FALSE),0)</f>
        <v>N/A</v>
      </c>
      <c r="U143" s="207" t="s">
        <v>428</v>
      </c>
      <c r="V143" s="204">
        <f ca="1">(VLOOKUP(F143,'Anticipated Exit Bookings'!$B:$C,MATCH('Exit Anticipated Rev. Recovery'!$C$2,'Anticipated Exit Bookings'!$B$1:$C$1,0), FALSE))*VLOOKUP($F143, 'Exit Capacity Split'!A:H, 8,0)/100</f>
        <v>508880.70692579367</v>
      </c>
      <c r="W143" s="200">
        <f ca="1">IF(VLOOKUP(F143,'Exit Prices'!$A:$Q,17,FALSE)&gt;0,VLOOKUP(F143,'Exit Prices'!$A:$Q,17,FALSE),0)</f>
        <v>1.7838290820427986E-2</v>
      </c>
      <c r="X143" s="202">
        <f ca="1">V143*W143*'User Inputs'!$D$7/100</f>
        <v>33133.101457122604</v>
      </c>
      <c r="Y143" s="199">
        <f t="shared" ca="1" si="3"/>
        <v>1465397.7506485106</v>
      </c>
      <c r="AA143" s="164"/>
    </row>
    <row r="144" spans="5:27">
      <c r="E144" s="213" t="s">
        <v>474</v>
      </c>
      <c r="F144" s="213" t="s">
        <v>163</v>
      </c>
      <c r="G144" s="197">
        <f ca="1">(VLOOKUP(F144,'Anticipated Exit Bookings'!$B:$C,MATCH('Exit Anticipated Rev. Recovery'!$C$2,'Anticipated Exit Bookings'!$B$1:$C$1,0), FALSE))*VLOOKUP($F144, 'Exit Capacity Split'!A:H, 3,0)/100</f>
        <v>109056871.20084032</v>
      </c>
      <c r="H144" s="200">
        <f ca="1">IF(VLOOKUP(F144,'Exit Prices'!$A:$Q,12,FALSE)&gt;0,VLOOKUP(F144,'Exit Prices'!$A:$Q,12,FALSE),0)</f>
        <v>1.9820323133808871E-2</v>
      </c>
      <c r="I144" s="202">
        <f ca="1">G144*H144*'User Inputs'!$D$7/100</f>
        <v>7889629.8591443291</v>
      </c>
      <c r="J144" s="209">
        <f ca="1">(VLOOKUP(F144,'Anticipated Exit Bookings'!$B:$C,MATCH('Exit Anticipated Rev. Recovery'!$C$2,'Anticipated Exit Bookings'!$B$1:$C$1,0), FALSE))*VLOOKUP($F144, 'Exit Capacity Split'!A:H, 4,0)/100</f>
        <v>0</v>
      </c>
      <c r="K144" s="205" t="str">
        <f>IF(VLOOKUP(F144,'Exit Prices'!$A:$Q,13,FALSE)&gt;0,VLOOKUP(F144,'Exit Prices'!$A:$Q,13,FALSE),0)</f>
        <v>N/A</v>
      </c>
      <c r="L144" s="207" t="s">
        <v>428</v>
      </c>
      <c r="M144" s="209">
        <f ca="1">(VLOOKUP(F144,'Anticipated Exit Bookings'!$B:$C,MATCH('Exit Anticipated Rev. Recovery'!$C$2,'Anticipated Exit Bookings'!$B$1:$C$1,0), FALSE))*VLOOKUP($F144, 'Exit Capacity Split'!A:H, 5,0)/100</f>
        <v>0</v>
      </c>
      <c r="N144" s="205" t="str">
        <f>IF(VLOOKUP(F144,'Exit Prices'!$A:$Q,14,FALSE)&gt;0,VLOOKUP(F144,'Exit Prices'!$A:$Q,14,FALSE),0)</f>
        <v>N/A</v>
      </c>
      <c r="O144" s="207" t="s">
        <v>428</v>
      </c>
      <c r="P144" s="204">
        <f ca="1">(VLOOKUP(F144,'Anticipated Exit Bookings'!$B:$C,MATCH('Exit Anticipated Rev. Recovery'!$C$2,'Anticipated Exit Bookings'!$B$1:$C$1,0), FALSE))*VLOOKUP($F144, 'Exit Capacity Split'!A:H, 6,0)/100</f>
        <v>0</v>
      </c>
      <c r="Q144" s="200">
        <f ca="1">IF(VLOOKUP(F144,'Exit Prices'!$A:$Q,15,FALSE)&gt;0,VLOOKUP(F144,'Exit Prices'!$A:$Q,15,FALSE),0)</f>
        <v>1.9820323133808871E-2</v>
      </c>
      <c r="R144" s="202">
        <f ca="1">P144*Q144*'User Inputs'!$D$7/100</f>
        <v>0</v>
      </c>
      <c r="S144" s="209">
        <f ca="1">(VLOOKUP(F144,'Anticipated Exit Bookings'!$B:$C,MATCH('Exit Anticipated Rev. Recovery'!$C$2,'Anticipated Exit Bookings'!$B$1:$C$1,0), FALSE))*VLOOKUP($F144, 'Exit Capacity Split'!A:H, 7,0)/100</f>
        <v>103103.41117618713</v>
      </c>
      <c r="T144" s="205" t="str">
        <f>IF(VLOOKUP(F144,'Exit Prices'!$A:$Q,16,FALSE)&gt;0,VLOOKUP(F144,'Exit Prices'!$A:$Q,16,FALSE),0)</f>
        <v>N/A</v>
      </c>
      <c r="U144" s="207" t="s">
        <v>428</v>
      </c>
      <c r="V144" s="204">
        <f ca="1">(VLOOKUP(F144,'Anticipated Exit Bookings'!$B:$C,MATCH('Exit Anticipated Rev. Recovery'!$C$2,'Anticipated Exit Bookings'!$B$1:$C$1,0), FALSE))*VLOOKUP($F144, 'Exit Capacity Split'!A:H, 8,0)/100</f>
        <v>2803169.3879834944</v>
      </c>
      <c r="W144" s="200">
        <f ca="1">IF(VLOOKUP(F144,'Exit Prices'!$A:$Q,17,FALSE)&gt;0,VLOOKUP(F144,'Exit Prices'!$A:$Q,17,FALSE),0)</f>
        <v>1.7838290820427986E-2</v>
      </c>
      <c r="X144" s="202">
        <f ca="1">V144*W144*'User Inputs'!$D$7/100</f>
        <v>182513.69028046305</v>
      </c>
      <c r="Y144" s="199">
        <f t="shared" ca="1" si="3"/>
        <v>8072143.5494247917</v>
      </c>
      <c r="AA144" s="164"/>
    </row>
    <row r="145" spans="5:27">
      <c r="E145" s="213" t="s">
        <v>474</v>
      </c>
      <c r="F145" s="213" t="s">
        <v>164</v>
      </c>
      <c r="G145" s="197">
        <f ca="1">(VLOOKUP(F145,'Anticipated Exit Bookings'!$B:$C,MATCH('Exit Anticipated Rev. Recovery'!$C$2,'Anticipated Exit Bookings'!$B$1:$C$1,0), FALSE))*VLOOKUP($F145, 'Exit Capacity Split'!A:H, 3,0)/100</f>
        <v>160596290.54065284</v>
      </c>
      <c r="H145" s="200">
        <f ca="1">IF(VLOOKUP(F145,'Exit Prices'!$A:$Q,12,FALSE)&gt;0,VLOOKUP(F145,'Exit Prices'!$A:$Q,12,FALSE),0)</f>
        <v>1.9820323133808871E-2</v>
      </c>
      <c r="I145" s="202">
        <f ca="1">G145*H145*'User Inputs'!$D$7/100</f>
        <v>11618206.860014791</v>
      </c>
      <c r="J145" s="209">
        <f ca="1">(VLOOKUP(F145,'Anticipated Exit Bookings'!$B:$C,MATCH('Exit Anticipated Rev. Recovery'!$C$2,'Anticipated Exit Bookings'!$B$1:$C$1,0), FALSE))*VLOOKUP($F145, 'Exit Capacity Split'!A:H, 4,0)/100</f>
        <v>0</v>
      </c>
      <c r="K145" s="205" t="str">
        <f>IF(VLOOKUP(F145,'Exit Prices'!$A:$Q,13,FALSE)&gt;0,VLOOKUP(F145,'Exit Prices'!$A:$Q,13,FALSE),0)</f>
        <v>N/A</v>
      </c>
      <c r="L145" s="207" t="s">
        <v>428</v>
      </c>
      <c r="M145" s="209">
        <f ca="1">(VLOOKUP(F145,'Anticipated Exit Bookings'!$B:$C,MATCH('Exit Anticipated Rev. Recovery'!$C$2,'Anticipated Exit Bookings'!$B$1:$C$1,0), FALSE))*VLOOKUP($F145, 'Exit Capacity Split'!A:H, 5,0)/100</f>
        <v>0</v>
      </c>
      <c r="N145" s="205" t="str">
        <f>IF(VLOOKUP(F145,'Exit Prices'!$A:$Q,14,FALSE)&gt;0,VLOOKUP(F145,'Exit Prices'!$A:$Q,14,FALSE),0)</f>
        <v>N/A</v>
      </c>
      <c r="O145" s="207" t="s">
        <v>428</v>
      </c>
      <c r="P145" s="204">
        <f ca="1">(VLOOKUP(F145,'Anticipated Exit Bookings'!$B:$C,MATCH('Exit Anticipated Rev. Recovery'!$C$2,'Anticipated Exit Bookings'!$B$1:$C$1,0), FALSE))*VLOOKUP($F145, 'Exit Capacity Split'!A:H, 6,0)/100</f>
        <v>0</v>
      </c>
      <c r="Q145" s="200">
        <f ca="1">IF(VLOOKUP(F145,'Exit Prices'!$A:$Q,15,FALSE)&gt;0,VLOOKUP(F145,'Exit Prices'!$A:$Q,15,FALSE),0)</f>
        <v>1.9820323133808871E-2</v>
      </c>
      <c r="R145" s="202">
        <f ca="1">P145*Q145*'User Inputs'!$D$7/100</f>
        <v>0</v>
      </c>
      <c r="S145" s="209">
        <f ca="1">(VLOOKUP(F145,'Anticipated Exit Bookings'!$B:$C,MATCH('Exit Anticipated Rev. Recovery'!$C$2,'Anticipated Exit Bookings'!$B$1:$C$1,0), FALSE))*VLOOKUP($F145, 'Exit Capacity Split'!A:H, 7,0)/100</f>
        <v>151829.27214636392</v>
      </c>
      <c r="T145" s="205" t="str">
        <f>IF(VLOOKUP(F145,'Exit Prices'!$A:$Q,16,FALSE)&gt;0,VLOOKUP(F145,'Exit Prices'!$A:$Q,16,FALSE),0)</f>
        <v>N/A</v>
      </c>
      <c r="U145" s="207" t="s">
        <v>428</v>
      </c>
      <c r="V145" s="204">
        <f ca="1">(VLOOKUP(F145,'Anticipated Exit Bookings'!$B:$C,MATCH('Exit Anticipated Rev. Recovery'!$C$2,'Anticipated Exit Bookings'!$B$1:$C$1,0), FALSE))*VLOOKUP($F145, 'Exit Capacity Split'!A:H, 8,0)/100</f>
        <v>4127925.1872007907</v>
      </c>
      <c r="W145" s="200">
        <f ca="1">IF(VLOOKUP(F145,'Exit Prices'!$A:$Q,17,FALSE)&gt;0,VLOOKUP(F145,'Exit Prices'!$A:$Q,17,FALSE),0)</f>
        <v>1.7838290820427986E-2</v>
      </c>
      <c r="X145" s="202">
        <f ca="1">V145*W145*'User Inputs'!$D$7/100</f>
        <v>268768.22440603928</v>
      </c>
      <c r="Y145" s="199">
        <f t="shared" ca="1" si="3"/>
        <v>11886975.08442083</v>
      </c>
      <c r="AA145" s="164"/>
    </row>
    <row r="146" spans="5:27">
      <c r="E146" s="213" t="s">
        <v>474</v>
      </c>
      <c r="F146" s="213" t="s">
        <v>165</v>
      </c>
      <c r="G146" s="197">
        <f ca="1">(VLOOKUP(F146,'Anticipated Exit Bookings'!$B:$C,MATCH('Exit Anticipated Rev. Recovery'!$C$2,'Anticipated Exit Bookings'!$B$1:$C$1,0), FALSE))*VLOOKUP($F146, 'Exit Capacity Split'!A:H, 3,0)/100</f>
        <v>2788558.317204678</v>
      </c>
      <c r="H146" s="200">
        <f ca="1">IF(VLOOKUP(F146,'Exit Prices'!$A:$Q,12,FALSE)&gt;0,VLOOKUP(F146,'Exit Prices'!$A:$Q,12,FALSE),0)</f>
        <v>1.9820323133808871E-2</v>
      </c>
      <c r="I146" s="202">
        <f ca="1">G146*H146*'User Inputs'!$D$7/100</f>
        <v>201735.96327430461</v>
      </c>
      <c r="J146" s="209">
        <f ca="1">(VLOOKUP(F146,'Anticipated Exit Bookings'!$B:$C,MATCH('Exit Anticipated Rev. Recovery'!$C$2,'Anticipated Exit Bookings'!$B$1:$C$1,0), FALSE))*VLOOKUP($F146, 'Exit Capacity Split'!A:H, 4,0)/100</f>
        <v>0</v>
      </c>
      <c r="K146" s="205" t="str">
        <f>IF(VLOOKUP(F146,'Exit Prices'!$A:$Q,13,FALSE)&gt;0,VLOOKUP(F146,'Exit Prices'!$A:$Q,13,FALSE),0)</f>
        <v>N/A</v>
      </c>
      <c r="L146" s="207" t="s">
        <v>428</v>
      </c>
      <c r="M146" s="209">
        <f ca="1">(VLOOKUP(F146,'Anticipated Exit Bookings'!$B:$C,MATCH('Exit Anticipated Rev. Recovery'!$C$2,'Anticipated Exit Bookings'!$B$1:$C$1,0), FALSE))*VLOOKUP($F146, 'Exit Capacity Split'!A:H, 5,0)/100</f>
        <v>0</v>
      </c>
      <c r="N146" s="205" t="str">
        <f>IF(VLOOKUP(F146,'Exit Prices'!$A:$Q,14,FALSE)&gt;0,VLOOKUP(F146,'Exit Prices'!$A:$Q,14,FALSE),0)</f>
        <v>N/A</v>
      </c>
      <c r="O146" s="207" t="s">
        <v>428</v>
      </c>
      <c r="P146" s="204">
        <f ca="1">(VLOOKUP(F146,'Anticipated Exit Bookings'!$B:$C,MATCH('Exit Anticipated Rev. Recovery'!$C$2,'Anticipated Exit Bookings'!$B$1:$C$1,0), FALSE))*VLOOKUP($F146, 'Exit Capacity Split'!A:H, 6,0)/100</f>
        <v>96.861097399619496</v>
      </c>
      <c r="Q146" s="200">
        <f ca="1">IF(VLOOKUP(F146,'Exit Prices'!$A:$Q,15,FALSE)&gt;0,VLOOKUP(F146,'Exit Prices'!$A:$Q,15,FALSE),0)</f>
        <v>1.9820323133808871E-2</v>
      </c>
      <c r="R146" s="202">
        <f ca="1">P146*Q146*'User Inputs'!$D$7/100</f>
        <v>7.0073366108786423</v>
      </c>
      <c r="S146" s="209">
        <f ca="1">(VLOOKUP(F146,'Anticipated Exit Bookings'!$B:$C,MATCH('Exit Anticipated Rev. Recovery'!$C$2,'Anticipated Exit Bookings'!$B$1:$C$1,0), FALSE))*VLOOKUP($F146, 'Exit Capacity Split'!A:H, 7,0)/100</f>
        <v>3479.5486527401708</v>
      </c>
      <c r="T146" s="205" t="str">
        <f>IF(VLOOKUP(F146,'Exit Prices'!$A:$Q,16,FALSE)&gt;0,VLOOKUP(F146,'Exit Prices'!$A:$Q,16,FALSE),0)</f>
        <v>N/A</v>
      </c>
      <c r="U146" s="207" t="s">
        <v>428</v>
      </c>
      <c r="V146" s="204">
        <f ca="1">(VLOOKUP(F146,'Anticipated Exit Bookings'!$B:$C,MATCH('Exit Anticipated Rev. Recovery'!$C$2,'Anticipated Exit Bookings'!$B$1:$C$1,0), FALSE))*VLOOKUP($F146, 'Exit Capacity Split'!A:H, 8,0)/100</f>
        <v>897865.27304518328</v>
      </c>
      <c r="W146" s="200">
        <f ca="1">IF(VLOOKUP(F146,'Exit Prices'!$A:$Q,17,FALSE)&gt;0,VLOOKUP(F146,'Exit Prices'!$A:$Q,17,FALSE),0)</f>
        <v>1.7838290820427986E-2</v>
      </c>
      <c r="X146" s="202">
        <f ca="1">V146*W146*'User Inputs'!$D$7/100</f>
        <v>58459.793782221808</v>
      </c>
      <c r="Y146" s="199">
        <f t="shared" ca="1" si="3"/>
        <v>260202.7643931373</v>
      </c>
      <c r="AA146" s="164"/>
    </row>
    <row r="147" spans="5:27">
      <c r="E147" s="213" t="s">
        <v>474</v>
      </c>
      <c r="F147" s="213" t="s">
        <v>166</v>
      </c>
      <c r="G147" s="197">
        <f ca="1">(VLOOKUP(F147,'Anticipated Exit Bookings'!$B:$C,MATCH('Exit Anticipated Rev. Recovery'!$C$2,'Anticipated Exit Bookings'!$B$1:$C$1,0), FALSE))*VLOOKUP($F147, 'Exit Capacity Split'!A:H, 3,0)/100</f>
        <v>8116414.4624587726</v>
      </c>
      <c r="H147" s="200">
        <f ca="1">IF(VLOOKUP(F147,'Exit Prices'!$A:$Q,12,FALSE)&gt;0,VLOOKUP(F147,'Exit Prices'!$A:$Q,12,FALSE),0)</f>
        <v>1.9820323133808871E-2</v>
      </c>
      <c r="I147" s="202">
        <f ca="1">G147*H147*'User Inputs'!$D$7/100</f>
        <v>587175.34426856169</v>
      </c>
      <c r="J147" s="209">
        <f ca="1">(VLOOKUP(F147,'Anticipated Exit Bookings'!$B:$C,MATCH('Exit Anticipated Rev. Recovery'!$C$2,'Anticipated Exit Bookings'!$B$1:$C$1,0), FALSE))*VLOOKUP($F147, 'Exit Capacity Split'!A:H, 4,0)/100</f>
        <v>0</v>
      </c>
      <c r="K147" s="205" t="str">
        <f>IF(VLOOKUP(F147,'Exit Prices'!$A:$Q,13,FALSE)&gt;0,VLOOKUP(F147,'Exit Prices'!$A:$Q,13,FALSE),0)</f>
        <v>N/A</v>
      </c>
      <c r="L147" s="207" t="s">
        <v>428</v>
      </c>
      <c r="M147" s="209">
        <f ca="1">(VLOOKUP(F147,'Anticipated Exit Bookings'!$B:$C,MATCH('Exit Anticipated Rev. Recovery'!$C$2,'Anticipated Exit Bookings'!$B$1:$C$1,0), FALSE))*VLOOKUP($F147, 'Exit Capacity Split'!A:H, 5,0)/100</f>
        <v>0</v>
      </c>
      <c r="N147" s="205" t="str">
        <f>IF(VLOOKUP(F147,'Exit Prices'!$A:$Q,14,FALSE)&gt;0,VLOOKUP(F147,'Exit Prices'!$A:$Q,14,FALSE),0)</f>
        <v>N/A</v>
      </c>
      <c r="O147" s="207" t="s">
        <v>428</v>
      </c>
      <c r="P147" s="204">
        <f ca="1">(VLOOKUP(F147,'Anticipated Exit Bookings'!$B:$C,MATCH('Exit Anticipated Rev. Recovery'!$C$2,'Anticipated Exit Bookings'!$B$1:$C$1,0), FALSE))*VLOOKUP($F147, 'Exit Capacity Split'!A:H, 6,0)/100</f>
        <v>0</v>
      </c>
      <c r="Q147" s="200">
        <f ca="1">IF(VLOOKUP(F147,'Exit Prices'!$A:$Q,15,FALSE)&gt;0,VLOOKUP(F147,'Exit Prices'!$A:$Q,15,FALSE),0)</f>
        <v>1.9820323133808871E-2</v>
      </c>
      <c r="R147" s="202">
        <f ca="1">P147*Q147*'User Inputs'!$D$7/100</f>
        <v>0</v>
      </c>
      <c r="S147" s="209">
        <f ca="1">(VLOOKUP(F147,'Anticipated Exit Bookings'!$B:$C,MATCH('Exit Anticipated Rev. Recovery'!$C$2,'Anticipated Exit Bookings'!$B$1:$C$1,0), FALSE))*VLOOKUP($F147, 'Exit Capacity Split'!A:H, 7,0)/100</f>
        <v>7673.3360161976716</v>
      </c>
      <c r="T147" s="205" t="str">
        <f>IF(VLOOKUP(F147,'Exit Prices'!$A:$Q,16,FALSE)&gt;0,VLOOKUP(F147,'Exit Prices'!$A:$Q,16,FALSE),0)</f>
        <v>N/A</v>
      </c>
      <c r="U147" s="207" t="s">
        <v>428</v>
      </c>
      <c r="V147" s="204">
        <f ca="1">(VLOOKUP(F147,'Anticipated Exit Bookings'!$B:$C,MATCH('Exit Anticipated Rev. Recovery'!$C$2,'Anticipated Exit Bookings'!$B$1:$C$1,0), FALSE))*VLOOKUP($F147, 'Exit Capacity Split'!A:H, 8,0)/100</f>
        <v>208622.2015250299</v>
      </c>
      <c r="W147" s="200">
        <f ca="1">IF(VLOOKUP(F147,'Exit Prices'!$A:$Q,17,FALSE)&gt;0,VLOOKUP(F147,'Exit Prices'!$A:$Q,17,FALSE),0)</f>
        <v>1.7838290820427986E-2</v>
      </c>
      <c r="X147" s="202">
        <f ca="1">V147*W147*'User Inputs'!$D$7/100</f>
        <v>13583.341783765178</v>
      </c>
      <c r="Y147" s="199">
        <f t="shared" ca="1" si="3"/>
        <v>600758.68605232681</v>
      </c>
      <c r="AA147" s="164"/>
    </row>
    <row r="148" spans="5:27">
      <c r="E148" s="213" t="s">
        <v>474</v>
      </c>
      <c r="F148" s="213" t="s">
        <v>167</v>
      </c>
      <c r="G148" s="197">
        <f ca="1">(VLOOKUP(F148,'Anticipated Exit Bookings'!$B:$C,MATCH('Exit Anticipated Rev. Recovery'!$C$2,'Anticipated Exit Bookings'!$B$1:$C$1,0), FALSE))*VLOOKUP($F148, 'Exit Capacity Split'!A:H, 3,0)/100</f>
        <v>6045654.8882486252</v>
      </c>
      <c r="H148" s="200">
        <f ca="1">IF(VLOOKUP(F148,'Exit Prices'!$A:$Q,12,FALSE)&gt;0,VLOOKUP(F148,'Exit Prices'!$A:$Q,12,FALSE),0)</f>
        <v>1.9820323133808871E-2</v>
      </c>
      <c r="I148" s="202">
        <f ca="1">G148*H148*'User Inputs'!$D$7/100</f>
        <v>437367.942058113</v>
      </c>
      <c r="J148" s="209">
        <f ca="1">(VLOOKUP(F148,'Anticipated Exit Bookings'!$B:$C,MATCH('Exit Anticipated Rev. Recovery'!$C$2,'Anticipated Exit Bookings'!$B$1:$C$1,0), FALSE))*VLOOKUP($F148, 'Exit Capacity Split'!A:H, 4,0)/100</f>
        <v>0</v>
      </c>
      <c r="K148" s="205" t="str">
        <f>IF(VLOOKUP(F148,'Exit Prices'!$A:$Q,13,FALSE)&gt;0,VLOOKUP(F148,'Exit Prices'!$A:$Q,13,FALSE),0)</f>
        <v>N/A</v>
      </c>
      <c r="L148" s="207" t="s">
        <v>428</v>
      </c>
      <c r="M148" s="209">
        <f ca="1">(VLOOKUP(F148,'Anticipated Exit Bookings'!$B:$C,MATCH('Exit Anticipated Rev. Recovery'!$C$2,'Anticipated Exit Bookings'!$B$1:$C$1,0), FALSE))*VLOOKUP($F148, 'Exit Capacity Split'!A:H, 5,0)/100</f>
        <v>0</v>
      </c>
      <c r="N148" s="205" t="str">
        <f>IF(VLOOKUP(F148,'Exit Prices'!$A:$Q,14,FALSE)&gt;0,VLOOKUP(F148,'Exit Prices'!$A:$Q,14,FALSE),0)</f>
        <v>N/A</v>
      </c>
      <c r="O148" s="207" t="s">
        <v>428</v>
      </c>
      <c r="P148" s="204">
        <f ca="1">(VLOOKUP(F148,'Anticipated Exit Bookings'!$B:$C,MATCH('Exit Anticipated Rev. Recovery'!$C$2,'Anticipated Exit Bookings'!$B$1:$C$1,0), FALSE))*VLOOKUP($F148, 'Exit Capacity Split'!A:H, 6,0)/100</f>
        <v>209.99695913196641</v>
      </c>
      <c r="Q148" s="200">
        <f ca="1">IF(VLOOKUP(F148,'Exit Prices'!$A:$Q,15,FALSE)&gt;0,VLOOKUP(F148,'Exit Prices'!$A:$Q,15,FALSE),0)</f>
        <v>1.9820323133808871E-2</v>
      </c>
      <c r="R148" s="202">
        <f ca="1">P148*Q148*'User Inputs'!$D$7/100</f>
        <v>15.19205769296183</v>
      </c>
      <c r="S148" s="209">
        <f ca="1">(VLOOKUP(F148,'Anticipated Exit Bookings'!$B:$C,MATCH('Exit Anticipated Rev. Recovery'!$C$2,'Anticipated Exit Bookings'!$B$1:$C$1,0), FALSE))*VLOOKUP($F148, 'Exit Capacity Split'!A:H, 7,0)/100</f>
        <v>7543.7369165098553</v>
      </c>
      <c r="T148" s="205" t="str">
        <f>IF(VLOOKUP(F148,'Exit Prices'!$A:$Q,16,FALSE)&gt;0,VLOOKUP(F148,'Exit Prices'!$A:$Q,16,FALSE),0)</f>
        <v>N/A</v>
      </c>
      <c r="U148" s="207" t="s">
        <v>428</v>
      </c>
      <c r="V148" s="204">
        <f ca="1">(VLOOKUP(F148,'Anticipated Exit Bookings'!$B:$C,MATCH('Exit Anticipated Rev. Recovery'!$C$2,'Anticipated Exit Bookings'!$B$1:$C$1,0), FALSE))*VLOOKUP($F148, 'Exit Capacity Split'!A:H, 8,0)/100</f>
        <v>1946591.377875736</v>
      </c>
      <c r="W148" s="200">
        <f ca="1">IF(VLOOKUP(F148,'Exit Prices'!$A:$Q,17,FALSE)&gt;0,VLOOKUP(F148,'Exit Prices'!$A:$Q,17,FALSE),0)</f>
        <v>1.7838290820427986E-2</v>
      </c>
      <c r="X148" s="202">
        <f ca="1">V148*W148*'User Inputs'!$D$7/100</f>
        <v>126742.10034086026</v>
      </c>
      <c r="Y148" s="199">
        <f t="shared" ca="1" si="3"/>
        <v>564125.23445666628</v>
      </c>
      <c r="AA148" s="164"/>
    </row>
    <row r="149" spans="5:27">
      <c r="E149" s="213" t="s">
        <v>474</v>
      </c>
      <c r="F149" s="213" t="s">
        <v>168</v>
      </c>
      <c r="G149" s="197">
        <f ca="1">(VLOOKUP(F149,'Anticipated Exit Bookings'!$B:$C,MATCH('Exit Anticipated Rev. Recovery'!$C$2,'Anticipated Exit Bookings'!$B$1:$C$1,0), FALSE))*VLOOKUP($F149, 'Exit Capacity Split'!A:H, 3,0)/100</f>
        <v>1866062.0349740186</v>
      </c>
      <c r="H149" s="200">
        <f ca="1">IF(VLOOKUP(F149,'Exit Prices'!$A:$Q,12,FALSE)&gt;0,VLOOKUP(F149,'Exit Prices'!$A:$Q,12,FALSE),0)</f>
        <v>1.9820323133808871E-2</v>
      </c>
      <c r="I149" s="202">
        <f ca="1">G149*H149*'User Inputs'!$D$7/100</f>
        <v>134998.72670135071</v>
      </c>
      <c r="J149" s="209">
        <f ca="1">(VLOOKUP(F149,'Anticipated Exit Bookings'!$B:$C,MATCH('Exit Anticipated Rev. Recovery'!$C$2,'Anticipated Exit Bookings'!$B$1:$C$1,0), FALSE))*VLOOKUP($F149, 'Exit Capacity Split'!A:H, 4,0)/100</f>
        <v>0</v>
      </c>
      <c r="K149" s="205" t="str">
        <f>IF(VLOOKUP(F149,'Exit Prices'!$A:$Q,13,FALSE)&gt;0,VLOOKUP(F149,'Exit Prices'!$A:$Q,13,FALSE),0)</f>
        <v>N/A</v>
      </c>
      <c r="L149" s="207" t="s">
        <v>428</v>
      </c>
      <c r="M149" s="209">
        <f ca="1">(VLOOKUP(F149,'Anticipated Exit Bookings'!$B:$C,MATCH('Exit Anticipated Rev. Recovery'!$C$2,'Anticipated Exit Bookings'!$B$1:$C$1,0), FALSE))*VLOOKUP($F149, 'Exit Capacity Split'!A:H, 5,0)/100</f>
        <v>0</v>
      </c>
      <c r="N149" s="205" t="str">
        <f>IF(VLOOKUP(F149,'Exit Prices'!$A:$Q,14,FALSE)&gt;0,VLOOKUP(F149,'Exit Prices'!$A:$Q,14,FALSE),0)</f>
        <v>N/A</v>
      </c>
      <c r="O149" s="207" t="s">
        <v>428</v>
      </c>
      <c r="P149" s="204">
        <f ca="1">(VLOOKUP(F149,'Anticipated Exit Bookings'!$B:$C,MATCH('Exit Anticipated Rev. Recovery'!$C$2,'Anticipated Exit Bookings'!$B$1:$C$1,0), FALSE))*VLOOKUP($F149, 'Exit Capacity Split'!A:H, 6,0)/100</f>
        <v>0</v>
      </c>
      <c r="Q149" s="200">
        <f ca="1">IF(VLOOKUP(F149,'Exit Prices'!$A:$Q,15,FALSE)&gt;0,VLOOKUP(F149,'Exit Prices'!$A:$Q,15,FALSE),0)</f>
        <v>1.9820323133808871E-2</v>
      </c>
      <c r="R149" s="202">
        <f ca="1">P149*Q149*'User Inputs'!$D$7/100</f>
        <v>0</v>
      </c>
      <c r="S149" s="209">
        <f ca="1">(VLOOKUP(F149,'Anticipated Exit Bookings'!$B:$C,MATCH('Exit Anticipated Rev. Recovery'!$C$2,'Anticipated Exit Bookings'!$B$1:$C$1,0), FALSE))*VLOOKUP($F149, 'Exit Capacity Split'!A:H, 7,0)/100</f>
        <v>1764.1929312081368</v>
      </c>
      <c r="T149" s="205" t="str">
        <f>IF(VLOOKUP(F149,'Exit Prices'!$A:$Q,16,FALSE)&gt;0,VLOOKUP(F149,'Exit Prices'!$A:$Q,16,FALSE),0)</f>
        <v>N/A</v>
      </c>
      <c r="U149" s="207" t="s">
        <v>428</v>
      </c>
      <c r="V149" s="204">
        <f ca="1">(VLOOKUP(F149,'Anticipated Exit Bookings'!$B:$C,MATCH('Exit Anticipated Rev. Recovery'!$C$2,'Anticipated Exit Bookings'!$B$1:$C$1,0), FALSE))*VLOOKUP($F149, 'Exit Capacity Split'!A:H, 8,0)/100</f>
        <v>47964.772094773318</v>
      </c>
      <c r="W149" s="200">
        <f ca="1">IF(VLOOKUP(F149,'Exit Prices'!$A:$Q,17,FALSE)&gt;0,VLOOKUP(F149,'Exit Prices'!$A:$Q,17,FALSE),0)</f>
        <v>1.7838290820427986E-2</v>
      </c>
      <c r="X149" s="202">
        <f ca="1">V149*W149*'User Inputs'!$D$7/100</f>
        <v>3122.974871231721</v>
      </c>
      <c r="Y149" s="199">
        <f t="shared" ca="1" si="3"/>
        <v>138121.70157258242</v>
      </c>
      <c r="AA149" s="164"/>
    </row>
    <row r="150" spans="5:27">
      <c r="E150" s="213" t="s">
        <v>474</v>
      </c>
      <c r="F150" s="213" t="s">
        <v>169</v>
      </c>
      <c r="G150" s="197">
        <f ca="1">(VLOOKUP(F150,'Anticipated Exit Bookings'!$B:$C,MATCH('Exit Anticipated Rev. Recovery'!$C$2,'Anticipated Exit Bookings'!$B$1:$C$1,0), FALSE))*VLOOKUP($F150, 'Exit Capacity Split'!A:H, 3,0)/100</f>
        <v>24374198.358631555</v>
      </c>
      <c r="H150" s="200">
        <f ca="1">IF(VLOOKUP(F150,'Exit Prices'!$A:$Q,12,FALSE)&gt;0,VLOOKUP(F150,'Exit Prices'!$A:$Q,12,FALSE),0)</f>
        <v>1.9820323133808871E-2</v>
      </c>
      <c r="I150" s="202">
        <f ca="1">G150*H150*'User Inputs'!$D$7/100</f>
        <v>1763331.3797240541</v>
      </c>
      <c r="J150" s="209">
        <f ca="1">(VLOOKUP(F150,'Anticipated Exit Bookings'!$B:$C,MATCH('Exit Anticipated Rev. Recovery'!$C$2,'Anticipated Exit Bookings'!$B$1:$C$1,0), FALSE))*VLOOKUP($F150, 'Exit Capacity Split'!A:H, 4,0)/100</f>
        <v>0</v>
      </c>
      <c r="K150" s="205" t="str">
        <f>IF(VLOOKUP(F150,'Exit Prices'!$A:$Q,13,FALSE)&gt;0,VLOOKUP(F150,'Exit Prices'!$A:$Q,13,FALSE),0)</f>
        <v>N/A</v>
      </c>
      <c r="L150" s="207" t="s">
        <v>428</v>
      </c>
      <c r="M150" s="209">
        <f ca="1">(VLOOKUP(F150,'Anticipated Exit Bookings'!$B:$C,MATCH('Exit Anticipated Rev. Recovery'!$C$2,'Anticipated Exit Bookings'!$B$1:$C$1,0), FALSE))*VLOOKUP($F150, 'Exit Capacity Split'!A:H, 5,0)/100</f>
        <v>0</v>
      </c>
      <c r="N150" s="205" t="str">
        <f>IF(VLOOKUP(F150,'Exit Prices'!$A:$Q,14,FALSE)&gt;0,VLOOKUP(F150,'Exit Prices'!$A:$Q,14,FALSE),0)</f>
        <v>N/A</v>
      </c>
      <c r="O150" s="207" t="s">
        <v>428</v>
      </c>
      <c r="P150" s="204">
        <f ca="1">(VLOOKUP(F150,'Anticipated Exit Bookings'!$B:$C,MATCH('Exit Anticipated Rev. Recovery'!$C$2,'Anticipated Exit Bookings'!$B$1:$C$1,0), FALSE))*VLOOKUP($F150, 'Exit Capacity Split'!A:H, 6,0)/100</f>
        <v>0</v>
      </c>
      <c r="Q150" s="200">
        <f ca="1">IF(VLOOKUP(F150,'Exit Prices'!$A:$Q,15,FALSE)&gt;0,VLOOKUP(F150,'Exit Prices'!$A:$Q,15,FALSE),0)</f>
        <v>1.9820323133808871E-2</v>
      </c>
      <c r="R150" s="202">
        <f ca="1">P150*Q150*'User Inputs'!$D$7/100</f>
        <v>0</v>
      </c>
      <c r="S150" s="209">
        <f ca="1">(VLOOKUP(F150,'Anticipated Exit Bookings'!$B:$C,MATCH('Exit Anticipated Rev. Recovery'!$C$2,'Anticipated Exit Bookings'!$B$1:$C$1,0), FALSE))*VLOOKUP($F150, 'Exit Capacity Split'!A:H, 7,0)/100</f>
        <v>23043.600717572856</v>
      </c>
      <c r="T150" s="205" t="str">
        <f>IF(VLOOKUP(F150,'Exit Prices'!$A:$Q,16,FALSE)&gt;0,VLOOKUP(F150,'Exit Prices'!$A:$Q,16,FALSE),0)</f>
        <v>N/A</v>
      </c>
      <c r="U150" s="207" t="s">
        <v>428</v>
      </c>
      <c r="V150" s="204">
        <f ca="1">(VLOOKUP(F150,'Anticipated Exit Bookings'!$B:$C,MATCH('Exit Anticipated Rev. Recovery'!$C$2,'Anticipated Exit Bookings'!$B$1:$C$1,0), FALSE))*VLOOKUP($F150, 'Exit Capacity Split'!A:H, 8,0)/100</f>
        <v>626508.0406508767</v>
      </c>
      <c r="W150" s="200">
        <f ca="1">IF(VLOOKUP(F150,'Exit Prices'!$A:$Q,17,FALSE)&gt;0,VLOOKUP(F150,'Exit Prices'!$A:$Q,17,FALSE),0)</f>
        <v>1.7838290820427986E-2</v>
      </c>
      <c r="X150" s="202">
        <f ca="1">V150*W150*'User Inputs'!$D$7/100</f>
        <v>40791.789101204027</v>
      </c>
      <c r="Y150" s="199">
        <f t="shared" ca="1" si="3"/>
        <v>1804123.1688252583</v>
      </c>
      <c r="AA150" s="164"/>
    </row>
    <row r="151" spans="5:27">
      <c r="E151" s="213" t="s">
        <v>474</v>
      </c>
      <c r="F151" s="213" t="s">
        <v>170</v>
      </c>
      <c r="G151" s="197">
        <f ca="1">(VLOOKUP(F151,'Anticipated Exit Bookings'!$B:$C,MATCH('Exit Anticipated Rev. Recovery'!$C$2,'Anticipated Exit Bookings'!$B$1:$C$1,0), FALSE))*VLOOKUP($F151, 'Exit Capacity Split'!A:H, 3,0)/100</f>
        <v>4948576.644168295</v>
      </c>
      <c r="H151" s="200">
        <f ca="1">IF(VLOOKUP(F151,'Exit Prices'!$A:$Q,12,FALSE)&gt;0,VLOOKUP(F151,'Exit Prices'!$A:$Q,12,FALSE),0)</f>
        <v>1.9820323133808871E-2</v>
      </c>
      <c r="I151" s="202">
        <f ca="1">G151*H151*'User Inputs'!$D$7/100</f>
        <v>358000.71671039821</v>
      </c>
      <c r="J151" s="209">
        <f ca="1">(VLOOKUP(F151,'Anticipated Exit Bookings'!$B:$C,MATCH('Exit Anticipated Rev. Recovery'!$C$2,'Anticipated Exit Bookings'!$B$1:$C$1,0), FALSE))*VLOOKUP($F151, 'Exit Capacity Split'!A:H, 4,0)/100</f>
        <v>0</v>
      </c>
      <c r="K151" s="205" t="str">
        <f>IF(VLOOKUP(F151,'Exit Prices'!$A:$Q,13,FALSE)&gt;0,VLOOKUP(F151,'Exit Prices'!$A:$Q,13,FALSE),0)</f>
        <v>N/A</v>
      </c>
      <c r="L151" s="207" t="s">
        <v>428</v>
      </c>
      <c r="M151" s="209">
        <f ca="1">(VLOOKUP(F151,'Anticipated Exit Bookings'!$B:$C,MATCH('Exit Anticipated Rev. Recovery'!$C$2,'Anticipated Exit Bookings'!$B$1:$C$1,0), FALSE))*VLOOKUP($F151, 'Exit Capacity Split'!A:H, 5,0)/100</f>
        <v>0</v>
      </c>
      <c r="N151" s="205" t="str">
        <f>IF(VLOOKUP(F151,'Exit Prices'!$A:$Q,14,FALSE)&gt;0,VLOOKUP(F151,'Exit Prices'!$A:$Q,14,FALSE),0)</f>
        <v>N/A</v>
      </c>
      <c r="O151" s="207" t="s">
        <v>428</v>
      </c>
      <c r="P151" s="204">
        <f ca="1">(VLOOKUP(F151,'Anticipated Exit Bookings'!$B:$C,MATCH('Exit Anticipated Rev. Recovery'!$C$2,'Anticipated Exit Bookings'!$B$1:$C$1,0), FALSE))*VLOOKUP($F151, 'Exit Capacity Split'!A:H, 6,0)/100</f>
        <v>0</v>
      </c>
      <c r="Q151" s="200">
        <f ca="1">IF(VLOOKUP(F151,'Exit Prices'!$A:$Q,15,FALSE)&gt;0,VLOOKUP(F151,'Exit Prices'!$A:$Q,15,FALSE),0)</f>
        <v>1.9820323133808871E-2</v>
      </c>
      <c r="R151" s="202">
        <f ca="1">P151*Q151*'User Inputs'!$D$7/100</f>
        <v>0</v>
      </c>
      <c r="S151" s="209">
        <f ca="1">(VLOOKUP(F151,'Anticipated Exit Bookings'!$B:$C,MATCH('Exit Anticipated Rev. Recovery'!$C$2,'Anticipated Exit Bookings'!$B$1:$C$1,0), FALSE))*VLOOKUP($F151, 'Exit Capacity Split'!A:H, 7,0)/100</f>
        <v>4678.4317839170562</v>
      </c>
      <c r="T151" s="205" t="str">
        <f>IF(VLOOKUP(F151,'Exit Prices'!$A:$Q,16,FALSE)&gt;0,VLOOKUP(F151,'Exit Prices'!$A:$Q,16,FALSE),0)</f>
        <v>N/A</v>
      </c>
      <c r="U151" s="207" t="s">
        <v>428</v>
      </c>
      <c r="V151" s="204">
        <f ca="1">(VLOOKUP(F151,'Anticipated Exit Bookings'!$B:$C,MATCH('Exit Anticipated Rev. Recovery'!$C$2,'Anticipated Exit Bookings'!$B$1:$C$1,0), FALSE))*VLOOKUP($F151, 'Exit Capacity Split'!A:H, 8,0)/100</f>
        <v>127196.92404778772</v>
      </c>
      <c r="W151" s="200">
        <f ca="1">IF(VLOOKUP(F151,'Exit Prices'!$A:$Q,17,FALSE)&gt;0,VLOOKUP(F151,'Exit Prices'!$A:$Q,17,FALSE),0)</f>
        <v>1.7838290820427986E-2</v>
      </c>
      <c r="X151" s="202">
        <f ca="1">V151*W151*'User Inputs'!$D$7/100</f>
        <v>8281.7613875933948</v>
      </c>
      <c r="Y151" s="199">
        <f t="shared" ca="1" si="3"/>
        <v>366282.47809799161</v>
      </c>
      <c r="AA151" s="164"/>
    </row>
    <row r="152" spans="5:27">
      <c r="E152" s="213" t="s">
        <v>474</v>
      </c>
      <c r="F152" s="213" t="s">
        <v>546</v>
      </c>
      <c r="G152" s="197">
        <f ca="1">(VLOOKUP(F152,'Anticipated Exit Bookings'!$B:$C,MATCH('Exit Anticipated Rev. Recovery'!$C$2,'Anticipated Exit Bookings'!$B$1:$C$1,0), FALSE))*VLOOKUP($F152, 'Exit Capacity Split'!A:H, 3,0)/100</f>
        <v>0</v>
      </c>
      <c r="H152" s="200">
        <f ca="1">IF(VLOOKUP(F152,'Exit Prices'!$A:$Q,12,FALSE)&gt;0,VLOOKUP(F152,'Exit Prices'!$A:$Q,12,FALSE),0)</f>
        <v>1.9820323133808871E-2</v>
      </c>
      <c r="I152" s="202">
        <f ca="1">G152*H152*'User Inputs'!$D$7/100</f>
        <v>0</v>
      </c>
      <c r="J152" s="209">
        <f ca="1">(VLOOKUP(F152,'Anticipated Exit Bookings'!$B:$C,MATCH('Exit Anticipated Rev. Recovery'!$C$2,'Anticipated Exit Bookings'!$B$1:$C$1,0), FALSE))*VLOOKUP($F152, 'Exit Capacity Split'!A:H, 4,0)/100</f>
        <v>0</v>
      </c>
      <c r="K152" s="205" t="str">
        <f>IF(VLOOKUP(F152,'Exit Prices'!$A:$Q,13,FALSE)&gt;0,VLOOKUP(F152,'Exit Prices'!$A:$Q,13,FALSE),0)</f>
        <v>N/A</v>
      </c>
      <c r="L152" s="207" t="s">
        <v>428</v>
      </c>
      <c r="M152" s="209">
        <f ca="1">(VLOOKUP(F152,'Anticipated Exit Bookings'!$B:$C,MATCH('Exit Anticipated Rev. Recovery'!$C$2,'Anticipated Exit Bookings'!$B$1:$C$1,0), FALSE))*VLOOKUP($F152, 'Exit Capacity Split'!A:H, 5,0)/100</f>
        <v>0</v>
      </c>
      <c r="N152" s="205" t="str">
        <f>IF(VLOOKUP(F152,'Exit Prices'!$A:$Q,14,FALSE)&gt;0,VLOOKUP(F152,'Exit Prices'!$A:$Q,14,FALSE),0)</f>
        <v>N/A</v>
      </c>
      <c r="O152" s="207" t="s">
        <v>428</v>
      </c>
      <c r="P152" s="204">
        <f ca="1">(VLOOKUP(F152,'Anticipated Exit Bookings'!$B:$C,MATCH('Exit Anticipated Rev. Recovery'!$C$2,'Anticipated Exit Bookings'!$B$1:$C$1,0), FALSE))*VLOOKUP($F152, 'Exit Capacity Split'!A:H, 6,0)/100</f>
        <v>0</v>
      </c>
      <c r="Q152" s="200">
        <f ca="1">IF(VLOOKUP(F152,'Exit Prices'!$A:$Q,15,FALSE)&gt;0,VLOOKUP(F152,'Exit Prices'!$A:$Q,15,FALSE),0)</f>
        <v>1.9820323133808871E-2</v>
      </c>
      <c r="R152" s="202">
        <f ca="1">P152*Q152*'User Inputs'!$D$7/100</f>
        <v>0</v>
      </c>
      <c r="S152" s="209">
        <f ca="1">(VLOOKUP(F152,'Anticipated Exit Bookings'!$B:$C,MATCH('Exit Anticipated Rev. Recovery'!$C$2,'Anticipated Exit Bookings'!$B$1:$C$1,0), FALSE))*VLOOKUP($F152, 'Exit Capacity Split'!A:H, 7,0)/100</f>
        <v>0</v>
      </c>
      <c r="T152" s="205" t="str">
        <f>IF(VLOOKUP(F152,'Exit Prices'!$A:$Q,16,FALSE)&gt;0,VLOOKUP(F152,'Exit Prices'!$A:$Q,16,FALSE),0)</f>
        <v>N/A</v>
      </c>
      <c r="U152" s="207" t="s">
        <v>428</v>
      </c>
      <c r="V152" s="204">
        <f ca="1">(VLOOKUP(F152,'Anticipated Exit Bookings'!$B:$C,MATCH('Exit Anticipated Rev. Recovery'!$C$2,'Anticipated Exit Bookings'!$B$1:$C$1,0), FALSE))*VLOOKUP($F152, 'Exit Capacity Split'!A:H, 8,0)/100</f>
        <v>0</v>
      </c>
      <c r="W152" s="200">
        <f ca="1">IF(VLOOKUP(F152,'Exit Prices'!$A:$Q,17,FALSE)&gt;0,VLOOKUP(F152,'Exit Prices'!$A:$Q,17,FALSE),0)</f>
        <v>1.7838290820427986E-2</v>
      </c>
      <c r="X152" s="202">
        <f ca="1">V152*W152*'User Inputs'!$D$7/100</f>
        <v>0</v>
      </c>
      <c r="Y152" s="199">
        <f t="shared" ca="1" si="3"/>
        <v>0</v>
      </c>
      <c r="AA152" s="164"/>
    </row>
    <row r="153" spans="5:27">
      <c r="E153" s="213" t="s">
        <v>474</v>
      </c>
      <c r="F153" s="213" t="s">
        <v>171</v>
      </c>
      <c r="G153" s="197">
        <f ca="1">(VLOOKUP(F153,'Anticipated Exit Bookings'!$B:$C,MATCH('Exit Anticipated Rev. Recovery'!$C$2,'Anticipated Exit Bookings'!$B$1:$C$1,0), FALSE))*VLOOKUP($F153, 'Exit Capacity Split'!A:H, 3,0)/100</f>
        <v>0</v>
      </c>
      <c r="H153" s="200">
        <f ca="1">IF(VLOOKUP(F153,'Exit Prices'!$A:$Q,12,FALSE)&gt;0,VLOOKUP(F153,'Exit Prices'!$A:$Q,12,FALSE),0)</f>
        <v>1.9820323133808871E-2</v>
      </c>
      <c r="I153" s="202">
        <f ca="1">G153*H153*'User Inputs'!$D$7/100</f>
        <v>0</v>
      </c>
      <c r="J153" s="209">
        <f ca="1">(VLOOKUP(F153,'Anticipated Exit Bookings'!$B:$C,MATCH('Exit Anticipated Rev. Recovery'!$C$2,'Anticipated Exit Bookings'!$B$1:$C$1,0), FALSE))*VLOOKUP($F153, 'Exit Capacity Split'!A:H, 4,0)/100</f>
        <v>0</v>
      </c>
      <c r="K153" s="205" t="str">
        <f>IF(VLOOKUP(F153,'Exit Prices'!$A:$Q,13,FALSE)&gt;0,VLOOKUP(F153,'Exit Prices'!$A:$Q,13,FALSE),0)</f>
        <v>N/A</v>
      </c>
      <c r="L153" s="207" t="s">
        <v>428</v>
      </c>
      <c r="M153" s="209">
        <f ca="1">(VLOOKUP(F153,'Anticipated Exit Bookings'!$B:$C,MATCH('Exit Anticipated Rev. Recovery'!$C$2,'Anticipated Exit Bookings'!$B$1:$C$1,0), FALSE))*VLOOKUP($F153, 'Exit Capacity Split'!A:H, 5,0)/100</f>
        <v>0</v>
      </c>
      <c r="N153" s="205" t="str">
        <f>IF(VLOOKUP(F153,'Exit Prices'!$A:$Q,14,FALSE)&gt;0,VLOOKUP(F153,'Exit Prices'!$A:$Q,14,FALSE),0)</f>
        <v>N/A</v>
      </c>
      <c r="O153" s="207" t="s">
        <v>428</v>
      </c>
      <c r="P153" s="204">
        <f ca="1">(VLOOKUP(F153,'Anticipated Exit Bookings'!$B:$C,MATCH('Exit Anticipated Rev. Recovery'!$C$2,'Anticipated Exit Bookings'!$B$1:$C$1,0), FALSE))*VLOOKUP($F153, 'Exit Capacity Split'!A:H, 6,0)/100</f>
        <v>0</v>
      </c>
      <c r="Q153" s="200">
        <f ca="1">IF(VLOOKUP(F153,'Exit Prices'!$A:$Q,15,FALSE)&gt;0,VLOOKUP(F153,'Exit Prices'!$A:$Q,15,FALSE),0)</f>
        <v>1.9820323133808871E-2</v>
      </c>
      <c r="R153" s="202">
        <f ca="1">P153*Q153*'User Inputs'!$D$7/100</f>
        <v>0</v>
      </c>
      <c r="S153" s="209">
        <f ca="1">(VLOOKUP(F153,'Anticipated Exit Bookings'!$B:$C,MATCH('Exit Anticipated Rev. Recovery'!$C$2,'Anticipated Exit Bookings'!$B$1:$C$1,0), FALSE))*VLOOKUP($F153, 'Exit Capacity Split'!A:H, 7,0)/100</f>
        <v>0</v>
      </c>
      <c r="T153" s="205" t="str">
        <f>IF(VLOOKUP(F153,'Exit Prices'!$A:$Q,16,FALSE)&gt;0,VLOOKUP(F153,'Exit Prices'!$A:$Q,16,FALSE),0)</f>
        <v>N/A</v>
      </c>
      <c r="U153" s="207" t="s">
        <v>428</v>
      </c>
      <c r="V153" s="204">
        <f ca="1">(VLOOKUP(F153,'Anticipated Exit Bookings'!$B:$C,MATCH('Exit Anticipated Rev. Recovery'!$C$2,'Anticipated Exit Bookings'!$B$1:$C$1,0), FALSE))*VLOOKUP($F153, 'Exit Capacity Split'!A:H, 8,0)/100</f>
        <v>0</v>
      </c>
      <c r="W153" s="200">
        <f ca="1">IF(VLOOKUP(F153,'Exit Prices'!$A:$Q,17,FALSE)&gt;0,VLOOKUP(F153,'Exit Prices'!$A:$Q,17,FALSE),0)</f>
        <v>1.7838290820427986E-2</v>
      </c>
      <c r="X153" s="202">
        <f ca="1">V153*W153*'User Inputs'!$D$7/100</f>
        <v>0</v>
      </c>
      <c r="Y153" s="199">
        <f t="shared" ca="1" si="3"/>
        <v>0</v>
      </c>
      <c r="AA153" s="164"/>
    </row>
    <row r="154" spans="5:27">
      <c r="E154" s="213" t="s">
        <v>474</v>
      </c>
      <c r="F154" s="213" t="s">
        <v>172</v>
      </c>
      <c r="G154" s="197">
        <f ca="1">(VLOOKUP(F154,'Anticipated Exit Bookings'!$B:$C,MATCH('Exit Anticipated Rev. Recovery'!$C$2,'Anticipated Exit Bookings'!$B$1:$C$1,0), FALSE))*VLOOKUP($F154, 'Exit Capacity Split'!A:H, 3,0)/100</f>
        <v>28498514.544994995</v>
      </c>
      <c r="H154" s="200">
        <f ca="1">IF(VLOOKUP(F154,'Exit Prices'!$A:$Q,12,FALSE)&gt;0,VLOOKUP(F154,'Exit Prices'!$A:$Q,12,FALSE),0)</f>
        <v>1.9820323133808871E-2</v>
      </c>
      <c r="I154" s="202">
        <f ca="1">G154*H154*'User Inputs'!$D$7/100</f>
        <v>2061701.6499710381</v>
      </c>
      <c r="J154" s="209">
        <f ca="1">(VLOOKUP(F154,'Anticipated Exit Bookings'!$B:$C,MATCH('Exit Anticipated Rev. Recovery'!$C$2,'Anticipated Exit Bookings'!$B$1:$C$1,0), FALSE))*VLOOKUP($F154, 'Exit Capacity Split'!A:H, 4,0)/100</f>
        <v>0</v>
      </c>
      <c r="K154" s="205" t="str">
        <f>IF(VLOOKUP(F154,'Exit Prices'!$A:$Q,13,FALSE)&gt;0,VLOOKUP(F154,'Exit Prices'!$A:$Q,13,FALSE),0)</f>
        <v>N/A</v>
      </c>
      <c r="L154" s="207" t="s">
        <v>428</v>
      </c>
      <c r="M154" s="209">
        <f ca="1">(VLOOKUP(F154,'Anticipated Exit Bookings'!$B:$C,MATCH('Exit Anticipated Rev. Recovery'!$C$2,'Anticipated Exit Bookings'!$B$1:$C$1,0), FALSE))*VLOOKUP($F154, 'Exit Capacity Split'!A:H, 5,0)/100</f>
        <v>0</v>
      </c>
      <c r="N154" s="205" t="str">
        <f>IF(VLOOKUP(F154,'Exit Prices'!$A:$Q,14,FALSE)&gt;0,VLOOKUP(F154,'Exit Prices'!$A:$Q,14,FALSE),0)</f>
        <v>N/A</v>
      </c>
      <c r="O154" s="207" t="s">
        <v>428</v>
      </c>
      <c r="P154" s="204">
        <f ca="1">(VLOOKUP(F154,'Anticipated Exit Bookings'!$B:$C,MATCH('Exit Anticipated Rev. Recovery'!$C$2,'Anticipated Exit Bookings'!$B$1:$C$1,0), FALSE))*VLOOKUP($F154, 'Exit Capacity Split'!A:H, 6,0)/100</f>
        <v>151025.52781076476</v>
      </c>
      <c r="Q154" s="200">
        <f ca="1">IF(VLOOKUP(F154,'Exit Prices'!$A:$Q,15,FALSE)&gt;0,VLOOKUP(F154,'Exit Prices'!$A:$Q,15,FALSE),0)</f>
        <v>1.9820323133808871E-2</v>
      </c>
      <c r="R154" s="202">
        <f ca="1">P154*Q154*'User Inputs'!$D$7/100</f>
        <v>10925.817883721395</v>
      </c>
      <c r="S154" s="209">
        <f ca="1">(VLOOKUP(F154,'Anticipated Exit Bookings'!$B:$C,MATCH('Exit Anticipated Rev. Recovery'!$C$2,'Anticipated Exit Bookings'!$B$1:$C$1,0), FALSE))*VLOOKUP($F154, 'Exit Capacity Split'!A:H, 7,0)/100</f>
        <v>38450.934002574861</v>
      </c>
      <c r="T154" s="205" t="str">
        <f>IF(VLOOKUP(F154,'Exit Prices'!$A:$Q,16,FALSE)&gt;0,VLOOKUP(F154,'Exit Prices'!$A:$Q,16,FALSE),0)</f>
        <v>N/A</v>
      </c>
      <c r="U154" s="207" t="s">
        <v>428</v>
      </c>
      <c r="V154" s="204">
        <f ca="1">(VLOOKUP(F154,'Anticipated Exit Bookings'!$B:$C,MATCH('Exit Anticipated Rev. Recovery'!$C$2,'Anticipated Exit Bookings'!$B$1:$C$1,0), FALSE))*VLOOKUP($F154, 'Exit Capacity Split'!A:H, 8,0)/100</f>
        <v>29142008.993191656</v>
      </c>
      <c r="W154" s="200">
        <f ca="1">IF(VLOOKUP(F154,'Exit Prices'!$A:$Q,17,FALSE)&gt;0,VLOOKUP(F154,'Exit Prices'!$A:$Q,17,FALSE),0)</f>
        <v>1.7838290820427986E-2</v>
      </c>
      <c r="X154" s="202">
        <f ca="1">V154*W154*'User Inputs'!$D$7/100</f>
        <v>1897429.2550190939</v>
      </c>
      <c r="Y154" s="199">
        <f t="shared" ca="1" si="3"/>
        <v>3970056.7228738535</v>
      </c>
      <c r="AA154" s="164"/>
    </row>
    <row r="155" spans="5:27">
      <c r="E155" s="213" t="s">
        <v>474</v>
      </c>
      <c r="F155" s="213" t="s">
        <v>173</v>
      </c>
      <c r="G155" s="197">
        <f ca="1">(VLOOKUP(F155,'Anticipated Exit Bookings'!$B:$C,MATCH('Exit Anticipated Rev. Recovery'!$C$2,'Anticipated Exit Bookings'!$B$1:$C$1,0), FALSE))*VLOOKUP($F155, 'Exit Capacity Split'!A:H, 3,0)/100</f>
        <v>3918921.0883895801</v>
      </c>
      <c r="H155" s="200">
        <f ca="1">IF(VLOOKUP(F155,'Exit Prices'!$A:$Q,12,FALSE)&gt;0,VLOOKUP(F155,'Exit Prices'!$A:$Q,12,FALSE),0)</f>
        <v>1.9820323133808871E-2</v>
      </c>
      <c r="I155" s="202">
        <f ca="1">G155*H155*'User Inputs'!$D$7/100</f>
        <v>283511.1304233949</v>
      </c>
      <c r="J155" s="209">
        <f ca="1">(VLOOKUP(F155,'Anticipated Exit Bookings'!$B:$C,MATCH('Exit Anticipated Rev. Recovery'!$C$2,'Anticipated Exit Bookings'!$B$1:$C$1,0), FALSE))*VLOOKUP($F155, 'Exit Capacity Split'!A:H, 4,0)/100</f>
        <v>0</v>
      </c>
      <c r="K155" s="205" t="str">
        <f>IF(VLOOKUP(F155,'Exit Prices'!$A:$Q,13,FALSE)&gt;0,VLOOKUP(F155,'Exit Prices'!$A:$Q,13,FALSE),0)</f>
        <v>N/A</v>
      </c>
      <c r="L155" s="207" t="s">
        <v>428</v>
      </c>
      <c r="M155" s="209">
        <f ca="1">(VLOOKUP(F155,'Anticipated Exit Bookings'!$B:$C,MATCH('Exit Anticipated Rev. Recovery'!$C$2,'Anticipated Exit Bookings'!$B$1:$C$1,0), FALSE))*VLOOKUP($F155, 'Exit Capacity Split'!A:H, 5,0)/100</f>
        <v>0</v>
      </c>
      <c r="N155" s="205" t="str">
        <f>IF(VLOOKUP(F155,'Exit Prices'!$A:$Q,14,FALSE)&gt;0,VLOOKUP(F155,'Exit Prices'!$A:$Q,14,FALSE),0)</f>
        <v>N/A</v>
      </c>
      <c r="O155" s="207" t="s">
        <v>428</v>
      </c>
      <c r="P155" s="204">
        <f ca="1">(VLOOKUP(F155,'Anticipated Exit Bookings'!$B:$C,MATCH('Exit Anticipated Rev. Recovery'!$C$2,'Anticipated Exit Bookings'!$B$1:$C$1,0), FALSE))*VLOOKUP($F155, 'Exit Capacity Split'!A:H, 6,0)/100</f>
        <v>0</v>
      </c>
      <c r="Q155" s="200">
        <f ca="1">IF(VLOOKUP(F155,'Exit Prices'!$A:$Q,15,FALSE)&gt;0,VLOOKUP(F155,'Exit Prices'!$A:$Q,15,FALSE),0)</f>
        <v>1.9820323133808871E-2</v>
      </c>
      <c r="R155" s="202">
        <f ca="1">P155*Q155*'User Inputs'!$D$7/100</f>
        <v>0</v>
      </c>
      <c r="S155" s="209">
        <f ca="1">(VLOOKUP(F155,'Anticipated Exit Bookings'!$B:$C,MATCH('Exit Anticipated Rev. Recovery'!$C$2,'Anticipated Exit Bookings'!$B$1:$C$1,0), FALSE))*VLOOKUP($F155, 'Exit Capacity Split'!A:H, 7,0)/100</f>
        <v>3704.9855538139473</v>
      </c>
      <c r="T155" s="205" t="str">
        <f>IF(VLOOKUP(F155,'Exit Prices'!$A:$Q,16,FALSE)&gt;0,VLOOKUP(F155,'Exit Prices'!$A:$Q,16,FALSE),0)</f>
        <v>N/A</v>
      </c>
      <c r="U155" s="207" t="s">
        <v>428</v>
      </c>
      <c r="V155" s="204">
        <f ca="1">(VLOOKUP(F155,'Anticipated Exit Bookings'!$B:$C,MATCH('Exit Anticipated Rev. Recovery'!$C$2,'Anticipated Exit Bookings'!$B$1:$C$1,0), FALSE))*VLOOKUP($F155, 'Exit Capacity Split'!A:H, 8,0)/100</f>
        <v>100730.92605660581</v>
      </c>
      <c r="W155" s="200">
        <f ca="1">IF(VLOOKUP(F155,'Exit Prices'!$A:$Q,17,FALSE)&gt;0,VLOOKUP(F155,'Exit Prices'!$A:$Q,17,FALSE),0)</f>
        <v>1.7838290820427986E-2</v>
      </c>
      <c r="X155" s="202">
        <f ca="1">V155*W155*'User Inputs'!$D$7/100</f>
        <v>6558.5665706719792</v>
      </c>
      <c r="Y155" s="199">
        <f t="shared" ca="1" si="3"/>
        <v>290069.69699406688</v>
      </c>
      <c r="AA155" s="164"/>
    </row>
    <row r="156" spans="5:27">
      <c r="E156" s="213" t="s">
        <v>474</v>
      </c>
      <c r="F156" s="213" t="s">
        <v>174</v>
      </c>
      <c r="G156" s="197">
        <f ca="1">(VLOOKUP(F156,'Anticipated Exit Bookings'!$B:$C,MATCH('Exit Anticipated Rev. Recovery'!$C$2,'Anticipated Exit Bookings'!$B$1:$C$1,0), FALSE))*VLOOKUP($F156, 'Exit Capacity Split'!A:H, 3,0)/100</f>
        <v>9679746.9813823346</v>
      </c>
      <c r="H156" s="200">
        <f ca="1">IF(VLOOKUP(F156,'Exit Prices'!$A:$Q,12,FALSE)&gt;0,VLOOKUP(F156,'Exit Prices'!$A:$Q,12,FALSE),0)</f>
        <v>1.9820323133808871E-2</v>
      </c>
      <c r="I156" s="202">
        <f ca="1">G156*H156*'User Inputs'!$D$7/100</f>
        <v>700273.35253945738</v>
      </c>
      <c r="J156" s="209">
        <f ca="1">(VLOOKUP(F156,'Anticipated Exit Bookings'!$B:$C,MATCH('Exit Anticipated Rev. Recovery'!$C$2,'Anticipated Exit Bookings'!$B$1:$C$1,0), FALSE))*VLOOKUP($F156, 'Exit Capacity Split'!A:H, 4,0)/100</f>
        <v>0</v>
      </c>
      <c r="K156" s="205" t="str">
        <f>IF(VLOOKUP(F156,'Exit Prices'!$A:$Q,13,FALSE)&gt;0,VLOOKUP(F156,'Exit Prices'!$A:$Q,13,FALSE),0)</f>
        <v>N/A</v>
      </c>
      <c r="L156" s="207" t="s">
        <v>428</v>
      </c>
      <c r="M156" s="209">
        <f ca="1">(VLOOKUP(F156,'Anticipated Exit Bookings'!$B:$C,MATCH('Exit Anticipated Rev. Recovery'!$C$2,'Anticipated Exit Bookings'!$B$1:$C$1,0), FALSE))*VLOOKUP($F156, 'Exit Capacity Split'!A:H, 5,0)/100</f>
        <v>0</v>
      </c>
      <c r="N156" s="205" t="str">
        <f>IF(VLOOKUP(F156,'Exit Prices'!$A:$Q,14,FALSE)&gt;0,VLOOKUP(F156,'Exit Prices'!$A:$Q,14,FALSE),0)</f>
        <v>N/A</v>
      </c>
      <c r="O156" s="207" t="s">
        <v>428</v>
      </c>
      <c r="P156" s="204">
        <f ca="1">(VLOOKUP(F156,'Anticipated Exit Bookings'!$B:$C,MATCH('Exit Anticipated Rev. Recovery'!$C$2,'Anticipated Exit Bookings'!$B$1:$C$1,0), FALSE))*VLOOKUP($F156, 'Exit Capacity Split'!A:H, 6,0)/100</f>
        <v>0</v>
      </c>
      <c r="Q156" s="200">
        <f ca="1">IF(VLOOKUP(F156,'Exit Prices'!$A:$Q,15,FALSE)&gt;0,VLOOKUP(F156,'Exit Prices'!$A:$Q,15,FALSE),0)</f>
        <v>1.9820323133808871E-2</v>
      </c>
      <c r="R156" s="202">
        <f ca="1">P156*Q156*'User Inputs'!$D$7/100</f>
        <v>0</v>
      </c>
      <c r="S156" s="209">
        <f ca="1">(VLOOKUP(F156,'Anticipated Exit Bookings'!$B:$C,MATCH('Exit Anticipated Rev. Recovery'!$C$2,'Anticipated Exit Bookings'!$B$1:$C$1,0), FALSE))*VLOOKUP($F156, 'Exit Capacity Split'!A:H, 7,0)/100</f>
        <v>9151.325561733418</v>
      </c>
      <c r="T156" s="205" t="str">
        <f>IF(VLOOKUP(F156,'Exit Prices'!$A:$Q,16,FALSE)&gt;0,VLOOKUP(F156,'Exit Prices'!$A:$Q,16,FALSE),0)</f>
        <v>N/A</v>
      </c>
      <c r="U156" s="207" t="s">
        <v>428</v>
      </c>
      <c r="V156" s="204">
        <f ca="1">(VLOOKUP(F156,'Anticipated Exit Bookings'!$B:$C,MATCH('Exit Anticipated Rev. Recovery'!$C$2,'Anticipated Exit Bookings'!$B$1:$C$1,0), FALSE))*VLOOKUP($F156, 'Exit Capacity Split'!A:H, 8,0)/100</f>
        <v>248805.69305593206</v>
      </c>
      <c r="W156" s="200">
        <f ca="1">IF(VLOOKUP(F156,'Exit Prices'!$A:$Q,17,FALSE)&gt;0,VLOOKUP(F156,'Exit Prices'!$A:$Q,17,FALSE),0)</f>
        <v>1.7838290820427986E-2</v>
      </c>
      <c r="X156" s="202">
        <f ca="1">V156*W156*'User Inputs'!$D$7/100</f>
        <v>16199.679333360973</v>
      </c>
      <c r="Y156" s="199">
        <f t="shared" ca="1" si="3"/>
        <v>716473.03187281836</v>
      </c>
      <c r="AA156" s="164"/>
    </row>
    <row r="157" spans="5:27">
      <c r="E157" s="213" t="s">
        <v>474</v>
      </c>
      <c r="F157" s="213" t="s">
        <v>175</v>
      </c>
      <c r="G157" s="197">
        <f ca="1">(VLOOKUP(F157,'Anticipated Exit Bookings'!$B:$C,MATCH('Exit Anticipated Rev. Recovery'!$C$2,'Anticipated Exit Bookings'!$B$1:$C$1,0), FALSE))*VLOOKUP($F157, 'Exit Capacity Split'!A:H, 3,0)/100</f>
        <v>19606594.932235986</v>
      </c>
      <c r="H157" s="200">
        <f ca="1">IF(VLOOKUP(F157,'Exit Prices'!$A:$Q,12,FALSE)&gt;0,VLOOKUP(F157,'Exit Prices'!$A:$Q,12,FALSE),0)</f>
        <v>1.9820323133808871E-2</v>
      </c>
      <c r="I157" s="202">
        <f ca="1">G157*H157*'User Inputs'!$D$7/100</f>
        <v>1418423.0219537509</v>
      </c>
      <c r="J157" s="209">
        <f ca="1">(VLOOKUP(F157,'Anticipated Exit Bookings'!$B:$C,MATCH('Exit Anticipated Rev. Recovery'!$C$2,'Anticipated Exit Bookings'!$B$1:$C$1,0), FALSE))*VLOOKUP($F157, 'Exit Capacity Split'!A:H, 4,0)/100</f>
        <v>0</v>
      </c>
      <c r="K157" s="205" t="str">
        <f>IF(VLOOKUP(F157,'Exit Prices'!$A:$Q,13,FALSE)&gt;0,VLOOKUP(F157,'Exit Prices'!$A:$Q,13,FALSE),0)</f>
        <v>N/A</v>
      </c>
      <c r="L157" s="207" t="s">
        <v>428</v>
      </c>
      <c r="M157" s="209">
        <f ca="1">(VLOOKUP(F157,'Anticipated Exit Bookings'!$B:$C,MATCH('Exit Anticipated Rev. Recovery'!$C$2,'Anticipated Exit Bookings'!$B$1:$C$1,0), FALSE))*VLOOKUP($F157, 'Exit Capacity Split'!A:H, 5,0)/100</f>
        <v>0</v>
      </c>
      <c r="N157" s="205" t="str">
        <f>IF(VLOOKUP(F157,'Exit Prices'!$A:$Q,14,FALSE)&gt;0,VLOOKUP(F157,'Exit Prices'!$A:$Q,14,FALSE),0)</f>
        <v>N/A</v>
      </c>
      <c r="O157" s="207" t="s">
        <v>428</v>
      </c>
      <c r="P157" s="204">
        <f ca="1">(VLOOKUP(F157,'Anticipated Exit Bookings'!$B:$C,MATCH('Exit Anticipated Rev. Recovery'!$C$2,'Anticipated Exit Bookings'!$B$1:$C$1,0), FALSE))*VLOOKUP($F157, 'Exit Capacity Split'!A:H, 6,0)/100</f>
        <v>0</v>
      </c>
      <c r="Q157" s="200">
        <f ca="1">IF(VLOOKUP(F157,'Exit Prices'!$A:$Q,15,FALSE)&gt;0,VLOOKUP(F157,'Exit Prices'!$A:$Q,15,FALSE),0)</f>
        <v>1.9820323133808871E-2</v>
      </c>
      <c r="R157" s="202">
        <f ca="1">P157*Q157*'User Inputs'!$D$7/100</f>
        <v>0</v>
      </c>
      <c r="S157" s="209">
        <f ca="1">(VLOOKUP(F157,'Anticipated Exit Bookings'!$B:$C,MATCH('Exit Anticipated Rev. Recovery'!$C$2,'Anticipated Exit Bookings'!$B$1:$C$1,0), FALSE))*VLOOKUP($F157, 'Exit Capacity Split'!A:H, 7,0)/100</f>
        <v>18536.262748088971</v>
      </c>
      <c r="T157" s="205" t="str">
        <f>IF(VLOOKUP(F157,'Exit Prices'!$A:$Q,16,FALSE)&gt;0,VLOOKUP(F157,'Exit Prices'!$A:$Q,16,FALSE),0)</f>
        <v>N/A</v>
      </c>
      <c r="U157" s="207" t="s">
        <v>428</v>
      </c>
      <c r="V157" s="204">
        <f ca="1">(VLOOKUP(F157,'Anticipated Exit Bookings'!$B:$C,MATCH('Exit Anticipated Rev. Recovery'!$C$2,'Anticipated Exit Bookings'!$B$1:$C$1,0), FALSE))*VLOOKUP($F157, 'Exit Capacity Split'!A:H, 8,0)/100</f>
        <v>503962.80501592765</v>
      </c>
      <c r="W157" s="200">
        <f ca="1">IF(VLOOKUP(F157,'Exit Prices'!$A:$Q,17,FALSE)&gt;0,VLOOKUP(F157,'Exit Prices'!$A:$Q,17,FALSE),0)</f>
        <v>1.7838290820427986E-2</v>
      </c>
      <c r="X157" s="202">
        <f ca="1">V157*W157*'User Inputs'!$D$7/100</f>
        <v>32812.898036717583</v>
      </c>
      <c r="Y157" s="199">
        <f t="shared" ca="1" si="3"/>
        <v>1451235.9199904685</v>
      </c>
      <c r="AA157" s="164"/>
    </row>
    <row r="158" spans="5:27">
      <c r="E158" s="213" t="s">
        <v>474</v>
      </c>
      <c r="F158" s="213" t="s">
        <v>177</v>
      </c>
      <c r="G158" s="197">
        <f ca="1">(VLOOKUP(F158,'Anticipated Exit Bookings'!$B:$C,MATCH('Exit Anticipated Rev. Recovery'!$C$2,'Anticipated Exit Bookings'!$B$1:$C$1,0), FALSE))*VLOOKUP($F158, 'Exit Capacity Split'!A:H, 3,0)/100</f>
        <v>2306318.5729397316</v>
      </c>
      <c r="H158" s="200">
        <f ca="1">IF(VLOOKUP(F158,'Exit Prices'!$A:$Q,12,FALSE)&gt;0,VLOOKUP(F158,'Exit Prices'!$A:$Q,12,FALSE),0)</f>
        <v>1.9820323133808871E-2</v>
      </c>
      <c r="I158" s="202">
        <f ca="1">G158*H158*'User Inputs'!$D$7/100</f>
        <v>166848.72468287207</v>
      </c>
      <c r="J158" s="209">
        <f ca="1">(VLOOKUP(F158,'Anticipated Exit Bookings'!$B:$C,MATCH('Exit Anticipated Rev. Recovery'!$C$2,'Anticipated Exit Bookings'!$B$1:$C$1,0), FALSE))*VLOOKUP($F158, 'Exit Capacity Split'!A:H, 4,0)/100</f>
        <v>0</v>
      </c>
      <c r="K158" s="205" t="str">
        <f>IF(VLOOKUP(F158,'Exit Prices'!$A:$Q,13,FALSE)&gt;0,VLOOKUP(F158,'Exit Prices'!$A:$Q,13,FALSE),0)</f>
        <v>N/A</v>
      </c>
      <c r="L158" s="207" t="s">
        <v>428</v>
      </c>
      <c r="M158" s="209">
        <f ca="1">(VLOOKUP(F158,'Anticipated Exit Bookings'!$B:$C,MATCH('Exit Anticipated Rev. Recovery'!$C$2,'Anticipated Exit Bookings'!$B$1:$C$1,0), FALSE))*VLOOKUP($F158, 'Exit Capacity Split'!A:H, 5,0)/100</f>
        <v>0</v>
      </c>
      <c r="N158" s="205" t="str">
        <f>IF(VLOOKUP(F158,'Exit Prices'!$A:$Q,14,FALSE)&gt;0,VLOOKUP(F158,'Exit Prices'!$A:$Q,14,FALSE),0)</f>
        <v>N/A</v>
      </c>
      <c r="O158" s="207" t="s">
        <v>428</v>
      </c>
      <c r="P158" s="204">
        <f ca="1">(VLOOKUP(F158,'Anticipated Exit Bookings'!$B:$C,MATCH('Exit Anticipated Rev. Recovery'!$C$2,'Anticipated Exit Bookings'!$B$1:$C$1,0), FALSE))*VLOOKUP($F158, 'Exit Capacity Split'!A:H, 6,0)/100</f>
        <v>0</v>
      </c>
      <c r="Q158" s="200">
        <f ca="1">IF(VLOOKUP(F158,'Exit Prices'!$A:$Q,15,FALSE)&gt;0,VLOOKUP(F158,'Exit Prices'!$A:$Q,15,FALSE),0)</f>
        <v>1.9820323133808871E-2</v>
      </c>
      <c r="R158" s="202">
        <f ca="1">P158*Q158*'User Inputs'!$D$7/100</f>
        <v>0</v>
      </c>
      <c r="S158" s="209">
        <f ca="1">(VLOOKUP(F158,'Anticipated Exit Bookings'!$B:$C,MATCH('Exit Anticipated Rev. Recovery'!$C$2,'Anticipated Exit Bookings'!$B$1:$C$1,0), FALSE))*VLOOKUP($F158, 'Exit Capacity Split'!A:H, 7,0)/100</f>
        <v>2180.4156813848704</v>
      </c>
      <c r="T158" s="205" t="str">
        <f>IF(VLOOKUP(F158,'Exit Prices'!$A:$Q,16,FALSE)&gt;0,VLOOKUP(F158,'Exit Prices'!$A:$Q,16,FALSE),0)</f>
        <v>N/A</v>
      </c>
      <c r="U158" s="207" t="s">
        <v>428</v>
      </c>
      <c r="V158" s="204">
        <f ca="1">(VLOOKUP(F158,'Anticipated Exit Bookings'!$B:$C,MATCH('Exit Anticipated Rev. Recovery'!$C$2,'Anticipated Exit Bookings'!$B$1:$C$1,0), FALSE))*VLOOKUP($F158, 'Exit Capacity Split'!A:H, 8,0)/100</f>
        <v>59281.011378883377</v>
      </c>
      <c r="W158" s="200">
        <f ca="1">IF(VLOOKUP(F158,'Exit Prices'!$A:$Q,17,FALSE)&gt;0,VLOOKUP(F158,'Exit Prices'!$A:$Q,17,FALSE),0)</f>
        <v>1.7838290820427986E-2</v>
      </c>
      <c r="X158" s="202">
        <f ca="1">V158*W158*'User Inputs'!$D$7/100</f>
        <v>3859.7725120355217</v>
      </c>
      <c r="Y158" s="199">
        <f t="shared" ca="1" si="3"/>
        <v>170708.4971949076</v>
      </c>
      <c r="AA158" s="164"/>
    </row>
    <row r="159" spans="5:27">
      <c r="E159" s="213" t="s">
        <v>474</v>
      </c>
      <c r="F159" s="213" t="s">
        <v>178</v>
      </c>
      <c r="G159" s="197">
        <f ca="1">(VLOOKUP(F159,'Anticipated Exit Bookings'!$B:$C,MATCH('Exit Anticipated Rev. Recovery'!$C$2,'Anticipated Exit Bookings'!$B$1:$C$1,0), FALSE))*VLOOKUP($F159, 'Exit Capacity Split'!A:H, 3,0)/100</f>
        <v>58813569.430916399</v>
      </c>
      <c r="H159" s="200">
        <f ca="1">IF(VLOOKUP(F159,'Exit Prices'!$A:$Q,12,FALSE)&gt;0,VLOOKUP(F159,'Exit Prices'!$A:$Q,12,FALSE),0)</f>
        <v>1.9820323133808871E-2</v>
      </c>
      <c r="I159" s="202">
        <f ca="1">G159*H159*'User Inputs'!$D$7/100</f>
        <v>4254819.420323153</v>
      </c>
      <c r="J159" s="209">
        <f ca="1">(VLOOKUP(F159,'Anticipated Exit Bookings'!$B:$C,MATCH('Exit Anticipated Rev. Recovery'!$C$2,'Anticipated Exit Bookings'!$B$1:$C$1,0), FALSE))*VLOOKUP($F159, 'Exit Capacity Split'!A:H, 4,0)/100</f>
        <v>0</v>
      </c>
      <c r="K159" s="205" t="str">
        <f>IF(VLOOKUP(F159,'Exit Prices'!$A:$Q,13,FALSE)&gt;0,VLOOKUP(F159,'Exit Prices'!$A:$Q,13,FALSE),0)</f>
        <v>N/A</v>
      </c>
      <c r="L159" s="207" t="s">
        <v>428</v>
      </c>
      <c r="M159" s="209">
        <f ca="1">(VLOOKUP(F159,'Anticipated Exit Bookings'!$B:$C,MATCH('Exit Anticipated Rev. Recovery'!$C$2,'Anticipated Exit Bookings'!$B$1:$C$1,0), FALSE))*VLOOKUP($F159, 'Exit Capacity Split'!A:H, 5,0)/100</f>
        <v>0</v>
      </c>
      <c r="N159" s="205" t="str">
        <f>IF(VLOOKUP(F159,'Exit Prices'!$A:$Q,14,FALSE)&gt;0,VLOOKUP(F159,'Exit Prices'!$A:$Q,14,FALSE),0)</f>
        <v>N/A</v>
      </c>
      <c r="O159" s="207" t="s">
        <v>428</v>
      </c>
      <c r="P159" s="204">
        <f ca="1">(VLOOKUP(F159,'Anticipated Exit Bookings'!$B:$C,MATCH('Exit Anticipated Rev. Recovery'!$C$2,'Anticipated Exit Bookings'!$B$1:$C$1,0), FALSE))*VLOOKUP($F159, 'Exit Capacity Split'!A:H, 6,0)/100</f>
        <v>0</v>
      </c>
      <c r="Q159" s="200">
        <f ca="1">IF(VLOOKUP(F159,'Exit Prices'!$A:$Q,15,FALSE)&gt;0,VLOOKUP(F159,'Exit Prices'!$A:$Q,15,FALSE),0)</f>
        <v>1.9820323133808871E-2</v>
      </c>
      <c r="R159" s="202">
        <f ca="1">P159*Q159*'User Inputs'!$D$7/100</f>
        <v>0</v>
      </c>
      <c r="S159" s="209">
        <f ca="1">(VLOOKUP(F159,'Anticipated Exit Bookings'!$B:$C,MATCH('Exit Anticipated Rev. Recovery'!$C$2,'Anticipated Exit Bookings'!$B$1:$C$1,0), FALSE))*VLOOKUP($F159, 'Exit Capacity Split'!A:H, 7,0)/100</f>
        <v>55602.912177882827</v>
      </c>
      <c r="T159" s="205" t="str">
        <f>IF(VLOOKUP(F159,'Exit Prices'!$A:$Q,16,FALSE)&gt;0,VLOOKUP(F159,'Exit Prices'!$A:$Q,16,FALSE),0)</f>
        <v>N/A</v>
      </c>
      <c r="U159" s="207" t="s">
        <v>428</v>
      </c>
      <c r="V159" s="204">
        <f ca="1">(VLOOKUP(F159,'Anticipated Exit Bookings'!$B:$C,MATCH('Exit Anticipated Rev. Recovery'!$C$2,'Anticipated Exit Bookings'!$B$1:$C$1,0), FALSE))*VLOOKUP($F159, 'Exit Capacity Split'!A:H, 8,0)/100</f>
        <v>1511728.6569057221</v>
      </c>
      <c r="W159" s="200">
        <f ca="1">IF(VLOOKUP(F159,'Exit Prices'!$A:$Q,17,FALSE)&gt;0,VLOOKUP(F159,'Exit Prices'!$A:$Q,17,FALSE),0)</f>
        <v>1.7838290820427986E-2</v>
      </c>
      <c r="X159" s="202">
        <f ca="1">V159*W159*'User Inputs'!$D$7/100</f>
        <v>98428.292295626321</v>
      </c>
      <c r="Y159" s="199">
        <f t="shared" ca="1" si="3"/>
        <v>4353247.7126187794</v>
      </c>
      <c r="AA159" s="164"/>
    </row>
    <row r="160" spans="5:27">
      <c r="E160" s="213" t="s">
        <v>474</v>
      </c>
      <c r="F160" s="213" t="s">
        <v>179</v>
      </c>
      <c r="G160" s="197">
        <f ca="1">(VLOOKUP(F160,'Anticipated Exit Bookings'!$B:$C,MATCH('Exit Anticipated Rev. Recovery'!$C$2,'Anticipated Exit Bookings'!$B$1:$C$1,0), FALSE))*VLOOKUP($F160, 'Exit Capacity Split'!A:H, 3,0)/100</f>
        <v>19051574.828108359</v>
      </c>
      <c r="H160" s="200">
        <f ca="1">IF(VLOOKUP(F160,'Exit Prices'!$A:$Q,12,FALSE)&gt;0,VLOOKUP(F160,'Exit Prices'!$A:$Q,12,FALSE),0)</f>
        <v>1.9820323133808871E-2</v>
      </c>
      <c r="I160" s="202">
        <f ca="1">G160*H160*'User Inputs'!$D$7/100</f>
        <v>1378270.5479488212</v>
      </c>
      <c r="J160" s="209">
        <f ca="1">(VLOOKUP(F160,'Anticipated Exit Bookings'!$B:$C,MATCH('Exit Anticipated Rev. Recovery'!$C$2,'Anticipated Exit Bookings'!$B$1:$C$1,0), FALSE))*VLOOKUP($F160, 'Exit Capacity Split'!A:H, 4,0)/100</f>
        <v>0</v>
      </c>
      <c r="K160" s="205" t="str">
        <f>IF(VLOOKUP(F160,'Exit Prices'!$A:$Q,13,FALSE)&gt;0,VLOOKUP(F160,'Exit Prices'!$A:$Q,13,FALSE),0)</f>
        <v>N/A</v>
      </c>
      <c r="L160" s="207" t="s">
        <v>428</v>
      </c>
      <c r="M160" s="209">
        <f ca="1">(VLOOKUP(F160,'Anticipated Exit Bookings'!$B:$C,MATCH('Exit Anticipated Rev. Recovery'!$C$2,'Anticipated Exit Bookings'!$B$1:$C$1,0), FALSE))*VLOOKUP($F160, 'Exit Capacity Split'!A:H, 5,0)/100</f>
        <v>0</v>
      </c>
      <c r="N160" s="205" t="str">
        <f>IF(VLOOKUP(F160,'Exit Prices'!$A:$Q,14,FALSE)&gt;0,VLOOKUP(F160,'Exit Prices'!$A:$Q,14,FALSE),0)</f>
        <v>N/A</v>
      </c>
      <c r="O160" s="207" t="s">
        <v>428</v>
      </c>
      <c r="P160" s="204">
        <f ca="1">(VLOOKUP(F160,'Anticipated Exit Bookings'!$B:$C,MATCH('Exit Anticipated Rev. Recovery'!$C$2,'Anticipated Exit Bookings'!$B$1:$C$1,0), FALSE))*VLOOKUP($F160, 'Exit Capacity Split'!A:H, 6,0)/100</f>
        <v>100962.24978668797</v>
      </c>
      <c r="Q160" s="200">
        <f ca="1">IF(VLOOKUP(F160,'Exit Prices'!$A:$Q,15,FALSE)&gt;0,VLOOKUP(F160,'Exit Prices'!$A:$Q,15,FALSE),0)</f>
        <v>1.9820323133808871E-2</v>
      </c>
      <c r="R160" s="202">
        <f ca="1">P160*Q160*'User Inputs'!$D$7/100</f>
        <v>7304.0311150729576</v>
      </c>
      <c r="S160" s="209">
        <f ca="1">(VLOOKUP(F160,'Anticipated Exit Bookings'!$B:$C,MATCH('Exit Anticipated Rev. Recovery'!$C$2,'Anticipated Exit Bookings'!$B$1:$C$1,0), FALSE))*VLOOKUP($F160, 'Exit Capacity Split'!A:H, 7,0)/100</f>
        <v>25704.878238622587</v>
      </c>
      <c r="T160" s="205" t="str">
        <f>IF(VLOOKUP(F160,'Exit Prices'!$A:$Q,16,FALSE)&gt;0,VLOOKUP(F160,'Exit Prices'!$A:$Q,16,FALSE),0)</f>
        <v>N/A</v>
      </c>
      <c r="U160" s="207" t="s">
        <v>428</v>
      </c>
      <c r="V160" s="204">
        <f ca="1">(VLOOKUP(F160,'Anticipated Exit Bookings'!$B:$C,MATCH('Exit Anticipated Rev. Recovery'!$C$2,'Anticipated Exit Bookings'!$B$1:$C$1,0), FALSE))*VLOOKUP($F160, 'Exit Capacity Split'!A:H, 8,0)/100</f>
        <v>19481758.043866325</v>
      </c>
      <c r="W160" s="200">
        <f ca="1">IF(VLOOKUP(F160,'Exit Prices'!$A:$Q,17,FALSE)&gt;0,VLOOKUP(F160,'Exit Prices'!$A:$Q,17,FALSE),0)</f>
        <v>1.7838290820427986E-2</v>
      </c>
      <c r="X160" s="202">
        <f ca="1">V160*W160*'User Inputs'!$D$7/100</f>
        <v>1268452.619730904</v>
      </c>
      <c r="Y160" s="199">
        <f t="shared" ca="1" si="3"/>
        <v>2654027.198794798</v>
      </c>
      <c r="AA160" s="164"/>
    </row>
    <row r="161" spans="5:27">
      <c r="E161" s="213" t="s">
        <v>474</v>
      </c>
      <c r="F161" s="213" t="s">
        <v>180</v>
      </c>
      <c r="G161" s="197">
        <f ca="1">(VLOOKUP(F161,'Anticipated Exit Bookings'!$B:$C,MATCH('Exit Anticipated Rev. Recovery'!$C$2,'Anticipated Exit Bookings'!$B$1:$C$1,0), FALSE))*VLOOKUP($F161, 'Exit Capacity Split'!A:H, 3,0)/100</f>
        <v>8860509.9692030102</v>
      </c>
      <c r="H161" s="200">
        <f ca="1">IF(VLOOKUP(F161,'Exit Prices'!$A:$Q,12,FALSE)&gt;0,VLOOKUP(F161,'Exit Prices'!$A:$Q,12,FALSE),0)</f>
        <v>1.9820323133808871E-2</v>
      </c>
      <c r="I161" s="202">
        <f ca="1">G161*H161*'User Inputs'!$D$7/100</f>
        <v>641006.32312777569</v>
      </c>
      <c r="J161" s="209">
        <f ca="1">(VLOOKUP(F161,'Anticipated Exit Bookings'!$B:$C,MATCH('Exit Anticipated Rev. Recovery'!$C$2,'Anticipated Exit Bookings'!$B$1:$C$1,0), FALSE))*VLOOKUP($F161, 'Exit Capacity Split'!A:H, 4,0)/100</f>
        <v>0</v>
      </c>
      <c r="K161" s="205" t="str">
        <f>IF(VLOOKUP(F161,'Exit Prices'!$A:$Q,13,FALSE)&gt;0,VLOOKUP(F161,'Exit Prices'!$A:$Q,13,FALSE),0)</f>
        <v>N/A</v>
      </c>
      <c r="L161" s="207" t="s">
        <v>428</v>
      </c>
      <c r="M161" s="209">
        <f ca="1">(VLOOKUP(F161,'Anticipated Exit Bookings'!$B:$C,MATCH('Exit Anticipated Rev. Recovery'!$C$2,'Anticipated Exit Bookings'!$B$1:$C$1,0), FALSE))*VLOOKUP($F161, 'Exit Capacity Split'!A:H, 5,0)/100</f>
        <v>0</v>
      </c>
      <c r="N161" s="205" t="str">
        <f>IF(VLOOKUP(F161,'Exit Prices'!$A:$Q,14,FALSE)&gt;0,VLOOKUP(F161,'Exit Prices'!$A:$Q,14,FALSE),0)</f>
        <v>N/A</v>
      </c>
      <c r="O161" s="207" t="s">
        <v>428</v>
      </c>
      <c r="P161" s="204">
        <f ca="1">(VLOOKUP(F161,'Anticipated Exit Bookings'!$B:$C,MATCH('Exit Anticipated Rev. Recovery'!$C$2,'Anticipated Exit Bookings'!$B$1:$C$1,0), FALSE))*VLOOKUP($F161, 'Exit Capacity Split'!A:H, 6,0)/100</f>
        <v>46955.541933901965</v>
      </c>
      <c r="Q161" s="200">
        <f ca="1">IF(VLOOKUP(F161,'Exit Prices'!$A:$Q,15,FALSE)&gt;0,VLOOKUP(F161,'Exit Prices'!$A:$Q,15,FALSE),0)</f>
        <v>1.9820323133808871E-2</v>
      </c>
      <c r="R161" s="202">
        <f ca="1">P161*Q161*'User Inputs'!$D$7/100</f>
        <v>3396.960151293631</v>
      </c>
      <c r="S161" s="209">
        <f ca="1">(VLOOKUP(F161,'Anticipated Exit Bookings'!$B:$C,MATCH('Exit Anticipated Rev. Recovery'!$C$2,'Anticipated Exit Bookings'!$B$1:$C$1,0), FALSE))*VLOOKUP($F161, 'Exit Capacity Split'!A:H, 7,0)/100</f>
        <v>11954.829558469586</v>
      </c>
      <c r="T161" s="205" t="str">
        <f>IF(VLOOKUP(F161,'Exit Prices'!$A:$Q,16,FALSE)&gt;0,VLOOKUP(F161,'Exit Prices'!$A:$Q,16,FALSE),0)</f>
        <v>N/A</v>
      </c>
      <c r="U161" s="207" t="s">
        <v>428</v>
      </c>
      <c r="V161" s="204">
        <f ca="1">(VLOOKUP(F161,'Anticipated Exit Bookings'!$B:$C,MATCH('Exit Anticipated Rev. Recovery'!$C$2,'Anticipated Exit Bookings'!$B$1:$C$1,0), FALSE))*VLOOKUP($F161, 'Exit Capacity Split'!A:H, 8,0)/100</f>
        <v>9060579.659304617</v>
      </c>
      <c r="W161" s="200">
        <f ca="1">IF(VLOOKUP(F161,'Exit Prices'!$A:$Q,17,FALSE)&gt;0,VLOOKUP(F161,'Exit Prices'!$A:$Q,17,FALSE),0)</f>
        <v>1.7838290820427986E-2</v>
      </c>
      <c r="X161" s="202">
        <f ca="1">V161*W161*'User Inputs'!$D$7/100</f>
        <v>589932.18061980477</v>
      </c>
      <c r="Y161" s="199">
        <f t="shared" ca="1" si="3"/>
        <v>1234335.4638988741</v>
      </c>
      <c r="AA161" s="164"/>
    </row>
    <row r="162" spans="5:27">
      <c r="E162" s="213" t="s">
        <v>474</v>
      </c>
      <c r="F162" s="213" t="s">
        <v>181</v>
      </c>
      <c r="G162" s="197">
        <f ca="1">(VLOOKUP(F162,'Anticipated Exit Bookings'!$B:$C,MATCH('Exit Anticipated Rev. Recovery'!$C$2,'Anticipated Exit Bookings'!$B$1:$C$1,0), FALSE))*VLOOKUP($F162, 'Exit Capacity Split'!A:H, 3,0)/100</f>
        <v>6843601.9842770351</v>
      </c>
      <c r="H162" s="200">
        <f ca="1">IF(VLOOKUP(F162,'Exit Prices'!$A:$Q,12,FALSE)&gt;0,VLOOKUP(F162,'Exit Prices'!$A:$Q,12,FALSE),0)</f>
        <v>1.9820323133808871E-2</v>
      </c>
      <c r="I162" s="202">
        <f ca="1">G162*H162*'User Inputs'!$D$7/100</f>
        <v>495094.76995554438</v>
      </c>
      <c r="J162" s="209">
        <f ca="1">(VLOOKUP(F162,'Anticipated Exit Bookings'!$B:$C,MATCH('Exit Anticipated Rev. Recovery'!$C$2,'Anticipated Exit Bookings'!$B$1:$C$1,0), FALSE))*VLOOKUP($F162, 'Exit Capacity Split'!A:H, 4,0)/100</f>
        <v>0</v>
      </c>
      <c r="K162" s="205" t="str">
        <f>IF(VLOOKUP(F162,'Exit Prices'!$A:$Q,13,FALSE)&gt;0,VLOOKUP(F162,'Exit Prices'!$A:$Q,13,FALSE),0)</f>
        <v>N/A</v>
      </c>
      <c r="L162" s="207" t="s">
        <v>428</v>
      </c>
      <c r="M162" s="209">
        <f ca="1">(VLOOKUP(F162,'Anticipated Exit Bookings'!$B:$C,MATCH('Exit Anticipated Rev. Recovery'!$C$2,'Anticipated Exit Bookings'!$B$1:$C$1,0), FALSE))*VLOOKUP($F162, 'Exit Capacity Split'!A:H, 5,0)/100</f>
        <v>0</v>
      </c>
      <c r="N162" s="205" t="str">
        <f>IF(VLOOKUP(F162,'Exit Prices'!$A:$Q,14,FALSE)&gt;0,VLOOKUP(F162,'Exit Prices'!$A:$Q,14,FALSE),0)</f>
        <v>N/A</v>
      </c>
      <c r="O162" s="207" t="s">
        <v>428</v>
      </c>
      <c r="P162" s="204">
        <f ca="1">(VLOOKUP(F162,'Anticipated Exit Bookings'!$B:$C,MATCH('Exit Anticipated Rev. Recovery'!$C$2,'Anticipated Exit Bookings'!$B$1:$C$1,0), FALSE))*VLOOKUP($F162, 'Exit Capacity Split'!A:H, 6,0)/100</f>
        <v>237.71380152729733</v>
      </c>
      <c r="Q162" s="200">
        <f ca="1">IF(VLOOKUP(F162,'Exit Prices'!$A:$Q,15,FALSE)&gt;0,VLOOKUP(F162,'Exit Prices'!$A:$Q,15,FALSE),0)</f>
        <v>1.9820323133808871E-2</v>
      </c>
      <c r="R162" s="202">
        <f ca="1">P162*Q162*'User Inputs'!$D$7/100</f>
        <v>17.197209912675568</v>
      </c>
      <c r="S162" s="209">
        <f ca="1">(VLOOKUP(F162,'Anticipated Exit Bookings'!$B:$C,MATCH('Exit Anticipated Rev. Recovery'!$C$2,'Anticipated Exit Bookings'!$B$1:$C$1,0), FALSE))*VLOOKUP($F162, 'Exit Capacity Split'!A:H, 7,0)/100</f>
        <v>8539.4111779421273</v>
      </c>
      <c r="T162" s="205" t="str">
        <f>IF(VLOOKUP(F162,'Exit Prices'!$A:$Q,16,FALSE)&gt;0,VLOOKUP(F162,'Exit Prices'!$A:$Q,16,FALSE),0)</f>
        <v>N/A</v>
      </c>
      <c r="U162" s="207" t="s">
        <v>428</v>
      </c>
      <c r="V162" s="204">
        <f ca="1">(VLOOKUP(F162,'Anticipated Exit Bookings'!$B:$C,MATCH('Exit Anticipated Rev. Recovery'!$C$2,'Anticipated Exit Bookings'!$B$1:$C$1,0), FALSE))*VLOOKUP($F162, 'Exit Capacity Split'!A:H, 8,0)/100</f>
        <v>2203515.8907434987</v>
      </c>
      <c r="W162" s="200">
        <f ca="1">IF(VLOOKUP(F162,'Exit Prices'!$A:$Q,17,FALSE)&gt;0,VLOOKUP(F162,'Exit Prices'!$A:$Q,17,FALSE),0)</f>
        <v>1.7838290820427986E-2</v>
      </c>
      <c r="X162" s="202">
        <f ca="1">V162*W162*'User Inputs'!$D$7/100</f>
        <v>143470.39409578685</v>
      </c>
      <c r="Y162" s="199">
        <f t="shared" ca="1" si="3"/>
        <v>638582.36126124393</v>
      </c>
      <c r="AA162" s="164"/>
    </row>
    <row r="163" spans="5:27">
      <c r="E163" s="213" t="s">
        <v>474</v>
      </c>
      <c r="F163" s="213" t="s">
        <v>182</v>
      </c>
      <c r="G163" s="197">
        <f ca="1">(VLOOKUP(F163,'Anticipated Exit Bookings'!$B:$C,MATCH('Exit Anticipated Rev. Recovery'!$C$2,'Anticipated Exit Bookings'!$B$1:$C$1,0), FALSE))*VLOOKUP($F163, 'Exit Capacity Split'!A:H, 3,0)/100</f>
        <v>0</v>
      </c>
      <c r="H163" s="200">
        <f ca="1">IF(VLOOKUP(F163,'Exit Prices'!$A:$Q,12,FALSE)&gt;0,VLOOKUP(F163,'Exit Prices'!$A:$Q,12,FALSE),0)</f>
        <v>9.9101615669044355E-3</v>
      </c>
      <c r="I163" s="202">
        <f ca="1">G163*H163*'User Inputs'!$D$7/100</f>
        <v>0</v>
      </c>
      <c r="J163" s="209">
        <f ca="1">(VLOOKUP(F163,'Anticipated Exit Bookings'!$B:$C,MATCH('Exit Anticipated Rev. Recovery'!$C$2,'Anticipated Exit Bookings'!$B$1:$C$1,0), FALSE))*VLOOKUP($F163, 'Exit Capacity Split'!A:H, 4,0)/100</f>
        <v>0</v>
      </c>
      <c r="K163" s="205" t="str">
        <f>IF(VLOOKUP(F163,'Exit Prices'!$A:$Q,13,FALSE)&gt;0,VLOOKUP(F163,'Exit Prices'!$A:$Q,13,FALSE),0)</f>
        <v>N/A</v>
      </c>
      <c r="L163" s="207" t="s">
        <v>428</v>
      </c>
      <c r="M163" s="209">
        <f ca="1">(VLOOKUP(F163,'Anticipated Exit Bookings'!$B:$C,MATCH('Exit Anticipated Rev. Recovery'!$C$2,'Anticipated Exit Bookings'!$B$1:$C$1,0), FALSE))*VLOOKUP($F163, 'Exit Capacity Split'!A:H, 5,0)/100</f>
        <v>0</v>
      </c>
      <c r="N163" s="205" t="str">
        <f>IF(VLOOKUP(F163,'Exit Prices'!$A:$Q,14,FALSE)&gt;0,VLOOKUP(F163,'Exit Prices'!$A:$Q,14,FALSE),0)</f>
        <v>N/A</v>
      </c>
      <c r="O163" s="207" t="s">
        <v>428</v>
      </c>
      <c r="P163" s="204">
        <f ca="1">(VLOOKUP(F163,'Anticipated Exit Bookings'!$B:$C,MATCH('Exit Anticipated Rev. Recovery'!$C$2,'Anticipated Exit Bookings'!$B$1:$C$1,0), FALSE))*VLOOKUP($F163, 'Exit Capacity Split'!A:H, 6,0)/100</f>
        <v>0</v>
      </c>
      <c r="Q163" s="200">
        <f ca="1">IF(VLOOKUP(F163,'Exit Prices'!$A:$Q,15,FALSE)&gt;0,VLOOKUP(F163,'Exit Prices'!$A:$Q,15,FALSE),0)</f>
        <v>9.9101615669044355E-3</v>
      </c>
      <c r="R163" s="202">
        <f ca="1">P163*Q163*'User Inputs'!$D$7/100</f>
        <v>0</v>
      </c>
      <c r="S163" s="209">
        <f ca="1">(VLOOKUP(F163,'Anticipated Exit Bookings'!$B:$C,MATCH('Exit Anticipated Rev. Recovery'!$C$2,'Anticipated Exit Bookings'!$B$1:$C$1,0), FALSE))*VLOOKUP($F163, 'Exit Capacity Split'!A:H, 7,0)/100</f>
        <v>0</v>
      </c>
      <c r="T163" s="205" t="str">
        <f>IF(VLOOKUP(F163,'Exit Prices'!$A:$Q,16,FALSE)&gt;0,VLOOKUP(F163,'Exit Prices'!$A:$Q,16,FALSE),0)</f>
        <v>N/A</v>
      </c>
      <c r="U163" s="207" t="s">
        <v>428</v>
      </c>
      <c r="V163" s="204">
        <f ca="1">(VLOOKUP(F163,'Anticipated Exit Bookings'!$B:$C,MATCH('Exit Anticipated Rev. Recovery'!$C$2,'Anticipated Exit Bookings'!$B$1:$C$1,0), FALSE))*VLOOKUP($F163, 'Exit Capacity Split'!A:H, 8,0)/100</f>
        <v>0</v>
      </c>
      <c r="W163" s="200">
        <f ca="1">IF(VLOOKUP(F163,'Exit Prices'!$A:$Q,17,FALSE)&gt;0,VLOOKUP(F163,'Exit Prices'!$A:$Q,17,FALSE),0)</f>
        <v>8.9191454102139928E-3</v>
      </c>
      <c r="X163" s="202">
        <f ca="1">V163*W163*'User Inputs'!$D$7/100</f>
        <v>0</v>
      </c>
      <c r="Y163" s="199">
        <f t="shared" ca="1" si="3"/>
        <v>0</v>
      </c>
      <c r="AA163" s="164"/>
    </row>
    <row r="164" spans="5:27">
      <c r="E164" s="213" t="s">
        <v>474</v>
      </c>
      <c r="F164" s="213" t="s">
        <v>183</v>
      </c>
      <c r="G164" s="197">
        <f ca="1">(VLOOKUP(F164,'Anticipated Exit Bookings'!$B:$C,MATCH('Exit Anticipated Rev. Recovery'!$C$2,'Anticipated Exit Bookings'!$B$1:$C$1,0), FALSE))*VLOOKUP($F164, 'Exit Capacity Split'!A:H, 3,0)/100</f>
        <v>0</v>
      </c>
      <c r="H164" s="200">
        <f ca="1">IF(VLOOKUP(F164,'Exit Prices'!$A:$Q,12,FALSE)&gt;0,VLOOKUP(F164,'Exit Prices'!$A:$Q,12,FALSE),0)</f>
        <v>1.9820323133808871E-2</v>
      </c>
      <c r="I164" s="202">
        <f ca="1">G164*H164*'User Inputs'!$D$7/100</f>
        <v>0</v>
      </c>
      <c r="J164" s="209">
        <f ca="1">(VLOOKUP(F164,'Anticipated Exit Bookings'!$B:$C,MATCH('Exit Anticipated Rev. Recovery'!$C$2,'Anticipated Exit Bookings'!$B$1:$C$1,0), FALSE))*VLOOKUP($F164, 'Exit Capacity Split'!A:H, 4,0)/100</f>
        <v>0</v>
      </c>
      <c r="K164" s="205" t="str">
        <f>IF(VLOOKUP(F164,'Exit Prices'!$A:$Q,13,FALSE)&gt;0,VLOOKUP(F164,'Exit Prices'!$A:$Q,13,FALSE),0)</f>
        <v>N/A</v>
      </c>
      <c r="L164" s="207" t="s">
        <v>428</v>
      </c>
      <c r="M164" s="209">
        <f ca="1">(VLOOKUP(F164,'Anticipated Exit Bookings'!$B:$C,MATCH('Exit Anticipated Rev. Recovery'!$C$2,'Anticipated Exit Bookings'!$B$1:$C$1,0), FALSE))*VLOOKUP($F164, 'Exit Capacity Split'!A:H, 5,0)/100</f>
        <v>0</v>
      </c>
      <c r="N164" s="205" t="str">
        <f>IF(VLOOKUP(F164,'Exit Prices'!$A:$Q,14,FALSE)&gt;0,VLOOKUP(F164,'Exit Prices'!$A:$Q,14,FALSE),0)</f>
        <v>N/A</v>
      </c>
      <c r="O164" s="207" t="s">
        <v>428</v>
      </c>
      <c r="P164" s="204">
        <f ca="1">(VLOOKUP(F164,'Anticipated Exit Bookings'!$B:$C,MATCH('Exit Anticipated Rev. Recovery'!$C$2,'Anticipated Exit Bookings'!$B$1:$C$1,0), FALSE))*VLOOKUP($F164, 'Exit Capacity Split'!A:H, 6,0)/100</f>
        <v>0</v>
      </c>
      <c r="Q164" s="200">
        <f ca="1">IF(VLOOKUP(F164,'Exit Prices'!$A:$Q,15,FALSE)&gt;0,VLOOKUP(F164,'Exit Prices'!$A:$Q,15,FALSE),0)</f>
        <v>1.9820323133808871E-2</v>
      </c>
      <c r="R164" s="202">
        <f ca="1">P164*Q164*'User Inputs'!$D$7/100</f>
        <v>0</v>
      </c>
      <c r="S164" s="209">
        <f ca="1">(VLOOKUP(F164,'Anticipated Exit Bookings'!$B:$C,MATCH('Exit Anticipated Rev. Recovery'!$C$2,'Anticipated Exit Bookings'!$B$1:$C$1,0), FALSE))*VLOOKUP($F164, 'Exit Capacity Split'!A:H, 7,0)/100</f>
        <v>0</v>
      </c>
      <c r="T164" s="205" t="str">
        <f>IF(VLOOKUP(F164,'Exit Prices'!$A:$Q,16,FALSE)&gt;0,VLOOKUP(F164,'Exit Prices'!$A:$Q,16,FALSE),0)</f>
        <v>N/A</v>
      </c>
      <c r="U164" s="207" t="s">
        <v>428</v>
      </c>
      <c r="V164" s="204">
        <f ca="1">(VLOOKUP(F164,'Anticipated Exit Bookings'!$B:$C,MATCH('Exit Anticipated Rev. Recovery'!$C$2,'Anticipated Exit Bookings'!$B$1:$C$1,0), FALSE))*VLOOKUP($F164, 'Exit Capacity Split'!A:H, 8,0)/100</f>
        <v>0</v>
      </c>
      <c r="W164" s="200">
        <f ca="1">IF(VLOOKUP(F164,'Exit Prices'!$A:$Q,17,FALSE)&gt;0,VLOOKUP(F164,'Exit Prices'!$A:$Q,17,FALSE),0)</f>
        <v>1.7838290820427986E-2</v>
      </c>
      <c r="X164" s="202">
        <f ca="1">V164*W164*'User Inputs'!$D$7/100</f>
        <v>0</v>
      </c>
      <c r="Y164" s="199">
        <f t="shared" ca="1" si="3"/>
        <v>0</v>
      </c>
      <c r="AA164" s="164"/>
    </row>
    <row r="165" spans="5:27">
      <c r="E165" s="213" t="s">
        <v>474</v>
      </c>
      <c r="F165" s="213" t="s">
        <v>184</v>
      </c>
      <c r="G165" s="197">
        <f ca="1">(VLOOKUP(F165,'Anticipated Exit Bookings'!$B:$C,MATCH('Exit Anticipated Rev. Recovery'!$C$2,'Anticipated Exit Bookings'!$B$1:$C$1,0), FALSE))*VLOOKUP($F165, 'Exit Capacity Split'!A:H, 3,0)/100</f>
        <v>38481452.054329939</v>
      </c>
      <c r="H165" s="200">
        <f ca="1">IF(VLOOKUP(F165,'Exit Prices'!$A:$Q,12,FALSE)&gt;0,VLOOKUP(F165,'Exit Prices'!$A:$Q,12,FALSE),0)</f>
        <v>1.9820323133808871E-2</v>
      </c>
      <c r="I165" s="202">
        <f ca="1">G165*H165*'User Inputs'!$D$7/100</f>
        <v>2783909.0724687232</v>
      </c>
      <c r="J165" s="209">
        <f ca="1">(VLOOKUP(F165,'Anticipated Exit Bookings'!$B:$C,MATCH('Exit Anticipated Rev. Recovery'!$C$2,'Anticipated Exit Bookings'!$B$1:$C$1,0), FALSE))*VLOOKUP($F165, 'Exit Capacity Split'!A:H, 4,0)/100</f>
        <v>0</v>
      </c>
      <c r="K165" s="205" t="str">
        <f>IF(VLOOKUP(F165,'Exit Prices'!$A:$Q,13,FALSE)&gt;0,VLOOKUP(F165,'Exit Prices'!$A:$Q,13,FALSE),0)</f>
        <v>N/A</v>
      </c>
      <c r="L165" s="207" t="s">
        <v>428</v>
      </c>
      <c r="M165" s="209">
        <f ca="1">(VLOOKUP(F165,'Anticipated Exit Bookings'!$B:$C,MATCH('Exit Anticipated Rev. Recovery'!$C$2,'Anticipated Exit Bookings'!$B$1:$C$1,0), FALSE))*VLOOKUP($F165, 'Exit Capacity Split'!A:H, 5,0)/100</f>
        <v>0</v>
      </c>
      <c r="N165" s="205" t="str">
        <f>IF(VLOOKUP(F165,'Exit Prices'!$A:$Q,14,FALSE)&gt;0,VLOOKUP(F165,'Exit Prices'!$A:$Q,14,FALSE),0)</f>
        <v>N/A</v>
      </c>
      <c r="O165" s="207" t="s">
        <v>428</v>
      </c>
      <c r="P165" s="204">
        <f ca="1">(VLOOKUP(F165,'Anticipated Exit Bookings'!$B:$C,MATCH('Exit Anticipated Rev. Recovery'!$C$2,'Anticipated Exit Bookings'!$B$1:$C$1,0), FALSE))*VLOOKUP($F165, 'Exit Capacity Split'!A:H, 6,0)/100</f>
        <v>0</v>
      </c>
      <c r="Q165" s="200">
        <f ca="1">IF(VLOOKUP(F165,'Exit Prices'!$A:$Q,15,FALSE)&gt;0,VLOOKUP(F165,'Exit Prices'!$A:$Q,15,FALSE),0)</f>
        <v>1.9820323133808871E-2</v>
      </c>
      <c r="R165" s="202">
        <f ca="1">P165*Q165*'User Inputs'!$D$7/100</f>
        <v>0</v>
      </c>
      <c r="S165" s="209">
        <f ca="1">(VLOOKUP(F165,'Anticipated Exit Bookings'!$B:$C,MATCH('Exit Anticipated Rev. Recovery'!$C$2,'Anticipated Exit Bookings'!$B$1:$C$1,0), FALSE))*VLOOKUP($F165, 'Exit Capacity Split'!A:H, 7,0)/100</f>
        <v>36380.733557884603</v>
      </c>
      <c r="T165" s="205" t="str">
        <f>IF(VLOOKUP(F165,'Exit Prices'!$A:$Q,16,FALSE)&gt;0,VLOOKUP(F165,'Exit Prices'!$A:$Q,16,FALSE),0)</f>
        <v>N/A</v>
      </c>
      <c r="U165" s="207" t="s">
        <v>428</v>
      </c>
      <c r="V165" s="204">
        <f ca="1">(VLOOKUP(F165,'Anticipated Exit Bookings'!$B:$C,MATCH('Exit Anticipated Rev. Recovery'!$C$2,'Anticipated Exit Bookings'!$B$1:$C$1,0), FALSE))*VLOOKUP($F165, 'Exit Capacity Split'!A:H, 8,0)/100</f>
        <v>989117.21211217949</v>
      </c>
      <c r="W165" s="200">
        <f ca="1">IF(VLOOKUP(F165,'Exit Prices'!$A:$Q,17,FALSE)&gt;0,VLOOKUP(F165,'Exit Prices'!$A:$Q,17,FALSE),0)</f>
        <v>1.7838290820427986E-2</v>
      </c>
      <c r="X165" s="202">
        <f ca="1">V165*W165*'User Inputs'!$D$7/100</f>
        <v>64401.185770790238</v>
      </c>
      <c r="Y165" s="199">
        <f t="shared" ca="1" si="3"/>
        <v>2848310.2582395133</v>
      </c>
      <c r="AA165" s="164"/>
    </row>
    <row r="166" spans="5:27">
      <c r="E166" s="213" t="s">
        <v>474</v>
      </c>
      <c r="F166" s="213" t="s">
        <v>185</v>
      </c>
      <c r="G166" s="197">
        <f ca="1">(VLOOKUP(F166,'Anticipated Exit Bookings'!$B:$C,MATCH('Exit Anticipated Rev. Recovery'!$C$2,'Anticipated Exit Bookings'!$B$1:$C$1,0), FALSE))*VLOOKUP($F166, 'Exit Capacity Split'!A:H, 3,0)/100</f>
        <v>97266580.415547594</v>
      </c>
      <c r="H166" s="200">
        <f ca="1">IF(VLOOKUP(F166,'Exit Prices'!$A:$Q,12,FALSE)&gt;0,VLOOKUP(F166,'Exit Prices'!$A:$Q,12,FALSE),0)</f>
        <v>1.9820323133808871E-2</v>
      </c>
      <c r="I166" s="202">
        <f ca="1">G166*H166*'User Inputs'!$D$7/100</f>
        <v>7036670.9469421692</v>
      </c>
      <c r="J166" s="209">
        <f ca="1">(VLOOKUP(F166,'Anticipated Exit Bookings'!$B:$C,MATCH('Exit Anticipated Rev. Recovery'!$C$2,'Anticipated Exit Bookings'!$B$1:$C$1,0), FALSE))*VLOOKUP($F166, 'Exit Capacity Split'!A:H, 4,0)/100</f>
        <v>0</v>
      </c>
      <c r="K166" s="205" t="str">
        <f>IF(VLOOKUP(F166,'Exit Prices'!$A:$Q,13,FALSE)&gt;0,VLOOKUP(F166,'Exit Prices'!$A:$Q,13,FALSE),0)</f>
        <v>N/A</v>
      </c>
      <c r="L166" s="207" t="s">
        <v>428</v>
      </c>
      <c r="M166" s="209">
        <f ca="1">(VLOOKUP(F166,'Anticipated Exit Bookings'!$B:$C,MATCH('Exit Anticipated Rev. Recovery'!$C$2,'Anticipated Exit Bookings'!$B$1:$C$1,0), FALSE))*VLOOKUP($F166, 'Exit Capacity Split'!A:H, 5,0)/100</f>
        <v>0</v>
      </c>
      <c r="N166" s="205" t="str">
        <f>IF(VLOOKUP(F166,'Exit Prices'!$A:$Q,14,FALSE)&gt;0,VLOOKUP(F166,'Exit Prices'!$A:$Q,14,FALSE),0)</f>
        <v>N/A</v>
      </c>
      <c r="O166" s="207" t="s">
        <v>428</v>
      </c>
      <c r="P166" s="204">
        <f ca="1">(VLOOKUP(F166,'Anticipated Exit Bookings'!$B:$C,MATCH('Exit Anticipated Rev. Recovery'!$C$2,'Anticipated Exit Bookings'!$B$1:$C$1,0), FALSE))*VLOOKUP($F166, 'Exit Capacity Split'!A:H, 6,0)/100</f>
        <v>0</v>
      </c>
      <c r="Q166" s="200">
        <f ca="1">IF(VLOOKUP(F166,'Exit Prices'!$A:$Q,15,FALSE)&gt;0,VLOOKUP(F166,'Exit Prices'!$A:$Q,15,FALSE),0)</f>
        <v>1.9820323133808871E-2</v>
      </c>
      <c r="R166" s="202">
        <f ca="1">P166*Q166*'User Inputs'!$D$7/100</f>
        <v>0</v>
      </c>
      <c r="S166" s="209">
        <f ca="1">(VLOOKUP(F166,'Anticipated Exit Bookings'!$B:$C,MATCH('Exit Anticipated Rev. Recovery'!$C$2,'Anticipated Exit Bookings'!$B$1:$C$1,0), FALSE))*VLOOKUP($F166, 'Exit Capacity Split'!A:H, 7,0)/100</f>
        <v>91956.757275910204</v>
      </c>
      <c r="T166" s="205" t="str">
        <f>IF(VLOOKUP(F166,'Exit Prices'!$A:$Q,16,FALSE)&gt;0,VLOOKUP(F166,'Exit Prices'!$A:$Q,16,FALSE),0)</f>
        <v>N/A</v>
      </c>
      <c r="U166" s="207" t="s">
        <v>428</v>
      </c>
      <c r="V166" s="204">
        <f ca="1">(VLOOKUP(F166,'Anticipated Exit Bookings'!$B:$C,MATCH('Exit Anticipated Rev. Recovery'!$C$2,'Anticipated Exit Bookings'!$B$1:$C$1,0), FALSE))*VLOOKUP($F166, 'Exit Capacity Split'!A:H, 8,0)/100</f>
        <v>2500114.8271764927</v>
      </c>
      <c r="W166" s="200">
        <f ca="1">IF(VLOOKUP(F166,'Exit Prices'!$A:$Q,17,FALSE)&gt;0,VLOOKUP(F166,'Exit Prices'!$A:$Q,17,FALSE),0)</f>
        <v>1.7838290820427986E-2</v>
      </c>
      <c r="X166" s="202">
        <f ca="1">V166*W166*'User Inputs'!$D$7/100</f>
        <v>162781.88010647989</v>
      </c>
      <c r="Y166" s="199">
        <f t="shared" ca="1" si="3"/>
        <v>7199452.8270486491</v>
      </c>
      <c r="AA166" s="164"/>
    </row>
    <row r="167" spans="5:27">
      <c r="E167" s="213" t="s">
        <v>474</v>
      </c>
      <c r="F167" s="213" t="s">
        <v>186</v>
      </c>
      <c r="G167" s="197">
        <f ca="1">(VLOOKUP(F167,'Anticipated Exit Bookings'!$B:$C,MATCH('Exit Anticipated Rev. Recovery'!$C$2,'Anticipated Exit Bookings'!$B$1:$C$1,0), FALSE))*VLOOKUP($F167, 'Exit Capacity Split'!A:H, 3,0)/100</f>
        <v>2594419.491726377</v>
      </c>
      <c r="H167" s="200">
        <f ca="1">IF(VLOOKUP(F167,'Exit Prices'!$A:$Q,12,FALSE)&gt;0,VLOOKUP(F167,'Exit Prices'!$A:$Q,12,FALSE),0)</f>
        <v>1.9820323133808871E-2</v>
      </c>
      <c r="I167" s="202">
        <f ca="1">G167*H167*'User Inputs'!$D$7/100</f>
        <v>187691.14924794171</v>
      </c>
      <c r="J167" s="209">
        <f ca="1">(VLOOKUP(F167,'Anticipated Exit Bookings'!$B:$C,MATCH('Exit Anticipated Rev. Recovery'!$C$2,'Anticipated Exit Bookings'!$B$1:$C$1,0), FALSE))*VLOOKUP($F167, 'Exit Capacity Split'!A:H, 4,0)/100</f>
        <v>0</v>
      </c>
      <c r="K167" s="205" t="str">
        <f>IF(VLOOKUP(F167,'Exit Prices'!$A:$Q,13,FALSE)&gt;0,VLOOKUP(F167,'Exit Prices'!$A:$Q,13,FALSE),0)</f>
        <v>N/A</v>
      </c>
      <c r="L167" s="207" t="s">
        <v>428</v>
      </c>
      <c r="M167" s="209">
        <f ca="1">(VLOOKUP(F167,'Anticipated Exit Bookings'!$B:$C,MATCH('Exit Anticipated Rev. Recovery'!$C$2,'Anticipated Exit Bookings'!$B$1:$C$1,0), FALSE))*VLOOKUP($F167, 'Exit Capacity Split'!A:H, 5,0)/100</f>
        <v>0</v>
      </c>
      <c r="N167" s="205" t="str">
        <f>IF(VLOOKUP(F167,'Exit Prices'!$A:$Q,14,FALSE)&gt;0,VLOOKUP(F167,'Exit Prices'!$A:$Q,14,FALSE),0)</f>
        <v>N/A</v>
      </c>
      <c r="O167" s="207" t="s">
        <v>428</v>
      </c>
      <c r="P167" s="204">
        <f ca="1">(VLOOKUP(F167,'Anticipated Exit Bookings'!$B:$C,MATCH('Exit Anticipated Rev. Recovery'!$C$2,'Anticipated Exit Bookings'!$B$1:$C$1,0), FALSE))*VLOOKUP($F167, 'Exit Capacity Split'!A:H, 6,0)/100</f>
        <v>90.117648798353898</v>
      </c>
      <c r="Q167" s="200">
        <f ca="1">IF(VLOOKUP(F167,'Exit Prices'!$A:$Q,15,FALSE)&gt;0,VLOOKUP(F167,'Exit Prices'!$A:$Q,15,FALSE),0)</f>
        <v>1.9820323133808871E-2</v>
      </c>
      <c r="R167" s="202">
        <f ca="1">P167*Q167*'User Inputs'!$D$7/100</f>
        <v>6.5194873552350403</v>
      </c>
      <c r="S167" s="209">
        <f ca="1">(VLOOKUP(F167,'Anticipated Exit Bookings'!$B:$C,MATCH('Exit Anticipated Rev. Recovery'!$C$2,'Anticipated Exit Bookings'!$B$1:$C$1,0), FALSE))*VLOOKUP($F167, 'Exit Capacity Split'!A:H, 7,0)/100</f>
        <v>3237.3032299100914</v>
      </c>
      <c r="T167" s="205" t="str">
        <f>IF(VLOOKUP(F167,'Exit Prices'!$A:$Q,16,FALSE)&gt;0,VLOOKUP(F167,'Exit Prices'!$A:$Q,16,FALSE),0)</f>
        <v>N/A</v>
      </c>
      <c r="U167" s="207" t="s">
        <v>428</v>
      </c>
      <c r="V167" s="204">
        <f ca="1">(VLOOKUP(F167,'Anticipated Exit Bookings'!$B:$C,MATCH('Exit Anticipated Rev. Recovery'!$C$2,'Anticipated Exit Bookings'!$B$1:$C$1,0), FALSE))*VLOOKUP($F167, 'Exit Capacity Split'!A:H, 8,0)/100</f>
        <v>835356.0873949154</v>
      </c>
      <c r="W167" s="200">
        <f ca="1">IF(VLOOKUP(F167,'Exit Prices'!$A:$Q,17,FALSE)&gt;0,VLOOKUP(F167,'Exit Prices'!$A:$Q,17,FALSE),0)</f>
        <v>1.7838290820427986E-2</v>
      </c>
      <c r="X167" s="202">
        <f ca="1">V167*W167*'User Inputs'!$D$7/100</f>
        <v>54389.83561331356</v>
      </c>
      <c r="Y167" s="199">
        <f t="shared" ca="1" si="3"/>
        <v>242087.5043486105</v>
      </c>
      <c r="AA167" s="164"/>
    </row>
    <row r="168" spans="5:27">
      <c r="E168" s="213" t="s">
        <v>474</v>
      </c>
      <c r="F168" s="213" t="s">
        <v>187</v>
      </c>
      <c r="G168" s="197">
        <f ca="1">(VLOOKUP(F168,'Anticipated Exit Bookings'!$B:$C,MATCH('Exit Anticipated Rev. Recovery'!$C$2,'Anticipated Exit Bookings'!$B$1:$C$1,0), FALSE))*VLOOKUP($F168, 'Exit Capacity Split'!A:H, 3,0)/100</f>
        <v>51932934.495825671</v>
      </c>
      <c r="H168" s="200">
        <f ca="1">IF(VLOOKUP(F168,'Exit Prices'!$A:$Q,12,FALSE)&gt;0,VLOOKUP(F168,'Exit Prices'!$A:$Q,12,FALSE),0)</f>
        <v>1.9820323133808871E-2</v>
      </c>
      <c r="I168" s="202">
        <f ca="1">G168*H168*'User Inputs'!$D$7/100</f>
        <v>3757045.5319288094</v>
      </c>
      <c r="J168" s="209">
        <f ca="1">(VLOOKUP(F168,'Anticipated Exit Bookings'!$B:$C,MATCH('Exit Anticipated Rev. Recovery'!$C$2,'Anticipated Exit Bookings'!$B$1:$C$1,0), FALSE))*VLOOKUP($F168, 'Exit Capacity Split'!A:H, 4,0)/100</f>
        <v>0</v>
      </c>
      <c r="K168" s="205" t="str">
        <f>IF(VLOOKUP(F168,'Exit Prices'!$A:$Q,13,FALSE)&gt;0,VLOOKUP(F168,'Exit Prices'!$A:$Q,13,FALSE),0)</f>
        <v>N/A</v>
      </c>
      <c r="L168" s="207" t="s">
        <v>428</v>
      </c>
      <c r="M168" s="209">
        <f ca="1">(VLOOKUP(F168,'Anticipated Exit Bookings'!$B:$C,MATCH('Exit Anticipated Rev. Recovery'!$C$2,'Anticipated Exit Bookings'!$B$1:$C$1,0), FALSE))*VLOOKUP($F168, 'Exit Capacity Split'!A:H, 5,0)/100</f>
        <v>0</v>
      </c>
      <c r="N168" s="205" t="str">
        <f>IF(VLOOKUP(F168,'Exit Prices'!$A:$Q,14,FALSE)&gt;0,VLOOKUP(F168,'Exit Prices'!$A:$Q,14,FALSE),0)</f>
        <v>N/A</v>
      </c>
      <c r="O168" s="207" t="s">
        <v>428</v>
      </c>
      <c r="P168" s="204">
        <f ca="1">(VLOOKUP(F168,'Anticipated Exit Bookings'!$B:$C,MATCH('Exit Anticipated Rev. Recovery'!$C$2,'Anticipated Exit Bookings'!$B$1:$C$1,0), FALSE))*VLOOKUP($F168, 'Exit Capacity Split'!A:H, 6,0)/100</f>
        <v>0</v>
      </c>
      <c r="Q168" s="200">
        <f ca="1">IF(VLOOKUP(F168,'Exit Prices'!$A:$Q,15,FALSE)&gt;0,VLOOKUP(F168,'Exit Prices'!$A:$Q,15,FALSE),0)</f>
        <v>1.9820323133808871E-2</v>
      </c>
      <c r="R168" s="202">
        <f ca="1">P168*Q168*'User Inputs'!$D$7/100</f>
        <v>0</v>
      </c>
      <c r="S168" s="209">
        <f ca="1">(VLOOKUP(F168,'Anticipated Exit Bookings'!$B:$C,MATCH('Exit Anticipated Rev. Recovery'!$C$2,'Anticipated Exit Bookings'!$B$1:$C$1,0), FALSE))*VLOOKUP($F168, 'Exit Capacity Split'!A:H, 7,0)/100</f>
        <v>49097.893969911078</v>
      </c>
      <c r="T168" s="205" t="str">
        <f>IF(VLOOKUP(F168,'Exit Prices'!$A:$Q,16,FALSE)&gt;0,VLOOKUP(F168,'Exit Prices'!$A:$Q,16,FALSE),0)</f>
        <v>N/A</v>
      </c>
      <c r="U168" s="207" t="s">
        <v>428</v>
      </c>
      <c r="V168" s="204">
        <f ca="1">(VLOOKUP(F168,'Anticipated Exit Bookings'!$B:$C,MATCH('Exit Anticipated Rev. Recovery'!$C$2,'Anticipated Exit Bookings'!$B$1:$C$1,0), FALSE))*VLOOKUP($F168, 'Exit Capacity Split'!A:H, 8,0)/100</f>
        <v>1334870.6102044198</v>
      </c>
      <c r="W168" s="200">
        <f ca="1">IF(VLOOKUP(F168,'Exit Prices'!$A:$Q,17,FALSE)&gt;0,VLOOKUP(F168,'Exit Prices'!$A:$Q,17,FALSE),0)</f>
        <v>1.7838290820427986E-2</v>
      </c>
      <c r="X168" s="202">
        <f ca="1">V168*W168*'User Inputs'!$D$7/100</f>
        <v>86913.107056510416</v>
      </c>
      <c r="Y168" s="199">
        <f t="shared" ca="1" si="3"/>
        <v>3843958.63898532</v>
      </c>
      <c r="AA168" s="164"/>
    </row>
    <row r="169" spans="5:27">
      <c r="E169" s="213" t="s">
        <v>474</v>
      </c>
      <c r="F169" s="213" t="s">
        <v>188</v>
      </c>
      <c r="G169" s="197">
        <f ca="1">(VLOOKUP(F169,'Anticipated Exit Bookings'!$B:$C,MATCH('Exit Anticipated Rev. Recovery'!$C$2,'Anticipated Exit Bookings'!$B$1:$C$1,0), FALSE))*VLOOKUP($F169, 'Exit Capacity Split'!A:H, 3,0)/100</f>
        <v>9026552.3778795023</v>
      </c>
      <c r="H169" s="200">
        <f ca="1">IF(VLOOKUP(F169,'Exit Prices'!$A:$Q,12,FALSE)&gt;0,VLOOKUP(F169,'Exit Prices'!$A:$Q,12,FALSE),0)</f>
        <v>1.9820323133808871E-2</v>
      </c>
      <c r="I169" s="202">
        <f ca="1">G169*H169*'User Inputs'!$D$7/100</f>
        <v>653018.52493545238</v>
      </c>
      <c r="J169" s="209">
        <f ca="1">(VLOOKUP(F169,'Anticipated Exit Bookings'!$B:$C,MATCH('Exit Anticipated Rev. Recovery'!$C$2,'Anticipated Exit Bookings'!$B$1:$C$1,0), FALSE))*VLOOKUP($F169, 'Exit Capacity Split'!A:H, 4,0)/100</f>
        <v>0</v>
      </c>
      <c r="K169" s="205" t="str">
        <f>IF(VLOOKUP(F169,'Exit Prices'!$A:$Q,13,FALSE)&gt;0,VLOOKUP(F169,'Exit Prices'!$A:$Q,13,FALSE),0)</f>
        <v>N/A</v>
      </c>
      <c r="L169" s="207" t="s">
        <v>428</v>
      </c>
      <c r="M169" s="209">
        <f ca="1">(VLOOKUP(F169,'Anticipated Exit Bookings'!$B:$C,MATCH('Exit Anticipated Rev. Recovery'!$C$2,'Anticipated Exit Bookings'!$B$1:$C$1,0), FALSE))*VLOOKUP($F169, 'Exit Capacity Split'!A:H, 5,0)/100</f>
        <v>0</v>
      </c>
      <c r="N169" s="205" t="str">
        <f>IF(VLOOKUP(F169,'Exit Prices'!$A:$Q,14,FALSE)&gt;0,VLOOKUP(F169,'Exit Prices'!$A:$Q,14,FALSE),0)</f>
        <v>N/A</v>
      </c>
      <c r="O169" s="207" t="s">
        <v>428</v>
      </c>
      <c r="P169" s="204">
        <f ca="1">(VLOOKUP(F169,'Anticipated Exit Bookings'!$B:$C,MATCH('Exit Anticipated Rev. Recovery'!$C$2,'Anticipated Exit Bookings'!$B$1:$C$1,0), FALSE))*VLOOKUP($F169, 'Exit Capacity Split'!A:H, 6,0)/100</f>
        <v>47835.469986634169</v>
      </c>
      <c r="Q169" s="200">
        <f ca="1">IF(VLOOKUP(F169,'Exit Prices'!$A:$Q,15,FALSE)&gt;0,VLOOKUP(F169,'Exit Prices'!$A:$Q,15,FALSE),0)</f>
        <v>1.9820323133808871E-2</v>
      </c>
      <c r="R169" s="202">
        <f ca="1">P169*Q169*'User Inputs'!$D$7/100</f>
        <v>3460.617824233374</v>
      </c>
      <c r="S169" s="209">
        <f ca="1">(VLOOKUP(F169,'Anticipated Exit Bookings'!$B:$C,MATCH('Exit Anticipated Rev. Recovery'!$C$2,'Anticipated Exit Bookings'!$B$1:$C$1,0), FALSE))*VLOOKUP($F169, 'Exit Capacity Split'!A:H, 7,0)/100</f>
        <v>12178.858277144313</v>
      </c>
      <c r="T169" s="205" t="str">
        <f>IF(VLOOKUP(F169,'Exit Prices'!$A:$Q,16,FALSE)&gt;0,VLOOKUP(F169,'Exit Prices'!$A:$Q,16,FALSE),0)</f>
        <v>N/A</v>
      </c>
      <c r="U169" s="207" t="s">
        <v>428</v>
      </c>
      <c r="V169" s="204">
        <f ca="1">(VLOOKUP(F169,'Anticipated Exit Bookings'!$B:$C,MATCH('Exit Anticipated Rev. Recovery'!$C$2,'Anticipated Exit Bookings'!$B$1:$C$1,0), FALSE))*VLOOKUP($F169, 'Exit Capacity Split'!A:H, 8,0)/100</f>
        <v>9230371.2938567176</v>
      </c>
      <c r="W169" s="200">
        <f ca="1">IF(VLOOKUP(F169,'Exit Prices'!$A:$Q,17,FALSE)&gt;0,VLOOKUP(F169,'Exit Prices'!$A:$Q,17,FALSE),0)</f>
        <v>1.7838290820427986E-2</v>
      </c>
      <c r="X169" s="202">
        <f ca="1">V169*W169*'User Inputs'!$D$7/100</f>
        <v>600987.27344926388</v>
      </c>
      <c r="Y169" s="199">
        <f t="shared" ca="1" si="3"/>
        <v>1257466.4162089496</v>
      </c>
      <c r="AA169" s="164"/>
    </row>
    <row r="170" spans="5:27">
      <c r="E170" s="213" t="s">
        <v>474</v>
      </c>
      <c r="F170" s="213" t="s">
        <v>241</v>
      </c>
      <c r="G170" s="197">
        <f ca="1">(VLOOKUP(F170,'Anticipated Exit Bookings'!$B:$C,MATCH('Exit Anticipated Rev. Recovery'!$C$2,'Anticipated Exit Bookings'!$B$1:$C$1,0), FALSE))*VLOOKUP($F170, 'Exit Capacity Split'!A:H, 3,0)/100</f>
        <v>37239.01912859056</v>
      </c>
      <c r="H170" s="200">
        <f ca="1">IF(VLOOKUP(F170,'Exit Prices'!$A:$Q,12,FALSE)&gt;0,VLOOKUP(F170,'Exit Prices'!$A:$Q,12,FALSE),0)</f>
        <v>1.9820323133808871E-2</v>
      </c>
      <c r="I170" s="202">
        <f ca="1">G170*H170*'User Inputs'!$D$7/100</f>
        <v>2694.0262819488539</v>
      </c>
      <c r="J170" s="209">
        <f ca="1">(VLOOKUP(F170,'Anticipated Exit Bookings'!$B:$C,MATCH('Exit Anticipated Rev. Recovery'!$C$2,'Anticipated Exit Bookings'!$B$1:$C$1,0), FALSE))*VLOOKUP($F170, 'Exit Capacity Split'!A:H, 4,0)/100</f>
        <v>0</v>
      </c>
      <c r="K170" s="205" t="str">
        <f>IF(VLOOKUP(F170,'Exit Prices'!$A:$Q,13,FALSE)&gt;0,VLOOKUP(F170,'Exit Prices'!$A:$Q,13,FALSE),0)</f>
        <v>N/A</v>
      </c>
      <c r="L170" s="207" t="s">
        <v>428</v>
      </c>
      <c r="M170" s="209">
        <f ca="1">(VLOOKUP(F170,'Anticipated Exit Bookings'!$B:$C,MATCH('Exit Anticipated Rev. Recovery'!$C$2,'Anticipated Exit Bookings'!$B$1:$C$1,0), FALSE))*VLOOKUP($F170, 'Exit Capacity Split'!A:H, 5,0)/100</f>
        <v>0</v>
      </c>
      <c r="N170" s="205" t="str">
        <f>IF(VLOOKUP(F170,'Exit Prices'!$A:$Q,14,FALSE)&gt;0,VLOOKUP(F170,'Exit Prices'!$A:$Q,14,FALSE),0)</f>
        <v>N/A</v>
      </c>
      <c r="O170" s="207" t="s">
        <v>428</v>
      </c>
      <c r="P170" s="204">
        <f ca="1">(VLOOKUP(F170,'Anticipated Exit Bookings'!$B:$C,MATCH('Exit Anticipated Rev. Recovery'!$C$2,'Anticipated Exit Bookings'!$B$1:$C$1,0), FALSE))*VLOOKUP($F170, 'Exit Capacity Split'!A:H, 6,0)/100</f>
        <v>1.293504330401261</v>
      </c>
      <c r="Q170" s="200">
        <f ca="1">IF(VLOOKUP(F170,'Exit Prices'!$A:$Q,15,FALSE)&gt;0,VLOOKUP(F170,'Exit Prices'!$A:$Q,15,FALSE),0)</f>
        <v>1.9820323133808871E-2</v>
      </c>
      <c r="R170" s="202">
        <f ca="1">P170*Q170*'User Inputs'!$D$7/100</f>
        <v>9.357750938289934E-2</v>
      </c>
      <c r="S170" s="209">
        <f ca="1">(VLOOKUP(F170,'Anticipated Exit Bookings'!$B:$C,MATCH('Exit Anticipated Rev. Recovery'!$C$2,'Anticipated Exit Bookings'!$B$1:$C$1,0), FALSE))*VLOOKUP($F170, 'Exit Capacity Split'!A:H, 7,0)/100</f>
        <v>46.466655561337511</v>
      </c>
      <c r="T170" s="205" t="str">
        <f>IF(VLOOKUP(F170,'Exit Prices'!$A:$Q,16,FALSE)&gt;0,VLOOKUP(F170,'Exit Prices'!$A:$Q,16,FALSE),0)</f>
        <v>N/A</v>
      </c>
      <c r="U170" s="207" t="s">
        <v>428</v>
      </c>
      <c r="V170" s="204">
        <f ca="1">(VLOOKUP(F170,'Anticipated Exit Bookings'!$B:$C,MATCH('Exit Anticipated Rev. Recovery'!$C$2,'Anticipated Exit Bookings'!$B$1:$C$1,0), FALSE))*VLOOKUP($F170, 'Exit Capacity Split'!A:H, 8,0)/100</f>
        <v>11990.289703298544</v>
      </c>
      <c r="W170" s="200">
        <f ca="1">IF(VLOOKUP(F170,'Exit Prices'!$A:$Q,17,FALSE)&gt;0,VLOOKUP(F170,'Exit Prices'!$A:$Q,17,FALSE),0)</f>
        <v>1.7838290820427986E-2</v>
      </c>
      <c r="X170" s="202">
        <f ca="1">V170*W170*'User Inputs'!$D$7/100</f>
        <v>780.68490283247263</v>
      </c>
      <c r="Y170" s="199">
        <f t="shared" ca="1" si="3"/>
        <v>3474.8047622907097</v>
      </c>
      <c r="AA170" s="164"/>
    </row>
    <row r="171" spans="5:27">
      <c r="E171" s="213" t="s">
        <v>474</v>
      </c>
      <c r="F171" s="213" t="s">
        <v>189</v>
      </c>
      <c r="G171" s="197">
        <f ca="1">(VLOOKUP(F171,'Anticipated Exit Bookings'!$B:$C,MATCH('Exit Anticipated Rev. Recovery'!$C$2,'Anticipated Exit Bookings'!$B$1:$C$1,0), FALSE))*VLOOKUP($F171, 'Exit Capacity Split'!A:H, 3,0)/100</f>
        <v>6086056.1323218681</v>
      </c>
      <c r="H171" s="200">
        <f ca="1">IF(VLOOKUP(F171,'Exit Prices'!$A:$Q,12,FALSE)&gt;0,VLOOKUP(F171,'Exit Prices'!$A:$Q,12,FALSE),0)</f>
        <v>1.9820323133808871E-2</v>
      </c>
      <c r="I171" s="202">
        <f ca="1">G171*H171*'User Inputs'!$D$7/100</f>
        <v>440290.73690888239</v>
      </c>
      <c r="J171" s="209">
        <f ca="1">(VLOOKUP(F171,'Anticipated Exit Bookings'!$B:$C,MATCH('Exit Anticipated Rev. Recovery'!$C$2,'Anticipated Exit Bookings'!$B$1:$C$1,0), FALSE))*VLOOKUP($F171, 'Exit Capacity Split'!A:H, 4,0)/100</f>
        <v>0</v>
      </c>
      <c r="K171" s="205" t="str">
        <f>IF(VLOOKUP(F171,'Exit Prices'!$A:$Q,13,FALSE)&gt;0,VLOOKUP(F171,'Exit Prices'!$A:$Q,13,FALSE),0)</f>
        <v>N/A</v>
      </c>
      <c r="L171" s="207" t="s">
        <v>428</v>
      </c>
      <c r="M171" s="209">
        <f ca="1">(VLOOKUP(F171,'Anticipated Exit Bookings'!$B:$C,MATCH('Exit Anticipated Rev. Recovery'!$C$2,'Anticipated Exit Bookings'!$B$1:$C$1,0), FALSE))*VLOOKUP($F171, 'Exit Capacity Split'!A:H, 5,0)/100</f>
        <v>0</v>
      </c>
      <c r="N171" s="205" t="str">
        <f>IF(VLOOKUP(F171,'Exit Prices'!$A:$Q,14,FALSE)&gt;0,VLOOKUP(F171,'Exit Prices'!$A:$Q,14,FALSE),0)</f>
        <v>N/A</v>
      </c>
      <c r="O171" s="207" t="s">
        <v>428</v>
      </c>
      <c r="P171" s="204">
        <f ca="1">(VLOOKUP(F171,'Anticipated Exit Bookings'!$B:$C,MATCH('Exit Anticipated Rev. Recovery'!$C$2,'Anticipated Exit Bookings'!$B$1:$C$1,0), FALSE))*VLOOKUP($F171, 'Exit Capacity Split'!A:H, 6,0)/100</f>
        <v>32252.552610019316</v>
      </c>
      <c r="Q171" s="200">
        <f ca="1">IF(VLOOKUP(F171,'Exit Prices'!$A:$Q,15,FALSE)&gt;0,VLOOKUP(F171,'Exit Prices'!$A:$Q,15,FALSE),0)</f>
        <v>1.9820323133808871E-2</v>
      </c>
      <c r="R171" s="202">
        <f ca="1">P171*Q171*'User Inputs'!$D$7/100</f>
        <v>2333.2844533657503</v>
      </c>
      <c r="S171" s="209">
        <f ca="1">(VLOOKUP(F171,'Anticipated Exit Bookings'!$B:$C,MATCH('Exit Anticipated Rev. Recovery'!$C$2,'Anticipated Exit Bookings'!$B$1:$C$1,0), FALSE))*VLOOKUP($F171, 'Exit Capacity Split'!A:H, 7,0)/100</f>
        <v>8211.4645768781884</v>
      </c>
      <c r="T171" s="205" t="str">
        <f>IF(VLOOKUP(F171,'Exit Prices'!$A:$Q,16,FALSE)&gt;0,VLOOKUP(F171,'Exit Prices'!$A:$Q,16,FALSE),0)</f>
        <v>N/A</v>
      </c>
      <c r="U171" s="207" t="s">
        <v>428</v>
      </c>
      <c r="V171" s="204">
        <f ca="1">(VLOOKUP(F171,'Anticipated Exit Bookings'!$B:$C,MATCH('Exit Anticipated Rev. Recovery'!$C$2,'Anticipated Exit Bookings'!$B$1:$C$1,0), FALSE))*VLOOKUP($F171, 'Exit Capacity Split'!A:H, 8,0)/100</f>
        <v>6223478.8504912332</v>
      </c>
      <c r="W171" s="200">
        <f ca="1">IF(VLOOKUP(F171,'Exit Prices'!$A:$Q,17,FALSE)&gt;0,VLOOKUP(F171,'Exit Prices'!$A:$Q,17,FALSE),0)</f>
        <v>1.7838290820427986E-2</v>
      </c>
      <c r="X171" s="202">
        <f ca="1">V171*W171*'User Inputs'!$D$7/100</f>
        <v>405209.22362193599</v>
      </c>
      <c r="Y171" s="199">
        <f t="shared" ca="1" si="3"/>
        <v>847833.24498418416</v>
      </c>
      <c r="AA171" s="164"/>
    </row>
    <row r="172" spans="5:27">
      <c r="E172" s="213" t="s">
        <v>474</v>
      </c>
      <c r="F172" s="213" t="s">
        <v>190</v>
      </c>
      <c r="G172" s="197">
        <f ca="1">(VLOOKUP(F172,'Anticipated Exit Bookings'!$B:$C,MATCH('Exit Anticipated Rev. Recovery'!$C$2,'Anticipated Exit Bookings'!$B$1:$C$1,0), FALSE))*VLOOKUP($F172, 'Exit Capacity Split'!A:H, 3,0)/100</f>
        <v>8866288.4274629056</v>
      </c>
      <c r="H172" s="200">
        <f ca="1">IF(VLOOKUP(F172,'Exit Prices'!$A:$Q,12,FALSE)&gt;0,VLOOKUP(F172,'Exit Prices'!$A:$Q,12,FALSE),0)</f>
        <v>1.9820323133808871E-2</v>
      </c>
      <c r="I172" s="202">
        <f ca="1">G172*H172*'User Inputs'!$D$7/100</f>
        <v>641424.36094900686</v>
      </c>
      <c r="J172" s="209">
        <f ca="1">(VLOOKUP(F172,'Anticipated Exit Bookings'!$B:$C,MATCH('Exit Anticipated Rev. Recovery'!$C$2,'Anticipated Exit Bookings'!$B$1:$C$1,0), FALSE))*VLOOKUP($F172, 'Exit Capacity Split'!A:H, 4,0)/100</f>
        <v>0</v>
      </c>
      <c r="K172" s="205" t="str">
        <f>IF(VLOOKUP(F172,'Exit Prices'!$A:$Q,13,FALSE)&gt;0,VLOOKUP(F172,'Exit Prices'!$A:$Q,13,FALSE),0)</f>
        <v>N/A</v>
      </c>
      <c r="L172" s="207" t="s">
        <v>428</v>
      </c>
      <c r="M172" s="209">
        <f ca="1">(VLOOKUP(F172,'Anticipated Exit Bookings'!$B:$C,MATCH('Exit Anticipated Rev. Recovery'!$C$2,'Anticipated Exit Bookings'!$B$1:$C$1,0), FALSE))*VLOOKUP($F172, 'Exit Capacity Split'!A:H, 5,0)/100</f>
        <v>0</v>
      </c>
      <c r="N172" s="205" t="str">
        <f>IF(VLOOKUP(F172,'Exit Prices'!$A:$Q,14,FALSE)&gt;0,VLOOKUP(F172,'Exit Prices'!$A:$Q,14,FALSE),0)</f>
        <v>N/A</v>
      </c>
      <c r="O172" s="207" t="s">
        <v>428</v>
      </c>
      <c r="P172" s="204">
        <f ca="1">(VLOOKUP(F172,'Anticipated Exit Bookings'!$B:$C,MATCH('Exit Anticipated Rev. Recovery'!$C$2,'Anticipated Exit Bookings'!$B$1:$C$1,0), FALSE))*VLOOKUP($F172, 'Exit Capacity Split'!A:H, 6,0)/100</f>
        <v>307.97219539826051</v>
      </c>
      <c r="Q172" s="200">
        <f ca="1">IF(VLOOKUP(F172,'Exit Prices'!$A:$Q,15,FALSE)&gt;0,VLOOKUP(F172,'Exit Prices'!$A:$Q,15,FALSE),0)</f>
        <v>1.9820323133808871E-2</v>
      </c>
      <c r="R172" s="202">
        <f ca="1">P172*Q172*'User Inputs'!$D$7/100</f>
        <v>22.279995765930479</v>
      </c>
      <c r="S172" s="209">
        <f ca="1">(VLOOKUP(F172,'Anticipated Exit Bookings'!$B:$C,MATCH('Exit Anticipated Rev. Recovery'!$C$2,'Anticipated Exit Bookings'!$B$1:$C$1,0), FALSE))*VLOOKUP($F172, 'Exit Capacity Split'!A:H, 7,0)/100</f>
        <v>11063.308865460569</v>
      </c>
      <c r="T172" s="205" t="str">
        <f>IF(VLOOKUP(F172,'Exit Prices'!$A:$Q,16,FALSE)&gt;0,VLOOKUP(F172,'Exit Prices'!$A:$Q,16,FALSE),0)</f>
        <v>N/A</v>
      </c>
      <c r="U172" s="207" t="s">
        <v>428</v>
      </c>
      <c r="V172" s="204">
        <f ca="1">(VLOOKUP(F172,'Anticipated Exit Bookings'!$B:$C,MATCH('Exit Anticipated Rev. Recovery'!$C$2,'Anticipated Exit Bookings'!$B$1:$C$1,0), FALSE))*VLOOKUP($F172, 'Exit Capacity Split'!A:H, 8,0)/100</f>
        <v>2854784.291476239</v>
      </c>
      <c r="W172" s="200">
        <f ca="1">IF(VLOOKUP(F172,'Exit Prices'!$A:$Q,17,FALSE)&gt;0,VLOOKUP(F172,'Exit Prices'!$A:$Q,17,FALSE),0)</f>
        <v>1.7838290820427986E-2</v>
      </c>
      <c r="X172" s="202">
        <f ca="1">V172*W172*'User Inputs'!$D$7/100</f>
        <v>185874.32433644054</v>
      </c>
      <c r="Y172" s="199">
        <f t="shared" ca="1" si="3"/>
        <v>827320.96528121328</v>
      </c>
      <c r="AA172" s="164"/>
    </row>
    <row r="173" spans="5:27">
      <c r="E173" s="213" t="s">
        <v>474</v>
      </c>
      <c r="F173" s="213" t="s">
        <v>191</v>
      </c>
      <c r="G173" s="197">
        <f ca="1">(VLOOKUP(F173,'Anticipated Exit Bookings'!$B:$C,MATCH('Exit Anticipated Rev. Recovery'!$C$2,'Anticipated Exit Bookings'!$B$1:$C$1,0), FALSE))*VLOOKUP($F173, 'Exit Capacity Split'!A:H, 3,0)/100</f>
        <v>29008192.362424448</v>
      </c>
      <c r="H173" s="200">
        <f ca="1">IF(VLOOKUP(F173,'Exit Prices'!$A:$Q,12,FALSE)&gt;0,VLOOKUP(F173,'Exit Prices'!$A:$Q,12,FALSE),0)</f>
        <v>1.9820323133808871E-2</v>
      </c>
      <c r="I173" s="202">
        <f ca="1">G173*H173*'User Inputs'!$D$7/100</f>
        <v>2098573.8734509279</v>
      </c>
      <c r="J173" s="209">
        <f ca="1">(VLOOKUP(F173,'Anticipated Exit Bookings'!$B:$C,MATCH('Exit Anticipated Rev. Recovery'!$C$2,'Anticipated Exit Bookings'!$B$1:$C$1,0), FALSE))*VLOOKUP($F173, 'Exit Capacity Split'!A:H, 4,0)/100</f>
        <v>0</v>
      </c>
      <c r="K173" s="205" t="str">
        <f>IF(VLOOKUP(F173,'Exit Prices'!$A:$Q,13,FALSE)&gt;0,VLOOKUP(F173,'Exit Prices'!$A:$Q,13,FALSE),0)</f>
        <v>N/A</v>
      </c>
      <c r="L173" s="207" t="s">
        <v>428</v>
      </c>
      <c r="M173" s="209">
        <f ca="1">(VLOOKUP(F173,'Anticipated Exit Bookings'!$B:$C,MATCH('Exit Anticipated Rev. Recovery'!$C$2,'Anticipated Exit Bookings'!$B$1:$C$1,0), FALSE))*VLOOKUP($F173, 'Exit Capacity Split'!A:H, 5,0)/100</f>
        <v>0</v>
      </c>
      <c r="N173" s="205" t="str">
        <f>IF(VLOOKUP(F173,'Exit Prices'!$A:$Q,14,FALSE)&gt;0,VLOOKUP(F173,'Exit Prices'!$A:$Q,14,FALSE),0)</f>
        <v>N/A</v>
      </c>
      <c r="O173" s="207" t="s">
        <v>428</v>
      </c>
      <c r="P173" s="204">
        <f ca="1">(VLOOKUP(F173,'Anticipated Exit Bookings'!$B:$C,MATCH('Exit Anticipated Rev. Recovery'!$C$2,'Anticipated Exit Bookings'!$B$1:$C$1,0), FALSE))*VLOOKUP($F173, 'Exit Capacity Split'!A:H, 6,0)/100</f>
        <v>0</v>
      </c>
      <c r="Q173" s="200">
        <f ca="1">IF(VLOOKUP(F173,'Exit Prices'!$A:$Q,15,FALSE)&gt;0,VLOOKUP(F173,'Exit Prices'!$A:$Q,15,FALSE),0)</f>
        <v>1.9820323133808871E-2</v>
      </c>
      <c r="R173" s="202">
        <f ca="1">P173*Q173*'User Inputs'!$D$7/100</f>
        <v>0</v>
      </c>
      <c r="S173" s="209">
        <f ca="1">(VLOOKUP(F173,'Anticipated Exit Bookings'!$B:$C,MATCH('Exit Anticipated Rev. Recovery'!$C$2,'Anticipated Exit Bookings'!$B$1:$C$1,0), FALSE))*VLOOKUP($F173, 'Exit Capacity Split'!A:H, 7,0)/100</f>
        <v>27424.623058486697</v>
      </c>
      <c r="T173" s="205" t="str">
        <f>IF(VLOOKUP(F173,'Exit Prices'!$A:$Q,16,FALSE)&gt;0,VLOOKUP(F173,'Exit Prices'!$A:$Q,16,FALSE),0)</f>
        <v>N/A</v>
      </c>
      <c r="U173" s="207" t="s">
        <v>428</v>
      </c>
      <c r="V173" s="204">
        <f ca="1">(VLOOKUP(F173,'Anticipated Exit Bookings'!$B:$C,MATCH('Exit Anticipated Rev. Recovery'!$C$2,'Anticipated Exit Bookings'!$B$1:$C$1,0), FALSE))*VLOOKUP($F173, 'Exit Capacity Split'!A:H, 8,0)/100</f>
        <v>745619.01451706293</v>
      </c>
      <c r="W173" s="200">
        <f ca="1">IF(VLOOKUP(F173,'Exit Prices'!$A:$Q,17,FALSE)&gt;0,VLOOKUP(F173,'Exit Prices'!$A:$Q,17,FALSE),0)</f>
        <v>1.7838290820427986E-2</v>
      </c>
      <c r="X173" s="202">
        <f ca="1">V173*W173*'User Inputs'!$D$7/100</f>
        <v>48547.07620101644</v>
      </c>
      <c r="Y173" s="199">
        <f t="shared" ca="1" si="3"/>
        <v>2147120.9496519445</v>
      </c>
      <c r="AA173" s="164"/>
    </row>
    <row r="174" spans="5:27">
      <c r="E174" s="213" t="s">
        <v>474</v>
      </c>
      <c r="F174" s="213" t="s">
        <v>192</v>
      </c>
      <c r="G174" s="197">
        <f ca="1">(VLOOKUP(F174,'Anticipated Exit Bookings'!$B:$C,MATCH('Exit Anticipated Rev. Recovery'!$C$2,'Anticipated Exit Bookings'!$B$1:$C$1,0), FALSE))*VLOOKUP($F174, 'Exit Capacity Split'!A:H, 3,0)/100</f>
        <v>187166.84996495742</v>
      </c>
      <c r="H174" s="200">
        <f ca="1">IF(VLOOKUP(F174,'Exit Prices'!$A:$Q,12,FALSE)&gt;0,VLOOKUP(F174,'Exit Prices'!$A:$Q,12,FALSE),0)</f>
        <v>1.9820323133808871E-2</v>
      </c>
      <c r="I174" s="202">
        <f ca="1">G174*H174*'User Inputs'!$D$7/100</f>
        <v>13540.432178785417</v>
      </c>
      <c r="J174" s="209">
        <f ca="1">(VLOOKUP(F174,'Anticipated Exit Bookings'!$B:$C,MATCH('Exit Anticipated Rev. Recovery'!$C$2,'Anticipated Exit Bookings'!$B$1:$C$1,0), FALSE))*VLOOKUP($F174, 'Exit Capacity Split'!A:H, 4,0)/100</f>
        <v>0</v>
      </c>
      <c r="K174" s="205" t="str">
        <f>IF(VLOOKUP(F174,'Exit Prices'!$A:$Q,13,FALSE)&gt;0,VLOOKUP(F174,'Exit Prices'!$A:$Q,13,FALSE),0)</f>
        <v>N/A</v>
      </c>
      <c r="L174" s="207" t="s">
        <v>428</v>
      </c>
      <c r="M174" s="209">
        <f ca="1">(VLOOKUP(F174,'Anticipated Exit Bookings'!$B:$C,MATCH('Exit Anticipated Rev. Recovery'!$C$2,'Anticipated Exit Bookings'!$B$1:$C$1,0), FALSE))*VLOOKUP($F174, 'Exit Capacity Split'!A:H, 5,0)/100</f>
        <v>0</v>
      </c>
      <c r="N174" s="205" t="str">
        <f>IF(VLOOKUP(F174,'Exit Prices'!$A:$Q,14,FALSE)&gt;0,VLOOKUP(F174,'Exit Prices'!$A:$Q,14,FALSE),0)</f>
        <v>N/A</v>
      </c>
      <c r="O174" s="207" t="s">
        <v>428</v>
      </c>
      <c r="P174" s="204">
        <f ca="1">(VLOOKUP(F174,'Anticipated Exit Bookings'!$B:$C,MATCH('Exit Anticipated Rev. Recovery'!$C$2,'Anticipated Exit Bookings'!$B$1:$C$1,0), FALSE))*VLOOKUP($F174, 'Exit Capacity Split'!A:H, 6,0)/100</f>
        <v>6.5012757210718357</v>
      </c>
      <c r="Q174" s="200">
        <f ca="1">IF(VLOOKUP(F174,'Exit Prices'!$A:$Q,15,FALSE)&gt;0,VLOOKUP(F174,'Exit Prices'!$A:$Q,15,FALSE),0)</f>
        <v>1.9820323133808871E-2</v>
      </c>
      <c r="R174" s="202">
        <f ca="1">P174*Q174*'User Inputs'!$D$7/100</f>
        <v>0.4703294573437497</v>
      </c>
      <c r="S174" s="209">
        <f ca="1">(VLOOKUP(F174,'Anticipated Exit Bookings'!$B:$C,MATCH('Exit Anticipated Rev. Recovery'!$C$2,'Anticipated Exit Bookings'!$B$1:$C$1,0), FALSE))*VLOOKUP($F174, 'Exit Capacity Split'!A:H, 7,0)/100</f>
        <v>233.54582782619553</v>
      </c>
      <c r="T174" s="205" t="str">
        <f>IF(VLOOKUP(F174,'Exit Prices'!$A:$Q,16,FALSE)&gt;0,VLOOKUP(F174,'Exit Prices'!$A:$Q,16,FALSE),0)</f>
        <v>N/A</v>
      </c>
      <c r="U174" s="207" t="s">
        <v>428</v>
      </c>
      <c r="V174" s="204">
        <f ca="1">(VLOOKUP(F174,'Anticipated Exit Bookings'!$B:$C,MATCH('Exit Anticipated Rev. Recovery'!$C$2,'Anticipated Exit Bookings'!$B$1:$C$1,0), FALSE))*VLOOKUP($F174, 'Exit Capacity Split'!A:H, 8,0)/100</f>
        <v>60264.335808207717</v>
      </c>
      <c r="W174" s="200">
        <f ca="1">IF(VLOOKUP(F174,'Exit Prices'!$A:$Q,17,FALSE)&gt;0,VLOOKUP(F174,'Exit Prices'!$A:$Q,17,FALSE),0)</f>
        <v>1.7838290820427986E-2</v>
      </c>
      <c r="X174" s="202">
        <f ca="1">V174*W174*'User Inputs'!$D$7/100</f>
        <v>3923.7965311006055</v>
      </c>
      <c r="Y174" s="199">
        <f t="shared" ca="1" si="3"/>
        <v>17464.699039343366</v>
      </c>
      <c r="AA174" s="164"/>
    </row>
    <row r="175" spans="5:27">
      <c r="E175" s="213" t="s">
        <v>474</v>
      </c>
      <c r="F175" s="213" t="s">
        <v>193</v>
      </c>
      <c r="G175" s="197">
        <f ca="1">(VLOOKUP(F175,'Anticipated Exit Bookings'!$B:$C,MATCH('Exit Anticipated Rev. Recovery'!$C$2,'Anticipated Exit Bookings'!$B$1:$C$1,0), FALSE))*VLOOKUP($F175, 'Exit Capacity Split'!A:H, 3,0)/100</f>
        <v>97404.259388107515</v>
      </c>
      <c r="H175" s="200">
        <f ca="1">IF(VLOOKUP(F175,'Exit Prices'!$A:$Q,12,FALSE)&gt;0,VLOOKUP(F175,'Exit Prices'!$A:$Q,12,FALSE),0)</f>
        <v>1.9820323133808871E-2</v>
      </c>
      <c r="I175" s="202">
        <f ca="1">G175*H175*'User Inputs'!$D$7/100</f>
        <v>7046.6312192379401</v>
      </c>
      <c r="J175" s="209">
        <f ca="1">(VLOOKUP(F175,'Anticipated Exit Bookings'!$B:$C,MATCH('Exit Anticipated Rev. Recovery'!$C$2,'Anticipated Exit Bookings'!$B$1:$C$1,0), FALSE))*VLOOKUP($F175, 'Exit Capacity Split'!A:H, 4,0)/100</f>
        <v>0</v>
      </c>
      <c r="K175" s="205" t="str">
        <f>IF(VLOOKUP(F175,'Exit Prices'!$A:$Q,13,FALSE)&gt;0,VLOOKUP(F175,'Exit Prices'!$A:$Q,13,FALSE),0)</f>
        <v>N/A</v>
      </c>
      <c r="L175" s="207" t="s">
        <v>428</v>
      </c>
      <c r="M175" s="209">
        <f ca="1">(VLOOKUP(F175,'Anticipated Exit Bookings'!$B:$C,MATCH('Exit Anticipated Rev. Recovery'!$C$2,'Anticipated Exit Bookings'!$B$1:$C$1,0), FALSE))*VLOOKUP($F175, 'Exit Capacity Split'!A:H, 5,0)/100</f>
        <v>0</v>
      </c>
      <c r="N175" s="205" t="str">
        <f>IF(VLOOKUP(F175,'Exit Prices'!$A:$Q,14,FALSE)&gt;0,VLOOKUP(F175,'Exit Prices'!$A:$Q,14,FALSE),0)</f>
        <v>N/A</v>
      </c>
      <c r="O175" s="207" t="s">
        <v>428</v>
      </c>
      <c r="P175" s="204">
        <f ca="1">(VLOOKUP(F175,'Anticipated Exit Bookings'!$B:$C,MATCH('Exit Anticipated Rev. Recovery'!$C$2,'Anticipated Exit Bookings'!$B$1:$C$1,0), FALSE))*VLOOKUP($F175, 'Exit Capacity Split'!A:H, 6,0)/100</f>
        <v>0</v>
      </c>
      <c r="Q175" s="200">
        <f ca="1">IF(VLOOKUP(F175,'Exit Prices'!$A:$Q,15,FALSE)&gt;0,VLOOKUP(F175,'Exit Prices'!$A:$Q,15,FALSE),0)</f>
        <v>1.9820323133808871E-2</v>
      </c>
      <c r="R175" s="202">
        <f ca="1">P175*Q175*'User Inputs'!$D$7/100</f>
        <v>0</v>
      </c>
      <c r="S175" s="209">
        <f ca="1">(VLOOKUP(F175,'Anticipated Exit Bookings'!$B:$C,MATCH('Exit Anticipated Rev. Recovery'!$C$2,'Anticipated Exit Bookings'!$B$1:$C$1,0), FALSE))*VLOOKUP($F175, 'Exit Capacity Split'!A:H, 7,0)/100</f>
        <v>92.086920296010206</v>
      </c>
      <c r="T175" s="205" t="str">
        <f>IF(VLOOKUP(F175,'Exit Prices'!$A:$Q,16,FALSE)&gt;0,VLOOKUP(F175,'Exit Prices'!$A:$Q,16,FALSE),0)</f>
        <v>N/A</v>
      </c>
      <c r="U175" s="207" t="s">
        <v>428</v>
      </c>
      <c r="V175" s="204">
        <f ca="1">(VLOOKUP(F175,'Anticipated Exit Bookings'!$B:$C,MATCH('Exit Anticipated Rev. Recovery'!$C$2,'Anticipated Exit Bookings'!$B$1:$C$1,0), FALSE))*VLOOKUP($F175, 'Exit Capacity Split'!A:H, 8,0)/100</f>
        <v>2503.6536915964903</v>
      </c>
      <c r="W175" s="200">
        <f ca="1">IF(VLOOKUP(F175,'Exit Prices'!$A:$Q,17,FALSE)&gt;0,VLOOKUP(F175,'Exit Prices'!$A:$Q,17,FALSE),0)</f>
        <v>1.7838290820427986E-2</v>
      </c>
      <c r="X175" s="202">
        <f ca="1">V175*W175*'User Inputs'!$D$7/100</f>
        <v>163.01229472482754</v>
      </c>
      <c r="Y175" s="199">
        <f t="shared" ca="1" si="3"/>
        <v>7209.6435139627674</v>
      </c>
      <c r="AA175" s="164"/>
    </row>
    <row r="176" spans="5:27">
      <c r="E176" s="213" t="s">
        <v>474</v>
      </c>
      <c r="F176" s="213" t="s">
        <v>194</v>
      </c>
      <c r="G176" s="197">
        <f ca="1">(VLOOKUP(F176,'Anticipated Exit Bookings'!$B:$C,MATCH('Exit Anticipated Rev. Recovery'!$C$2,'Anticipated Exit Bookings'!$B$1:$C$1,0), FALSE))*VLOOKUP($F176, 'Exit Capacity Split'!A:H, 3,0)/100</f>
        <v>2145903.4981534574</v>
      </c>
      <c r="H176" s="200">
        <f ca="1">IF(VLOOKUP(F176,'Exit Prices'!$A:$Q,12,FALSE)&gt;0,VLOOKUP(F176,'Exit Prices'!$A:$Q,12,FALSE),0)</f>
        <v>1.9820323133808871E-2</v>
      </c>
      <c r="I176" s="202">
        <f ca="1">G176*H176*'User Inputs'!$D$7/100</f>
        <v>155243.6277279091</v>
      </c>
      <c r="J176" s="209">
        <f ca="1">(VLOOKUP(F176,'Anticipated Exit Bookings'!$B:$C,MATCH('Exit Anticipated Rev. Recovery'!$C$2,'Anticipated Exit Bookings'!$B$1:$C$1,0), FALSE))*VLOOKUP($F176, 'Exit Capacity Split'!A:H, 4,0)/100</f>
        <v>0</v>
      </c>
      <c r="K176" s="205" t="str">
        <f>IF(VLOOKUP(F176,'Exit Prices'!$A:$Q,13,FALSE)&gt;0,VLOOKUP(F176,'Exit Prices'!$A:$Q,13,FALSE),0)</f>
        <v>N/A</v>
      </c>
      <c r="L176" s="207" t="s">
        <v>428</v>
      </c>
      <c r="M176" s="209">
        <f ca="1">(VLOOKUP(F176,'Anticipated Exit Bookings'!$B:$C,MATCH('Exit Anticipated Rev. Recovery'!$C$2,'Anticipated Exit Bookings'!$B$1:$C$1,0), FALSE))*VLOOKUP($F176, 'Exit Capacity Split'!A:H, 5,0)/100</f>
        <v>0</v>
      </c>
      <c r="N176" s="205" t="str">
        <f>IF(VLOOKUP(F176,'Exit Prices'!$A:$Q,14,FALSE)&gt;0,VLOOKUP(F176,'Exit Prices'!$A:$Q,14,FALSE),0)</f>
        <v>N/A</v>
      </c>
      <c r="O176" s="207" t="s">
        <v>428</v>
      </c>
      <c r="P176" s="204">
        <f ca="1">(VLOOKUP(F176,'Anticipated Exit Bookings'!$B:$C,MATCH('Exit Anticipated Rev. Recovery'!$C$2,'Anticipated Exit Bookings'!$B$1:$C$1,0), FALSE))*VLOOKUP($F176, 'Exit Capacity Split'!A:H, 6,0)/100</f>
        <v>0</v>
      </c>
      <c r="Q176" s="200">
        <f ca="1">IF(VLOOKUP(F176,'Exit Prices'!$A:$Q,15,FALSE)&gt;0,VLOOKUP(F176,'Exit Prices'!$A:$Q,15,FALSE),0)</f>
        <v>1.9820323133808871E-2</v>
      </c>
      <c r="R176" s="202">
        <f ca="1">P176*Q176*'User Inputs'!$D$7/100</f>
        <v>0</v>
      </c>
      <c r="S176" s="209">
        <f ca="1">(VLOOKUP(F176,'Anticipated Exit Bookings'!$B:$C,MATCH('Exit Anticipated Rev. Recovery'!$C$2,'Anticipated Exit Bookings'!$B$1:$C$1,0), FALSE))*VLOOKUP($F176, 'Exit Capacity Split'!A:H, 7,0)/100</f>
        <v>2028.7577323493713</v>
      </c>
      <c r="T176" s="205" t="str">
        <f>IF(VLOOKUP(F176,'Exit Prices'!$A:$Q,16,FALSE)&gt;0,VLOOKUP(F176,'Exit Prices'!$A:$Q,16,FALSE),0)</f>
        <v>N/A</v>
      </c>
      <c r="U176" s="207" t="s">
        <v>428</v>
      </c>
      <c r="V176" s="204">
        <f ca="1">(VLOOKUP(F176,'Anticipated Exit Bookings'!$B:$C,MATCH('Exit Anticipated Rev. Recovery'!$C$2,'Anticipated Exit Bookings'!$B$1:$C$1,0), FALSE))*VLOOKUP($F176, 'Exit Capacity Split'!A:H, 8,0)/100</f>
        <v>55157.744114193112</v>
      </c>
      <c r="W176" s="200">
        <f ca="1">IF(VLOOKUP(F176,'Exit Prices'!$A:$Q,17,FALSE)&gt;0,VLOOKUP(F176,'Exit Prices'!$A:$Q,17,FALSE),0)</f>
        <v>1.7838290820427986E-2</v>
      </c>
      <c r="X176" s="202">
        <f ca="1">V176*W176*'User Inputs'!$D$7/100</f>
        <v>3591.3075638532027</v>
      </c>
      <c r="Y176" s="199">
        <f t="shared" ca="1" si="3"/>
        <v>158834.93529176229</v>
      </c>
      <c r="AA176" s="164"/>
    </row>
    <row r="177" spans="5:27">
      <c r="E177" s="213" t="s">
        <v>474</v>
      </c>
      <c r="F177" s="213" t="s">
        <v>195</v>
      </c>
      <c r="G177" s="197">
        <f ca="1">(VLOOKUP(F177,'Anticipated Exit Bookings'!$B:$C,MATCH('Exit Anticipated Rev. Recovery'!$C$2,'Anticipated Exit Bookings'!$B$1:$C$1,0), FALSE))*VLOOKUP($F177, 'Exit Capacity Split'!A:H, 3,0)/100</f>
        <v>10448550.034349322</v>
      </c>
      <c r="H177" s="200">
        <f ca="1">IF(VLOOKUP(F177,'Exit Prices'!$A:$Q,12,FALSE)&gt;0,VLOOKUP(F177,'Exit Prices'!$A:$Q,12,FALSE),0)</f>
        <v>1.9820323133808871E-2</v>
      </c>
      <c r="I177" s="202">
        <f ca="1">G177*H177*'User Inputs'!$D$7/100</f>
        <v>755891.77855609264</v>
      </c>
      <c r="J177" s="209">
        <f ca="1">(VLOOKUP(F177,'Anticipated Exit Bookings'!$B:$C,MATCH('Exit Anticipated Rev. Recovery'!$C$2,'Anticipated Exit Bookings'!$B$1:$C$1,0), FALSE))*VLOOKUP($F177, 'Exit Capacity Split'!A:H, 4,0)/100</f>
        <v>0</v>
      </c>
      <c r="K177" s="205" t="str">
        <f>IF(VLOOKUP(F177,'Exit Prices'!$A:$Q,13,FALSE)&gt;0,VLOOKUP(F177,'Exit Prices'!$A:$Q,13,FALSE),0)</f>
        <v>N/A</v>
      </c>
      <c r="L177" s="207" t="s">
        <v>428</v>
      </c>
      <c r="M177" s="209">
        <f ca="1">(VLOOKUP(F177,'Anticipated Exit Bookings'!$B:$C,MATCH('Exit Anticipated Rev. Recovery'!$C$2,'Anticipated Exit Bookings'!$B$1:$C$1,0), FALSE))*VLOOKUP($F177, 'Exit Capacity Split'!A:H, 5,0)/100</f>
        <v>0</v>
      </c>
      <c r="N177" s="205" t="str">
        <f>IF(VLOOKUP(F177,'Exit Prices'!$A:$Q,14,FALSE)&gt;0,VLOOKUP(F177,'Exit Prices'!$A:$Q,14,FALSE),0)</f>
        <v>N/A</v>
      </c>
      <c r="O177" s="207" t="s">
        <v>428</v>
      </c>
      <c r="P177" s="204">
        <f ca="1">(VLOOKUP(F177,'Anticipated Exit Bookings'!$B:$C,MATCH('Exit Anticipated Rev. Recovery'!$C$2,'Anticipated Exit Bookings'!$B$1:$C$1,0), FALSE))*VLOOKUP($F177, 'Exit Capacity Split'!A:H, 6,0)/100</f>
        <v>0</v>
      </c>
      <c r="Q177" s="200">
        <f ca="1">IF(VLOOKUP(F177,'Exit Prices'!$A:$Q,15,FALSE)&gt;0,VLOOKUP(F177,'Exit Prices'!$A:$Q,15,FALSE),0)</f>
        <v>1.9820323133808871E-2</v>
      </c>
      <c r="R177" s="202">
        <f ca="1">P177*Q177*'User Inputs'!$D$7/100</f>
        <v>0</v>
      </c>
      <c r="S177" s="209">
        <f ca="1">(VLOOKUP(F177,'Anticipated Exit Bookings'!$B:$C,MATCH('Exit Anticipated Rev. Recovery'!$C$2,'Anticipated Exit Bookings'!$B$1:$C$1,0), FALSE))*VLOOKUP($F177, 'Exit Capacity Split'!A:H, 7,0)/100</f>
        <v>9878.1593358070004</v>
      </c>
      <c r="T177" s="205" t="str">
        <f>IF(VLOOKUP(F177,'Exit Prices'!$A:$Q,16,FALSE)&gt;0,VLOOKUP(F177,'Exit Prices'!$A:$Q,16,FALSE),0)</f>
        <v>N/A</v>
      </c>
      <c r="U177" s="207" t="s">
        <v>428</v>
      </c>
      <c r="V177" s="204">
        <f ca="1">(VLOOKUP(F177,'Anticipated Exit Bookings'!$B:$C,MATCH('Exit Anticipated Rev. Recovery'!$C$2,'Anticipated Exit Bookings'!$B$1:$C$1,0), FALSE))*VLOOKUP($F177, 'Exit Capacity Split'!A:H, 8,0)/100</f>
        <v>268566.80631487095</v>
      </c>
      <c r="W177" s="200">
        <f ca="1">IF(VLOOKUP(F177,'Exit Prices'!$A:$Q,17,FALSE)&gt;0,VLOOKUP(F177,'Exit Prices'!$A:$Q,17,FALSE),0)</f>
        <v>1.7838290820427986E-2</v>
      </c>
      <c r="X177" s="202">
        <f ca="1">V177*W177*'User Inputs'!$D$7/100</f>
        <v>17486.320704517515</v>
      </c>
      <c r="Y177" s="199">
        <f t="shared" ca="1" si="3"/>
        <v>773378.09926061018</v>
      </c>
      <c r="AA177" s="164"/>
    </row>
    <row r="178" spans="5:27">
      <c r="E178" s="213" t="s">
        <v>474</v>
      </c>
      <c r="F178" s="213" t="s">
        <v>196</v>
      </c>
      <c r="G178" s="197">
        <f ca="1">(VLOOKUP(F178,'Anticipated Exit Bookings'!$B:$C,MATCH('Exit Anticipated Rev. Recovery'!$C$2,'Anticipated Exit Bookings'!$B$1:$C$1,0), FALSE))*VLOOKUP($F178, 'Exit Capacity Split'!A:H, 3,0)/100</f>
        <v>88115.433890510831</v>
      </c>
      <c r="H178" s="200">
        <f ca="1">IF(VLOOKUP(F178,'Exit Prices'!$A:$Q,12,FALSE)&gt;0,VLOOKUP(F178,'Exit Prices'!$A:$Q,12,FALSE),0)</f>
        <v>1.9820323133808871E-2</v>
      </c>
      <c r="I178" s="202">
        <f ca="1">G178*H178*'User Inputs'!$D$7/100</f>
        <v>6374.6387606677972</v>
      </c>
      <c r="J178" s="209">
        <f ca="1">(VLOOKUP(F178,'Anticipated Exit Bookings'!$B:$C,MATCH('Exit Anticipated Rev. Recovery'!$C$2,'Anticipated Exit Bookings'!$B$1:$C$1,0), FALSE))*VLOOKUP($F178, 'Exit Capacity Split'!A:H, 4,0)/100</f>
        <v>0</v>
      </c>
      <c r="K178" s="205" t="str">
        <f>IF(VLOOKUP(F178,'Exit Prices'!$A:$Q,13,FALSE)&gt;0,VLOOKUP(F178,'Exit Prices'!$A:$Q,13,FALSE),0)</f>
        <v>N/A</v>
      </c>
      <c r="L178" s="207" t="s">
        <v>428</v>
      </c>
      <c r="M178" s="209">
        <f ca="1">(VLOOKUP(F178,'Anticipated Exit Bookings'!$B:$C,MATCH('Exit Anticipated Rev. Recovery'!$C$2,'Anticipated Exit Bookings'!$B$1:$C$1,0), FALSE))*VLOOKUP($F178, 'Exit Capacity Split'!A:H, 5,0)/100</f>
        <v>0</v>
      </c>
      <c r="N178" s="205" t="str">
        <f>IF(VLOOKUP(F178,'Exit Prices'!$A:$Q,14,FALSE)&gt;0,VLOOKUP(F178,'Exit Prices'!$A:$Q,14,FALSE),0)</f>
        <v>N/A</v>
      </c>
      <c r="O178" s="207" t="s">
        <v>428</v>
      </c>
      <c r="P178" s="204">
        <f ca="1">(VLOOKUP(F178,'Anticipated Exit Bookings'!$B:$C,MATCH('Exit Anticipated Rev. Recovery'!$C$2,'Anticipated Exit Bookings'!$B$1:$C$1,0), FALSE))*VLOOKUP($F178, 'Exit Capacity Split'!A:H, 6,0)/100</f>
        <v>466.96047580227611</v>
      </c>
      <c r="Q178" s="200">
        <f ca="1">IF(VLOOKUP(F178,'Exit Prices'!$A:$Q,15,FALSE)&gt;0,VLOOKUP(F178,'Exit Prices'!$A:$Q,15,FALSE),0)</f>
        <v>1.9820323133808871E-2</v>
      </c>
      <c r="R178" s="202">
        <f ca="1">P178*Q178*'User Inputs'!$D$7/100</f>
        <v>33.781872452081615</v>
      </c>
      <c r="S178" s="209">
        <f ca="1">(VLOOKUP(F178,'Anticipated Exit Bookings'!$B:$C,MATCH('Exit Anticipated Rev. Recovery'!$C$2,'Anticipated Exit Bookings'!$B$1:$C$1,0), FALSE))*VLOOKUP($F178, 'Exit Capacity Split'!A:H, 7,0)/100</f>
        <v>118.88762580179164</v>
      </c>
      <c r="T178" s="205" t="str">
        <f>IF(VLOOKUP(F178,'Exit Prices'!$A:$Q,16,FALSE)&gt;0,VLOOKUP(F178,'Exit Prices'!$A:$Q,16,FALSE),0)</f>
        <v>N/A</v>
      </c>
      <c r="U178" s="207" t="s">
        <v>428</v>
      </c>
      <c r="V178" s="204">
        <f ca="1">(VLOOKUP(F178,'Anticipated Exit Bookings'!$B:$C,MATCH('Exit Anticipated Rev. Recovery'!$C$2,'Anticipated Exit Bookings'!$B$1:$C$1,0), FALSE))*VLOOKUP($F178, 'Exit Capacity Split'!A:H, 8,0)/100</f>
        <v>90105.07417226868</v>
      </c>
      <c r="W178" s="200">
        <f ca="1">IF(VLOOKUP(F178,'Exit Prices'!$A:$Q,17,FALSE)&gt;0,VLOOKUP(F178,'Exit Prices'!$A:$Q,17,FALSE),0)</f>
        <v>1.7838290820427986E-2</v>
      </c>
      <c r="X178" s="202">
        <f ca="1">V178*W178*'User Inputs'!$D$7/100</f>
        <v>5866.7198888062467</v>
      </c>
      <c r="Y178" s="199">
        <f t="shared" ca="1" si="3"/>
        <v>12275.140521926125</v>
      </c>
      <c r="AA178" s="164"/>
    </row>
    <row r="179" spans="5:27">
      <c r="E179" s="213" t="s">
        <v>474</v>
      </c>
      <c r="F179" s="213" t="s">
        <v>21</v>
      </c>
      <c r="G179" s="197">
        <f ca="1">(VLOOKUP(F179,'Anticipated Exit Bookings'!$B:$C,MATCH('Exit Anticipated Rev. Recovery'!$C$2,'Anticipated Exit Bookings'!$B$1:$C$1,0), FALSE))*VLOOKUP($F179, 'Exit Capacity Split'!A:H, 3,0)/100</f>
        <v>1282667.9897522936</v>
      </c>
      <c r="H179" s="200">
        <f ca="1">IF(VLOOKUP(F179,'Exit Prices'!$A:$Q,12,FALSE)&gt;0,VLOOKUP(F179,'Exit Prices'!$A:$Q,12,FALSE),0)</f>
        <v>1.9820323133808871E-2</v>
      </c>
      <c r="I179" s="202">
        <f ca="1">G179*H179*'User Inputs'!$D$7/100</f>
        <v>92793.56321053479</v>
      </c>
      <c r="J179" s="209">
        <f ca="1">(VLOOKUP(F179,'Anticipated Exit Bookings'!$B:$C,MATCH('Exit Anticipated Rev. Recovery'!$C$2,'Anticipated Exit Bookings'!$B$1:$C$1,0), FALSE))*VLOOKUP($F179, 'Exit Capacity Split'!A:H, 4,0)/100</f>
        <v>0</v>
      </c>
      <c r="K179" s="205" t="str">
        <f>IF(VLOOKUP(F179,'Exit Prices'!$A:$Q,13,FALSE)&gt;0,VLOOKUP(F179,'Exit Prices'!$A:$Q,13,FALSE),0)</f>
        <v>N/A</v>
      </c>
      <c r="L179" s="207" t="s">
        <v>428</v>
      </c>
      <c r="M179" s="209">
        <f ca="1">(VLOOKUP(F179,'Anticipated Exit Bookings'!$B:$C,MATCH('Exit Anticipated Rev. Recovery'!$C$2,'Anticipated Exit Bookings'!$B$1:$C$1,0), FALSE))*VLOOKUP($F179, 'Exit Capacity Split'!A:H, 5,0)/100</f>
        <v>0</v>
      </c>
      <c r="N179" s="205" t="str">
        <f>IF(VLOOKUP(F179,'Exit Prices'!$A:$Q,14,FALSE)&gt;0,VLOOKUP(F179,'Exit Prices'!$A:$Q,14,FALSE),0)</f>
        <v>N/A</v>
      </c>
      <c r="O179" s="207" t="s">
        <v>428</v>
      </c>
      <c r="P179" s="204">
        <f ca="1">(VLOOKUP(F179,'Anticipated Exit Bookings'!$B:$C,MATCH('Exit Anticipated Rev. Recovery'!$C$2,'Anticipated Exit Bookings'!$B$1:$C$1,0), FALSE))*VLOOKUP($F179, 'Exit Capacity Split'!A:H, 6,0)/100</f>
        <v>0</v>
      </c>
      <c r="Q179" s="200">
        <f ca="1">IF(VLOOKUP(F179,'Exit Prices'!$A:$Q,15,FALSE)&gt;0,VLOOKUP(F179,'Exit Prices'!$A:$Q,15,FALSE),0)</f>
        <v>1.9820323133808871E-2</v>
      </c>
      <c r="R179" s="202">
        <f ca="1">P179*Q179*'User Inputs'!$D$7/100</f>
        <v>0</v>
      </c>
      <c r="S179" s="209">
        <f ca="1">(VLOOKUP(F179,'Anticipated Exit Bookings'!$B:$C,MATCH('Exit Anticipated Rev. Recovery'!$C$2,'Anticipated Exit Bookings'!$B$1:$C$1,0), FALSE))*VLOOKUP($F179, 'Exit Capacity Split'!A:H, 7,0)/100</f>
        <v>1212.6466099180104</v>
      </c>
      <c r="T179" s="205" t="str">
        <f>IF(VLOOKUP(F179,'Exit Prices'!$A:$Q,16,FALSE)&gt;0,VLOOKUP(F179,'Exit Prices'!$A:$Q,16,FALSE),0)</f>
        <v>N/A</v>
      </c>
      <c r="U179" s="207" t="s">
        <v>428</v>
      </c>
      <c r="V179" s="204">
        <f ca="1">(VLOOKUP(F179,'Anticipated Exit Bookings'!$B:$C,MATCH('Exit Anticipated Rev. Recovery'!$C$2,'Anticipated Exit Bookings'!$B$1:$C$1,0), FALSE))*VLOOKUP($F179, 'Exit Capacity Split'!A:H, 8,0)/100</f>
        <v>32969.363637788381</v>
      </c>
      <c r="W179" s="200">
        <f ca="1">IF(VLOOKUP(F179,'Exit Prices'!$A:$Q,17,FALSE)&gt;0,VLOOKUP(F179,'Exit Prices'!$A:$Q,17,FALSE),0)</f>
        <v>1.7838290820427986E-2</v>
      </c>
      <c r="X179" s="202">
        <f ca="1">V179*W179*'User Inputs'!$D$7/100</f>
        <v>2146.6274030838913</v>
      </c>
      <c r="Y179" s="199">
        <f t="shared" ca="1" si="3"/>
        <v>94940.190613618688</v>
      </c>
      <c r="AA179" s="164"/>
    </row>
    <row r="180" spans="5:27">
      <c r="E180" s="213" t="s">
        <v>474</v>
      </c>
      <c r="F180" s="213" t="s">
        <v>197</v>
      </c>
      <c r="G180" s="197">
        <f ca="1">(VLOOKUP(F180,'Anticipated Exit Bookings'!$B:$C,MATCH('Exit Anticipated Rev. Recovery'!$C$2,'Anticipated Exit Bookings'!$B$1:$C$1,0), FALSE))*VLOOKUP($F180, 'Exit Capacity Split'!A:H, 3,0)/100</f>
        <v>36106208.525921792</v>
      </c>
      <c r="H180" s="200">
        <f ca="1">IF(VLOOKUP(F180,'Exit Prices'!$A:$Q,12,FALSE)&gt;0,VLOOKUP(F180,'Exit Prices'!$A:$Q,12,FALSE),0)</f>
        <v>1.9820323133808871E-2</v>
      </c>
      <c r="I180" s="202">
        <f ca="1">G180*H180*'User Inputs'!$D$7/100</f>
        <v>2612074.0284396601</v>
      </c>
      <c r="J180" s="209">
        <f ca="1">(VLOOKUP(F180,'Anticipated Exit Bookings'!$B:$C,MATCH('Exit Anticipated Rev. Recovery'!$C$2,'Anticipated Exit Bookings'!$B$1:$C$1,0), FALSE))*VLOOKUP($F180, 'Exit Capacity Split'!A:H, 4,0)/100</f>
        <v>0</v>
      </c>
      <c r="K180" s="205" t="str">
        <f>IF(VLOOKUP(F180,'Exit Prices'!$A:$Q,13,FALSE)&gt;0,VLOOKUP(F180,'Exit Prices'!$A:$Q,13,FALSE),0)</f>
        <v>N/A</v>
      </c>
      <c r="L180" s="207" t="s">
        <v>428</v>
      </c>
      <c r="M180" s="209">
        <f ca="1">(VLOOKUP(F180,'Anticipated Exit Bookings'!$B:$C,MATCH('Exit Anticipated Rev. Recovery'!$C$2,'Anticipated Exit Bookings'!$B$1:$C$1,0), FALSE))*VLOOKUP($F180, 'Exit Capacity Split'!A:H, 5,0)/100</f>
        <v>0</v>
      </c>
      <c r="N180" s="205" t="str">
        <f>IF(VLOOKUP(F180,'Exit Prices'!$A:$Q,14,FALSE)&gt;0,VLOOKUP(F180,'Exit Prices'!$A:$Q,14,FALSE),0)</f>
        <v>N/A</v>
      </c>
      <c r="O180" s="207" t="s">
        <v>428</v>
      </c>
      <c r="P180" s="204">
        <f ca="1">(VLOOKUP(F180,'Anticipated Exit Bookings'!$B:$C,MATCH('Exit Anticipated Rev. Recovery'!$C$2,'Anticipated Exit Bookings'!$B$1:$C$1,0), FALSE))*VLOOKUP($F180, 'Exit Capacity Split'!A:H, 6,0)/100</f>
        <v>191341.8747234508</v>
      </c>
      <c r="Q180" s="200">
        <f ca="1">IF(VLOOKUP(F180,'Exit Prices'!$A:$Q,15,FALSE)&gt;0,VLOOKUP(F180,'Exit Prices'!$A:$Q,15,FALSE),0)</f>
        <v>1.9820323133808871E-2</v>
      </c>
      <c r="R180" s="202">
        <f ca="1">P180*Q180*'User Inputs'!$D$7/100</f>
        <v>13842.470919073634</v>
      </c>
      <c r="S180" s="209">
        <f ca="1">(VLOOKUP(F180,'Anticipated Exit Bookings'!$B:$C,MATCH('Exit Anticipated Rev. Recovery'!$C$2,'Anticipated Exit Bookings'!$B$1:$C$1,0), FALSE))*VLOOKUP($F180, 'Exit Capacity Split'!A:H, 7,0)/100</f>
        <v>48715.431778785314</v>
      </c>
      <c r="T180" s="205" t="str">
        <f>IF(VLOOKUP(F180,'Exit Prices'!$A:$Q,16,FALSE)&gt;0,VLOOKUP(F180,'Exit Prices'!$A:$Q,16,FALSE),0)</f>
        <v>N/A</v>
      </c>
      <c r="U180" s="207" t="s">
        <v>428</v>
      </c>
      <c r="V180" s="204">
        <f ca="1">(VLOOKUP(F180,'Anticipated Exit Bookings'!$B:$C,MATCH('Exit Anticipated Rev. Recovery'!$C$2,'Anticipated Exit Bookings'!$B$1:$C$1,0), FALSE))*VLOOKUP($F180, 'Exit Capacity Split'!A:H, 8,0)/100</f>
        <v>36921484.167575963</v>
      </c>
      <c r="W180" s="200">
        <f ca="1">IF(VLOOKUP(F180,'Exit Prices'!$A:$Q,17,FALSE)&gt;0,VLOOKUP(F180,'Exit Prices'!$A:$Q,17,FALSE),0)</f>
        <v>1.7838290820427986E-2</v>
      </c>
      <c r="X180" s="202">
        <f ca="1">V180*W180*'User Inputs'!$D$7/100</f>
        <v>2403949.0281761233</v>
      </c>
      <c r="Y180" s="199">
        <f t="shared" ca="1" si="3"/>
        <v>5029865.5275348574</v>
      </c>
      <c r="AA180" s="164"/>
    </row>
    <row r="181" spans="5:27">
      <c r="E181" s="213" t="s">
        <v>474</v>
      </c>
      <c r="F181" s="213" t="s">
        <v>198</v>
      </c>
      <c r="G181" s="197">
        <f ca="1">(VLOOKUP(F181,'Anticipated Exit Bookings'!$B:$C,MATCH('Exit Anticipated Rev. Recovery'!$C$2,'Anticipated Exit Bookings'!$B$1:$C$1,0), FALSE))*VLOOKUP($F181, 'Exit Capacity Split'!A:H, 3,0)/100</f>
        <v>1952244.739548581</v>
      </c>
      <c r="H181" s="200">
        <f ca="1">IF(VLOOKUP(F181,'Exit Prices'!$A:$Q,12,FALSE)&gt;0,VLOOKUP(F181,'Exit Prices'!$A:$Q,12,FALSE),0)</f>
        <v>1.9820323133808871E-2</v>
      </c>
      <c r="I181" s="202">
        <f ca="1">G181*H181*'User Inputs'!$D$7/100</f>
        <v>141233.54374557966</v>
      </c>
      <c r="J181" s="209">
        <f ca="1">(VLOOKUP(F181,'Anticipated Exit Bookings'!$B:$C,MATCH('Exit Anticipated Rev. Recovery'!$C$2,'Anticipated Exit Bookings'!$B$1:$C$1,0), FALSE))*VLOOKUP($F181, 'Exit Capacity Split'!A:H, 4,0)/100</f>
        <v>0</v>
      </c>
      <c r="K181" s="205" t="str">
        <f>IF(VLOOKUP(F181,'Exit Prices'!$A:$Q,13,FALSE)&gt;0,VLOOKUP(F181,'Exit Prices'!$A:$Q,13,FALSE),0)</f>
        <v>N/A</v>
      </c>
      <c r="L181" s="207" t="s">
        <v>428</v>
      </c>
      <c r="M181" s="209">
        <f ca="1">(VLOOKUP(F181,'Anticipated Exit Bookings'!$B:$C,MATCH('Exit Anticipated Rev. Recovery'!$C$2,'Anticipated Exit Bookings'!$B$1:$C$1,0), FALSE))*VLOOKUP($F181, 'Exit Capacity Split'!A:H, 5,0)/100</f>
        <v>0</v>
      </c>
      <c r="N181" s="205" t="str">
        <f>IF(VLOOKUP(F181,'Exit Prices'!$A:$Q,14,FALSE)&gt;0,VLOOKUP(F181,'Exit Prices'!$A:$Q,14,FALSE),0)</f>
        <v>N/A</v>
      </c>
      <c r="O181" s="207" t="s">
        <v>428</v>
      </c>
      <c r="P181" s="204">
        <f ca="1">(VLOOKUP(F181,'Anticipated Exit Bookings'!$B:$C,MATCH('Exit Anticipated Rev. Recovery'!$C$2,'Anticipated Exit Bookings'!$B$1:$C$1,0), FALSE))*VLOOKUP($F181, 'Exit Capacity Split'!A:H, 6,0)/100</f>
        <v>67.811588052017186</v>
      </c>
      <c r="Q181" s="200">
        <f ca="1">IF(VLOOKUP(F181,'Exit Prices'!$A:$Q,15,FALSE)&gt;0,VLOOKUP(F181,'Exit Prices'!$A:$Q,15,FALSE),0)</f>
        <v>1.9820323133808871E-2</v>
      </c>
      <c r="R181" s="202">
        <f ca="1">P181*Q181*'User Inputs'!$D$7/100</f>
        <v>4.905773694038154</v>
      </c>
      <c r="S181" s="209">
        <f ca="1">(VLOOKUP(F181,'Anticipated Exit Bookings'!$B:$C,MATCH('Exit Anticipated Rev. Recovery'!$C$2,'Anticipated Exit Bookings'!$B$1:$C$1,0), FALSE))*VLOOKUP($F181, 'Exit Capacity Split'!A:H, 7,0)/100</f>
        <v>2436.0008938686133</v>
      </c>
      <c r="T181" s="205" t="str">
        <f>IF(VLOOKUP(F181,'Exit Prices'!$A:$Q,16,FALSE)&gt;0,VLOOKUP(F181,'Exit Prices'!$A:$Q,16,FALSE),0)</f>
        <v>N/A</v>
      </c>
      <c r="U181" s="207" t="s">
        <v>428</v>
      </c>
      <c r="V181" s="204">
        <f ca="1">(VLOOKUP(F181,'Anticipated Exit Bookings'!$B:$C,MATCH('Exit Anticipated Rev. Recovery'!$C$2,'Anticipated Exit Bookings'!$B$1:$C$1,0), FALSE))*VLOOKUP($F181, 'Exit Capacity Split'!A:H, 8,0)/100</f>
        <v>628587.44796949904</v>
      </c>
      <c r="W181" s="200">
        <f ca="1">IF(VLOOKUP(F181,'Exit Prices'!$A:$Q,17,FALSE)&gt;0,VLOOKUP(F181,'Exit Prices'!$A:$Q,17,FALSE),0)</f>
        <v>1.7838290820427986E-2</v>
      </c>
      <c r="X181" s="202">
        <f ca="1">V181*W181*'User Inputs'!$D$7/100</f>
        <v>40927.178815769585</v>
      </c>
      <c r="Y181" s="199">
        <f t="shared" ca="1" si="3"/>
        <v>182165.62833504329</v>
      </c>
      <c r="AA181" s="164"/>
    </row>
    <row r="182" spans="5:27">
      <c r="E182" s="213" t="s">
        <v>474</v>
      </c>
      <c r="F182" s="213" t="s">
        <v>199</v>
      </c>
      <c r="G182" s="197">
        <f ca="1">(VLOOKUP(F182,'Anticipated Exit Bookings'!$B:$C,MATCH('Exit Anticipated Rev. Recovery'!$C$2,'Anticipated Exit Bookings'!$B$1:$C$1,0), FALSE))*VLOOKUP($F182, 'Exit Capacity Split'!A:H, 3,0)/100</f>
        <v>8777659.8063119464</v>
      </c>
      <c r="H182" s="200">
        <f ca="1">IF(VLOOKUP(F182,'Exit Prices'!$A:$Q,12,FALSE)&gt;0,VLOOKUP(F182,'Exit Prices'!$A:$Q,12,FALSE),0)</f>
        <v>1.9820323133808871E-2</v>
      </c>
      <c r="I182" s="202">
        <f ca="1">G182*H182*'User Inputs'!$D$7/100</f>
        <v>635012.59607708384</v>
      </c>
      <c r="J182" s="209">
        <f ca="1">(VLOOKUP(F182,'Anticipated Exit Bookings'!$B:$C,MATCH('Exit Anticipated Rev. Recovery'!$C$2,'Anticipated Exit Bookings'!$B$1:$C$1,0), FALSE))*VLOOKUP($F182, 'Exit Capacity Split'!A:H, 4,0)/100</f>
        <v>0</v>
      </c>
      <c r="K182" s="205" t="str">
        <f>IF(VLOOKUP(F182,'Exit Prices'!$A:$Q,13,FALSE)&gt;0,VLOOKUP(F182,'Exit Prices'!$A:$Q,13,FALSE),0)</f>
        <v>N/A</v>
      </c>
      <c r="L182" s="207" t="s">
        <v>428</v>
      </c>
      <c r="M182" s="209">
        <f ca="1">(VLOOKUP(F182,'Anticipated Exit Bookings'!$B:$C,MATCH('Exit Anticipated Rev. Recovery'!$C$2,'Anticipated Exit Bookings'!$B$1:$C$1,0), FALSE))*VLOOKUP($F182, 'Exit Capacity Split'!A:H, 5,0)/100</f>
        <v>0</v>
      </c>
      <c r="N182" s="205" t="str">
        <f>IF(VLOOKUP(F182,'Exit Prices'!$A:$Q,14,FALSE)&gt;0,VLOOKUP(F182,'Exit Prices'!$A:$Q,14,FALSE),0)</f>
        <v>N/A</v>
      </c>
      <c r="O182" s="207" t="s">
        <v>428</v>
      </c>
      <c r="P182" s="204">
        <f ca="1">(VLOOKUP(F182,'Anticipated Exit Bookings'!$B:$C,MATCH('Exit Anticipated Rev. Recovery'!$C$2,'Anticipated Exit Bookings'!$B$1:$C$1,0), FALSE))*VLOOKUP($F182, 'Exit Capacity Split'!A:H, 6,0)/100</f>
        <v>46516.48432758094</v>
      </c>
      <c r="Q182" s="200">
        <f ca="1">IF(VLOOKUP(F182,'Exit Prices'!$A:$Q,15,FALSE)&gt;0,VLOOKUP(F182,'Exit Prices'!$A:$Q,15,FALSE),0)</f>
        <v>1.9820323133808871E-2</v>
      </c>
      <c r="R182" s="202">
        <f ca="1">P182*Q182*'User Inputs'!$D$7/100</f>
        <v>3365.1968890381477</v>
      </c>
      <c r="S182" s="209">
        <f ca="1">(VLOOKUP(F182,'Anticipated Exit Bookings'!$B:$C,MATCH('Exit Anticipated Rev. Recovery'!$C$2,'Anticipated Exit Bookings'!$B$1:$C$1,0), FALSE))*VLOOKUP($F182, 'Exit Capacity Split'!A:H, 7,0)/100</f>
        <v>11843.045972683136</v>
      </c>
      <c r="T182" s="205" t="str">
        <f>IF(VLOOKUP(F182,'Exit Prices'!$A:$Q,16,FALSE)&gt;0,VLOOKUP(F182,'Exit Prices'!$A:$Q,16,FALSE),0)</f>
        <v>N/A</v>
      </c>
      <c r="U182" s="207" t="s">
        <v>428</v>
      </c>
      <c r="V182" s="204">
        <f ca="1">(VLOOKUP(F182,'Anticipated Exit Bookings'!$B:$C,MATCH('Exit Anticipated Rev. Recovery'!$C$2,'Anticipated Exit Bookings'!$B$1:$C$1,0), FALSE))*VLOOKUP($F182, 'Exit Capacity Split'!A:H, 8,0)/100</f>
        <v>8975858.7455795631</v>
      </c>
      <c r="W182" s="200">
        <f ca="1">IF(VLOOKUP(F182,'Exit Prices'!$A:$Q,17,FALSE)&gt;0,VLOOKUP(F182,'Exit Prices'!$A:$Q,17,FALSE),0)</f>
        <v>1.7838290820427986E-2</v>
      </c>
      <c r="X182" s="202">
        <f ca="1">V182*W182*'User Inputs'!$D$7/100</f>
        <v>584416.02213356504</v>
      </c>
      <c r="Y182" s="199">
        <f t="shared" ca="1" si="3"/>
        <v>1222793.8150996871</v>
      </c>
      <c r="AA182" s="164"/>
    </row>
    <row r="183" spans="5:27">
      <c r="E183" s="213" t="s">
        <v>474</v>
      </c>
      <c r="F183" s="213" t="s">
        <v>200</v>
      </c>
      <c r="G183" s="197">
        <f ca="1">(VLOOKUP(F183,'Anticipated Exit Bookings'!$B:$C,MATCH('Exit Anticipated Rev. Recovery'!$C$2,'Anticipated Exit Bookings'!$B$1:$C$1,0), FALSE))*VLOOKUP($F183, 'Exit Capacity Split'!A:H, 3,0)/100</f>
        <v>25970460.254560541</v>
      </c>
      <c r="H183" s="200">
        <f ca="1">IF(VLOOKUP(F183,'Exit Prices'!$A:$Q,12,FALSE)&gt;0,VLOOKUP(F183,'Exit Prices'!$A:$Q,12,FALSE),0)</f>
        <v>1.9820323133808871E-2</v>
      </c>
      <c r="I183" s="202">
        <f ca="1">G183*H183*'User Inputs'!$D$7/100</f>
        <v>1878811.636753825</v>
      </c>
      <c r="J183" s="209">
        <f ca="1">(VLOOKUP(F183,'Anticipated Exit Bookings'!$B:$C,MATCH('Exit Anticipated Rev. Recovery'!$C$2,'Anticipated Exit Bookings'!$B$1:$C$1,0), FALSE))*VLOOKUP($F183, 'Exit Capacity Split'!A:H, 4,0)/100</f>
        <v>0</v>
      </c>
      <c r="K183" s="205" t="str">
        <f>IF(VLOOKUP(F183,'Exit Prices'!$A:$Q,13,FALSE)&gt;0,VLOOKUP(F183,'Exit Prices'!$A:$Q,13,FALSE),0)</f>
        <v>N/A</v>
      </c>
      <c r="L183" s="207" t="s">
        <v>428</v>
      </c>
      <c r="M183" s="209">
        <f ca="1">(VLOOKUP(F183,'Anticipated Exit Bookings'!$B:$C,MATCH('Exit Anticipated Rev. Recovery'!$C$2,'Anticipated Exit Bookings'!$B$1:$C$1,0), FALSE))*VLOOKUP($F183, 'Exit Capacity Split'!A:H, 5,0)/100</f>
        <v>0</v>
      </c>
      <c r="N183" s="205" t="str">
        <f>IF(VLOOKUP(F183,'Exit Prices'!$A:$Q,14,FALSE)&gt;0,VLOOKUP(F183,'Exit Prices'!$A:$Q,14,FALSE),0)</f>
        <v>N/A</v>
      </c>
      <c r="O183" s="207" t="s">
        <v>428</v>
      </c>
      <c r="P183" s="204">
        <f ca="1">(VLOOKUP(F183,'Anticipated Exit Bookings'!$B:$C,MATCH('Exit Anticipated Rev. Recovery'!$C$2,'Anticipated Exit Bookings'!$B$1:$C$1,0), FALSE))*VLOOKUP($F183, 'Exit Capacity Split'!A:H, 6,0)/100</f>
        <v>137628.31256488507</v>
      </c>
      <c r="Q183" s="200">
        <f ca="1">IF(VLOOKUP(F183,'Exit Prices'!$A:$Q,15,FALSE)&gt;0,VLOOKUP(F183,'Exit Prices'!$A:$Q,15,FALSE),0)</f>
        <v>1.9820323133808871E-2</v>
      </c>
      <c r="R183" s="202">
        <f ca="1">P183*Q183*'User Inputs'!$D$7/100</f>
        <v>9956.6073399985744</v>
      </c>
      <c r="S183" s="209">
        <f ca="1">(VLOOKUP(F183,'Anticipated Exit Bookings'!$B:$C,MATCH('Exit Anticipated Rev. Recovery'!$C$2,'Anticipated Exit Bookings'!$B$1:$C$1,0), FALSE))*VLOOKUP($F183, 'Exit Capacity Split'!A:H, 7,0)/100</f>
        <v>35040.017671376372</v>
      </c>
      <c r="T183" s="205" t="str">
        <f>IF(VLOOKUP(F183,'Exit Prices'!$A:$Q,16,FALSE)&gt;0,VLOOKUP(F183,'Exit Prices'!$A:$Q,16,FALSE),0)</f>
        <v>N/A</v>
      </c>
      <c r="U183" s="207" t="s">
        <v>428</v>
      </c>
      <c r="V183" s="204">
        <f ca="1">(VLOOKUP(F183,'Anticipated Exit Bookings'!$B:$C,MATCH('Exit Anticipated Rev. Recovery'!$C$2,'Anticipated Exit Bookings'!$B$1:$C$1,0), FALSE))*VLOOKUP($F183, 'Exit Capacity Split'!A:H, 8,0)/100</f>
        <v>26556871.415203191</v>
      </c>
      <c r="W183" s="200">
        <f ca="1">IF(VLOOKUP(F183,'Exit Prices'!$A:$Q,17,FALSE)&gt;0,VLOOKUP(F183,'Exit Prices'!$A:$Q,17,FALSE),0)</f>
        <v>1.7838290820427986E-2</v>
      </c>
      <c r="X183" s="202">
        <f ca="1">V183*W183*'User Inputs'!$D$7/100</f>
        <v>1729111.5638856348</v>
      </c>
      <c r="Y183" s="199">
        <f t="shared" ca="1" si="3"/>
        <v>3617879.807979458</v>
      </c>
      <c r="AA183" s="164"/>
    </row>
    <row r="184" spans="5:27">
      <c r="E184" s="213" t="s">
        <v>474</v>
      </c>
      <c r="F184" s="213" t="s">
        <v>201</v>
      </c>
      <c r="G184" s="197">
        <f ca="1">(VLOOKUP(F184,'Anticipated Exit Bookings'!$B:$C,MATCH('Exit Anticipated Rev. Recovery'!$C$2,'Anticipated Exit Bookings'!$B$1:$C$1,0), FALSE))*VLOOKUP($F184, 'Exit Capacity Split'!A:H, 3,0)/100</f>
        <v>5754223.1888069771</v>
      </c>
      <c r="H184" s="200">
        <f ca="1">IF(VLOOKUP(F184,'Exit Prices'!$A:$Q,12,FALSE)&gt;0,VLOOKUP(F184,'Exit Prices'!$A:$Q,12,FALSE),0)</f>
        <v>1.9820323133808871E-2</v>
      </c>
      <c r="I184" s="202">
        <f ca="1">G184*H184*'User Inputs'!$D$7/100</f>
        <v>416284.55489966786</v>
      </c>
      <c r="J184" s="209">
        <f ca="1">(VLOOKUP(F184,'Anticipated Exit Bookings'!$B:$C,MATCH('Exit Anticipated Rev. Recovery'!$C$2,'Anticipated Exit Bookings'!$B$1:$C$1,0), FALSE))*VLOOKUP($F184, 'Exit Capacity Split'!A:H, 4,0)/100</f>
        <v>0</v>
      </c>
      <c r="K184" s="205" t="str">
        <f>IF(VLOOKUP(F184,'Exit Prices'!$A:$Q,13,FALSE)&gt;0,VLOOKUP(F184,'Exit Prices'!$A:$Q,13,FALSE),0)</f>
        <v>N/A</v>
      </c>
      <c r="L184" s="207" t="s">
        <v>428</v>
      </c>
      <c r="M184" s="209">
        <f ca="1">(VLOOKUP(F184,'Anticipated Exit Bookings'!$B:$C,MATCH('Exit Anticipated Rev. Recovery'!$C$2,'Anticipated Exit Bookings'!$B$1:$C$1,0), FALSE))*VLOOKUP($F184, 'Exit Capacity Split'!A:H, 5,0)/100</f>
        <v>0</v>
      </c>
      <c r="N184" s="205" t="str">
        <f>IF(VLOOKUP(F184,'Exit Prices'!$A:$Q,14,FALSE)&gt;0,VLOOKUP(F184,'Exit Prices'!$A:$Q,14,FALSE),0)</f>
        <v>N/A</v>
      </c>
      <c r="O184" s="207" t="s">
        <v>428</v>
      </c>
      <c r="P184" s="204">
        <f ca="1">(VLOOKUP(F184,'Anticipated Exit Bookings'!$B:$C,MATCH('Exit Anticipated Rev. Recovery'!$C$2,'Anticipated Exit Bookings'!$B$1:$C$1,0), FALSE))*VLOOKUP($F184, 'Exit Capacity Split'!A:H, 6,0)/100</f>
        <v>30494.031289190068</v>
      </c>
      <c r="Q184" s="200">
        <f ca="1">IF(VLOOKUP(F184,'Exit Prices'!$A:$Q,15,FALSE)&gt;0,VLOOKUP(F184,'Exit Prices'!$A:$Q,15,FALSE),0)</f>
        <v>1.9820323133808871E-2</v>
      </c>
      <c r="R184" s="202">
        <f ca="1">P184*Q184*'User Inputs'!$D$7/100</f>
        <v>2206.0656713854232</v>
      </c>
      <c r="S184" s="209">
        <f ca="1">(VLOOKUP(F184,'Anticipated Exit Bookings'!$B:$C,MATCH('Exit Anticipated Rev. Recovery'!$C$2,'Anticipated Exit Bookings'!$B$1:$C$1,0), FALSE))*VLOOKUP($F184, 'Exit Capacity Split'!A:H, 7,0)/100</f>
        <v>7763.7469742352087</v>
      </c>
      <c r="T184" s="205" t="str">
        <f>IF(VLOOKUP(F184,'Exit Prices'!$A:$Q,16,FALSE)&gt;0,VLOOKUP(F184,'Exit Prices'!$A:$Q,16,FALSE),0)</f>
        <v>N/A</v>
      </c>
      <c r="U184" s="207" t="s">
        <v>428</v>
      </c>
      <c r="V184" s="204">
        <f ca="1">(VLOOKUP(F184,'Anticipated Exit Bookings'!$B:$C,MATCH('Exit Anticipated Rev. Recovery'!$C$2,'Anticipated Exit Bookings'!$B$1:$C$1,0), FALSE))*VLOOKUP($F184, 'Exit Capacity Split'!A:H, 8,0)/100</f>
        <v>5884153.1425186209</v>
      </c>
      <c r="W184" s="200">
        <f ca="1">IF(VLOOKUP(F184,'Exit Prices'!$A:$Q,17,FALSE)&gt;0,VLOOKUP(F184,'Exit Prices'!$A:$Q,17,FALSE),0)</f>
        <v>1.7838290820427986E-2</v>
      </c>
      <c r="X184" s="202">
        <f ca="1">V184*W184*'User Inputs'!$D$7/100</f>
        <v>383115.80770686571</v>
      </c>
      <c r="Y184" s="199">
        <f t="shared" ca="1" si="3"/>
        <v>801606.42827791907</v>
      </c>
      <c r="AA184" s="164"/>
    </row>
    <row r="185" spans="5:27">
      <c r="E185" s="213" t="s">
        <v>474</v>
      </c>
      <c r="F185" s="213" t="s">
        <v>202</v>
      </c>
      <c r="G185" s="197">
        <f ca="1">(VLOOKUP(F185,'Anticipated Exit Bookings'!$B:$C,MATCH('Exit Anticipated Rev. Recovery'!$C$2,'Anticipated Exit Bookings'!$B$1:$C$1,0), FALSE))*VLOOKUP($F185, 'Exit Capacity Split'!A:H, 3,0)/100</f>
        <v>30224050.493025519</v>
      </c>
      <c r="H185" s="200">
        <f ca="1">IF(VLOOKUP(F185,'Exit Prices'!$A:$Q,12,FALSE)&gt;0,VLOOKUP(F185,'Exit Prices'!$A:$Q,12,FALSE),0)</f>
        <v>1.9820323133808871E-2</v>
      </c>
      <c r="I185" s="202">
        <f ca="1">G185*H185*'User Inputs'!$D$7/100</f>
        <v>2186534.1322227721</v>
      </c>
      <c r="J185" s="209">
        <f ca="1">(VLOOKUP(F185,'Anticipated Exit Bookings'!$B:$C,MATCH('Exit Anticipated Rev. Recovery'!$C$2,'Anticipated Exit Bookings'!$B$1:$C$1,0), FALSE))*VLOOKUP($F185, 'Exit Capacity Split'!A:H, 4,0)/100</f>
        <v>0</v>
      </c>
      <c r="K185" s="205" t="str">
        <f>IF(VLOOKUP(F185,'Exit Prices'!$A:$Q,13,FALSE)&gt;0,VLOOKUP(F185,'Exit Prices'!$A:$Q,13,FALSE),0)</f>
        <v>N/A</v>
      </c>
      <c r="L185" s="207" t="s">
        <v>428</v>
      </c>
      <c r="M185" s="209">
        <f ca="1">(VLOOKUP(F185,'Anticipated Exit Bookings'!$B:$C,MATCH('Exit Anticipated Rev. Recovery'!$C$2,'Anticipated Exit Bookings'!$B$1:$C$1,0), FALSE))*VLOOKUP($F185, 'Exit Capacity Split'!A:H, 5,0)/100</f>
        <v>0</v>
      </c>
      <c r="N185" s="205" t="str">
        <f>IF(VLOOKUP(F185,'Exit Prices'!$A:$Q,14,FALSE)&gt;0,VLOOKUP(F185,'Exit Prices'!$A:$Q,14,FALSE),0)</f>
        <v>N/A</v>
      </c>
      <c r="O185" s="207" t="s">
        <v>428</v>
      </c>
      <c r="P185" s="204">
        <f ca="1">(VLOOKUP(F185,'Anticipated Exit Bookings'!$B:$C,MATCH('Exit Anticipated Rev. Recovery'!$C$2,'Anticipated Exit Bookings'!$B$1:$C$1,0), FALSE))*VLOOKUP($F185, 'Exit Capacity Split'!A:H, 6,0)/100</f>
        <v>160169.86327766458</v>
      </c>
      <c r="Q185" s="200">
        <f ca="1">IF(VLOOKUP(F185,'Exit Prices'!$A:$Q,15,FALSE)&gt;0,VLOOKUP(F185,'Exit Prices'!$A:$Q,15,FALSE),0)</f>
        <v>1.9820323133808871E-2</v>
      </c>
      <c r="R185" s="202">
        <f ca="1">P185*Q185*'User Inputs'!$D$7/100</f>
        <v>11587.357329583743</v>
      </c>
      <c r="S185" s="209">
        <f ca="1">(VLOOKUP(F185,'Anticipated Exit Bookings'!$B:$C,MATCH('Exit Anticipated Rev. Recovery'!$C$2,'Anticipated Exit Bookings'!$B$1:$C$1,0), FALSE))*VLOOKUP($F185, 'Exit Capacity Split'!A:H, 7,0)/100</f>
        <v>40779.071799091857</v>
      </c>
      <c r="T185" s="205" t="str">
        <f>IF(VLOOKUP(F185,'Exit Prices'!$A:$Q,16,FALSE)&gt;0,VLOOKUP(F185,'Exit Prices'!$A:$Q,16,FALSE),0)</f>
        <v>N/A</v>
      </c>
      <c r="U185" s="207" t="s">
        <v>428</v>
      </c>
      <c r="V185" s="204">
        <f ca="1">(VLOOKUP(F185,'Anticipated Exit Bookings'!$B:$C,MATCH('Exit Anticipated Rev. Recovery'!$C$2,'Anticipated Exit Bookings'!$B$1:$C$1,0), FALSE))*VLOOKUP($F185, 'Exit Capacity Split'!A:H, 8,0)/100</f>
        <v>30906507.421212789</v>
      </c>
      <c r="W185" s="200">
        <f ca="1">IF(VLOOKUP(F185,'Exit Prices'!$A:$Q,17,FALSE)&gt;0,VLOOKUP(F185,'Exit Prices'!$A:$Q,17,FALSE),0)</f>
        <v>1.7838290820427986E-2</v>
      </c>
      <c r="X185" s="202">
        <f ca="1">V185*W185*'User Inputs'!$D$7/100</f>
        <v>2012315.3268250795</v>
      </c>
      <c r="Y185" s="199">
        <f t="shared" ca="1" si="3"/>
        <v>4210436.8163774349</v>
      </c>
      <c r="AA185" s="164"/>
    </row>
    <row r="186" spans="5:27">
      <c r="E186" s="213" t="s">
        <v>474</v>
      </c>
      <c r="F186" s="213" t="s">
        <v>203</v>
      </c>
      <c r="G186" s="197">
        <f ca="1">(VLOOKUP(F186,'Anticipated Exit Bookings'!$B:$C,MATCH('Exit Anticipated Rev. Recovery'!$C$2,'Anticipated Exit Bookings'!$B$1:$C$1,0), FALSE))*VLOOKUP($F186, 'Exit Capacity Split'!A:H, 3,0)/100</f>
        <v>893699.66456738848</v>
      </c>
      <c r="H186" s="200">
        <f ca="1">IF(VLOOKUP(F186,'Exit Prices'!$A:$Q,12,FALSE)&gt;0,VLOOKUP(F186,'Exit Prices'!$A:$Q,12,FALSE),0)</f>
        <v>1.9820323133808871E-2</v>
      </c>
      <c r="I186" s="202">
        <f ca="1">G186*H186*'User Inputs'!$D$7/100</f>
        <v>64653.968897503175</v>
      </c>
      <c r="J186" s="209">
        <f ca="1">(VLOOKUP(F186,'Anticipated Exit Bookings'!$B:$C,MATCH('Exit Anticipated Rev. Recovery'!$C$2,'Anticipated Exit Bookings'!$B$1:$C$1,0), FALSE))*VLOOKUP($F186, 'Exit Capacity Split'!A:H, 4,0)/100</f>
        <v>0</v>
      </c>
      <c r="K186" s="205" t="str">
        <f>IF(VLOOKUP(F186,'Exit Prices'!$A:$Q,13,FALSE)&gt;0,VLOOKUP(F186,'Exit Prices'!$A:$Q,13,FALSE),0)</f>
        <v>N/A</v>
      </c>
      <c r="L186" s="207" t="s">
        <v>428</v>
      </c>
      <c r="M186" s="209">
        <f ca="1">(VLOOKUP(F186,'Anticipated Exit Bookings'!$B:$C,MATCH('Exit Anticipated Rev. Recovery'!$C$2,'Anticipated Exit Bookings'!$B$1:$C$1,0), FALSE))*VLOOKUP($F186, 'Exit Capacity Split'!A:H, 5,0)/100</f>
        <v>0</v>
      </c>
      <c r="N186" s="205" t="str">
        <f>IF(VLOOKUP(F186,'Exit Prices'!$A:$Q,14,FALSE)&gt;0,VLOOKUP(F186,'Exit Prices'!$A:$Q,14,FALSE),0)</f>
        <v>N/A</v>
      </c>
      <c r="O186" s="207" t="s">
        <v>428</v>
      </c>
      <c r="P186" s="204">
        <f ca="1">(VLOOKUP(F186,'Anticipated Exit Bookings'!$B:$C,MATCH('Exit Anticipated Rev. Recovery'!$C$2,'Anticipated Exit Bookings'!$B$1:$C$1,0), FALSE))*VLOOKUP($F186, 'Exit Capacity Split'!A:H, 6,0)/100</f>
        <v>0</v>
      </c>
      <c r="Q186" s="200">
        <f ca="1">IF(VLOOKUP(F186,'Exit Prices'!$A:$Q,15,FALSE)&gt;0,VLOOKUP(F186,'Exit Prices'!$A:$Q,15,FALSE),0)</f>
        <v>1.9820323133808871E-2</v>
      </c>
      <c r="R186" s="202">
        <f ca="1">P186*Q186*'User Inputs'!$D$7/100</f>
        <v>0</v>
      </c>
      <c r="S186" s="209">
        <f ca="1">(VLOOKUP(F186,'Anticipated Exit Bookings'!$B:$C,MATCH('Exit Anticipated Rev. Recovery'!$C$2,'Anticipated Exit Bookings'!$B$1:$C$1,0), FALSE))*VLOOKUP($F186, 'Exit Capacity Split'!A:H, 7,0)/100</f>
        <v>844.91222762314089</v>
      </c>
      <c r="T186" s="205" t="str">
        <f>IF(VLOOKUP(F186,'Exit Prices'!$A:$Q,16,FALSE)&gt;0,VLOOKUP(F186,'Exit Prices'!$A:$Q,16,FALSE),0)</f>
        <v>N/A</v>
      </c>
      <c r="U186" s="207" t="s">
        <v>428</v>
      </c>
      <c r="V186" s="204">
        <f ca="1">(VLOOKUP(F186,'Anticipated Exit Bookings'!$B:$C,MATCH('Exit Anticipated Rev. Recovery'!$C$2,'Anticipated Exit Bookings'!$B$1:$C$1,0), FALSE))*VLOOKUP($F186, 'Exit Capacity Split'!A:H, 8,0)/100</f>
        <v>22971.423204988452</v>
      </c>
      <c r="W186" s="200">
        <f ca="1">IF(VLOOKUP(F186,'Exit Prices'!$A:$Q,17,FALSE)&gt;0,VLOOKUP(F186,'Exit Prices'!$A:$Q,17,FALSE),0)</f>
        <v>1.7838290820427986E-2</v>
      </c>
      <c r="X186" s="202">
        <f ca="1">V186*W186*'User Inputs'!$D$7/100</f>
        <v>1495.6638860674484</v>
      </c>
      <c r="Y186" s="199">
        <f t="shared" ca="1" si="3"/>
        <v>66149.632783570618</v>
      </c>
      <c r="AA186" s="164"/>
    </row>
    <row r="187" spans="5:27">
      <c r="E187" s="213" t="s">
        <v>474</v>
      </c>
      <c r="F187" s="213" t="s">
        <v>204</v>
      </c>
      <c r="G187" s="197">
        <f ca="1">(VLOOKUP(F187,'Anticipated Exit Bookings'!$B:$C,MATCH('Exit Anticipated Rev. Recovery'!$C$2,'Anticipated Exit Bookings'!$B$1:$C$1,0), FALSE))*VLOOKUP($F187, 'Exit Capacity Split'!A:H, 3,0)/100</f>
        <v>3638088.0498495703</v>
      </c>
      <c r="H187" s="200">
        <f ca="1">IF(VLOOKUP(F187,'Exit Prices'!$A:$Q,12,FALSE)&gt;0,VLOOKUP(F187,'Exit Prices'!$A:$Q,12,FALSE),0)</f>
        <v>1.9820323133808871E-2</v>
      </c>
      <c r="I187" s="202">
        <f ca="1">G187*H187*'User Inputs'!$D$7/100</f>
        <v>263194.49469102471</v>
      </c>
      <c r="J187" s="209">
        <f ca="1">(VLOOKUP(F187,'Anticipated Exit Bookings'!$B:$C,MATCH('Exit Anticipated Rev. Recovery'!$C$2,'Anticipated Exit Bookings'!$B$1:$C$1,0), FALSE))*VLOOKUP($F187, 'Exit Capacity Split'!A:H, 4,0)/100</f>
        <v>0</v>
      </c>
      <c r="K187" s="205" t="str">
        <f>IF(VLOOKUP(F187,'Exit Prices'!$A:$Q,13,FALSE)&gt;0,VLOOKUP(F187,'Exit Prices'!$A:$Q,13,FALSE),0)</f>
        <v>N/A</v>
      </c>
      <c r="L187" s="207" t="s">
        <v>428</v>
      </c>
      <c r="M187" s="209">
        <f ca="1">(VLOOKUP(F187,'Anticipated Exit Bookings'!$B:$C,MATCH('Exit Anticipated Rev. Recovery'!$C$2,'Anticipated Exit Bookings'!$B$1:$C$1,0), FALSE))*VLOOKUP($F187, 'Exit Capacity Split'!A:H, 5,0)/100</f>
        <v>0</v>
      </c>
      <c r="N187" s="205" t="str">
        <f>IF(VLOOKUP(F187,'Exit Prices'!$A:$Q,14,FALSE)&gt;0,VLOOKUP(F187,'Exit Prices'!$A:$Q,14,FALSE),0)</f>
        <v>N/A</v>
      </c>
      <c r="O187" s="207" t="s">
        <v>428</v>
      </c>
      <c r="P187" s="204">
        <f ca="1">(VLOOKUP(F187,'Anticipated Exit Bookings'!$B:$C,MATCH('Exit Anticipated Rev. Recovery'!$C$2,'Anticipated Exit Bookings'!$B$1:$C$1,0), FALSE))*VLOOKUP($F187, 'Exit Capacity Split'!A:H, 6,0)/100</f>
        <v>0</v>
      </c>
      <c r="Q187" s="200">
        <f ca="1">IF(VLOOKUP(F187,'Exit Prices'!$A:$Q,15,FALSE)&gt;0,VLOOKUP(F187,'Exit Prices'!$A:$Q,15,FALSE),0)</f>
        <v>1.9820323133808871E-2</v>
      </c>
      <c r="R187" s="202">
        <f ca="1">P187*Q187*'User Inputs'!$D$7/100</f>
        <v>0</v>
      </c>
      <c r="S187" s="209">
        <f ca="1">(VLOOKUP(F187,'Anticipated Exit Bookings'!$B:$C,MATCH('Exit Anticipated Rev. Recovery'!$C$2,'Anticipated Exit Bookings'!$B$1:$C$1,0), FALSE))*VLOOKUP($F187, 'Exit Capacity Split'!A:H, 7,0)/100</f>
        <v>3439.4833078240995</v>
      </c>
      <c r="T187" s="205" t="str">
        <f>IF(VLOOKUP(F187,'Exit Prices'!$A:$Q,16,FALSE)&gt;0,VLOOKUP(F187,'Exit Prices'!$A:$Q,16,FALSE),0)</f>
        <v>N/A</v>
      </c>
      <c r="U187" s="207" t="s">
        <v>428</v>
      </c>
      <c r="V187" s="204">
        <f ca="1">(VLOOKUP(F187,'Anticipated Exit Bookings'!$B:$C,MATCH('Exit Anticipated Rev. Recovery'!$C$2,'Anticipated Exit Bookings'!$B$1:$C$1,0), FALSE))*VLOOKUP($F187, 'Exit Capacity Split'!A:H, 8,0)/100</f>
        <v>93512.466842605543</v>
      </c>
      <c r="W187" s="200">
        <f ca="1">IF(VLOOKUP(F187,'Exit Prices'!$A:$Q,17,FALSE)&gt;0,VLOOKUP(F187,'Exit Prices'!$A:$Q,17,FALSE),0)</f>
        <v>1.7838290820427986E-2</v>
      </c>
      <c r="X187" s="202">
        <f ca="1">V187*W187*'User Inputs'!$D$7/100</f>
        <v>6088.5744128901979</v>
      </c>
      <c r="Y187" s="199">
        <f t="shared" ca="1" si="3"/>
        <v>269283.0691039149</v>
      </c>
      <c r="AA187" s="164"/>
    </row>
    <row r="188" spans="5:27">
      <c r="E188" s="213" t="s">
        <v>474</v>
      </c>
      <c r="F188" s="213" t="s">
        <v>205</v>
      </c>
      <c r="G188" s="197">
        <f ca="1">(VLOOKUP(F188,'Anticipated Exit Bookings'!$B:$C,MATCH('Exit Anticipated Rev. Recovery'!$C$2,'Anticipated Exit Bookings'!$B$1:$C$1,0), FALSE))*VLOOKUP($F188, 'Exit Capacity Split'!A:H, 3,0)/100</f>
        <v>8184706.1096449271</v>
      </c>
      <c r="H188" s="200">
        <f ca="1">IF(VLOOKUP(F188,'Exit Prices'!$A:$Q,12,FALSE)&gt;0,VLOOKUP(F188,'Exit Prices'!$A:$Q,12,FALSE),0)</f>
        <v>9.9101615669044355E-3</v>
      </c>
      <c r="I188" s="202">
        <f ca="1">G188*H188*'User Inputs'!$D$7/100</f>
        <v>296057.92372337042</v>
      </c>
      <c r="J188" s="209">
        <f ca="1">(VLOOKUP(F188,'Anticipated Exit Bookings'!$B:$C,MATCH('Exit Anticipated Rev. Recovery'!$C$2,'Anticipated Exit Bookings'!$B$1:$C$1,0), FALSE))*VLOOKUP($F188, 'Exit Capacity Split'!A:H, 4,0)/100</f>
        <v>0</v>
      </c>
      <c r="K188" s="205" t="str">
        <f>IF(VLOOKUP(F188,'Exit Prices'!$A:$Q,13,FALSE)&gt;0,VLOOKUP(F188,'Exit Prices'!$A:$Q,13,FALSE),0)</f>
        <v>N/A</v>
      </c>
      <c r="L188" s="207" t="s">
        <v>428</v>
      </c>
      <c r="M188" s="209">
        <f ca="1">(VLOOKUP(F188,'Anticipated Exit Bookings'!$B:$C,MATCH('Exit Anticipated Rev. Recovery'!$C$2,'Anticipated Exit Bookings'!$B$1:$C$1,0), FALSE))*VLOOKUP($F188, 'Exit Capacity Split'!A:H, 5,0)/100</f>
        <v>0</v>
      </c>
      <c r="N188" s="205" t="str">
        <f>IF(VLOOKUP(F188,'Exit Prices'!$A:$Q,14,FALSE)&gt;0,VLOOKUP(F188,'Exit Prices'!$A:$Q,14,FALSE),0)</f>
        <v>N/A</v>
      </c>
      <c r="O188" s="207" t="s">
        <v>428</v>
      </c>
      <c r="P188" s="204">
        <f ca="1">(VLOOKUP(F188,'Anticipated Exit Bookings'!$B:$C,MATCH('Exit Anticipated Rev. Recovery'!$C$2,'Anticipated Exit Bookings'!$B$1:$C$1,0), FALSE))*VLOOKUP($F188, 'Exit Capacity Split'!A:H, 6,0)/100</f>
        <v>0</v>
      </c>
      <c r="Q188" s="200">
        <f ca="1">IF(VLOOKUP(F188,'Exit Prices'!$A:$Q,15,FALSE)&gt;0,VLOOKUP(F188,'Exit Prices'!$A:$Q,15,FALSE),0)</f>
        <v>9.9101615669044355E-3</v>
      </c>
      <c r="R188" s="202">
        <f ca="1">P188*Q188*'User Inputs'!$D$7/100</f>
        <v>0</v>
      </c>
      <c r="S188" s="209">
        <f ca="1">(VLOOKUP(F188,'Anticipated Exit Bookings'!$B:$C,MATCH('Exit Anticipated Rev. Recovery'!$C$2,'Anticipated Exit Bookings'!$B$1:$C$1,0), FALSE))*VLOOKUP($F188, 'Exit Capacity Split'!A:H, 7,0)/100</f>
        <v>45800.867315418647</v>
      </c>
      <c r="T188" s="205" t="str">
        <f>IF(VLOOKUP(F188,'Exit Prices'!$A:$Q,16,FALSE)&gt;0,VLOOKUP(F188,'Exit Prices'!$A:$Q,16,FALSE),0)</f>
        <v>N/A</v>
      </c>
      <c r="U188" s="207" t="s">
        <v>428</v>
      </c>
      <c r="V188" s="204">
        <f ca="1">(VLOOKUP(F188,'Anticipated Exit Bookings'!$B:$C,MATCH('Exit Anticipated Rev. Recovery'!$C$2,'Anticipated Exit Bookings'!$B$1:$C$1,0), FALSE))*VLOOKUP($F188, 'Exit Capacity Split'!A:H, 8,0)/100</f>
        <v>21354127.433998574</v>
      </c>
      <c r="W188" s="200">
        <f ca="1">IF(VLOOKUP(F188,'Exit Prices'!$A:$Q,17,FALSE)&gt;0,VLOOKUP(F188,'Exit Prices'!$A:$Q,17,FALSE),0)</f>
        <v>8.9191454102139928E-3</v>
      </c>
      <c r="X188" s="202">
        <f ca="1">V188*W188*'User Inputs'!$D$7/100</f>
        <v>695181.07207606675</v>
      </c>
      <c r="Y188" s="199">
        <f t="shared" ca="1" si="3"/>
        <v>991238.99579943717</v>
      </c>
      <c r="AA188" s="164"/>
    </row>
    <row r="189" spans="5:27">
      <c r="E189" s="213" t="s">
        <v>474</v>
      </c>
      <c r="F189" s="213" t="s">
        <v>206</v>
      </c>
      <c r="G189" s="197">
        <f ca="1">(VLOOKUP(F189,'Anticipated Exit Bookings'!$B:$C,MATCH('Exit Anticipated Rev. Recovery'!$C$2,'Anticipated Exit Bookings'!$B$1:$C$1,0), FALSE))*VLOOKUP($F189, 'Exit Capacity Split'!A:H, 3,0)/100</f>
        <v>1051253.9762554341</v>
      </c>
      <c r="H189" s="200">
        <f ca="1">IF(VLOOKUP(F189,'Exit Prices'!$A:$Q,12,FALSE)&gt;0,VLOOKUP(F189,'Exit Prices'!$A:$Q,12,FALSE),0)</f>
        <v>1.9820323133808871E-2</v>
      </c>
      <c r="I189" s="202">
        <f ca="1">G189*H189*'User Inputs'!$D$7/100</f>
        <v>76052.106293557124</v>
      </c>
      <c r="J189" s="209">
        <f ca="1">(VLOOKUP(F189,'Anticipated Exit Bookings'!$B:$C,MATCH('Exit Anticipated Rev. Recovery'!$C$2,'Anticipated Exit Bookings'!$B$1:$C$1,0), FALSE))*VLOOKUP($F189, 'Exit Capacity Split'!A:H, 4,0)/100</f>
        <v>0</v>
      </c>
      <c r="K189" s="205" t="str">
        <f>IF(VLOOKUP(F189,'Exit Prices'!$A:$Q,13,FALSE)&gt;0,VLOOKUP(F189,'Exit Prices'!$A:$Q,13,FALSE),0)</f>
        <v>N/A</v>
      </c>
      <c r="L189" s="207" t="s">
        <v>428</v>
      </c>
      <c r="M189" s="209">
        <f ca="1">(VLOOKUP(F189,'Anticipated Exit Bookings'!$B:$C,MATCH('Exit Anticipated Rev. Recovery'!$C$2,'Anticipated Exit Bookings'!$B$1:$C$1,0), FALSE))*VLOOKUP($F189, 'Exit Capacity Split'!A:H, 5,0)/100</f>
        <v>0</v>
      </c>
      <c r="N189" s="205" t="str">
        <f>IF(VLOOKUP(F189,'Exit Prices'!$A:$Q,14,FALSE)&gt;0,VLOOKUP(F189,'Exit Prices'!$A:$Q,14,FALSE),0)</f>
        <v>N/A</v>
      </c>
      <c r="O189" s="207" t="s">
        <v>428</v>
      </c>
      <c r="P189" s="204">
        <f ca="1">(VLOOKUP(F189,'Anticipated Exit Bookings'!$B:$C,MATCH('Exit Anticipated Rev. Recovery'!$C$2,'Anticipated Exit Bookings'!$B$1:$C$1,0), FALSE))*VLOOKUP($F189, 'Exit Capacity Split'!A:H, 6,0)/100</f>
        <v>0</v>
      </c>
      <c r="Q189" s="200">
        <f ca="1">IF(VLOOKUP(F189,'Exit Prices'!$A:$Q,15,FALSE)&gt;0,VLOOKUP(F189,'Exit Prices'!$A:$Q,15,FALSE),0)</f>
        <v>1.9820323133808871E-2</v>
      </c>
      <c r="R189" s="202">
        <f ca="1">P189*Q189*'User Inputs'!$D$7/100</f>
        <v>0</v>
      </c>
      <c r="S189" s="209">
        <f ca="1">(VLOOKUP(F189,'Anticipated Exit Bookings'!$B:$C,MATCH('Exit Anticipated Rev. Recovery'!$C$2,'Anticipated Exit Bookings'!$B$1:$C$1,0), FALSE))*VLOOKUP($F189, 'Exit Capacity Split'!A:H, 7,0)/100</f>
        <v>993.86558380954637</v>
      </c>
      <c r="T189" s="205" t="str">
        <f>IF(VLOOKUP(F189,'Exit Prices'!$A:$Q,16,FALSE)&gt;0,VLOOKUP(F189,'Exit Prices'!$A:$Q,16,FALSE),0)</f>
        <v>N/A</v>
      </c>
      <c r="U189" s="207" t="s">
        <v>428</v>
      </c>
      <c r="V189" s="204">
        <f ca="1">(VLOOKUP(F189,'Anticipated Exit Bookings'!$B:$C,MATCH('Exit Anticipated Rev. Recovery'!$C$2,'Anticipated Exit Bookings'!$B$1:$C$1,0), FALSE))*VLOOKUP($F189, 'Exit Capacity Split'!A:H, 8,0)/100</f>
        <v>27021.158160756524</v>
      </c>
      <c r="W189" s="200">
        <f ca="1">IF(VLOOKUP(F189,'Exit Prices'!$A:$Q,17,FALSE)&gt;0,VLOOKUP(F189,'Exit Prices'!$A:$Q,17,FALSE),0)</f>
        <v>1.7838290820427986E-2</v>
      </c>
      <c r="X189" s="202">
        <f ca="1">V189*W189*'User Inputs'!$D$7/100</f>
        <v>1759.3411631536987</v>
      </c>
      <c r="Y189" s="199">
        <f t="shared" ca="1" si="3"/>
        <v>77811.447456710826</v>
      </c>
      <c r="AA189" s="164"/>
    </row>
    <row r="190" spans="5:27">
      <c r="E190" s="213" t="s">
        <v>474</v>
      </c>
      <c r="F190" s="213" t="s">
        <v>207</v>
      </c>
      <c r="G190" s="197">
        <f ca="1">(VLOOKUP(F190,'Anticipated Exit Bookings'!$B:$C,MATCH('Exit Anticipated Rev. Recovery'!$C$2,'Anticipated Exit Bookings'!$B$1:$C$1,0), FALSE))*VLOOKUP($F190, 'Exit Capacity Split'!A:H, 3,0)/100</f>
        <v>21011432.900829181</v>
      </c>
      <c r="H190" s="200">
        <f ca="1">IF(VLOOKUP(F190,'Exit Prices'!$A:$Q,12,FALSE)&gt;0,VLOOKUP(F190,'Exit Prices'!$A:$Q,12,FALSE),0)</f>
        <v>1.9820323133808871E-2</v>
      </c>
      <c r="I190" s="202">
        <f ca="1">G190*H190*'User Inputs'!$D$7/100</f>
        <v>1520054.8720355376</v>
      </c>
      <c r="J190" s="209">
        <f ca="1">(VLOOKUP(F190,'Anticipated Exit Bookings'!$B:$C,MATCH('Exit Anticipated Rev. Recovery'!$C$2,'Anticipated Exit Bookings'!$B$1:$C$1,0), FALSE))*VLOOKUP($F190, 'Exit Capacity Split'!A:H, 4,0)/100</f>
        <v>0</v>
      </c>
      <c r="K190" s="205" t="str">
        <f>IF(VLOOKUP(F190,'Exit Prices'!$A:$Q,13,FALSE)&gt;0,VLOOKUP(F190,'Exit Prices'!$A:$Q,13,FALSE),0)</f>
        <v>N/A</v>
      </c>
      <c r="L190" s="207" t="s">
        <v>428</v>
      </c>
      <c r="M190" s="209">
        <f ca="1">(VLOOKUP(F190,'Anticipated Exit Bookings'!$B:$C,MATCH('Exit Anticipated Rev. Recovery'!$C$2,'Anticipated Exit Bookings'!$B$1:$C$1,0), FALSE))*VLOOKUP($F190, 'Exit Capacity Split'!A:H, 5,0)/100</f>
        <v>0</v>
      </c>
      <c r="N190" s="205" t="str">
        <f>IF(VLOOKUP(F190,'Exit Prices'!$A:$Q,14,FALSE)&gt;0,VLOOKUP(F190,'Exit Prices'!$A:$Q,14,FALSE),0)</f>
        <v>N/A</v>
      </c>
      <c r="O190" s="207" t="s">
        <v>428</v>
      </c>
      <c r="P190" s="204">
        <f ca="1">(VLOOKUP(F190,'Anticipated Exit Bookings'!$B:$C,MATCH('Exit Anticipated Rev. Recovery'!$C$2,'Anticipated Exit Bookings'!$B$1:$C$1,0), FALSE))*VLOOKUP($F190, 'Exit Capacity Split'!A:H, 6,0)/100</f>
        <v>111348.35603091089</v>
      </c>
      <c r="Q190" s="200">
        <f ca="1">IF(VLOOKUP(F190,'Exit Prices'!$A:$Q,15,FALSE)&gt;0,VLOOKUP(F190,'Exit Prices'!$A:$Q,15,FALSE),0)</f>
        <v>1.9820323133808871E-2</v>
      </c>
      <c r="R190" s="202">
        <f ca="1">P190*Q190*'User Inputs'!$D$7/100</f>
        <v>8055.4054488713309</v>
      </c>
      <c r="S190" s="209">
        <f ca="1">(VLOOKUP(F190,'Anticipated Exit Bookings'!$B:$C,MATCH('Exit Anticipated Rev. Recovery'!$C$2,'Anticipated Exit Bookings'!$B$1:$C$1,0), FALSE))*VLOOKUP($F190, 'Exit Capacity Split'!A:H, 7,0)/100</f>
        <v>28349.169515265166</v>
      </c>
      <c r="T190" s="205" t="str">
        <f>IF(VLOOKUP(F190,'Exit Prices'!$A:$Q,16,FALSE)&gt;0,VLOOKUP(F190,'Exit Prices'!$A:$Q,16,FALSE),0)</f>
        <v>N/A</v>
      </c>
      <c r="U190" s="207" t="s">
        <v>428</v>
      </c>
      <c r="V190" s="204">
        <f ca="1">(VLOOKUP(F190,'Anticipated Exit Bookings'!$B:$C,MATCH('Exit Anticipated Rev. Recovery'!$C$2,'Anticipated Exit Bookings'!$B$1:$C$1,0), FALSE))*VLOOKUP($F190, 'Exit Capacity Split'!A:H, 8,0)/100</f>
        <v>21485869.573624633</v>
      </c>
      <c r="W190" s="200">
        <f ca="1">IF(VLOOKUP(F190,'Exit Prices'!$A:$Q,17,FALSE)&gt;0,VLOOKUP(F190,'Exit Prices'!$A:$Q,17,FALSE),0)</f>
        <v>1.7838290820427986E-2</v>
      </c>
      <c r="X190" s="202">
        <f ca="1">V190*W190*'User Inputs'!$D$7/100</f>
        <v>1398939.8434419697</v>
      </c>
      <c r="Y190" s="199">
        <f t="shared" ca="1" si="3"/>
        <v>2927050.1209263788</v>
      </c>
      <c r="AA190" s="164"/>
    </row>
    <row r="191" spans="5:27">
      <c r="E191" s="213" t="s">
        <v>474</v>
      </c>
      <c r="F191" s="213" t="s">
        <v>208</v>
      </c>
      <c r="G191" s="197">
        <f ca="1">(VLOOKUP(F191,'Anticipated Exit Bookings'!$B:$C,MATCH('Exit Anticipated Rev. Recovery'!$C$2,'Anticipated Exit Bookings'!$B$1:$C$1,0), FALSE))*VLOOKUP($F191, 'Exit Capacity Split'!A:H, 3,0)/100</f>
        <v>202331355.57813305</v>
      </c>
      <c r="H191" s="200">
        <f ca="1">IF(VLOOKUP(F191,'Exit Prices'!$A:$Q,12,FALSE)&gt;0,VLOOKUP(F191,'Exit Prices'!$A:$Q,12,FALSE),0)</f>
        <v>1.9820323133808871E-2</v>
      </c>
      <c r="I191" s="202">
        <f ca="1">G191*H191*'User Inputs'!$D$7/100</f>
        <v>14637495.893959653</v>
      </c>
      <c r="J191" s="209">
        <f ca="1">(VLOOKUP(F191,'Anticipated Exit Bookings'!$B:$C,MATCH('Exit Anticipated Rev. Recovery'!$C$2,'Anticipated Exit Bookings'!$B$1:$C$1,0), FALSE))*VLOOKUP($F191, 'Exit Capacity Split'!A:H, 4,0)/100</f>
        <v>0</v>
      </c>
      <c r="K191" s="205" t="str">
        <f>IF(VLOOKUP(F191,'Exit Prices'!$A:$Q,13,FALSE)&gt;0,VLOOKUP(F191,'Exit Prices'!$A:$Q,13,FALSE),0)</f>
        <v>N/A</v>
      </c>
      <c r="L191" s="207" t="s">
        <v>428</v>
      </c>
      <c r="M191" s="209">
        <f ca="1">(VLOOKUP(F191,'Anticipated Exit Bookings'!$B:$C,MATCH('Exit Anticipated Rev. Recovery'!$C$2,'Anticipated Exit Bookings'!$B$1:$C$1,0), FALSE))*VLOOKUP($F191, 'Exit Capacity Split'!A:H, 5,0)/100</f>
        <v>0</v>
      </c>
      <c r="N191" s="205" t="str">
        <f>IF(VLOOKUP(F191,'Exit Prices'!$A:$Q,14,FALSE)&gt;0,VLOOKUP(F191,'Exit Prices'!$A:$Q,14,FALSE),0)</f>
        <v>N/A</v>
      </c>
      <c r="O191" s="207" t="s">
        <v>428</v>
      </c>
      <c r="P191" s="204">
        <f ca="1">(VLOOKUP(F191,'Anticipated Exit Bookings'!$B:$C,MATCH('Exit Anticipated Rev. Recovery'!$C$2,'Anticipated Exit Bookings'!$B$1:$C$1,0), FALSE))*VLOOKUP($F191, 'Exit Capacity Split'!A:H, 6,0)/100</f>
        <v>0</v>
      </c>
      <c r="Q191" s="200">
        <f ca="1">IF(VLOOKUP(F191,'Exit Prices'!$A:$Q,15,FALSE)&gt;0,VLOOKUP(F191,'Exit Prices'!$A:$Q,15,FALSE),0)</f>
        <v>1.9820323133808871E-2</v>
      </c>
      <c r="R191" s="202">
        <f ca="1">P191*Q191*'User Inputs'!$D$7/100</f>
        <v>0</v>
      </c>
      <c r="S191" s="209">
        <f ca="1">(VLOOKUP(F191,'Anticipated Exit Bookings'!$B:$C,MATCH('Exit Anticipated Rev. Recovery'!$C$2,'Anticipated Exit Bookings'!$B$1:$C$1,0), FALSE))*VLOOKUP($F191, 'Exit Capacity Split'!A:H, 7,0)/100</f>
        <v>191286.002599411</v>
      </c>
      <c r="T191" s="205" t="str">
        <f>IF(VLOOKUP(F191,'Exit Prices'!$A:$Q,16,FALSE)&gt;0,VLOOKUP(F191,'Exit Prices'!$A:$Q,16,FALSE),0)</f>
        <v>N/A</v>
      </c>
      <c r="U191" s="207" t="s">
        <v>428</v>
      </c>
      <c r="V191" s="204">
        <f ca="1">(VLOOKUP(F191,'Anticipated Exit Bookings'!$B:$C,MATCH('Exit Anticipated Rev. Recovery'!$C$2,'Anticipated Exit Bookings'!$B$1:$C$1,0), FALSE))*VLOOKUP($F191, 'Exit Capacity Split'!A:H, 8,0)/100</f>
        <v>5200672.4192675687</v>
      </c>
      <c r="W191" s="200">
        <f ca="1">IF(VLOOKUP(F191,'Exit Prices'!$A:$Q,17,FALSE)&gt;0,VLOOKUP(F191,'Exit Prices'!$A:$Q,17,FALSE),0)</f>
        <v>1.7838290820427986E-2</v>
      </c>
      <c r="X191" s="202">
        <f ca="1">V191*W191*'User Inputs'!$D$7/100</f>
        <v>338614.54082985892</v>
      </c>
      <c r="Y191" s="199">
        <f t="shared" ca="1" si="3"/>
        <v>14976110.434789512</v>
      </c>
      <c r="AA191" s="164"/>
    </row>
    <row r="192" spans="5:27">
      <c r="E192" s="213" t="s">
        <v>474</v>
      </c>
      <c r="F192" s="213" t="s">
        <v>209</v>
      </c>
      <c r="G192" s="197">
        <f ca="1">(VLOOKUP(F192,'Anticipated Exit Bookings'!$B:$C,MATCH('Exit Anticipated Rev. Recovery'!$C$2,'Anticipated Exit Bookings'!$B$1:$C$1,0), FALSE))*VLOOKUP($F192, 'Exit Capacity Split'!A:H, 3,0)/100</f>
        <v>6324510.7199690929</v>
      </c>
      <c r="H192" s="200">
        <f ca="1">IF(VLOOKUP(F192,'Exit Prices'!$A:$Q,12,FALSE)&gt;0,VLOOKUP(F192,'Exit Prices'!$A:$Q,12,FALSE),0)</f>
        <v>1.9820323133808871E-2</v>
      </c>
      <c r="I192" s="202">
        <f ca="1">G192*H192*'User Inputs'!$D$7/100</f>
        <v>457541.53838554345</v>
      </c>
      <c r="J192" s="209">
        <f ca="1">(VLOOKUP(F192,'Anticipated Exit Bookings'!$B:$C,MATCH('Exit Anticipated Rev. Recovery'!$C$2,'Anticipated Exit Bookings'!$B$1:$C$1,0), FALSE))*VLOOKUP($F192, 'Exit Capacity Split'!A:H, 4,0)/100</f>
        <v>0</v>
      </c>
      <c r="K192" s="205" t="str">
        <f>IF(VLOOKUP(F192,'Exit Prices'!$A:$Q,13,FALSE)&gt;0,VLOOKUP(F192,'Exit Prices'!$A:$Q,13,FALSE),0)</f>
        <v>N/A</v>
      </c>
      <c r="L192" s="207" t="s">
        <v>428</v>
      </c>
      <c r="M192" s="209">
        <f ca="1">(VLOOKUP(F192,'Anticipated Exit Bookings'!$B:$C,MATCH('Exit Anticipated Rev. Recovery'!$C$2,'Anticipated Exit Bookings'!$B$1:$C$1,0), FALSE))*VLOOKUP($F192, 'Exit Capacity Split'!A:H, 5,0)/100</f>
        <v>0</v>
      </c>
      <c r="N192" s="205" t="str">
        <f>IF(VLOOKUP(F192,'Exit Prices'!$A:$Q,14,FALSE)&gt;0,VLOOKUP(F192,'Exit Prices'!$A:$Q,14,FALSE),0)</f>
        <v>N/A</v>
      </c>
      <c r="O192" s="207" t="s">
        <v>428</v>
      </c>
      <c r="P192" s="204">
        <f ca="1">(VLOOKUP(F192,'Anticipated Exit Bookings'!$B:$C,MATCH('Exit Anticipated Rev. Recovery'!$C$2,'Anticipated Exit Bookings'!$B$1:$C$1,0), FALSE))*VLOOKUP($F192, 'Exit Capacity Split'!A:H, 6,0)/100</f>
        <v>219.68306887192833</v>
      </c>
      <c r="Q192" s="200">
        <f ca="1">IF(VLOOKUP(F192,'Exit Prices'!$A:$Q,15,FALSE)&gt;0,VLOOKUP(F192,'Exit Prices'!$A:$Q,15,FALSE),0)</f>
        <v>1.9820323133808871E-2</v>
      </c>
      <c r="R192" s="202">
        <f ca="1">P192*Q192*'User Inputs'!$D$7/100</f>
        <v>15.892791354049692</v>
      </c>
      <c r="S192" s="209">
        <f ca="1">(VLOOKUP(F192,'Anticipated Exit Bookings'!$B:$C,MATCH('Exit Anticipated Rev. Recovery'!$C$2,'Anticipated Exit Bookings'!$B$1:$C$1,0), FALSE))*VLOOKUP($F192, 'Exit Capacity Split'!A:H, 7,0)/100</f>
        <v>7891.6917817838721</v>
      </c>
      <c r="T192" s="205" t="str">
        <f>IF(VLOOKUP(F192,'Exit Prices'!$A:$Q,16,FALSE)&gt;0,VLOOKUP(F192,'Exit Prices'!$A:$Q,16,FALSE),0)</f>
        <v>N/A</v>
      </c>
      <c r="U192" s="207" t="s">
        <v>428</v>
      </c>
      <c r="V192" s="204">
        <f ca="1">(VLOOKUP(F192,'Anticipated Exit Bookings'!$B:$C,MATCH('Exit Anticipated Rev. Recovery'!$C$2,'Anticipated Exit Bookings'!$B$1:$C$1,0), FALSE))*VLOOKUP($F192, 'Exit Capacity Split'!A:H, 8,0)/100</f>
        <v>2036377.9051802543</v>
      </c>
      <c r="W192" s="200">
        <f ca="1">IF(VLOOKUP(F192,'Exit Prices'!$A:$Q,17,FALSE)&gt;0,VLOOKUP(F192,'Exit Prices'!$A:$Q,17,FALSE),0)</f>
        <v>1.7838290820427986E-2</v>
      </c>
      <c r="X192" s="202">
        <f ca="1">V192*W192*'User Inputs'!$D$7/100</f>
        <v>132588.07971908245</v>
      </c>
      <c r="Y192" s="199">
        <f t="shared" ca="1" si="3"/>
        <v>590145.51089597994</v>
      </c>
      <c r="AA192" s="164"/>
    </row>
    <row r="193" spans="5:27">
      <c r="E193" s="213" t="s">
        <v>474</v>
      </c>
      <c r="F193" s="213" t="s">
        <v>210</v>
      </c>
      <c r="G193" s="197">
        <f ca="1">(VLOOKUP(F193,'Anticipated Exit Bookings'!$B:$C,MATCH('Exit Anticipated Rev. Recovery'!$C$2,'Anticipated Exit Bookings'!$B$1:$C$1,0), FALSE))*VLOOKUP($F193, 'Exit Capacity Split'!A:H, 3,0)/100</f>
        <v>10033368.852537418</v>
      </c>
      <c r="H193" s="200">
        <f ca="1">IF(VLOOKUP(F193,'Exit Prices'!$A:$Q,12,FALSE)&gt;0,VLOOKUP(F193,'Exit Prices'!$A:$Q,12,FALSE),0)</f>
        <v>1.9820323133808871E-2</v>
      </c>
      <c r="I193" s="202">
        <f ca="1">G193*H193*'User Inputs'!$D$7/100</f>
        <v>725855.83663964435</v>
      </c>
      <c r="J193" s="209">
        <f ca="1">(VLOOKUP(F193,'Anticipated Exit Bookings'!$B:$C,MATCH('Exit Anticipated Rev. Recovery'!$C$2,'Anticipated Exit Bookings'!$B$1:$C$1,0), FALSE))*VLOOKUP($F193, 'Exit Capacity Split'!A:H, 4,0)/100</f>
        <v>0</v>
      </c>
      <c r="K193" s="205" t="str">
        <f>IF(VLOOKUP(F193,'Exit Prices'!$A:$Q,13,FALSE)&gt;0,VLOOKUP(F193,'Exit Prices'!$A:$Q,13,FALSE),0)</f>
        <v>N/A</v>
      </c>
      <c r="L193" s="207" t="s">
        <v>428</v>
      </c>
      <c r="M193" s="209">
        <f ca="1">(VLOOKUP(F193,'Anticipated Exit Bookings'!$B:$C,MATCH('Exit Anticipated Rev. Recovery'!$C$2,'Anticipated Exit Bookings'!$B$1:$C$1,0), FALSE))*VLOOKUP($F193, 'Exit Capacity Split'!A:H, 5,0)/100</f>
        <v>0</v>
      </c>
      <c r="N193" s="205" t="str">
        <f>IF(VLOOKUP(F193,'Exit Prices'!$A:$Q,14,FALSE)&gt;0,VLOOKUP(F193,'Exit Prices'!$A:$Q,14,FALSE),0)</f>
        <v>N/A</v>
      </c>
      <c r="O193" s="207" t="s">
        <v>428</v>
      </c>
      <c r="P193" s="204">
        <f ca="1">(VLOOKUP(F193,'Anticipated Exit Bookings'!$B:$C,MATCH('Exit Anticipated Rev. Recovery'!$C$2,'Anticipated Exit Bookings'!$B$1:$C$1,0), FALSE))*VLOOKUP($F193, 'Exit Capacity Split'!A:H, 6,0)/100</f>
        <v>348.51095337541142</v>
      </c>
      <c r="Q193" s="200">
        <f ca="1">IF(VLOOKUP(F193,'Exit Prices'!$A:$Q,15,FALSE)&gt;0,VLOOKUP(F193,'Exit Prices'!$A:$Q,15,FALSE),0)</f>
        <v>1.9820323133808871E-2</v>
      </c>
      <c r="R193" s="202">
        <f ca="1">P193*Q193*'User Inputs'!$D$7/100</f>
        <v>25.212738947239451</v>
      </c>
      <c r="S193" s="209">
        <f ca="1">(VLOOKUP(F193,'Anticipated Exit Bookings'!$B:$C,MATCH('Exit Anticipated Rev. Recovery'!$C$2,'Anticipated Exit Bookings'!$B$1:$C$1,0), FALSE))*VLOOKUP($F193, 'Exit Capacity Split'!A:H, 7,0)/100</f>
        <v>12519.585786639756</v>
      </c>
      <c r="T193" s="205" t="str">
        <f>IF(VLOOKUP(F193,'Exit Prices'!$A:$Q,16,FALSE)&gt;0,VLOOKUP(F193,'Exit Prices'!$A:$Q,16,FALSE),0)</f>
        <v>N/A</v>
      </c>
      <c r="U193" s="207" t="s">
        <v>428</v>
      </c>
      <c r="V193" s="204">
        <f ca="1">(VLOOKUP(F193,'Anticipated Exit Bookings'!$B:$C,MATCH('Exit Anticipated Rev. Recovery'!$C$2,'Anticipated Exit Bookings'!$B$1:$C$1,0), FALSE))*VLOOKUP($F193, 'Exit Capacity Split'!A:H, 8,0)/100</f>
        <v>3230563.0507225716</v>
      </c>
      <c r="W193" s="200">
        <f ca="1">IF(VLOOKUP(F193,'Exit Prices'!$A:$Q,17,FALSE)&gt;0,VLOOKUP(F193,'Exit Prices'!$A:$Q,17,FALSE),0)</f>
        <v>1.7838290820427986E-2</v>
      </c>
      <c r="X193" s="202">
        <f ca="1">V193*W193*'User Inputs'!$D$7/100</f>
        <v>210341.18972569171</v>
      </c>
      <c r="Y193" s="199">
        <f t="shared" ca="1" si="3"/>
        <v>936222.23910428328</v>
      </c>
      <c r="AA193" s="164"/>
    </row>
    <row r="194" spans="5:27">
      <c r="E194" s="213" t="s">
        <v>474</v>
      </c>
      <c r="F194" s="213" t="s">
        <v>211</v>
      </c>
      <c r="G194" s="197">
        <f ca="1">(VLOOKUP(F194,'Anticipated Exit Bookings'!$B:$C,MATCH('Exit Anticipated Rev. Recovery'!$C$2,'Anticipated Exit Bookings'!$B$1:$C$1,0), FALSE))*VLOOKUP($F194, 'Exit Capacity Split'!A:H, 3,0)/100</f>
        <v>0</v>
      </c>
      <c r="H194" s="200">
        <f ca="1">IF(VLOOKUP(F194,'Exit Prices'!$A:$Q,12,FALSE)&gt;0,VLOOKUP(F194,'Exit Prices'!$A:$Q,12,FALSE),0)</f>
        <v>1.9820323133808871E-2</v>
      </c>
      <c r="I194" s="202">
        <f ca="1">G194*H194*'User Inputs'!$D$7/100</f>
        <v>0</v>
      </c>
      <c r="J194" s="209">
        <f ca="1">(VLOOKUP(F194,'Anticipated Exit Bookings'!$B:$C,MATCH('Exit Anticipated Rev. Recovery'!$C$2,'Anticipated Exit Bookings'!$B$1:$C$1,0), FALSE))*VLOOKUP($F194, 'Exit Capacity Split'!A:H, 4,0)/100</f>
        <v>0</v>
      </c>
      <c r="K194" s="205" t="str">
        <f>IF(VLOOKUP(F194,'Exit Prices'!$A:$Q,13,FALSE)&gt;0,VLOOKUP(F194,'Exit Prices'!$A:$Q,13,FALSE),0)</f>
        <v>N/A</v>
      </c>
      <c r="L194" s="207" t="s">
        <v>428</v>
      </c>
      <c r="M194" s="209">
        <f ca="1">(VLOOKUP(F194,'Anticipated Exit Bookings'!$B:$C,MATCH('Exit Anticipated Rev. Recovery'!$C$2,'Anticipated Exit Bookings'!$B$1:$C$1,0), FALSE))*VLOOKUP($F194, 'Exit Capacity Split'!A:H, 5,0)/100</f>
        <v>0</v>
      </c>
      <c r="N194" s="205" t="str">
        <f>IF(VLOOKUP(F194,'Exit Prices'!$A:$Q,14,FALSE)&gt;0,VLOOKUP(F194,'Exit Prices'!$A:$Q,14,FALSE),0)</f>
        <v>N/A</v>
      </c>
      <c r="O194" s="207" t="s">
        <v>428</v>
      </c>
      <c r="P194" s="204">
        <f ca="1">(VLOOKUP(F194,'Anticipated Exit Bookings'!$B:$C,MATCH('Exit Anticipated Rev. Recovery'!$C$2,'Anticipated Exit Bookings'!$B$1:$C$1,0), FALSE))*VLOOKUP($F194, 'Exit Capacity Split'!A:H, 6,0)/100</f>
        <v>0</v>
      </c>
      <c r="Q194" s="200">
        <f ca="1">IF(VLOOKUP(F194,'Exit Prices'!$A:$Q,15,FALSE)&gt;0,VLOOKUP(F194,'Exit Prices'!$A:$Q,15,FALSE),0)</f>
        <v>1.9820323133808871E-2</v>
      </c>
      <c r="R194" s="202">
        <f ca="1">P194*Q194*'User Inputs'!$D$7/100</f>
        <v>0</v>
      </c>
      <c r="S194" s="209">
        <f ca="1">(VLOOKUP(F194,'Anticipated Exit Bookings'!$B:$C,MATCH('Exit Anticipated Rev. Recovery'!$C$2,'Anticipated Exit Bookings'!$B$1:$C$1,0), FALSE))*VLOOKUP($F194, 'Exit Capacity Split'!A:H, 7,0)/100</f>
        <v>0</v>
      </c>
      <c r="T194" s="205" t="str">
        <f>IF(VLOOKUP(F194,'Exit Prices'!$A:$Q,16,FALSE)&gt;0,VLOOKUP(F194,'Exit Prices'!$A:$Q,16,FALSE),0)</f>
        <v>N/A</v>
      </c>
      <c r="U194" s="207" t="s">
        <v>428</v>
      </c>
      <c r="V194" s="204">
        <f ca="1">(VLOOKUP(F194,'Anticipated Exit Bookings'!$B:$C,MATCH('Exit Anticipated Rev. Recovery'!$C$2,'Anticipated Exit Bookings'!$B$1:$C$1,0), FALSE))*VLOOKUP($F194, 'Exit Capacity Split'!A:H, 8,0)/100</f>
        <v>0</v>
      </c>
      <c r="W194" s="200">
        <f ca="1">IF(VLOOKUP(F194,'Exit Prices'!$A:$Q,17,FALSE)&gt;0,VLOOKUP(F194,'Exit Prices'!$A:$Q,17,FALSE),0)</f>
        <v>1.7838290820427986E-2</v>
      </c>
      <c r="X194" s="202">
        <f ca="1">V194*W194*'User Inputs'!$D$7/100</f>
        <v>0</v>
      </c>
      <c r="Y194" s="199">
        <f t="shared" ca="1" si="3"/>
        <v>0</v>
      </c>
      <c r="AA194" s="164"/>
    </row>
    <row r="195" spans="5:27">
      <c r="E195" s="213" t="s">
        <v>474</v>
      </c>
      <c r="F195" s="213" t="s">
        <v>212</v>
      </c>
      <c r="G195" s="197">
        <f ca="1">(VLOOKUP(F195,'Anticipated Exit Bookings'!$B:$C,MATCH('Exit Anticipated Rev. Recovery'!$C$2,'Anticipated Exit Bookings'!$B$1:$C$1,0), FALSE))*VLOOKUP($F195, 'Exit Capacity Split'!A:H, 3,0)/100</f>
        <v>115122494.50231035</v>
      </c>
      <c r="H195" s="200">
        <f ca="1">IF(VLOOKUP(F195,'Exit Prices'!$A:$Q,12,FALSE)&gt;0,VLOOKUP(F195,'Exit Prices'!$A:$Q,12,FALSE),0)</f>
        <v>1.9820323133808871E-2</v>
      </c>
      <c r="I195" s="202">
        <f ca="1">G195*H195*'User Inputs'!$D$7/100</f>
        <v>8328442.3996716309</v>
      </c>
      <c r="J195" s="209">
        <f ca="1">(VLOOKUP(F195,'Anticipated Exit Bookings'!$B:$C,MATCH('Exit Anticipated Rev. Recovery'!$C$2,'Anticipated Exit Bookings'!$B$1:$C$1,0), FALSE))*VLOOKUP($F195, 'Exit Capacity Split'!A:H, 4,0)/100</f>
        <v>0</v>
      </c>
      <c r="K195" s="205" t="str">
        <f>IF(VLOOKUP(F195,'Exit Prices'!$A:$Q,13,FALSE)&gt;0,VLOOKUP(F195,'Exit Prices'!$A:$Q,13,FALSE),0)</f>
        <v>N/A</v>
      </c>
      <c r="L195" s="207" t="s">
        <v>428</v>
      </c>
      <c r="M195" s="209">
        <f ca="1">(VLOOKUP(F195,'Anticipated Exit Bookings'!$B:$C,MATCH('Exit Anticipated Rev. Recovery'!$C$2,'Anticipated Exit Bookings'!$B$1:$C$1,0), FALSE))*VLOOKUP($F195, 'Exit Capacity Split'!A:H, 5,0)/100</f>
        <v>0</v>
      </c>
      <c r="N195" s="205" t="str">
        <f>IF(VLOOKUP(F195,'Exit Prices'!$A:$Q,14,FALSE)&gt;0,VLOOKUP(F195,'Exit Prices'!$A:$Q,14,FALSE),0)</f>
        <v>N/A</v>
      </c>
      <c r="O195" s="207" t="s">
        <v>428</v>
      </c>
      <c r="P195" s="204">
        <f ca="1">(VLOOKUP(F195,'Anticipated Exit Bookings'!$B:$C,MATCH('Exit Anticipated Rev. Recovery'!$C$2,'Anticipated Exit Bookings'!$B$1:$C$1,0), FALSE))*VLOOKUP($F195, 'Exit Capacity Split'!A:H, 6,0)/100</f>
        <v>0</v>
      </c>
      <c r="Q195" s="200">
        <f ca="1">IF(VLOOKUP(F195,'Exit Prices'!$A:$Q,15,FALSE)&gt;0,VLOOKUP(F195,'Exit Prices'!$A:$Q,15,FALSE),0)</f>
        <v>1.9820323133808871E-2</v>
      </c>
      <c r="R195" s="202">
        <f ca="1">P195*Q195*'User Inputs'!$D$7/100</f>
        <v>0</v>
      </c>
      <c r="S195" s="209">
        <f ca="1">(VLOOKUP(F195,'Anticipated Exit Bookings'!$B:$C,MATCH('Exit Anticipated Rev. Recovery'!$C$2,'Anticipated Exit Bookings'!$B$1:$C$1,0), FALSE))*VLOOKUP($F195, 'Exit Capacity Split'!A:H, 7,0)/100</f>
        <v>108837.90957509687</v>
      </c>
      <c r="T195" s="205" t="str">
        <f>IF(VLOOKUP(F195,'Exit Prices'!$A:$Q,16,FALSE)&gt;0,VLOOKUP(F195,'Exit Prices'!$A:$Q,16,FALSE),0)</f>
        <v>N/A</v>
      </c>
      <c r="U195" s="207" t="s">
        <v>428</v>
      </c>
      <c r="V195" s="204">
        <f ca="1">(VLOOKUP(F195,'Anticipated Exit Bookings'!$B:$C,MATCH('Exit Anticipated Rev. Recovery'!$C$2,'Anticipated Exit Bookings'!$B$1:$C$1,0), FALSE))*VLOOKUP($F195, 'Exit Capacity Split'!A:H, 8,0)/100</f>
        <v>2959078.5881145643</v>
      </c>
      <c r="W195" s="200">
        <f ca="1">IF(VLOOKUP(F195,'Exit Prices'!$A:$Q,17,FALSE)&gt;0,VLOOKUP(F195,'Exit Prices'!$A:$Q,17,FALSE),0)</f>
        <v>1.7838290820427986E-2</v>
      </c>
      <c r="X195" s="202">
        <f ca="1">V195*W195*'User Inputs'!$D$7/100</f>
        <v>192664.901115805</v>
      </c>
      <c r="Y195" s="199">
        <f t="shared" ca="1" si="3"/>
        <v>8521107.3007874358</v>
      </c>
      <c r="AA195" s="164"/>
    </row>
    <row r="196" spans="5:27">
      <c r="E196" s="213" t="s">
        <v>474</v>
      </c>
      <c r="F196" s="213" t="s">
        <v>213</v>
      </c>
      <c r="G196" s="197">
        <f ca="1">(VLOOKUP(F196,'Anticipated Exit Bookings'!$B:$C,MATCH('Exit Anticipated Rev. Recovery'!$C$2,'Anticipated Exit Bookings'!$B$1:$C$1,0), FALSE))*VLOOKUP($F196, 'Exit Capacity Split'!A:H, 3,0)/100</f>
        <v>50632359.689082235</v>
      </c>
      <c r="H196" s="200">
        <f ca="1">IF(VLOOKUP(F196,'Exit Prices'!$A:$Q,12,FALSE)&gt;0,VLOOKUP(F196,'Exit Prices'!$A:$Q,12,FALSE),0)</f>
        <v>1.9820323133808871E-2</v>
      </c>
      <c r="I196" s="202">
        <f ca="1">G196*H196*'User Inputs'!$D$7/100</f>
        <v>3662956.5147366966</v>
      </c>
      <c r="J196" s="209">
        <f ca="1">(VLOOKUP(F196,'Anticipated Exit Bookings'!$B:$C,MATCH('Exit Anticipated Rev. Recovery'!$C$2,'Anticipated Exit Bookings'!$B$1:$C$1,0), FALSE))*VLOOKUP($F196, 'Exit Capacity Split'!A:H, 4,0)/100</f>
        <v>0</v>
      </c>
      <c r="K196" s="205" t="str">
        <f>IF(VLOOKUP(F196,'Exit Prices'!$A:$Q,13,FALSE)&gt;0,VLOOKUP(F196,'Exit Prices'!$A:$Q,13,FALSE),0)</f>
        <v>N/A</v>
      </c>
      <c r="L196" s="207" t="s">
        <v>428</v>
      </c>
      <c r="M196" s="209">
        <f ca="1">(VLOOKUP(F196,'Anticipated Exit Bookings'!$B:$C,MATCH('Exit Anticipated Rev. Recovery'!$C$2,'Anticipated Exit Bookings'!$B$1:$C$1,0), FALSE))*VLOOKUP($F196, 'Exit Capacity Split'!A:H, 5,0)/100</f>
        <v>0</v>
      </c>
      <c r="N196" s="205" t="str">
        <f>IF(VLOOKUP(F196,'Exit Prices'!$A:$Q,14,FALSE)&gt;0,VLOOKUP(F196,'Exit Prices'!$A:$Q,14,FALSE),0)</f>
        <v>N/A</v>
      </c>
      <c r="O196" s="207" t="s">
        <v>428</v>
      </c>
      <c r="P196" s="204">
        <f ca="1">(VLOOKUP(F196,'Anticipated Exit Bookings'!$B:$C,MATCH('Exit Anticipated Rev. Recovery'!$C$2,'Anticipated Exit Bookings'!$B$1:$C$1,0), FALSE))*VLOOKUP($F196, 'Exit Capacity Split'!A:H, 6,0)/100</f>
        <v>1758.7245327302185</v>
      </c>
      <c r="Q196" s="200">
        <f ca="1">IF(VLOOKUP(F196,'Exit Prices'!$A:$Q,15,FALSE)&gt;0,VLOOKUP(F196,'Exit Prices'!$A:$Q,15,FALSE),0)</f>
        <v>1.9820323133808871E-2</v>
      </c>
      <c r="R196" s="202">
        <f ca="1">P196*Q196*'User Inputs'!$D$7/100</f>
        <v>127.2334831785553</v>
      </c>
      <c r="S196" s="209">
        <f ca="1">(VLOOKUP(F196,'Anticipated Exit Bookings'!$B:$C,MATCH('Exit Anticipated Rev. Recovery'!$C$2,'Anticipated Exit Bookings'!$B$1:$C$1,0), FALSE))*VLOOKUP($F196, 'Exit Capacity Split'!A:H, 7,0)/100</f>
        <v>63178.796675770041</v>
      </c>
      <c r="T196" s="205" t="str">
        <f>IF(VLOOKUP(F196,'Exit Prices'!$A:$Q,16,FALSE)&gt;0,VLOOKUP(F196,'Exit Prices'!$A:$Q,16,FALSE),0)</f>
        <v>N/A</v>
      </c>
      <c r="U196" s="207" t="s">
        <v>428</v>
      </c>
      <c r="V196" s="204">
        <f ca="1">(VLOOKUP(F196,'Anticipated Exit Bookings'!$B:$C,MATCH('Exit Anticipated Rev. Recovery'!$C$2,'Anticipated Exit Bookings'!$B$1:$C$1,0), FALSE))*VLOOKUP($F196, 'Exit Capacity Split'!A:H, 8,0)/100</f>
        <v>16302702.789709289</v>
      </c>
      <c r="W196" s="200">
        <f ca="1">IF(VLOOKUP(F196,'Exit Prices'!$A:$Q,17,FALSE)&gt;0,VLOOKUP(F196,'Exit Prices'!$A:$Q,17,FALSE),0)</f>
        <v>1.7838290820427986E-2</v>
      </c>
      <c r="X196" s="202">
        <f ca="1">V196*W196*'User Inputs'!$D$7/100</f>
        <v>1061465.0903547048</v>
      </c>
      <c r="Y196" s="199">
        <f t="shared" ca="1" si="3"/>
        <v>4724548.8385745799</v>
      </c>
      <c r="AA196" s="164"/>
    </row>
    <row r="197" spans="5:27">
      <c r="E197" s="213" t="s">
        <v>474</v>
      </c>
      <c r="F197" s="213" t="s">
        <v>214</v>
      </c>
      <c r="G197" s="197">
        <f ca="1">(VLOOKUP(F197,'Anticipated Exit Bookings'!$B:$C,MATCH('Exit Anticipated Rev. Recovery'!$C$2,'Anticipated Exit Bookings'!$B$1:$C$1,0), FALSE))*VLOOKUP($F197, 'Exit Capacity Split'!A:H, 3,0)/100</f>
        <v>19728125.873496331</v>
      </c>
      <c r="H197" s="200">
        <f ca="1">IF(VLOOKUP(F197,'Exit Prices'!$A:$Q,12,FALSE)&gt;0,VLOOKUP(F197,'Exit Prices'!$A:$Q,12,FALSE),0)</f>
        <v>1.9820323133808871E-2</v>
      </c>
      <c r="I197" s="202">
        <f ca="1">G197*H197*'User Inputs'!$D$7/100</f>
        <v>1427215.0781756074</v>
      </c>
      <c r="J197" s="209">
        <f ca="1">(VLOOKUP(F197,'Anticipated Exit Bookings'!$B:$C,MATCH('Exit Anticipated Rev. Recovery'!$C$2,'Anticipated Exit Bookings'!$B$1:$C$1,0), FALSE))*VLOOKUP($F197, 'Exit Capacity Split'!A:H, 4,0)/100</f>
        <v>0</v>
      </c>
      <c r="K197" s="205" t="str">
        <f>IF(VLOOKUP(F197,'Exit Prices'!$A:$Q,13,FALSE)&gt;0,VLOOKUP(F197,'Exit Prices'!$A:$Q,13,FALSE),0)</f>
        <v>N/A</v>
      </c>
      <c r="L197" s="207" t="s">
        <v>428</v>
      </c>
      <c r="M197" s="209">
        <f ca="1">(VLOOKUP(F197,'Anticipated Exit Bookings'!$B:$C,MATCH('Exit Anticipated Rev. Recovery'!$C$2,'Anticipated Exit Bookings'!$B$1:$C$1,0), FALSE))*VLOOKUP($F197, 'Exit Capacity Split'!A:H, 5,0)/100</f>
        <v>0</v>
      </c>
      <c r="N197" s="205" t="str">
        <f>IF(VLOOKUP(F197,'Exit Prices'!$A:$Q,14,FALSE)&gt;0,VLOOKUP(F197,'Exit Prices'!$A:$Q,14,FALSE),0)</f>
        <v>N/A</v>
      </c>
      <c r="O197" s="207" t="s">
        <v>428</v>
      </c>
      <c r="P197" s="204">
        <f ca="1">(VLOOKUP(F197,'Anticipated Exit Bookings'!$B:$C,MATCH('Exit Anticipated Rev. Recovery'!$C$2,'Anticipated Exit Bookings'!$B$1:$C$1,0), FALSE))*VLOOKUP($F197, 'Exit Capacity Split'!A:H, 6,0)/100</f>
        <v>104547.57626254065</v>
      </c>
      <c r="Q197" s="200">
        <f ca="1">IF(VLOOKUP(F197,'Exit Prices'!$A:$Q,15,FALSE)&gt;0,VLOOKUP(F197,'Exit Prices'!$A:$Q,15,FALSE),0)</f>
        <v>1.9820323133808871E-2</v>
      </c>
      <c r="R197" s="202">
        <f ca="1">P197*Q197*'User Inputs'!$D$7/100</f>
        <v>7563.408616987298</v>
      </c>
      <c r="S197" s="209">
        <f ca="1">(VLOOKUP(F197,'Anticipated Exit Bookings'!$B:$C,MATCH('Exit Anticipated Rev. Recovery'!$C$2,'Anticipated Exit Bookings'!$B$1:$C$1,0), FALSE))*VLOOKUP($F197, 'Exit Capacity Split'!A:H, 7,0)/100</f>
        <v>26617.698433321282</v>
      </c>
      <c r="T197" s="205" t="str">
        <f>IF(VLOOKUP(F197,'Exit Prices'!$A:$Q,16,FALSE)&gt;0,VLOOKUP(F197,'Exit Prices'!$A:$Q,16,FALSE),0)</f>
        <v>N/A</v>
      </c>
      <c r="U197" s="207" t="s">
        <v>428</v>
      </c>
      <c r="V197" s="204">
        <f ca="1">(VLOOKUP(F197,'Anticipated Exit Bookings'!$B:$C,MATCH('Exit Anticipated Rev. Recovery'!$C$2,'Anticipated Exit Bookings'!$B$1:$C$1,0), FALSE))*VLOOKUP($F197, 'Exit Capacity Split'!A:H, 8,0)/100</f>
        <v>20173585.564136572</v>
      </c>
      <c r="W197" s="200">
        <f ca="1">IF(VLOOKUP(F197,'Exit Prices'!$A:$Q,17,FALSE)&gt;0,VLOOKUP(F197,'Exit Prices'!$A:$Q,17,FALSE),0)</f>
        <v>1.7838290820427986E-2</v>
      </c>
      <c r="X197" s="202">
        <f ca="1">V197*W197*'User Inputs'!$D$7/100</f>
        <v>1313497.3445710742</v>
      </c>
      <c r="Y197" s="199">
        <f t="shared" ca="1" si="3"/>
        <v>2748275.8313636687</v>
      </c>
      <c r="AA197" s="164"/>
    </row>
    <row r="198" spans="5:27">
      <c r="E198" s="213" t="s">
        <v>474</v>
      </c>
      <c r="F198" s="213" t="s">
        <v>215</v>
      </c>
      <c r="G198" s="197">
        <f ca="1">(VLOOKUP(F198,'Anticipated Exit Bookings'!$B:$C,MATCH('Exit Anticipated Rev. Recovery'!$C$2,'Anticipated Exit Bookings'!$B$1:$C$1,0), FALSE))*VLOOKUP($F198, 'Exit Capacity Split'!A:H, 3,0)/100</f>
        <v>4374051.2567638578</v>
      </c>
      <c r="H198" s="200">
        <f ca="1">IF(VLOOKUP(F198,'Exit Prices'!$A:$Q,12,FALSE)&gt;0,VLOOKUP(F198,'Exit Prices'!$A:$Q,12,FALSE),0)</f>
        <v>1.9820323133808871E-2</v>
      </c>
      <c r="I198" s="202">
        <f ca="1">G198*H198*'User Inputs'!$D$7/100</f>
        <v>316437.14899209398</v>
      </c>
      <c r="J198" s="209">
        <f ca="1">(VLOOKUP(F198,'Anticipated Exit Bookings'!$B:$C,MATCH('Exit Anticipated Rev. Recovery'!$C$2,'Anticipated Exit Bookings'!$B$1:$C$1,0), FALSE))*VLOOKUP($F198, 'Exit Capacity Split'!A:H, 4,0)/100</f>
        <v>0</v>
      </c>
      <c r="K198" s="205" t="str">
        <f>IF(VLOOKUP(F198,'Exit Prices'!$A:$Q,13,FALSE)&gt;0,VLOOKUP(F198,'Exit Prices'!$A:$Q,13,FALSE),0)</f>
        <v>N/A</v>
      </c>
      <c r="L198" s="207" t="s">
        <v>428</v>
      </c>
      <c r="M198" s="209">
        <f ca="1">(VLOOKUP(F198,'Anticipated Exit Bookings'!$B:$C,MATCH('Exit Anticipated Rev. Recovery'!$C$2,'Anticipated Exit Bookings'!$B$1:$C$1,0), FALSE))*VLOOKUP($F198, 'Exit Capacity Split'!A:H, 5,0)/100</f>
        <v>0</v>
      </c>
      <c r="N198" s="205" t="str">
        <f>IF(VLOOKUP(F198,'Exit Prices'!$A:$Q,14,FALSE)&gt;0,VLOOKUP(F198,'Exit Prices'!$A:$Q,14,FALSE),0)</f>
        <v>N/A</v>
      </c>
      <c r="O198" s="207" t="s">
        <v>428</v>
      </c>
      <c r="P198" s="204">
        <f ca="1">(VLOOKUP(F198,'Anticipated Exit Bookings'!$B:$C,MATCH('Exit Anticipated Rev. Recovery'!$C$2,'Anticipated Exit Bookings'!$B$1:$C$1,0), FALSE))*VLOOKUP($F198, 'Exit Capacity Split'!A:H, 6,0)/100</f>
        <v>0</v>
      </c>
      <c r="Q198" s="200">
        <f ca="1">IF(VLOOKUP(F198,'Exit Prices'!$A:$Q,15,FALSE)&gt;0,VLOOKUP(F198,'Exit Prices'!$A:$Q,15,FALSE),0)</f>
        <v>1.9820323133808871E-2</v>
      </c>
      <c r="R198" s="202">
        <f ca="1">P198*Q198*'User Inputs'!$D$7/100</f>
        <v>0</v>
      </c>
      <c r="S198" s="209">
        <f ca="1">(VLOOKUP(F198,'Anticipated Exit Bookings'!$B:$C,MATCH('Exit Anticipated Rev. Recovery'!$C$2,'Anticipated Exit Bookings'!$B$1:$C$1,0), FALSE))*VLOOKUP($F198, 'Exit Capacity Split'!A:H, 7,0)/100</f>
        <v>4135.2699767198819</v>
      </c>
      <c r="T198" s="205" t="str">
        <f>IF(VLOOKUP(F198,'Exit Prices'!$A:$Q,16,FALSE)&gt;0,VLOOKUP(F198,'Exit Prices'!$A:$Q,16,FALSE),0)</f>
        <v>N/A</v>
      </c>
      <c r="U198" s="207" t="s">
        <v>428</v>
      </c>
      <c r="V198" s="204">
        <f ca="1">(VLOOKUP(F198,'Anticipated Exit Bookings'!$B:$C,MATCH('Exit Anticipated Rev. Recovery'!$C$2,'Anticipated Exit Bookings'!$B$1:$C$1,0), FALSE))*VLOOKUP($F198, 'Exit Capacity Split'!A:H, 8,0)/100</f>
        <v>112429.47325942265</v>
      </c>
      <c r="W198" s="200">
        <f ca="1">IF(VLOOKUP(F198,'Exit Prices'!$A:$Q,17,FALSE)&gt;0,VLOOKUP(F198,'Exit Prices'!$A:$Q,17,FALSE),0)</f>
        <v>1.7838290820427986E-2</v>
      </c>
      <c r="X198" s="202">
        <f ca="1">V198*W198*'User Inputs'!$D$7/100</f>
        <v>7320.256188880262</v>
      </c>
      <c r="Y198" s="199">
        <f t="shared" ca="1" si="3"/>
        <v>323757.40518097422</v>
      </c>
      <c r="AA198" s="164"/>
    </row>
    <row r="199" spans="5:27">
      <c r="E199" s="213" t="s">
        <v>474</v>
      </c>
      <c r="F199" s="213" t="s">
        <v>216</v>
      </c>
      <c r="G199" s="197">
        <f ca="1">(VLOOKUP(F199,'Anticipated Exit Bookings'!$B:$C,MATCH('Exit Anticipated Rev. Recovery'!$C$2,'Anticipated Exit Bookings'!$B$1:$C$1,0), FALSE))*VLOOKUP($F199, 'Exit Capacity Split'!A:H, 3,0)/100</f>
        <v>0</v>
      </c>
      <c r="H199" s="200">
        <f ca="1">IF(VLOOKUP(F199,'Exit Prices'!$A:$Q,12,FALSE)&gt;0,VLOOKUP(F199,'Exit Prices'!$A:$Q,12,FALSE),0)</f>
        <v>1.9820323133808871E-2</v>
      </c>
      <c r="I199" s="202">
        <f ca="1">G199*H199*'User Inputs'!$D$7/100</f>
        <v>0</v>
      </c>
      <c r="J199" s="209">
        <f ca="1">(VLOOKUP(F199,'Anticipated Exit Bookings'!$B:$C,MATCH('Exit Anticipated Rev. Recovery'!$C$2,'Anticipated Exit Bookings'!$B$1:$C$1,0), FALSE))*VLOOKUP($F199, 'Exit Capacity Split'!A:H, 4,0)/100</f>
        <v>0</v>
      </c>
      <c r="K199" s="205" t="str">
        <f>IF(VLOOKUP(F199,'Exit Prices'!$A:$Q,13,FALSE)&gt;0,VLOOKUP(F199,'Exit Prices'!$A:$Q,13,FALSE),0)</f>
        <v>N/A</v>
      </c>
      <c r="L199" s="207" t="s">
        <v>428</v>
      </c>
      <c r="M199" s="209">
        <f ca="1">(VLOOKUP(F199,'Anticipated Exit Bookings'!$B:$C,MATCH('Exit Anticipated Rev. Recovery'!$C$2,'Anticipated Exit Bookings'!$B$1:$C$1,0), FALSE))*VLOOKUP($F199, 'Exit Capacity Split'!A:H, 5,0)/100</f>
        <v>0</v>
      </c>
      <c r="N199" s="205" t="str">
        <f>IF(VLOOKUP(F199,'Exit Prices'!$A:$Q,14,FALSE)&gt;0,VLOOKUP(F199,'Exit Prices'!$A:$Q,14,FALSE),0)</f>
        <v>N/A</v>
      </c>
      <c r="O199" s="207" t="s">
        <v>428</v>
      </c>
      <c r="P199" s="204">
        <f ca="1">(VLOOKUP(F199,'Anticipated Exit Bookings'!$B:$C,MATCH('Exit Anticipated Rev. Recovery'!$C$2,'Anticipated Exit Bookings'!$B$1:$C$1,0), FALSE))*VLOOKUP($F199, 'Exit Capacity Split'!A:H, 6,0)/100</f>
        <v>0</v>
      </c>
      <c r="Q199" s="200">
        <f ca="1">IF(VLOOKUP(F199,'Exit Prices'!$A:$Q,15,FALSE)&gt;0,VLOOKUP(F199,'Exit Prices'!$A:$Q,15,FALSE),0)</f>
        <v>1.9820323133808871E-2</v>
      </c>
      <c r="R199" s="202">
        <f ca="1">P199*Q199*'User Inputs'!$D$7/100</f>
        <v>0</v>
      </c>
      <c r="S199" s="209">
        <f ca="1">(VLOOKUP(F199,'Anticipated Exit Bookings'!$B:$C,MATCH('Exit Anticipated Rev. Recovery'!$C$2,'Anticipated Exit Bookings'!$B$1:$C$1,0), FALSE))*VLOOKUP($F199, 'Exit Capacity Split'!A:H, 7,0)/100</f>
        <v>0</v>
      </c>
      <c r="T199" s="205" t="str">
        <f>IF(VLOOKUP(F199,'Exit Prices'!$A:$Q,16,FALSE)&gt;0,VLOOKUP(F199,'Exit Prices'!$A:$Q,16,FALSE),0)</f>
        <v>N/A</v>
      </c>
      <c r="U199" s="207" t="s">
        <v>428</v>
      </c>
      <c r="V199" s="204">
        <f ca="1">(VLOOKUP(F199,'Anticipated Exit Bookings'!$B:$C,MATCH('Exit Anticipated Rev. Recovery'!$C$2,'Anticipated Exit Bookings'!$B$1:$C$1,0), FALSE))*VLOOKUP($F199, 'Exit Capacity Split'!A:H, 8,0)/100</f>
        <v>0</v>
      </c>
      <c r="W199" s="200">
        <f ca="1">IF(VLOOKUP(F199,'Exit Prices'!$A:$Q,17,FALSE)&gt;0,VLOOKUP(F199,'Exit Prices'!$A:$Q,17,FALSE),0)</f>
        <v>1.7838290820427986E-2</v>
      </c>
      <c r="X199" s="202">
        <f ca="1">V199*W199*'User Inputs'!$D$7/100</f>
        <v>0</v>
      </c>
      <c r="Y199" s="199">
        <f t="shared" ca="1" si="3"/>
        <v>0</v>
      </c>
      <c r="AA199" s="164"/>
    </row>
    <row r="200" spans="5:27">
      <c r="E200" s="213" t="s">
        <v>474</v>
      </c>
      <c r="F200" s="213" t="s">
        <v>217</v>
      </c>
      <c r="G200" s="197">
        <f ca="1">(VLOOKUP(F200,'Anticipated Exit Bookings'!$B:$C,MATCH('Exit Anticipated Rev. Recovery'!$C$2,'Anticipated Exit Bookings'!$B$1:$C$1,0), FALSE))*VLOOKUP($F200, 'Exit Capacity Split'!A:H, 3,0)/100</f>
        <v>13182349.370199136</v>
      </c>
      <c r="H200" s="200">
        <f ca="1">IF(VLOOKUP(F200,'Exit Prices'!$A:$Q,12,FALSE)&gt;0,VLOOKUP(F200,'Exit Prices'!$A:$Q,12,FALSE),0)</f>
        <v>1.9820323133808871E-2</v>
      </c>
      <c r="I200" s="202">
        <f ca="1">G200*H200*'User Inputs'!$D$7/100</f>
        <v>953666.24825739686</v>
      </c>
      <c r="J200" s="209">
        <f ca="1">(VLOOKUP(F200,'Anticipated Exit Bookings'!$B:$C,MATCH('Exit Anticipated Rev. Recovery'!$C$2,'Anticipated Exit Bookings'!$B$1:$C$1,0), FALSE))*VLOOKUP($F200, 'Exit Capacity Split'!A:H, 4,0)/100</f>
        <v>0</v>
      </c>
      <c r="K200" s="205" t="str">
        <f>IF(VLOOKUP(F200,'Exit Prices'!$A:$Q,13,FALSE)&gt;0,VLOOKUP(F200,'Exit Prices'!$A:$Q,13,FALSE),0)</f>
        <v>N/A</v>
      </c>
      <c r="L200" s="207" t="s">
        <v>428</v>
      </c>
      <c r="M200" s="209">
        <f ca="1">(VLOOKUP(F200,'Anticipated Exit Bookings'!$B:$C,MATCH('Exit Anticipated Rev. Recovery'!$C$2,'Anticipated Exit Bookings'!$B$1:$C$1,0), FALSE))*VLOOKUP($F200, 'Exit Capacity Split'!A:H, 5,0)/100</f>
        <v>0</v>
      </c>
      <c r="N200" s="205" t="str">
        <f>IF(VLOOKUP(F200,'Exit Prices'!$A:$Q,14,FALSE)&gt;0,VLOOKUP(F200,'Exit Prices'!$A:$Q,14,FALSE),0)</f>
        <v>N/A</v>
      </c>
      <c r="O200" s="207" t="s">
        <v>428</v>
      </c>
      <c r="P200" s="204">
        <f ca="1">(VLOOKUP(F200,'Anticipated Exit Bookings'!$B:$C,MATCH('Exit Anticipated Rev. Recovery'!$C$2,'Anticipated Exit Bookings'!$B$1:$C$1,0), FALSE))*VLOOKUP($F200, 'Exit Capacity Split'!A:H, 6,0)/100</f>
        <v>69858.773455610542</v>
      </c>
      <c r="Q200" s="200">
        <f ca="1">IF(VLOOKUP(F200,'Exit Prices'!$A:$Q,15,FALSE)&gt;0,VLOOKUP(F200,'Exit Prices'!$A:$Q,15,FALSE),0)</f>
        <v>1.9820323133808871E-2</v>
      </c>
      <c r="R200" s="202">
        <f ca="1">P200*Q200*'User Inputs'!$D$7/100</f>
        <v>5053.8756422193901</v>
      </c>
      <c r="S200" s="209">
        <f ca="1">(VLOOKUP(F200,'Anticipated Exit Bookings'!$B:$C,MATCH('Exit Anticipated Rev. Recovery'!$C$2,'Anticipated Exit Bookings'!$B$1:$C$1,0), FALSE))*VLOOKUP($F200, 'Exit Capacity Split'!A:H, 7,0)/100</f>
        <v>17785.967224085729</v>
      </c>
      <c r="T200" s="205" t="str">
        <f>IF(VLOOKUP(F200,'Exit Prices'!$A:$Q,16,FALSE)&gt;0,VLOOKUP(F200,'Exit Prices'!$A:$Q,16,FALSE),0)</f>
        <v>N/A</v>
      </c>
      <c r="U200" s="207" t="s">
        <v>428</v>
      </c>
      <c r="V200" s="204">
        <f ca="1">(VLOOKUP(F200,'Anticipated Exit Bookings'!$B:$C,MATCH('Exit Anticipated Rev. Recovery'!$C$2,'Anticipated Exit Bookings'!$B$1:$C$1,0), FALSE))*VLOOKUP($F200, 'Exit Capacity Split'!A:H, 8,0)/100</f>
        <v>13480005.889121164</v>
      </c>
      <c r="W200" s="200">
        <f ca="1">IF(VLOOKUP(F200,'Exit Prices'!$A:$Q,17,FALSE)&gt;0,VLOOKUP(F200,'Exit Prices'!$A:$Q,17,FALSE),0)</f>
        <v>1.7838290820427986E-2</v>
      </c>
      <c r="X200" s="202">
        <f ca="1">V200*W200*'User Inputs'!$D$7/100</f>
        <v>877679.96838597208</v>
      </c>
      <c r="Y200" s="199">
        <f t="shared" ref="Y200:Y222" ca="1" si="4">I200+R200+X200</f>
        <v>1836400.0922855884</v>
      </c>
      <c r="AA200" s="164"/>
    </row>
    <row r="201" spans="5:27">
      <c r="E201" s="213" t="s">
        <v>474</v>
      </c>
      <c r="F201" s="213" t="s">
        <v>218</v>
      </c>
      <c r="G201" s="197">
        <f ca="1">(VLOOKUP(F201,'Anticipated Exit Bookings'!$B:$C,MATCH('Exit Anticipated Rev. Recovery'!$C$2,'Anticipated Exit Bookings'!$B$1:$C$1,0), FALSE))*VLOOKUP($F201, 'Exit Capacity Split'!A:H, 3,0)/100</f>
        <v>557203.98795745056</v>
      </c>
      <c r="H201" s="200">
        <f ca="1">IF(VLOOKUP(F201,'Exit Prices'!$A:$Q,12,FALSE)&gt;0,VLOOKUP(F201,'Exit Prices'!$A:$Q,12,FALSE),0)</f>
        <v>1.9820323133808871E-2</v>
      </c>
      <c r="I201" s="202">
        <f ca="1">G201*H201*'User Inputs'!$D$7/100</f>
        <v>40310.465288587206</v>
      </c>
      <c r="J201" s="209">
        <f ca="1">(VLOOKUP(F201,'Anticipated Exit Bookings'!$B:$C,MATCH('Exit Anticipated Rev. Recovery'!$C$2,'Anticipated Exit Bookings'!$B$1:$C$1,0), FALSE))*VLOOKUP($F201, 'Exit Capacity Split'!A:H, 4,0)/100</f>
        <v>0</v>
      </c>
      <c r="K201" s="205" t="str">
        <f>IF(VLOOKUP(F201,'Exit Prices'!$A:$Q,13,FALSE)&gt;0,VLOOKUP(F201,'Exit Prices'!$A:$Q,13,FALSE),0)</f>
        <v>N/A</v>
      </c>
      <c r="L201" s="207" t="s">
        <v>428</v>
      </c>
      <c r="M201" s="209">
        <f ca="1">(VLOOKUP(F201,'Anticipated Exit Bookings'!$B:$C,MATCH('Exit Anticipated Rev. Recovery'!$C$2,'Anticipated Exit Bookings'!$B$1:$C$1,0), FALSE))*VLOOKUP($F201, 'Exit Capacity Split'!A:H, 5,0)/100</f>
        <v>0</v>
      </c>
      <c r="N201" s="205" t="str">
        <f>IF(VLOOKUP(F201,'Exit Prices'!$A:$Q,14,FALSE)&gt;0,VLOOKUP(F201,'Exit Prices'!$A:$Q,14,FALSE),0)</f>
        <v>N/A</v>
      </c>
      <c r="O201" s="207" t="s">
        <v>428</v>
      </c>
      <c r="P201" s="204">
        <f ca="1">(VLOOKUP(F201,'Anticipated Exit Bookings'!$B:$C,MATCH('Exit Anticipated Rev. Recovery'!$C$2,'Anticipated Exit Bookings'!$B$1:$C$1,0), FALSE))*VLOOKUP($F201, 'Exit Capacity Split'!A:H, 6,0)/100</f>
        <v>0</v>
      </c>
      <c r="Q201" s="200">
        <f ca="1">IF(VLOOKUP(F201,'Exit Prices'!$A:$Q,15,FALSE)&gt;0,VLOOKUP(F201,'Exit Prices'!$A:$Q,15,FALSE),0)</f>
        <v>1.9820323133808871E-2</v>
      </c>
      <c r="R201" s="202">
        <f ca="1">P201*Q201*'User Inputs'!$D$7/100</f>
        <v>0</v>
      </c>
      <c r="S201" s="209">
        <f ca="1">(VLOOKUP(F201,'Anticipated Exit Bookings'!$B:$C,MATCH('Exit Anticipated Rev. Recovery'!$C$2,'Anticipated Exit Bookings'!$B$1:$C$1,0), FALSE))*VLOOKUP($F201, 'Exit Capacity Split'!A:H, 7,0)/100</f>
        <v>526.78599016093528</v>
      </c>
      <c r="T201" s="205" t="str">
        <f>IF(VLOOKUP(F201,'Exit Prices'!$A:$Q,16,FALSE)&gt;0,VLOOKUP(F201,'Exit Prices'!$A:$Q,16,FALSE),0)</f>
        <v>N/A</v>
      </c>
      <c r="U201" s="207" t="s">
        <v>428</v>
      </c>
      <c r="V201" s="204">
        <f ca="1">(VLOOKUP(F201,'Anticipated Exit Bookings'!$B:$C,MATCH('Exit Anticipated Rev. Recovery'!$C$2,'Anticipated Exit Bookings'!$B$1:$C$1,0), FALSE))*VLOOKUP($F201, 'Exit Capacity Split'!A:H, 8,0)/100</f>
        <v>14322.226052388469</v>
      </c>
      <c r="W201" s="200">
        <f ca="1">IF(VLOOKUP(F201,'Exit Prices'!$A:$Q,17,FALSE)&gt;0,VLOOKUP(F201,'Exit Prices'!$A:$Q,17,FALSE),0)</f>
        <v>1.7838290820427986E-2</v>
      </c>
      <c r="X201" s="202">
        <f ca="1">V201*W201*'User Inputs'!$D$7/100</f>
        <v>932.51672234221758</v>
      </c>
      <c r="Y201" s="199">
        <f t="shared" ca="1" si="4"/>
        <v>41242.982010929423</v>
      </c>
      <c r="AA201" s="164"/>
    </row>
    <row r="202" spans="5:27">
      <c r="E202" s="213" t="s">
        <v>474</v>
      </c>
      <c r="F202" s="213" t="s">
        <v>219</v>
      </c>
      <c r="G202" s="197">
        <f ca="1">(VLOOKUP(F202,'Anticipated Exit Bookings'!$B:$C,MATCH('Exit Anticipated Rev. Recovery'!$C$2,'Anticipated Exit Bookings'!$B$1:$C$1,0), FALSE))*VLOOKUP($F202, 'Exit Capacity Split'!A:H, 3,0)/100</f>
        <v>58018526.644512847</v>
      </c>
      <c r="H202" s="200">
        <f ca="1">IF(VLOOKUP(F202,'Exit Prices'!$A:$Q,12,FALSE)&gt;0,VLOOKUP(F202,'Exit Prices'!$A:$Q,12,FALSE),0)</f>
        <v>1.9820323133808871E-2</v>
      </c>
      <c r="I202" s="202">
        <f ca="1">G202*H202*'User Inputs'!$D$7/100</f>
        <v>4197302.7023223666</v>
      </c>
      <c r="J202" s="209">
        <f ca="1">(VLOOKUP(F202,'Anticipated Exit Bookings'!$B:$C,MATCH('Exit Anticipated Rev. Recovery'!$C$2,'Anticipated Exit Bookings'!$B$1:$C$1,0), FALSE))*VLOOKUP($F202, 'Exit Capacity Split'!A:H, 4,0)/100</f>
        <v>0</v>
      </c>
      <c r="K202" s="205" t="str">
        <f>IF(VLOOKUP(F202,'Exit Prices'!$A:$Q,13,FALSE)&gt;0,VLOOKUP(F202,'Exit Prices'!$A:$Q,13,FALSE),0)</f>
        <v>N/A</v>
      </c>
      <c r="L202" s="207" t="s">
        <v>428</v>
      </c>
      <c r="M202" s="209">
        <f ca="1">(VLOOKUP(F202,'Anticipated Exit Bookings'!$B:$C,MATCH('Exit Anticipated Rev. Recovery'!$C$2,'Anticipated Exit Bookings'!$B$1:$C$1,0), FALSE))*VLOOKUP($F202, 'Exit Capacity Split'!A:H, 5,0)/100</f>
        <v>0</v>
      </c>
      <c r="N202" s="205" t="str">
        <f>IF(VLOOKUP(F202,'Exit Prices'!$A:$Q,14,FALSE)&gt;0,VLOOKUP(F202,'Exit Prices'!$A:$Q,14,FALSE),0)</f>
        <v>N/A</v>
      </c>
      <c r="O202" s="207" t="s">
        <v>428</v>
      </c>
      <c r="P202" s="204">
        <f ca="1">(VLOOKUP(F202,'Anticipated Exit Bookings'!$B:$C,MATCH('Exit Anticipated Rev. Recovery'!$C$2,'Anticipated Exit Bookings'!$B$1:$C$1,0), FALSE))*VLOOKUP($F202, 'Exit Capacity Split'!A:H, 6,0)/100</f>
        <v>0</v>
      </c>
      <c r="Q202" s="200">
        <f ca="1">IF(VLOOKUP(F202,'Exit Prices'!$A:$Q,15,FALSE)&gt;0,VLOOKUP(F202,'Exit Prices'!$A:$Q,15,FALSE),0)</f>
        <v>1.9820323133808871E-2</v>
      </c>
      <c r="R202" s="202">
        <f ca="1">P202*Q202*'User Inputs'!$D$7/100</f>
        <v>0</v>
      </c>
      <c r="S202" s="209">
        <f ca="1">(VLOOKUP(F202,'Anticipated Exit Bookings'!$B:$C,MATCH('Exit Anticipated Rev. Recovery'!$C$2,'Anticipated Exit Bookings'!$B$1:$C$1,0), FALSE))*VLOOKUP($F202, 'Exit Capacity Split'!A:H, 7,0)/100</f>
        <v>54851.271108350709</v>
      </c>
      <c r="T202" s="205" t="str">
        <f>IF(VLOOKUP(F202,'Exit Prices'!$A:$Q,16,FALSE)&gt;0,VLOOKUP(F202,'Exit Prices'!$A:$Q,16,FALSE),0)</f>
        <v>N/A</v>
      </c>
      <c r="U202" s="207" t="s">
        <v>428</v>
      </c>
      <c r="V202" s="204">
        <f ca="1">(VLOOKUP(F202,'Anticipated Exit Bookings'!$B:$C,MATCH('Exit Anticipated Rev. Recovery'!$C$2,'Anticipated Exit Bookings'!$B$1:$C$1,0), FALSE))*VLOOKUP($F202, 'Exit Capacity Split'!A:H, 8,0)/100</f>
        <v>1491293.0843788041</v>
      </c>
      <c r="W202" s="200">
        <f ca="1">IF(VLOOKUP(F202,'Exit Prices'!$A:$Q,17,FALSE)&gt;0,VLOOKUP(F202,'Exit Prices'!$A:$Q,17,FALSE),0)</f>
        <v>1.7838290820427986E-2</v>
      </c>
      <c r="X202" s="202">
        <f ca="1">V202*W202*'User Inputs'!$D$7/100</f>
        <v>97097.73704239387</v>
      </c>
      <c r="Y202" s="199">
        <f t="shared" ca="1" si="4"/>
        <v>4294400.4393647602</v>
      </c>
      <c r="AA202" s="164"/>
    </row>
    <row r="203" spans="5:27">
      <c r="E203" s="213" t="s">
        <v>474</v>
      </c>
      <c r="F203" s="213" t="s">
        <v>239</v>
      </c>
      <c r="G203" s="197">
        <f ca="1">(VLOOKUP(F203,'Anticipated Exit Bookings'!$B:$C,MATCH('Exit Anticipated Rev. Recovery'!$C$2,'Anticipated Exit Bookings'!$B$1:$C$1,0), FALSE))*VLOOKUP($F203, 'Exit Capacity Split'!A:H, 3,0)/100</f>
        <v>0</v>
      </c>
      <c r="H203" s="200">
        <f ca="1">IF(VLOOKUP(F203,'Exit Prices'!$A:$Q,12,FALSE)&gt;0,VLOOKUP(F203,'Exit Prices'!$A:$Q,12,FALSE),0)</f>
        <v>1.9820323133808871E-2</v>
      </c>
      <c r="I203" s="202">
        <f ca="1">G203*H203*'User Inputs'!$D$7/100</f>
        <v>0</v>
      </c>
      <c r="J203" s="209">
        <f ca="1">(VLOOKUP(F203,'Anticipated Exit Bookings'!$B:$C,MATCH('Exit Anticipated Rev. Recovery'!$C$2,'Anticipated Exit Bookings'!$B$1:$C$1,0), FALSE))*VLOOKUP($F203, 'Exit Capacity Split'!A:H, 4,0)/100</f>
        <v>0</v>
      </c>
      <c r="K203" s="205" t="str">
        <f>IF(VLOOKUP(F203,'Exit Prices'!$A:$Q,13,FALSE)&gt;0,VLOOKUP(F203,'Exit Prices'!$A:$Q,13,FALSE),0)</f>
        <v>N/A</v>
      </c>
      <c r="L203" s="207" t="s">
        <v>428</v>
      </c>
      <c r="M203" s="209">
        <f ca="1">(VLOOKUP(F203,'Anticipated Exit Bookings'!$B:$C,MATCH('Exit Anticipated Rev. Recovery'!$C$2,'Anticipated Exit Bookings'!$B$1:$C$1,0), FALSE))*VLOOKUP($F203, 'Exit Capacity Split'!A:H, 5,0)/100</f>
        <v>0</v>
      </c>
      <c r="N203" s="205" t="str">
        <f>IF(VLOOKUP(F203,'Exit Prices'!$A:$Q,14,FALSE)&gt;0,VLOOKUP(F203,'Exit Prices'!$A:$Q,14,FALSE),0)</f>
        <v>N/A</v>
      </c>
      <c r="O203" s="207" t="s">
        <v>428</v>
      </c>
      <c r="P203" s="204">
        <f ca="1">(VLOOKUP(F203,'Anticipated Exit Bookings'!$B:$C,MATCH('Exit Anticipated Rev. Recovery'!$C$2,'Anticipated Exit Bookings'!$B$1:$C$1,0), FALSE))*VLOOKUP($F203, 'Exit Capacity Split'!A:H, 6,0)/100</f>
        <v>0</v>
      </c>
      <c r="Q203" s="200">
        <f ca="1">IF(VLOOKUP(F203,'Exit Prices'!$A:$Q,15,FALSE)&gt;0,VLOOKUP(F203,'Exit Prices'!$A:$Q,15,FALSE),0)</f>
        <v>1.9820323133808871E-2</v>
      </c>
      <c r="R203" s="202">
        <f ca="1">P203*Q203*'User Inputs'!$D$7/100</f>
        <v>0</v>
      </c>
      <c r="S203" s="209">
        <f ca="1">(VLOOKUP(F203,'Anticipated Exit Bookings'!$B:$C,MATCH('Exit Anticipated Rev. Recovery'!$C$2,'Anticipated Exit Bookings'!$B$1:$C$1,0), FALSE))*VLOOKUP($F203, 'Exit Capacity Split'!A:H, 7,0)/100</f>
        <v>0</v>
      </c>
      <c r="T203" s="205" t="str">
        <f>IF(VLOOKUP(F203,'Exit Prices'!$A:$Q,16,FALSE)&gt;0,VLOOKUP(F203,'Exit Prices'!$A:$Q,16,FALSE),0)</f>
        <v>N/A</v>
      </c>
      <c r="U203" s="207" t="s">
        <v>428</v>
      </c>
      <c r="V203" s="204">
        <f ca="1">(VLOOKUP(F203,'Anticipated Exit Bookings'!$B:$C,MATCH('Exit Anticipated Rev. Recovery'!$C$2,'Anticipated Exit Bookings'!$B$1:$C$1,0), FALSE))*VLOOKUP($F203, 'Exit Capacity Split'!A:H, 8,0)/100</f>
        <v>0</v>
      </c>
      <c r="W203" s="200">
        <f ca="1">IF(VLOOKUP(F203,'Exit Prices'!$A:$Q,17,FALSE)&gt;0,VLOOKUP(F203,'Exit Prices'!$A:$Q,17,FALSE),0)</f>
        <v>1.7838290820427986E-2</v>
      </c>
      <c r="X203" s="202">
        <f ca="1">V203*W203*'User Inputs'!$D$7/100</f>
        <v>0</v>
      </c>
      <c r="Y203" s="199">
        <f t="shared" ca="1" si="4"/>
        <v>0</v>
      </c>
      <c r="AA203" s="164"/>
    </row>
    <row r="204" spans="5:27">
      <c r="E204" s="213" t="s">
        <v>474</v>
      </c>
      <c r="F204" s="213" t="s">
        <v>220</v>
      </c>
      <c r="G204" s="197">
        <f ca="1">(VLOOKUP(F204,'Anticipated Exit Bookings'!$B:$C,MATCH('Exit Anticipated Rev. Recovery'!$C$2,'Anticipated Exit Bookings'!$B$1:$C$1,0), FALSE))*VLOOKUP($F204, 'Exit Capacity Split'!A:H, 3,0)/100</f>
        <v>62805561.246613748</v>
      </c>
      <c r="H204" s="200">
        <f ca="1">IF(VLOOKUP(F204,'Exit Prices'!$A:$Q,12,FALSE)&gt;0,VLOOKUP(F204,'Exit Prices'!$A:$Q,12,FALSE),0)</f>
        <v>1.9820323133808871E-2</v>
      </c>
      <c r="I204" s="202">
        <f ca="1">G204*H204*'User Inputs'!$D$7/100</f>
        <v>4543616.7925545955</v>
      </c>
      <c r="J204" s="209">
        <f ca="1">(VLOOKUP(F204,'Anticipated Exit Bookings'!$B:$C,MATCH('Exit Anticipated Rev. Recovery'!$C$2,'Anticipated Exit Bookings'!$B$1:$C$1,0), FALSE))*VLOOKUP($F204, 'Exit Capacity Split'!A:H, 4,0)/100</f>
        <v>0</v>
      </c>
      <c r="K204" s="205" t="str">
        <f>IF(VLOOKUP(F204,'Exit Prices'!$A:$Q,13,FALSE)&gt;0,VLOOKUP(F204,'Exit Prices'!$A:$Q,13,FALSE),0)</f>
        <v>N/A</v>
      </c>
      <c r="L204" s="207" t="s">
        <v>428</v>
      </c>
      <c r="M204" s="209">
        <f ca="1">(VLOOKUP(F204,'Anticipated Exit Bookings'!$B:$C,MATCH('Exit Anticipated Rev. Recovery'!$C$2,'Anticipated Exit Bookings'!$B$1:$C$1,0), FALSE))*VLOOKUP($F204, 'Exit Capacity Split'!A:H, 5,0)/100</f>
        <v>0</v>
      </c>
      <c r="N204" s="205" t="str">
        <f>IF(VLOOKUP(F204,'Exit Prices'!$A:$Q,14,FALSE)&gt;0,VLOOKUP(F204,'Exit Prices'!$A:$Q,14,FALSE),0)</f>
        <v>N/A</v>
      </c>
      <c r="O204" s="207" t="s">
        <v>428</v>
      </c>
      <c r="P204" s="204">
        <f ca="1">(VLOOKUP(F204,'Anticipated Exit Bookings'!$B:$C,MATCH('Exit Anticipated Rev. Recovery'!$C$2,'Anticipated Exit Bookings'!$B$1:$C$1,0), FALSE))*VLOOKUP($F204, 'Exit Capacity Split'!A:H, 6,0)/100</f>
        <v>0</v>
      </c>
      <c r="Q204" s="200">
        <f ca="1">IF(VLOOKUP(F204,'Exit Prices'!$A:$Q,15,FALSE)&gt;0,VLOOKUP(F204,'Exit Prices'!$A:$Q,15,FALSE),0)</f>
        <v>1.9820323133808871E-2</v>
      </c>
      <c r="R204" s="202">
        <f ca="1">P204*Q204*'User Inputs'!$D$7/100</f>
        <v>0</v>
      </c>
      <c r="S204" s="209">
        <f ca="1">(VLOOKUP(F204,'Anticipated Exit Bookings'!$B:$C,MATCH('Exit Anticipated Rev. Recovery'!$C$2,'Anticipated Exit Bookings'!$B$1:$C$1,0), FALSE))*VLOOKUP($F204, 'Exit Capacity Split'!A:H, 7,0)/100</f>
        <v>59376.979497564433</v>
      </c>
      <c r="T204" s="205" t="str">
        <f>IF(VLOOKUP(F204,'Exit Prices'!$A:$Q,16,FALSE)&gt;0,VLOOKUP(F204,'Exit Prices'!$A:$Q,16,FALSE),0)</f>
        <v>N/A</v>
      </c>
      <c r="U204" s="207" t="s">
        <v>428</v>
      </c>
      <c r="V204" s="204">
        <f ca="1">(VLOOKUP(F204,'Anticipated Exit Bookings'!$B:$C,MATCH('Exit Anticipated Rev. Recovery'!$C$2,'Anticipated Exit Bookings'!$B$1:$C$1,0), FALSE))*VLOOKUP($F204, 'Exit Capacity Split'!A:H, 8,0)/100</f>
        <v>1614337.7738886895</v>
      </c>
      <c r="W204" s="200">
        <f ca="1">IF(VLOOKUP(F204,'Exit Prices'!$A:$Q,17,FALSE)&gt;0,VLOOKUP(F204,'Exit Prices'!$A:$Q,17,FALSE),0)</f>
        <v>1.7838290820427986E-2</v>
      </c>
      <c r="X204" s="202">
        <f ca="1">V204*W204*'User Inputs'!$D$7/100</f>
        <v>105109.14742955497</v>
      </c>
      <c r="Y204" s="199">
        <f t="shared" ca="1" si="4"/>
        <v>4648725.9399841502</v>
      </c>
      <c r="AA204" s="164"/>
    </row>
    <row r="205" spans="5:27">
      <c r="E205" s="213" t="s">
        <v>474</v>
      </c>
      <c r="F205" s="213" t="s">
        <v>221</v>
      </c>
      <c r="G205" s="197">
        <f ca="1">(VLOOKUP(F205,'Anticipated Exit Bookings'!$B:$C,MATCH('Exit Anticipated Rev. Recovery'!$C$2,'Anticipated Exit Bookings'!$B$1:$C$1,0), FALSE))*VLOOKUP($F205, 'Exit Capacity Split'!A:H, 3,0)/100</f>
        <v>6272366.9465579474</v>
      </c>
      <c r="H205" s="200">
        <f ca="1">IF(VLOOKUP(F205,'Exit Prices'!$A:$Q,12,FALSE)&gt;0,VLOOKUP(F205,'Exit Prices'!$A:$Q,12,FALSE),0)</f>
        <v>1.9820323133808871E-2</v>
      </c>
      <c r="I205" s="202">
        <f ca="1">G205*H205*'User Inputs'!$D$7/100</f>
        <v>453769.23988529219</v>
      </c>
      <c r="J205" s="209">
        <f ca="1">(VLOOKUP(F205,'Anticipated Exit Bookings'!$B:$C,MATCH('Exit Anticipated Rev. Recovery'!$C$2,'Anticipated Exit Bookings'!$B$1:$C$1,0), FALSE))*VLOOKUP($F205, 'Exit Capacity Split'!A:H, 4,0)/100</f>
        <v>0</v>
      </c>
      <c r="K205" s="205" t="str">
        <f>IF(VLOOKUP(F205,'Exit Prices'!$A:$Q,13,FALSE)&gt;0,VLOOKUP(F205,'Exit Prices'!$A:$Q,13,FALSE),0)</f>
        <v>N/A</v>
      </c>
      <c r="L205" s="207" t="s">
        <v>428</v>
      </c>
      <c r="M205" s="209">
        <f ca="1">(VLOOKUP(F205,'Anticipated Exit Bookings'!$B:$C,MATCH('Exit Anticipated Rev. Recovery'!$C$2,'Anticipated Exit Bookings'!$B$1:$C$1,0), FALSE))*VLOOKUP($F205, 'Exit Capacity Split'!A:H, 5,0)/100</f>
        <v>0</v>
      </c>
      <c r="N205" s="205" t="str">
        <f>IF(VLOOKUP(F205,'Exit Prices'!$A:$Q,14,FALSE)&gt;0,VLOOKUP(F205,'Exit Prices'!$A:$Q,14,FALSE),0)</f>
        <v>N/A</v>
      </c>
      <c r="O205" s="207" t="s">
        <v>428</v>
      </c>
      <c r="P205" s="204">
        <f ca="1">(VLOOKUP(F205,'Anticipated Exit Bookings'!$B:$C,MATCH('Exit Anticipated Rev. Recovery'!$C$2,'Anticipated Exit Bookings'!$B$1:$C$1,0), FALSE))*VLOOKUP($F205, 'Exit Capacity Split'!A:H, 6,0)/100</f>
        <v>217.87184509941511</v>
      </c>
      <c r="Q205" s="200">
        <f ca="1">IF(VLOOKUP(F205,'Exit Prices'!$A:$Q,15,FALSE)&gt;0,VLOOKUP(F205,'Exit Prices'!$A:$Q,15,FALSE),0)</f>
        <v>1.9820323133808871E-2</v>
      </c>
      <c r="R205" s="202">
        <f ca="1">P205*Q205*'User Inputs'!$D$7/100</f>
        <v>15.761759856447895</v>
      </c>
      <c r="S205" s="209">
        <f ca="1">(VLOOKUP(F205,'Anticipated Exit Bookings'!$B:$C,MATCH('Exit Anticipated Rev. Recovery'!$C$2,'Anticipated Exit Bookings'!$B$1:$C$1,0), FALSE))*VLOOKUP($F205, 'Exit Capacity Split'!A:H, 7,0)/100</f>
        <v>7826.6270508789748</v>
      </c>
      <c r="T205" s="205" t="str">
        <f>IF(VLOOKUP(F205,'Exit Prices'!$A:$Q,16,FALSE)&gt;0,VLOOKUP(F205,'Exit Prices'!$A:$Q,16,FALSE),0)</f>
        <v>N/A</v>
      </c>
      <c r="U205" s="207" t="s">
        <v>428</v>
      </c>
      <c r="V205" s="204">
        <f ca="1">(VLOOKUP(F205,'Anticipated Exit Bookings'!$B:$C,MATCH('Exit Anticipated Rev. Recovery'!$C$2,'Anticipated Exit Bookings'!$B$1:$C$1,0), FALSE))*VLOOKUP($F205, 'Exit Capacity Split'!A:H, 8,0)/100</f>
        <v>2019588.5545460761</v>
      </c>
      <c r="W205" s="200">
        <f ca="1">IF(VLOOKUP(F205,'Exit Prices'!$A:$Q,17,FALSE)&gt;0,VLOOKUP(F205,'Exit Prices'!$A:$Q,17,FALSE),0)</f>
        <v>1.7838290820427986E-2</v>
      </c>
      <c r="X205" s="202">
        <f ca="1">V205*W205*'User Inputs'!$D$7/100</f>
        <v>131494.92910364253</v>
      </c>
      <c r="Y205" s="199">
        <f t="shared" ca="1" si="4"/>
        <v>585279.9307487912</v>
      </c>
      <c r="AA205" s="164"/>
    </row>
    <row r="206" spans="5:27">
      <c r="E206" s="213" t="s">
        <v>474</v>
      </c>
      <c r="F206" s="213" t="s">
        <v>222</v>
      </c>
      <c r="G206" s="197">
        <f ca="1">(VLOOKUP(F206,'Anticipated Exit Bookings'!$B:$C,MATCH('Exit Anticipated Rev. Recovery'!$C$2,'Anticipated Exit Bookings'!$B$1:$C$1,0), FALSE))*VLOOKUP($F206, 'Exit Capacity Split'!A:H, 3,0)/100</f>
        <v>785469.89579088672</v>
      </c>
      <c r="H206" s="200">
        <f ca="1">IF(VLOOKUP(F206,'Exit Prices'!$A:$Q,12,FALSE)&gt;0,VLOOKUP(F206,'Exit Prices'!$A:$Q,12,FALSE),0)</f>
        <v>1.9820323133808871E-2</v>
      </c>
      <c r="I206" s="202">
        <f ca="1">G206*H206*'User Inputs'!$D$7/100</f>
        <v>56824.175084559123</v>
      </c>
      <c r="J206" s="209">
        <f ca="1">(VLOOKUP(F206,'Anticipated Exit Bookings'!$B:$C,MATCH('Exit Anticipated Rev. Recovery'!$C$2,'Anticipated Exit Bookings'!$B$1:$C$1,0), FALSE))*VLOOKUP($F206, 'Exit Capacity Split'!A:H, 4,0)/100</f>
        <v>0</v>
      </c>
      <c r="K206" s="205" t="str">
        <f>IF(VLOOKUP(F206,'Exit Prices'!$A:$Q,13,FALSE)&gt;0,VLOOKUP(F206,'Exit Prices'!$A:$Q,13,FALSE),0)</f>
        <v>N/A</v>
      </c>
      <c r="L206" s="207" t="s">
        <v>428</v>
      </c>
      <c r="M206" s="209">
        <f ca="1">(VLOOKUP(F206,'Anticipated Exit Bookings'!$B:$C,MATCH('Exit Anticipated Rev. Recovery'!$C$2,'Anticipated Exit Bookings'!$B$1:$C$1,0), FALSE))*VLOOKUP($F206, 'Exit Capacity Split'!A:H, 5,0)/100</f>
        <v>0</v>
      </c>
      <c r="N206" s="205" t="str">
        <f>IF(VLOOKUP(F206,'Exit Prices'!$A:$Q,14,FALSE)&gt;0,VLOOKUP(F206,'Exit Prices'!$A:$Q,14,FALSE),0)</f>
        <v>N/A</v>
      </c>
      <c r="O206" s="207" t="s">
        <v>428</v>
      </c>
      <c r="P206" s="204">
        <f ca="1">(VLOOKUP(F206,'Anticipated Exit Bookings'!$B:$C,MATCH('Exit Anticipated Rev. Recovery'!$C$2,'Anticipated Exit Bookings'!$B$1:$C$1,0), FALSE))*VLOOKUP($F206, 'Exit Capacity Split'!A:H, 6,0)/100</f>
        <v>0</v>
      </c>
      <c r="Q206" s="200">
        <f ca="1">IF(VLOOKUP(F206,'Exit Prices'!$A:$Q,15,FALSE)&gt;0,VLOOKUP(F206,'Exit Prices'!$A:$Q,15,FALSE),0)</f>
        <v>1.9820323133808871E-2</v>
      </c>
      <c r="R206" s="202">
        <f ca="1">P206*Q206*'User Inputs'!$D$7/100</f>
        <v>0</v>
      </c>
      <c r="S206" s="209">
        <f ca="1">(VLOOKUP(F206,'Anticipated Exit Bookings'!$B:$C,MATCH('Exit Anticipated Rev. Recovery'!$C$2,'Anticipated Exit Bookings'!$B$1:$C$1,0), FALSE))*VLOOKUP($F206, 'Exit Capacity Split'!A:H, 7,0)/100</f>
        <v>742.59076700543233</v>
      </c>
      <c r="T206" s="205" t="str">
        <f>IF(VLOOKUP(F206,'Exit Prices'!$A:$Q,16,FALSE)&gt;0,VLOOKUP(F206,'Exit Prices'!$A:$Q,16,FALSE),0)</f>
        <v>N/A</v>
      </c>
      <c r="U206" s="207" t="s">
        <v>428</v>
      </c>
      <c r="V206" s="204">
        <f ca="1">(VLOOKUP(F206,'Anticipated Exit Bookings'!$B:$C,MATCH('Exit Anticipated Rev. Recovery'!$C$2,'Anticipated Exit Bookings'!$B$1:$C$1,0), FALSE))*VLOOKUP($F206, 'Exit Capacity Split'!A:H, 8,0)/100</f>
        <v>20189.513442107927</v>
      </c>
      <c r="W206" s="200">
        <f ca="1">IF(VLOOKUP(F206,'Exit Prices'!$A:$Q,17,FALSE)&gt;0,VLOOKUP(F206,'Exit Prices'!$A:$Q,17,FALSE),0)</f>
        <v>1.7838290820427986E-2</v>
      </c>
      <c r="X206" s="202">
        <f ca="1">V206*W206*'User Inputs'!$D$7/100</f>
        <v>1314.5344049069038</v>
      </c>
      <c r="Y206" s="199">
        <f t="shared" ca="1" si="4"/>
        <v>58138.709489466026</v>
      </c>
      <c r="AA206" s="164"/>
    </row>
    <row r="207" spans="5:27">
      <c r="E207" s="213" t="s">
        <v>474</v>
      </c>
      <c r="F207" s="213" t="s">
        <v>223</v>
      </c>
      <c r="G207" s="197">
        <f ca="1">(VLOOKUP(F207,'Anticipated Exit Bookings'!$B:$C,MATCH('Exit Anticipated Rev. Recovery'!$C$2,'Anticipated Exit Bookings'!$B$1:$C$1,0), FALSE))*VLOOKUP($F207, 'Exit Capacity Split'!A:H, 3,0)/100</f>
        <v>89652330.690236434</v>
      </c>
      <c r="H207" s="200">
        <f ca="1">IF(VLOOKUP(F207,'Exit Prices'!$A:$Q,12,FALSE)&gt;0,VLOOKUP(F207,'Exit Prices'!$A:$Q,12,FALSE),0)</f>
        <v>1.9820323133808871E-2</v>
      </c>
      <c r="I207" s="202">
        <f ca="1">G207*H207*'User Inputs'!$D$7/100</f>
        <v>6485824.2985254526</v>
      </c>
      <c r="J207" s="209">
        <f ca="1">(VLOOKUP(F207,'Anticipated Exit Bookings'!$B:$C,MATCH('Exit Anticipated Rev. Recovery'!$C$2,'Anticipated Exit Bookings'!$B$1:$C$1,0), FALSE))*VLOOKUP($F207, 'Exit Capacity Split'!A:H, 4,0)/100</f>
        <v>0</v>
      </c>
      <c r="K207" s="205" t="str">
        <f>IF(VLOOKUP(F207,'Exit Prices'!$A:$Q,13,FALSE)&gt;0,VLOOKUP(F207,'Exit Prices'!$A:$Q,13,FALSE),0)</f>
        <v>N/A</v>
      </c>
      <c r="L207" s="207" t="s">
        <v>428</v>
      </c>
      <c r="M207" s="209">
        <f ca="1">(VLOOKUP(F207,'Anticipated Exit Bookings'!$B:$C,MATCH('Exit Anticipated Rev. Recovery'!$C$2,'Anticipated Exit Bookings'!$B$1:$C$1,0), FALSE))*VLOOKUP($F207, 'Exit Capacity Split'!A:H, 5,0)/100</f>
        <v>0</v>
      </c>
      <c r="N207" s="205" t="str">
        <f>IF(VLOOKUP(F207,'Exit Prices'!$A:$Q,14,FALSE)&gt;0,VLOOKUP(F207,'Exit Prices'!$A:$Q,14,FALSE),0)</f>
        <v>N/A</v>
      </c>
      <c r="O207" s="207" t="s">
        <v>428</v>
      </c>
      <c r="P207" s="204">
        <f ca="1">(VLOOKUP(F207,'Anticipated Exit Bookings'!$B:$C,MATCH('Exit Anticipated Rev. Recovery'!$C$2,'Anticipated Exit Bookings'!$B$1:$C$1,0), FALSE))*VLOOKUP($F207, 'Exit Capacity Split'!A:H, 6,0)/100</f>
        <v>0</v>
      </c>
      <c r="Q207" s="200">
        <f ca="1">IF(VLOOKUP(F207,'Exit Prices'!$A:$Q,15,FALSE)&gt;0,VLOOKUP(F207,'Exit Prices'!$A:$Q,15,FALSE),0)</f>
        <v>1.9820323133808871E-2</v>
      </c>
      <c r="R207" s="202">
        <f ca="1">P207*Q207*'User Inputs'!$D$7/100</f>
        <v>0</v>
      </c>
      <c r="S207" s="209">
        <f ca="1">(VLOOKUP(F207,'Anticipated Exit Bookings'!$B:$C,MATCH('Exit Anticipated Rev. Recovery'!$C$2,'Anticipated Exit Bookings'!$B$1:$C$1,0), FALSE))*VLOOKUP($F207, 'Exit Capacity Split'!A:H, 7,0)/100</f>
        <v>84758.172614690993</v>
      </c>
      <c r="T207" s="205" t="str">
        <f>IF(VLOOKUP(F207,'Exit Prices'!$A:$Q,16,FALSE)&gt;0,VLOOKUP(F207,'Exit Prices'!$A:$Q,16,FALSE),0)</f>
        <v>N/A</v>
      </c>
      <c r="U207" s="207" t="s">
        <v>428</v>
      </c>
      <c r="V207" s="204">
        <f ca="1">(VLOOKUP(F207,'Anticipated Exit Bookings'!$B:$C,MATCH('Exit Anticipated Rev. Recovery'!$C$2,'Anticipated Exit Bookings'!$B$1:$C$1,0), FALSE))*VLOOKUP($F207, 'Exit Capacity Split'!A:H, 8,0)/100</f>
        <v>2304400.1371488776</v>
      </c>
      <c r="W207" s="200">
        <f ca="1">IF(VLOOKUP(F207,'Exit Prices'!$A:$Q,17,FALSE)&gt;0,VLOOKUP(F207,'Exit Prices'!$A:$Q,17,FALSE),0)</f>
        <v>1.7838290820427986E-2</v>
      </c>
      <c r="X207" s="202">
        <f ca="1">V207*W207*'User Inputs'!$D$7/100</f>
        <v>150038.94331779974</v>
      </c>
      <c r="Y207" s="199">
        <f t="shared" ca="1" si="4"/>
        <v>6635863.2418432524</v>
      </c>
      <c r="AA207" s="164"/>
    </row>
    <row r="208" spans="5:27">
      <c r="E208" s="213" t="s">
        <v>474</v>
      </c>
      <c r="F208" s="213" t="s">
        <v>224</v>
      </c>
      <c r="G208" s="197">
        <f ca="1">(VLOOKUP(F208,'Anticipated Exit Bookings'!$B:$C,MATCH('Exit Anticipated Rev. Recovery'!$C$2,'Anticipated Exit Bookings'!$B$1:$C$1,0), FALSE))*VLOOKUP($F208, 'Exit Capacity Split'!A:H, 3,0)/100</f>
        <v>18495022.376567353</v>
      </c>
      <c r="H208" s="200">
        <f ca="1">IF(VLOOKUP(F208,'Exit Prices'!$A:$Q,12,FALSE)&gt;0,VLOOKUP(F208,'Exit Prices'!$A:$Q,12,FALSE),0)</f>
        <v>1.9820323133808871E-2</v>
      </c>
      <c r="I208" s="202">
        <f ca="1">G208*H208*'User Inputs'!$D$7/100</f>
        <v>1338007.2175276559</v>
      </c>
      <c r="J208" s="209">
        <f ca="1">(VLOOKUP(F208,'Anticipated Exit Bookings'!$B:$C,MATCH('Exit Anticipated Rev. Recovery'!$C$2,'Anticipated Exit Bookings'!$B$1:$C$1,0), FALSE))*VLOOKUP($F208, 'Exit Capacity Split'!A:H, 4,0)/100</f>
        <v>0</v>
      </c>
      <c r="K208" s="205" t="str">
        <f>IF(VLOOKUP(F208,'Exit Prices'!$A:$Q,13,FALSE)&gt;0,VLOOKUP(F208,'Exit Prices'!$A:$Q,13,FALSE),0)</f>
        <v>N/A</v>
      </c>
      <c r="L208" s="207" t="s">
        <v>428</v>
      </c>
      <c r="M208" s="209">
        <f ca="1">(VLOOKUP(F208,'Anticipated Exit Bookings'!$B:$C,MATCH('Exit Anticipated Rev. Recovery'!$C$2,'Anticipated Exit Bookings'!$B$1:$C$1,0), FALSE))*VLOOKUP($F208, 'Exit Capacity Split'!A:H, 5,0)/100</f>
        <v>0</v>
      </c>
      <c r="N208" s="205" t="str">
        <f>IF(VLOOKUP(F208,'Exit Prices'!$A:$Q,14,FALSE)&gt;0,VLOOKUP(F208,'Exit Prices'!$A:$Q,14,FALSE),0)</f>
        <v>N/A</v>
      </c>
      <c r="O208" s="207" t="s">
        <v>428</v>
      </c>
      <c r="P208" s="204">
        <f ca="1">(VLOOKUP(F208,'Anticipated Exit Bookings'!$B:$C,MATCH('Exit Anticipated Rev. Recovery'!$C$2,'Anticipated Exit Bookings'!$B$1:$C$1,0), FALSE))*VLOOKUP($F208, 'Exit Capacity Split'!A:H, 6,0)/100</f>
        <v>98012.845963704603</v>
      </c>
      <c r="Q208" s="200">
        <f ca="1">IF(VLOOKUP(F208,'Exit Prices'!$A:$Q,15,FALSE)&gt;0,VLOOKUP(F208,'Exit Prices'!$A:$Q,15,FALSE),0)</f>
        <v>1.9820323133808871E-2</v>
      </c>
      <c r="R208" s="202">
        <f ca="1">P208*Q208*'User Inputs'!$D$7/100</f>
        <v>7090.6589156667387</v>
      </c>
      <c r="S208" s="209">
        <f ca="1">(VLOOKUP(F208,'Anticipated Exit Bookings'!$B:$C,MATCH('Exit Anticipated Rev. Recovery'!$C$2,'Anticipated Exit Bookings'!$B$1:$C$1,0), FALSE))*VLOOKUP($F208, 'Exit Capacity Split'!A:H, 7,0)/100</f>
        <v>24953.963254987666</v>
      </c>
      <c r="T208" s="205" t="str">
        <f>IF(VLOOKUP(F208,'Exit Prices'!$A:$Q,16,FALSE)&gt;0,VLOOKUP(F208,'Exit Prices'!$A:$Q,16,FALSE),0)</f>
        <v>N/A</v>
      </c>
      <c r="U208" s="207" t="s">
        <v>428</v>
      </c>
      <c r="V208" s="204">
        <f ca="1">(VLOOKUP(F208,'Anticipated Exit Bookings'!$B:$C,MATCH('Exit Anticipated Rev. Recovery'!$C$2,'Anticipated Exit Bookings'!$B$1:$C$1,0), FALSE))*VLOOKUP($F208, 'Exit Capacity Split'!A:H, 8,0)/100</f>
        <v>18912638.677227639</v>
      </c>
      <c r="W208" s="200">
        <f ca="1">IF(VLOOKUP(F208,'Exit Prices'!$A:$Q,17,FALSE)&gt;0,VLOOKUP(F208,'Exit Prices'!$A:$Q,17,FALSE),0)</f>
        <v>1.7838290820427986E-2</v>
      </c>
      <c r="X208" s="202">
        <f ca="1">V208*W208*'User Inputs'!$D$7/100</f>
        <v>1231397.393507123</v>
      </c>
      <c r="Y208" s="199">
        <f t="shared" ca="1" si="4"/>
        <v>2576495.2699504457</v>
      </c>
      <c r="AA208" s="164"/>
    </row>
    <row r="209" spans="5:27">
      <c r="E209" s="213" t="s">
        <v>474</v>
      </c>
      <c r="F209" s="213" t="s">
        <v>225</v>
      </c>
      <c r="G209" s="197">
        <f ca="1">(VLOOKUP(F209,'Anticipated Exit Bookings'!$B:$C,MATCH('Exit Anticipated Rev. Recovery'!$C$2,'Anticipated Exit Bookings'!$B$1:$C$1,0), FALSE))*VLOOKUP($F209, 'Exit Capacity Split'!A:H, 3,0)/100</f>
        <v>9825109.2019227706</v>
      </c>
      <c r="H209" s="200">
        <f ca="1">IF(VLOOKUP(F209,'Exit Prices'!$A:$Q,12,FALSE)&gt;0,VLOOKUP(F209,'Exit Prices'!$A:$Q,12,FALSE),0)</f>
        <v>1.9820323133808871E-2</v>
      </c>
      <c r="I209" s="202">
        <f ca="1">G209*H209*'User Inputs'!$D$7/100</f>
        <v>710789.4631057994</v>
      </c>
      <c r="J209" s="209">
        <f ca="1">(VLOOKUP(F209,'Anticipated Exit Bookings'!$B:$C,MATCH('Exit Anticipated Rev. Recovery'!$C$2,'Anticipated Exit Bookings'!$B$1:$C$1,0), FALSE))*VLOOKUP($F209, 'Exit Capacity Split'!A:H, 4,0)/100</f>
        <v>0</v>
      </c>
      <c r="K209" s="205" t="str">
        <f>IF(VLOOKUP(F209,'Exit Prices'!$A:$Q,13,FALSE)&gt;0,VLOOKUP(F209,'Exit Prices'!$A:$Q,13,FALSE),0)</f>
        <v>N/A</v>
      </c>
      <c r="L209" s="207" t="s">
        <v>428</v>
      </c>
      <c r="M209" s="209">
        <f ca="1">(VLOOKUP(F209,'Anticipated Exit Bookings'!$B:$C,MATCH('Exit Anticipated Rev. Recovery'!$C$2,'Anticipated Exit Bookings'!$B$1:$C$1,0), FALSE))*VLOOKUP($F209, 'Exit Capacity Split'!A:H, 5,0)/100</f>
        <v>0</v>
      </c>
      <c r="N209" s="205" t="str">
        <f>IF(VLOOKUP(F209,'Exit Prices'!$A:$Q,14,FALSE)&gt;0,VLOOKUP(F209,'Exit Prices'!$A:$Q,14,FALSE),0)</f>
        <v>N/A</v>
      </c>
      <c r="O209" s="207" t="s">
        <v>428</v>
      </c>
      <c r="P209" s="204">
        <f ca="1">(VLOOKUP(F209,'Anticipated Exit Bookings'!$B:$C,MATCH('Exit Anticipated Rev. Recovery'!$C$2,'Anticipated Exit Bookings'!$B$1:$C$1,0), FALSE))*VLOOKUP($F209, 'Exit Capacity Split'!A:H, 6,0)/100</f>
        <v>0</v>
      </c>
      <c r="Q209" s="200">
        <f ca="1">IF(VLOOKUP(F209,'Exit Prices'!$A:$Q,15,FALSE)&gt;0,VLOOKUP(F209,'Exit Prices'!$A:$Q,15,FALSE),0)</f>
        <v>1.9820323133808871E-2</v>
      </c>
      <c r="R209" s="202">
        <f ca="1">P209*Q209*'User Inputs'!$D$7/100</f>
        <v>0</v>
      </c>
      <c r="S209" s="209">
        <f ca="1">(VLOOKUP(F209,'Anticipated Exit Bookings'!$B:$C,MATCH('Exit Anticipated Rev. Recovery'!$C$2,'Anticipated Exit Bookings'!$B$1:$C$1,0), FALSE))*VLOOKUP($F209, 'Exit Capacity Split'!A:H, 7,0)/100</f>
        <v>9288.7523981063714</v>
      </c>
      <c r="T209" s="205" t="str">
        <f>IF(VLOOKUP(F209,'Exit Prices'!$A:$Q,16,FALSE)&gt;0,VLOOKUP(F209,'Exit Prices'!$A:$Q,16,FALSE),0)</f>
        <v>N/A</v>
      </c>
      <c r="U209" s="207" t="s">
        <v>428</v>
      </c>
      <c r="V209" s="204">
        <f ca="1">(VLOOKUP(F209,'Anticipated Exit Bookings'!$B:$C,MATCH('Exit Anticipated Rev. Recovery'!$C$2,'Anticipated Exit Bookings'!$B$1:$C$1,0), FALSE))*VLOOKUP($F209, 'Exit Capacity Split'!A:H, 8,0)/100</f>
        <v>252542.045679123</v>
      </c>
      <c r="W209" s="200">
        <f ca="1">IF(VLOOKUP(F209,'Exit Prices'!$A:$Q,17,FALSE)&gt;0,VLOOKUP(F209,'Exit Prices'!$A:$Q,17,FALSE),0)</f>
        <v>1.7838290820427986E-2</v>
      </c>
      <c r="X209" s="202">
        <f ca="1">V209*W209*'User Inputs'!$D$7/100</f>
        <v>16442.95236151652</v>
      </c>
      <c r="Y209" s="199">
        <f t="shared" ca="1" si="4"/>
        <v>727232.41546731594</v>
      </c>
      <c r="AA209" s="164"/>
    </row>
    <row r="210" spans="5:27">
      <c r="E210" s="213" t="s">
        <v>474</v>
      </c>
      <c r="F210" s="213" t="s">
        <v>226</v>
      </c>
      <c r="G210" s="197">
        <f ca="1">(VLOOKUP(F210,'Anticipated Exit Bookings'!$B:$C,MATCH('Exit Anticipated Rev. Recovery'!$C$2,'Anticipated Exit Bookings'!$B$1:$C$1,0), FALSE))*VLOOKUP($F210, 'Exit Capacity Split'!A:H, 3,0)/100</f>
        <v>3970317.4198983093</v>
      </c>
      <c r="H210" s="200">
        <f ca="1">IF(VLOOKUP(F210,'Exit Prices'!$A:$Q,12,FALSE)&gt;0,VLOOKUP(F210,'Exit Prices'!$A:$Q,12,FALSE),0)</f>
        <v>1.9820323133808871E-2</v>
      </c>
      <c r="I210" s="202">
        <f ca="1">G210*H210*'User Inputs'!$D$7/100</f>
        <v>287229.35585253802</v>
      </c>
      <c r="J210" s="209">
        <f ca="1">(VLOOKUP(F210,'Anticipated Exit Bookings'!$B:$C,MATCH('Exit Anticipated Rev. Recovery'!$C$2,'Anticipated Exit Bookings'!$B$1:$C$1,0), FALSE))*VLOOKUP($F210, 'Exit Capacity Split'!A:H, 4,0)/100</f>
        <v>0</v>
      </c>
      <c r="K210" s="205" t="str">
        <f>IF(VLOOKUP(F210,'Exit Prices'!$A:$Q,13,FALSE)&gt;0,VLOOKUP(F210,'Exit Prices'!$A:$Q,13,FALSE),0)</f>
        <v>N/A</v>
      </c>
      <c r="L210" s="207" t="s">
        <v>428</v>
      </c>
      <c r="M210" s="209">
        <f ca="1">(VLOOKUP(F210,'Anticipated Exit Bookings'!$B:$C,MATCH('Exit Anticipated Rev. Recovery'!$C$2,'Anticipated Exit Bookings'!$B$1:$C$1,0), FALSE))*VLOOKUP($F210, 'Exit Capacity Split'!A:H, 5,0)/100</f>
        <v>0</v>
      </c>
      <c r="N210" s="205" t="str">
        <f>IF(VLOOKUP(F210,'Exit Prices'!$A:$Q,14,FALSE)&gt;0,VLOOKUP(F210,'Exit Prices'!$A:$Q,14,FALSE),0)</f>
        <v>N/A</v>
      </c>
      <c r="O210" s="207" t="s">
        <v>428</v>
      </c>
      <c r="P210" s="204">
        <f ca="1">(VLOOKUP(F210,'Anticipated Exit Bookings'!$B:$C,MATCH('Exit Anticipated Rev. Recovery'!$C$2,'Anticipated Exit Bookings'!$B$1:$C$1,0), FALSE))*VLOOKUP($F210, 'Exit Capacity Split'!A:H, 6,0)/100</f>
        <v>0</v>
      </c>
      <c r="Q210" s="200">
        <f ca="1">IF(VLOOKUP(F210,'Exit Prices'!$A:$Q,15,FALSE)&gt;0,VLOOKUP(F210,'Exit Prices'!$A:$Q,15,FALSE),0)</f>
        <v>1.9820323133808871E-2</v>
      </c>
      <c r="R210" s="202">
        <f ca="1">P210*Q210*'User Inputs'!$D$7/100</f>
        <v>0</v>
      </c>
      <c r="S210" s="209">
        <f ca="1">(VLOOKUP(F210,'Anticipated Exit Bookings'!$B:$C,MATCH('Exit Anticipated Rev. Recovery'!$C$2,'Anticipated Exit Bookings'!$B$1:$C$1,0), FALSE))*VLOOKUP($F210, 'Exit Capacity Split'!A:H, 7,0)/100</f>
        <v>3753.57613817734</v>
      </c>
      <c r="T210" s="205" t="str">
        <f>IF(VLOOKUP(F210,'Exit Prices'!$A:$Q,16,FALSE)&gt;0,VLOOKUP(F210,'Exit Prices'!$A:$Q,16,FALSE),0)</f>
        <v>N/A</v>
      </c>
      <c r="U210" s="207" t="s">
        <v>428</v>
      </c>
      <c r="V210" s="204">
        <f ca="1">(VLOOKUP(F210,'Anticipated Exit Bookings'!$B:$C,MATCH('Exit Anticipated Rev. Recovery'!$C$2,'Anticipated Exit Bookings'!$B$1:$C$1,0), FALSE))*VLOOKUP($F210, 'Exit Capacity Split'!A:H, 8,0)/100</f>
        <v>102052.00396351359</v>
      </c>
      <c r="W210" s="200">
        <f ca="1">IF(VLOOKUP(F210,'Exit Prices'!$A:$Q,17,FALSE)&gt;0,VLOOKUP(F210,'Exit Prices'!$A:$Q,17,FALSE),0)</f>
        <v>1.7838290820427986E-2</v>
      </c>
      <c r="X210" s="202">
        <f ca="1">V210*W210*'User Inputs'!$D$7/100</f>
        <v>6644.5816381064806</v>
      </c>
      <c r="Y210" s="199">
        <f t="shared" ca="1" si="4"/>
        <v>293873.93749064452</v>
      </c>
      <c r="AA210" s="164"/>
    </row>
    <row r="211" spans="5:27">
      <c r="E211" s="213" t="s">
        <v>474</v>
      </c>
      <c r="F211" s="213" t="s">
        <v>227</v>
      </c>
      <c r="G211" s="197">
        <f ca="1">(VLOOKUP(F211,'Anticipated Exit Bookings'!$B:$C,MATCH('Exit Anticipated Rev. Recovery'!$C$2,'Anticipated Exit Bookings'!$B$1:$C$1,0), FALSE))*VLOOKUP($F211, 'Exit Capacity Split'!A:H, 3,0)/100</f>
        <v>356757.4685552048</v>
      </c>
      <c r="H211" s="200">
        <f ca="1">IF(VLOOKUP(F211,'Exit Prices'!$A:$Q,12,FALSE)&gt;0,VLOOKUP(F211,'Exit Prices'!$A:$Q,12,FALSE),0)</f>
        <v>1.9820323133808871E-2</v>
      </c>
      <c r="I211" s="202">
        <f ca="1">G211*H211*'User Inputs'!$D$7/100</f>
        <v>25809.326321147932</v>
      </c>
      <c r="J211" s="209">
        <f ca="1">(VLOOKUP(F211,'Anticipated Exit Bookings'!$B:$C,MATCH('Exit Anticipated Rev. Recovery'!$C$2,'Anticipated Exit Bookings'!$B$1:$C$1,0), FALSE))*VLOOKUP($F211, 'Exit Capacity Split'!A:H, 4,0)/100</f>
        <v>0</v>
      </c>
      <c r="K211" s="205" t="str">
        <f>IF(VLOOKUP(F211,'Exit Prices'!$A:$Q,13,FALSE)&gt;0,VLOOKUP(F211,'Exit Prices'!$A:$Q,13,FALSE),0)</f>
        <v>N/A</v>
      </c>
      <c r="L211" s="207" t="s">
        <v>428</v>
      </c>
      <c r="M211" s="209">
        <f ca="1">(VLOOKUP(F211,'Anticipated Exit Bookings'!$B:$C,MATCH('Exit Anticipated Rev. Recovery'!$C$2,'Anticipated Exit Bookings'!$B$1:$C$1,0), FALSE))*VLOOKUP($F211, 'Exit Capacity Split'!A:H, 5,0)/100</f>
        <v>0</v>
      </c>
      <c r="N211" s="205" t="str">
        <f>IF(VLOOKUP(F211,'Exit Prices'!$A:$Q,14,FALSE)&gt;0,VLOOKUP(F211,'Exit Prices'!$A:$Q,14,FALSE),0)</f>
        <v>N/A</v>
      </c>
      <c r="O211" s="207" t="s">
        <v>428</v>
      </c>
      <c r="P211" s="204">
        <f ca="1">(VLOOKUP(F211,'Anticipated Exit Bookings'!$B:$C,MATCH('Exit Anticipated Rev. Recovery'!$C$2,'Anticipated Exit Bookings'!$B$1:$C$1,0), FALSE))*VLOOKUP($F211, 'Exit Capacity Split'!A:H, 6,0)/100</f>
        <v>12.392037740995539</v>
      </c>
      <c r="Q211" s="200">
        <f ca="1">IF(VLOOKUP(F211,'Exit Prices'!$A:$Q,15,FALSE)&gt;0,VLOOKUP(F211,'Exit Prices'!$A:$Q,15,FALSE),0)</f>
        <v>1.9820323133808871E-2</v>
      </c>
      <c r="R211" s="202">
        <f ca="1">P211*Q211*'User Inputs'!$D$7/100</f>
        <v>0.89649180194203582</v>
      </c>
      <c r="S211" s="209">
        <f ca="1">(VLOOKUP(F211,'Anticipated Exit Bookings'!$B:$C,MATCH('Exit Anticipated Rev. Recovery'!$C$2,'Anticipated Exit Bookings'!$B$1:$C$1,0), FALSE))*VLOOKUP($F211, 'Exit Capacity Split'!A:H, 7,0)/100</f>
        <v>445.16012500345431</v>
      </c>
      <c r="T211" s="205" t="str">
        <f>IF(VLOOKUP(F211,'Exit Prices'!$A:$Q,16,FALSE)&gt;0,VLOOKUP(F211,'Exit Prices'!$A:$Q,16,FALSE),0)</f>
        <v>N/A</v>
      </c>
      <c r="U211" s="207" t="s">
        <v>428</v>
      </c>
      <c r="V211" s="204">
        <f ca="1">(VLOOKUP(F211,'Anticipated Exit Bookings'!$B:$C,MATCH('Exit Anticipated Rev. Recovery'!$C$2,'Anticipated Exit Bookings'!$B$1:$C$1,0), FALSE))*VLOOKUP($F211, 'Exit Capacity Split'!A:H, 8,0)/100</f>
        <v>114869.4434464345</v>
      </c>
      <c r="W211" s="200">
        <f ca="1">IF(VLOOKUP(F211,'Exit Prices'!$A:$Q,17,FALSE)&gt;0,VLOOKUP(F211,'Exit Prices'!$A:$Q,17,FALSE),0)</f>
        <v>1.7838290820427986E-2</v>
      </c>
      <c r="X211" s="202">
        <f ca="1">V211*W211*'User Inputs'!$D$7/100</f>
        <v>7479.1220658104457</v>
      </c>
      <c r="Y211" s="199">
        <f t="shared" ca="1" si="4"/>
        <v>33289.344878760319</v>
      </c>
      <c r="AA211" s="164"/>
    </row>
    <row r="212" spans="5:27">
      <c r="E212" s="213" t="s">
        <v>474</v>
      </c>
      <c r="F212" s="213" t="s">
        <v>228</v>
      </c>
      <c r="G212" s="197">
        <f ca="1">(VLOOKUP(F212,'Anticipated Exit Bookings'!$B:$C,MATCH('Exit Anticipated Rev. Recovery'!$C$2,'Anticipated Exit Bookings'!$B$1:$C$1,0), FALSE))*VLOOKUP($F212, 'Exit Capacity Split'!A:H, 3,0)/100</f>
        <v>10151543.071760749</v>
      </c>
      <c r="H212" s="200">
        <f ca="1">IF(VLOOKUP(F212,'Exit Prices'!$A:$Q,12,FALSE)&gt;0,VLOOKUP(F212,'Exit Prices'!$A:$Q,12,FALSE),0)</f>
        <v>1.9820323133808871E-2</v>
      </c>
      <c r="I212" s="202">
        <f ca="1">G212*H212*'User Inputs'!$D$7/100</f>
        <v>734405.05356013018</v>
      </c>
      <c r="J212" s="209">
        <f ca="1">(VLOOKUP(F212,'Anticipated Exit Bookings'!$B:$C,MATCH('Exit Anticipated Rev. Recovery'!$C$2,'Anticipated Exit Bookings'!$B$1:$C$1,0), FALSE))*VLOOKUP($F212, 'Exit Capacity Split'!A:H, 4,0)/100</f>
        <v>0</v>
      </c>
      <c r="K212" s="205" t="str">
        <f>IF(VLOOKUP(F212,'Exit Prices'!$A:$Q,13,FALSE)&gt;0,VLOOKUP(F212,'Exit Prices'!$A:$Q,13,FALSE),0)</f>
        <v>N/A</v>
      </c>
      <c r="L212" s="207" t="s">
        <v>428</v>
      </c>
      <c r="M212" s="209">
        <f ca="1">(VLOOKUP(F212,'Anticipated Exit Bookings'!$B:$C,MATCH('Exit Anticipated Rev. Recovery'!$C$2,'Anticipated Exit Bookings'!$B$1:$C$1,0), FALSE))*VLOOKUP($F212, 'Exit Capacity Split'!A:H, 5,0)/100</f>
        <v>0</v>
      </c>
      <c r="N212" s="205" t="str">
        <f>IF(VLOOKUP(F212,'Exit Prices'!$A:$Q,14,FALSE)&gt;0,VLOOKUP(F212,'Exit Prices'!$A:$Q,14,FALSE),0)</f>
        <v>N/A</v>
      </c>
      <c r="O212" s="207" t="s">
        <v>428</v>
      </c>
      <c r="P212" s="204">
        <f ca="1">(VLOOKUP(F212,'Anticipated Exit Bookings'!$B:$C,MATCH('Exit Anticipated Rev. Recovery'!$C$2,'Anticipated Exit Bookings'!$B$1:$C$1,0), FALSE))*VLOOKUP($F212, 'Exit Capacity Split'!A:H, 6,0)/100</f>
        <v>53797.265400825425</v>
      </c>
      <c r="Q212" s="200">
        <f ca="1">IF(VLOOKUP(F212,'Exit Prices'!$A:$Q,15,FALSE)&gt;0,VLOOKUP(F212,'Exit Prices'!$A:$Q,15,FALSE),0)</f>
        <v>1.9820323133808871E-2</v>
      </c>
      <c r="R212" s="202">
        <f ca="1">P212*Q212*'User Inputs'!$D$7/100</f>
        <v>3891.9190214526707</v>
      </c>
      <c r="S212" s="209">
        <f ca="1">(VLOOKUP(F212,'Anticipated Exit Bookings'!$B:$C,MATCH('Exit Anticipated Rev. Recovery'!$C$2,'Anticipated Exit Bookings'!$B$1:$C$1,0), FALSE))*VLOOKUP($F212, 'Exit Capacity Split'!A:H, 7,0)/100</f>
        <v>13696.724861230385</v>
      </c>
      <c r="T212" s="205" t="str">
        <f>IF(VLOOKUP(F212,'Exit Prices'!$A:$Q,16,FALSE)&gt;0,VLOOKUP(F212,'Exit Prices'!$A:$Q,16,FALSE),0)</f>
        <v>N/A</v>
      </c>
      <c r="U212" s="207" t="s">
        <v>428</v>
      </c>
      <c r="V212" s="204">
        <f ca="1">(VLOOKUP(F212,'Anticipated Exit Bookings'!$B:$C,MATCH('Exit Anticipated Rev. Recovery'!$C$2,'Anticipated Exit Bookings'!$B$1:$C$1,0), FALSE))*VLOOKUP($F212, 'Exit Capacity Split'!A:H, 8,0)/100</f>
        <v>10380764.198251167</v>
      </c>
      <c r="W212" s="200">
        <f ca="1">IF(VLOOKUP(F212,'Exit Prices'!$A:$Q,17,FALSE)&gt;0,VLOOKUP(F212,'Exit Prices'!$A:$Q,17,FALSE),0)</f>
        <v>1.7838290820427986E-2</v>
      </c>
      <c r="X212" s="202">
        <f ca="1">V212*W212*'User Inputs'!$D$7/100</f>
        <v>675889.08107942308</v>
      </c>
      <c r="Y212" s="199">
        <f t="shared" ca="1" si="4"/>
        <v>1414186.053661006</v>
      </c>
      <c r="AA212" s="164"/>
    </row>
    <row r="213" spans="5:27">
      <c r="E213" s="213" t="s">
        <v>474</v>
      </c>
      <c r="F213" s="213" t="s">
        <v>229</v>
      </c>
      <c r="G213" s="197">
        <f ca="1">(VLOOKUP(F213,'Anticipated Exit Bookings'!$B:$C,MATCH('Exit Anticipated Rev. Recovery'!$C$2,'Anticipated Exit Bookings'!$B$1:$C$1,0), FALSE))*VLOOKUP($F213, 'Exit Capacity Split'!A:H, 3,0)/100</f>
        <v>20534527.323765323</v>
      </c>
      <c r="H213" s="200">
        <f ca="1">IF(VLOOKUP(F213,'Exit Prices'!$A:$Q,12,FALSE)&gt;0,VLOOKUP(F213,'Exit Prices'!$A:$Q,12,FALSE),0)</f>
        <v>1.9820323133808871E-2</v>
      </c>
      <c r="I213" s="202">
        <f ca="1">G213*H213*'User Inputs'!$D$7/100</f>
        <v>1485553.529393255</v>
      </c>
      <c r="J213" s="209">
        <f ca="1">(VLOOKUP(F213,'Anticipated Exit Bookings'!$B:$C,MATCH('Exit Anticipated Rev. Recovery'!$C$2,'Anticipated Exit Bookings'!$B$1:$C$1,0), FALSE))*VLOOKUP($F213, 'Exit Capacity Split'!A:H, 4,0)/100</f>
        <v>0</v>
      </c>
      <c r="K213" s="205" t="str">
        <f>IF(VLOOKUP(F213,'Exit Prices'!$A:$Q,13,FALSE)&gt;0,VLOOKUP(F213,'Exit Prices'!$A:$Q,13,FALSE),0)</f>
        <v>N/A</v>
      </c>
      <c r="L213" s="207" t="s">
        <v>428</v>
      </c>
      <c r="M213" s="209">
        <f ca="1">(VLOOKUP(F213,'Anticipated Exit Bookings'!$B:$C,MATCH('Exit Anticipated Rev. Recovery'!$C$2,'Anticipated Exit Bookings'!$B$1:$C$1,0), FALSE))*VLOOKUP($F213, 'Exit Capacity Split'!A:H, 5,0)/100</f>
        <v>0</v>
      </c>
      <c r="N213" s="205" t="str">
        <f>IF(VLOOKUP(F213,'Exit Prices'!$A:$Q,14,FALSE)&gt;0,VLOOKUP(F213,'Exit Prices'!$A:$Q,14,FALSE),0)</f>
        <v>N/A</v>
      </c>
      <c r="O213" s="207" t="s">
        <v>428</v>
      </c>
      <c r="P213" s="204">
        <f ca="1">(VLOOKUP(F213,'Anticipated Exit Bookings'!$B:$C,MATCH('Exit Anticipated Rev. Recovery'!$C$2,'Anticipated Exit Bookings'!$B$1:$C$1,0), FALSE))*VLOOKUP($F213, 'Exit Capacity Split'!A:H, 6,0)/100</f>
        <v>0</v>
      </c>
      <c r="Q213" s="200">
        <f ca="1">IF(VLOOKUP(F213,'Exit Prices'!$A:$Q,15,FALSE)&gt;0,VLOOKUP(F213,'Exit Prices'!$A:$Q,15,FALSE),0)</f>
        <v>1.9820323133808871E-2</v>
      </c>
      <c r="R213" s="202">
        <f ca="1">P213*Q213*'User Inputs'!$D$7/100</f>
        <v>0</v>
      </c>
      <c r="S213" s="209">
        <f ca="1">(VLOOKUP(F213,'Anticipated Exit Bookings'!$B:$C,MATCH('Exit Anticipated Rev. Recovery'!$C$2,'Anticipated Exit Bookings'!$B$1:$C$1,0), FALSE))*VLOOKUP($F213, 'Exit Capacity Split'!A:H, 7,0)/100</f>
        <v>19413.538923850145</v>
      </c>
      <c r="T213" s="205" t="str">
        <f>IF(VLOOKUP(F213,'Exit Prices'!$A:$Q,16,FALSE)&gt;0,VLOOKUP(F213,'Exit Prices'!$A:$Q,16,FALSE),0)</f>
        <v>N/A</v>
      </c>
      <c r="U213" s="207" t="s">
        <v>428</v>
      </c>
      <c r="V213" s="204">
        <f ca="1">(VLOOKUP(F213,'Anticipated Exit Bookings'!$B:$C,MATCH('Exit Anticipated Rev. Recovery'!$C$2,'Anticipated Exit Bookings'!$B$1:$C$1,0), FALSE))*VLOOKUP($F213, 'Exit Capacity Split'!A:H, 8,0)/100</f>
        <v>527814.13731082762</v>
      </c>
      <c r="W213" s="200">
        <f ca="1">IF(VLOOKUP(F213,'Exit Prices'!$A:$Q,17,FALSE)&gt;0,VLOOKUP(F213,'Exit Prices'!$A:$Q,17,FALSE),0)</f>
        <v>1.7838290820427986E-2</v>
      </c>
      <c r="X213" s="202">
        <f ca="1">V213*W213*'User Inputs'!$D$7/100</f>
        <v>34365.85259376606</v>
      </c>
      <c r="Y213" s="199">
        <f t="shared" ca="1" si="4"/>
        <v>1519919.3819870211</v>
      </c>
      <c r="AA213" s="164"/>
    </row>
    <row r="214" spans="5:27">
      <c r="E214" s="213" t="s">
        <v>474</v>
      </c>
      <c r="F214" s="213" t="s">
        <v>230</v>
      </c>
      <c r="G214" s="197">
        <f ca="1">(VLOOKUP(F214,'Anticipated Exit Bookings'!$B:$C,MATCH('Exit Anticipated Rev. Recovery'!$C$2,'Anticipated Exit Bookings'!$B$1:$C$1,0), FALSE))*VLOOKUP($F214, 'Exit Capacity Split'!A:H, 3,0)/100</f>
        <v>104945902.03038558</v>
      </c>
      <c r="H214" s="200">
        <f ca="1">IF(VLOOKUP(F214,'Exit Prices'!$A:$Q,12,FALSE)&gt;0,VLOOKUP(F214,'Exit Prices'!$A:$Q,12,FALSE),0)</f>
        <v>1.9820323133808871E-2</v>
      </c>
      <c r="I214" s="202">
        <f ca="1">G214*H214*'User Inputs'!$D$7/100</f>
        <v>7592225.1678112112</v>
      </c>
      <c r="J214" s="209">
        <f ca="1">(VLOOKUP(F214,'Anticipated Exit Bookings'!$B:$C,MATCH('Exit Anticipated Rev. Recovery'!$C$2,'Anticipated Exit Bookings'!$B$1:$C$1,0), FALSE))*VLOOKUP($F214, 'Exit Capacity Split'!A:H, 4,0)/100</f>
        <v>0</v>
      </c>
      <c r="K214" s="205" t="str">
        <f>IF(VLOOKUP(F214,'Exit Prices'!$A:$Q,13,FALSE)&gt;0,VLOOKUP(F214,'Exit Prices'!$A:$Q,13,FALSE),0)</f>
        <v>N/A</v>
      </c>
      <c r="L214" s="207" t="s">
        <v>428</v>
      </c>
      <c r="M214" s="209">
        <f ca="1">(VLOOKUP(F214,'Anticipated Exit Bookings'!$B:$C,MATCH('Exit Anticipated Rev. Recovery'!$C$2,'Anticipated Exit Bookings'!$B$1:$C$1,0), FALSE))*VLOOKUP($F214, 'Exit Capacity Split'!A:H, 5,0)/100</f>
        <v>0</v>
      </c>
      <c r="N214" s="205" t="str">
        <f>IF(VLOOKUP(F214,'Exit Prices'!$A:$Q,14,FALSE)&gt;0,VLOOKUP(F214,'Exit Prices'!$A:$Q,14,FALSE),0)</f>
        <v>N/A</v>
      </c>
      <c r="O214" s="207" t="s">
        <v>428</v>
      </c>
      <c r="P214" s="204">
        <f ca="1">(VLOOKUP(F214,'Anticipated Exit Bookings'!$B:$C,MATCH('Exit Anticipated Rev. Recovery'!$C$2,'Anticipated Exit Bookings'!$B$1:$C$1,0), FALSE))*VLOOKUP($F214, 'Exit Capacity Split'!A:H, 6,0)/100</f>
        <v>0</v>
      </c>
      <c r="Q214" s="200">
        <f ca="1">IF(VLOOKUP(F214,'Exit Prices'!$A:$Q,15,FALSE)&gt;0,VLOOKUP(F214,'Exit Prices'!$A:$Q,15,FALSE),0)</f>
        <v>1.9820323133808871E-2</v>
      </c>
      <c r="R214" s="202">
        <f ca="1">P214*Q214*'User Inputs'!$D$7/100</f>
        <v>0</v>
      </c>
      <c r="S214" s="209">
        <f ca="1">(VLOOKUP(F214,'Anticipated Exit Bookings'!$B:$C,MATCH('Exit Anticipated Rev. Recovery'!$C$2,'Anticipated Exit Bookings'!$B$1:$C$1,0), FALSE))*VLOOKUP($F214, 'Exit Capacity Split'!A:H, 7,0)/100</f>
        <v>99216.861525102344</v>
      </c>
      <c r="T214" s="205" t="str">
        <f>IF(VLOOKUP(F214,'Exit Prices'!$A:$Q,16,FALSE)&gt;0,VLOOKUP(F214,'Exit Prices'!$A:$Q,16,FALSE),0)</f>
        <v>N/A</v>
      </c>
      <c r="U214" s="207" t="s">
        <v>428</v>
      </c>
      <c r="V214" s="204">
        <f ca="1">(VLOOKUP(F214,'Anticipated Exit Bookings'!$B:$C,MATCH('Exit Anticipated Rev. Recovery'!$C$2,'Anticipated Exit Bookings'!$B$1:$C$1,0), FALSE))*VLOOKUP($F214, 'Exit Capacity Split'!A:H, 8,0)/100</f>
        <v>2697502.1080893152</v>
      </c>
      <c r="W214" s="200">
        <f ca="1">IF(VLOOKUP(F214,'Exit Prices'!$A:$Q,17,FALSE)&gt;0,VLOOKUP(F214,'Exit Prices'!$A:$Q,17,FALSE),0)</f>
        <v>1.7838290820427986E-2</v>
      </c>
      <c r="X214" s="202">
        <f ca="1">V214*W214*'User Inputs'!$D$7/100</f>
        <v>175633.71888877393</v>
      </c>
      <c r="Y214" s="199">
        <f t="shared" ca="1" si="4"/>
        <v>7767858.8866999848</v>
      </c>
      <c r="AA214" s="164"/>
    </row>
    <row r="215" spans="5:27">
      <c r="E215" s="213" t="s">
        <v>474</v>
      </c>
      <c r="F215" s="213" t="s">
        <v>231</v>
      </c>
      <c r="G215" s="197">
        <f ca="1">(VLOOKUP(F215,'Anticipated Exit Bookings'!$B:$C,MATCH('Exit Anticipated Rev. Recovery'!$C$2,'Anticipated Exit Bookings'!$B$1:$C$1,0), FALSE))*VLOOKUP($F215, 'Exit Capacity Split'!A:H, 3,0)/100</f>
        <v>0</v>
      </c>
      <c r="H215" s="200">
        <f ca="1">IF(VLOOKUP(F215,'Exit Prices'!$A:$Q,12,FALSE)&gt;0,VLOOKUP(F215,'Exit Prices'!$A:$Q,12,FALSE),0)</f>
        <v>1.9820323133808871E-2</v>
      </c>
      <c r="I215" s="202">
        <f ca="1">G215*H215*'User Inputs'!$D$7/100</f>
        <v>0</v>
      </c>
      <c r="J215" s="209">
        <f ca="1">(VLOOKUP(F215,'Anticipated Exit Bookings'!$B:$C,MATCH('Exit Anticipated Rev. Recovery'!$C$2,'Anticipated Exit Bookings'!$B$1:$C$1,0), FALSE))*VLOOKUP($F215, 'Exit Capacity Split'!A:H, 4,0)/100</f>
        <v>0</v>
      </c>
      <c r="K215" s="205" t="str">
        <f>IF(VLOOKUP(F215,'Exit Prices'!$A:$Q,13,FALSE)&gt;0,VLOOKUP(F215,'Exit Prices'!$A:$Q,13,FALSE),0)</f>
        <v>N/A</v>
      </c>
      <c r="L215" s="207" t="s">
        <v>428</v>
      </c>
      <c r="M215" s="209">
        <f ca="1">(VLOOKUP(F215,'Anticipated Exit Bookings'!$B:$C,MATCH('Exit Anticipated Rev. Recovery'!$C$2,'Anticipated Exit Bookings'!$B$1:$C$1,0), FALSE))*VLOOKUP($F215, 'Exit Capacity Split'!A:H, 5,0)/100</f>
        <v>0</v>
      </c>
      <c r="N215" s="205" t="str">
        <f>IF(VLOOKUP(F215,'Exit Prices'!$A:$Q,14,FALSE)&gt;0,VLOOKUP(F215,'Exit Prices'!$A:$Q,14,FALSE),0)</f>
        <v>N/A</v>
      </c>
      <c r="O215" s="207" t="s">
        <v>428</v>
      </c>
      <c r="P215" s="204">
        <f ca="1">(VLOOKUP(F215,'Anticipated Exit Bookings'!$B:$C,MATCH('Exit Anticipated Rev. Recovery'!$C$2,'Anticipated Exit Bookings'!$B$1:$C$1,0), FALSE))*VLOOKUP($F215, 'Exit Capacity Split'!A:H, 6,0)/100</f>
        <v>0</v>
      </c>
      <c r="Q215" s="200">
        <f ca="1">IF(VLOOKUP(F215,'Exit Prices'!$A:$Q,15,FALSE)&gt;0,VLOOKUP(F215,'Exit Prices'!$A:$Q,15,FALSE),0)</f>
        <v>1.9820323133808871E-2</v>
      </c>
      <c r="R215" s="202">
        <f ca="1">P215*Q215*'User Inputs'!$D$7/100</f>
        <v>0</v>
      </c>
      <c r="S215" s="209">
        <f ca="1">(VLOOKUP(F215,'Anticipated Exit Bookings'!$B:$C,MATCH('Exit Anticipated Rev. Recovery'!$C$2,'Anticipated Exit Bookings'!$B$1:$C$1,0), FALSE))*VLOOKUP($F215, 'Exit Capacity Split'!A:H, 7,0)/100</f>
        <v>0</v>
      </c>
      <c r="T215" s="205" t="str">
        <f>IF(VLOOKUP(F215,'Exit Prices'!$A:$Q,16,FALSE)&gt;0,VLOOKUP(F215,'Exit Prices'!$A:$Q,16,FALSE),0)</f>
        <v>N/A</v>
      </c>
      <c r="U215" s="207" t="s">
        <v>428</v>
      </c>
      <c r="V215" s="204">
        <f ca="1">(VLOOKUP(F215,'Anticipated Exit Bookings'!$B:$C,MATCH('Exit Anticipated Rev. Recovery'!$C$2,'Anticipated Exit Bookings'!$B$1:$C$1,0), FALSE))*VLOOKUP($F215, 'Exit Capacity Split'!A:H, 8,0)/100</f>
        <v>0</v>
      </c>
      <c r="W215" s="200">
        <f ca="1">IF(VLOOKUP(F215,'Exit Prices'!$A:$Q,17,FALSE)&gt;0,VLOOKUP(F215,'Exit Prices'!$A:$Q,17,FALSE),0)</f>
        <v>1.7838290820427986E-2</v>
      </c>
      <c r="X215" s="202">
        <f ca="1">V215*W215*'User Inputs'!$D$7/100</f>
        <v>0</v>
      </c>
      <c r="Y215" s="199">
        <f t="shared" ca="1" si="4"/>
        <v>0</v>
      </c>
      <c r="AA215" s="164"/>
    </row>
    <row r="216" spans="5:27">
      <c r="E216" s="213" t="s">
        <v>474</v>
      </c>
      <c r="F216" s="213" t="s">
        <v>232</v>
      </c>
      <c r="G216" s="197">
        <f ca="1">(VLOOKUP(F216,'Anticipated Exit Bookings'!$B:$C,MATCH('Exit Anticipated Rev. Recovery'!$C$2,'Anticipated Exit Bookings'!$B$1:$C$1,0), FALSE))*VLOOKUP($F216, 'Exit Capacity Split'!A:H, 3,0)/100</f>
        <v>97404.259388107515</v>
      </c>
      <c r="H216" s="200">
        <f ca="1">IF(VLOOKUP(F216,'Exit Prices'!$A:$Q,12,FALSE)&gt;0,VLOOKUP(F216,'Exit Prices'!$A:$Q,12,FALSE),0)</f>
        <v>1.9820323133808871E-2</v>
      </c>
      <c r="I216" s="202">
        <f ca="1">G216*H216*'User Inputs'!$D$7/100</f>
        <v>7046.6312192379401</v>
      </c>
      <c r="J216" s="209">
        <f ca="1">(VLOOKUP(F216,'Anticipated Exit Bookings'!$B:$C,MATCH('Exit Anticipated Rev. Recovery'!$C$2,'Anticipated Exit Bookings'!$B$1:$C$1,0), FALSE))*VLOOKUP($F216, 'Exit Capacity Split'!A:H, 4,0)/100</f>
        <v>0</v>
      </c>
      <c r="K216" s="205" t="str">
        <f>IF(VLOOKUP(F216,'Exit Prices'!$A:$Q,13,FALSE)&gt;0,VLOOKUP(F216,'Exit Prices'!$A:$Q,13,FALSE),0)</f>
        <v>N/A</v>
      </c>
      <c r="L216" s="207" t="s">
        <v>428</v>
      </c>
      <c r="M216" s="209">
        <f ca="1">(VLOOKUP(F216,'Anticipated Exit Bookings'!$B:$C,MATCH('Exit Anticipated Rev. Recovery'!$C$2,'Anticipated Exit Bookings'!$B$1:$C$1,0), FALSE))*VLOOKUP($F216, 'Exit Capacity Split'!A:H, 5,0)/100</f>
        <v>0</v>
      </c>
      <c r="N216" s="205" t="str">
        <f>IF(VLOOKUP(F216,'Exit Prices'!$A:$Q,14,FALSE)&gt;0,VLOOKUP(F216,'Exit Prices'!$A:$Q,14,FALSE),0)</f>
        <v>N/A</v>
      </c>
      <c r="O216" s="207" t="s">
        <v>428</v>
      </c>
      <c r="P216" s="204">
        <f ca="1">(VLOOKUP(F216,'Anticipated Exit Bookings'!$B:$C,MATCH('Exit Anticipated Rev. Recovery'!$C$2,'Anticipated Exit Bookings'!$B$1:$C$1,0), FALSE))*VLOOKUP($F216, 'Exit Capacity Split'!A:H, 6,0)/100</f>
        <v>0</v>
      </c>
      <c r="Q216" s="200">
        <f ca="1">IF(VLOOKUP(F216,'Exit Prices'!$A:$Q,15,FALSE)&gt;0,VLOOKUP(F216,'Exit Prices'!$A:$Q,15,FALSE),0)</f>
        <v>1.9820323133808871E-2</v>
      </c>
      <c r="R216" s="202">
        <f ca="1">P216*Q216*'User Inputs'!$D$7/100</f>
        <v>0</v>
      </c>
      <c r="S216" s="209">
        <f ca="1">(VLOOKUP(F216,'Anticipated Exit Bookings'!$B:$C,MATCH('Exit Anticipated Rev. Recovery'!$C$2,'Anticipated Exit Bookings'!$B$1:$C$1,0), FALSE))*VLOOKUP($F216, 'Exit Capacity Split'!A:H, 7,0)/100</f>
        <v>92.086920296010206</v>
      </c>
      <c r="T216" s="205" t="str">
        <f>IF(VLOOKUP(F216,'Exit Prices'!$A:$Q,16,FALSE)&gt;0,VLOOKUP(F216,'Exit Prices'!$A:$Q,16,FALSE),0)</f>
        <v>N/A</v>
      </c>
      <c r="U216" s="207" t="s">
        <v>428</v>
      </c>
      <c r="V216" s="204">
        <f ca="1">(VLOOKUP(F216,'Anticipated Exit Bookings'!$B:$C,MATCH('Exit Anticipated Rev. Recovery'!$C$2,'Anticipated Exit Bookings'!$B$1:$C$1,0), FALSE))*VLOOKUP($F216, 'Exit Capacity Split'!A:H, 8,0)/100</f>
        <v>2503.6536915964903</v>
      </c>
      <c r="W216" s="200">
        <f ca="1">IF(VLOOKUP(F216,'Exit Prices'!$A:$Q,17,FALSE)&gt;0,VLOOKUP(F216,'Exit Prices'!$A:$Q,17,FALSE),0)</f>
        <v>1.7838290820427986E-2</v>
      </c>
      <c r="X216" s="202">
        <f ca="1">V216*W216*'User Inputs'!$D$7/100</f>
        <v>163.01229472482754</v>
      </c>
      <c r="Y216" s="199">
        <f t="shared" ca="1" si="4"/>
        <v>7209.6435139627674</v>
      </c>
      <c r="AA216" s="164"/>
    </row>
    <row r="217" spans="5:27">
      <c r="E217" s="213" t="s">
        <v>474</v>
      </c>
      <c r="F217" s="213" t="s">
        <v>233</v>
      </c>
      <c r="G217" s="197">
        <f ca="1">(VLOOKUP(F217,'Anticipated Exit Bookings'!$B:$C,MATCH('Exit Anticipated Rev. Recovery'!$C$2,'Anticipated Exit Bookings'!$B$1:$C$1,0), FALSE))*VLOOKUP($F217, 'Exit Capacity Split'!A:H, 3,0)/100</f>
        <v>103501766.02580303</v>
      </c>
      <c r="H217" s="200">
        <f ca="1">IF(VLOOKUP(F217,'Exit Prices'!$A:$Q,12,FALSE)&gt;0,VLOOKUP(F217,'Exit Prices'!$A:$Q,12,FALSE),0)</f>
        <v>1.9820323133808871E-2</v>
      </c>
      <c r="I217" s="202">
        <f ca="1">G217*H217*'User Inputs'!$D$7/100</f>
        <v>7487750.3335622335</v>
      </c>
      <c r="J217" s="209">
        <f ca="1">(VLOOKUP(F217,'Anticipated Exit Bookings'!$B:$C,MATCH('Exit Anticipated Rev. Recovery'!$C$2,'Anticipated Exit Bookings'!$B$1:$C$1,0), FALSE))*VLOOKUP($F217, 'Exit Capacity Split'!A:H, 4,0)/100</f>
        <v>0</v>
      </c>
      <c r="K217" s="205" t="str">
        <f>IF(VLOOKUP(F217,'Exit Prices'!$A:$Q,13,FALSE)&gt;0,VLOOKUP(F217,'Exit Prices'!$A:$Q,13,FALSE),0)</f>
        <v>N/A</v>
      </c>
      <c r="L217" s="207" t="s">
        <v>428</v>
      </c>
      <c r="M217" s="209">
        <f ca="1">(VLOOKUP(F217,'Anticipated Exit Bookings'!$B:$C,MATCH('Exit Anticipated Rev. Recovery'!$C$2,'Anticipated Exit Bookings'!$B$1:$C$1,0), FALSE))*VLOOKUP($F217, 'Exit Capacity Split'!A:H, 5,0)/100</f>
        <v>0</v>
      </c>
      <c r="N217" s="205" t="str">
        <f>IF(VLOOKUP(F217,'Exit Prices'!$A:$Q,14,FALSE)&gt;0,VLOOKUP(F217,'Exit Prices'!$A:$Q,14,FALSE),0)</f>
        <v>N/A</v>
      </c>
      <c r="O217" s="207" t="s">
        <v>428</v>
      </c>
      <c r="P217" s="204">
        <f ca="1">(VLOOKUP(F217,'Anticipated Exit Bookings'!$B:$C,MATCH('Exit Anticipated Rev. Recovery'!$C$2,'Anticipated Exit Bookings'!$B$1:$C$1,0), FALSE))*VLOOKUP($F217, 'Exit Capacity Split'!A:H, 6,0)/100</f>
        <v>0</v>
      </c>
      <c r="Q217" s="200">
        <f ca="1">IF(VLOOKUP(F217,'Exit Prices'!$A:$Q,15,FALSE)&gt;0,VLOOKUP(F217,'Exit Prices'!$A:$Q,15,FALSE),0)</f>
        <v>1.9820323133808871E-2</v>
      </c>
      <c r="R217" s="202">
        <f ca="1">P217*Q217*'User Inputs'!$D$7/100</f>
        <v>0</v>
      </c>
      <c r="S217" s="209">
        <f ca="1">(VLOOKUP(F217,'Anticipated Exit Bookings'!$B:$C,MATCH('Exit Anticipated Rev. Recovery'!$C$2,'Anticipated Exit Bookings'!$B$1:$C$1,0), FALSE))*VLOOKUP($F217, 'Exit Capacity Split'!A:H, 7,0)/100</f>
        <v>97851.561506540442</v>
      </c>
      <c r="T217" s="205" t="str">
        <f>IF(VLOOKUP(F217,'Exit Prices'!$A:$Q,16,FALSE)&gt;0,VLOOKUP(F217,'Exit Prices'!$A:$Q,16,FALSE),0)</f>
        <v>N/A</v>
      </c>
      <c r="U217" s="207" t="s">
        <v>428</v>
      </c>
      <c r="V217" s="204">
        <f ca="1">(VLOOKUP(F217,'Anticipated Exit Bookings'!$B:$C,MATCH('Exit Anticipated Rev. Recovery'!$C$2,'Anticipated Exit Bookings'!$B$1:$C$1,0), FALSE))*VLOOKUP($F217, 'Exit Capacity Split'!A:H, 8,0)/100</f>
        <v>2660382.4126904304</v>
      </c>
      <c r="W217" s="200">
        <f ca="1">IF(VLOOKUP(F217,'Exit Prices'!$A:$Q,17,FALSE)&gt;0,VLOOKUP(F217,'Exit Prices'!$A:$Q,17,FALSE),0)</f>
        <v>1.7838290820427986E-2</v>
      </c>
      <c r="X217" s="202">
        <f ca="1">V217*W217*'User Inputs'!$D$7/100</f>
        <v>173216.86437460172</v>
      </c>
      <c r="Y217" s="199">
        <f t="shared" ca="1" si="4"/>
        <v>7660967.1979368348</v>
      </c>
      <c r="AA217" s="164"/>
    </row>
    <row r="218" spans="5:27">
      <c r="E218" s="213" t="s">
        <v>474</v>
      </c>
      <c r="F218" s="213" t="s">
        <v>234</v>
      </c>
      <c r="G218" s="197">
        <f ca="1">(VLOOKUP(F218,'Anticipated Exit Bookings'!$B:$C,MATCH('Exit Anticipated Rev. Recovery'!$C$2,'Anticipated Exit Bookings'!$B$1:$C$1,0), FALSE))*VLOOKUP($F218, 'Exit Capacity Split'!A:H, 3,0)/100</f>
        <v>35552000.446423322</v>
      </c>
      <c r="H218" s="200">
        <f ca="1">IF(VLOOKUP(F218,'Exit Prices'!$A:$Q,12,FALSE)&gt;0,VLOOKUP(F218,'Exit Prices'!$A:$Q,12,FALSE),0)</f>
        <v>1.9820323133808871E-2</v>
      </c>
      <c r="I218" s="202">
        <f ca="1">G218*H218*'User Inputs'!$D$7/100</f>
        <v>2571980.2996902107</v>
      </c>
      <c r="J218" s="209">
        <f ca="1">(VLOOKUP(F218,'Anticipated Exit Bookings'!$B:$C,MATCH('Exit Anticipated Rev. Recovery'!$C$2,'Anticipated Exit Bookings'!$B$1:$C$1,0), FALSE))*VLOOKUP($F218, 'Exit Capacity Split'!A:H, 4,0)/100</f>
        <v>0</v>
      </c>
      <c r="K218" s="205" t="str">
        <f>IF(VLOOKUP(F218,'Exit Prices'!$A:$Q,13,FALSE)&gt;0,VLOOKUP(F218,'Exit Prices'!$A:$Q,13,FALSE),0)</f>
        <v>N/A</v>
      </c>
      <c r="L218" s="207" t="s">
        <v>428</v>
      </c>
      <c r="M218" s="209">
        <f ca="1">(VLOOKUP(F218,'Anticipated Exit Bookings'!$B:$C,MATCH('Exit Anticipated Rev. Recovery'!$C$2,'Anticipated Exit Bookings'!$B$1:$C$1,0), FALSE))*VLOOKUP($F218, 'Exit Capacity Split'!A:H, 5,0)/100</f>
        <v>0</v>
      </c>
      <c r="N218" s="205" t="str">
        <f>IF(VLOOKUP(F218,'Exit Prices'!$A:$Q,14,FALSE)&gt;0,VLOOKUP(F218,'Exit Prices'!$A:$Q,14,FALSE),0)</f>
        <v>N/A</v>
      </c>
      <c r="O218" s="207" t="s">
        <v>428</v>
      </c>
      <c r="P218" s="204">
        <f ca="1">(VLOOKUP(F218,'Anticipated Exit Bookings'!$B:$C,MATCH('Exit Anticipated Rev. Recovery'!$C$2,'Anticipated Exit Bookings'!$B$1:$C$1,0), FALSE))*VLOOKUP($F218, 'Exit Capacity Split'!A:H, 6,0)/100</f>
        <v>0</v>
      </c>
      <c r="Q218" s="200">
        <f ca="1">IF(VLOOKUP(F218,'Exit Prices'!$A:$Q,15,FALSE)&gt;0,VLOOKUP(F218,'Exit Prices'!$A:$Q,15,FALSE),0)</f>
        <v>1.9820323133808871E-2</v>
      </c>
      <c r="R218" s="202">
        <f ca="1">P218*Q218*'User Inputs'!$D$7/100</f>
        <v>0</v>
      </c>
      <c r="S218" s="209">
        <f ca="1">(VLOOKUP(F218,'Anticipated Exit Bookings'!$B:$C,MATCH('Exit Anticipated Rev. Recovery'!$C$2,'Anticipated Exit Bookings'!$B$1:$C$1,0), FALSE))*VLOOKUP($F218, 'Exit Capacity Split'!A:H, 7,0)/100</f>
        <v>33611.201933467237</v>
      </c>
      <c r="T218" s="205" t="str">
        <f>IF(VLOOKUP(F218,'Exit Prices'!$A:$Q,16,FALSE)&gt;0,VLOOKUP(F218,'Exit Prices'!$A:$Q,16,FALSE),0)</f>
        <v>N/A</v>
      </c>
      <c r="U218" s="207" t="s">
        <v>428</v>
      </c>
      <c r="V218" s="204">
        <f ca="1">(VLOOKUP(F218,'Anticipated Exit Bookings'!$B:$C,MATCH('Exit Anticipated Rev. Recovery'!$C$2,'Anticipated Exit Bookings'!$B$1:$C$1,0), FALSE))*VLOOKUP($F218, 'Exit Capacity Split'!A:H, 8,0)/100</f>
        <v>913819.35164321377</v>
      </c>
      <c r="W218" s="200">
        <f ca="1">IF(VLOOKUP(F218,'Exit Prices'!$A:$Q,17,FALSE)&gt;0,VLOOKUP(F218,'Exit Prices'!$A:$Q,17,FALSE),0)</f>
        <v>1.7838290820427986E-2</v>
      </c>
      <c r="X218" s="202">
        <f ca="1">V218*W218*'User Inputs'!$D$7/100</f>
        <v>59498.560034605071</v>
      </c>
      <c r="Y218" s="199">
        <f t="shared" ca="1" si="4"/>
        <v>2631478.8597248159</v>
      </c>
      <c r="AA218" s="164"/>
    </row>
    <row r="219" spans="5:27">
      <c r="E219" s="213" t="s">
        <v>474</v>
      </c>
      <c r="F219" s="213" t="s">
        <v>235</v>
      </c>
      <c r="G219" s="197">
        <f ca="1">(VLOOKUP(F219,'Anticipated Exit Bookings'!$B:$C,MATCH('Exit Anticipated Rev. Recovery'!$C$2,'Anticipated Exit Bookings'!$B$1:$C$1,0), FALSE))*VLOOKUP($F219, 'Exit Capacity Split'!A:H, 3,0)/100</f>
        <v>9455997.4001040272</v>
      </c>
      <c r="H219" s="200">
        <f ca="1">IF(VLOOKUP(F219,'Exit Prices'!$A:$Q,12,FALSE)&gt;0,VLOOKUP(F219,'Exit Prices'!$A:$Q,12,FALSE),0)</f>
        <v>1.9820323133808871E-2</v>
      </c>
      <c r="I219" s="202">
        <f ca="1">G219*H219*'User Inputs'!$D$7/100</f>
        <v>684086.37268219213</v>
      </c>
      <c r="J219" s="209">
        <f ca="1">(VLOOKUP(F219,'Anticipated Exit Bookings'!$B:$C,MATCH('Exit Anticipated Rev. Recovery'!$C$2,'Anticipated Exit Bookings'!$B$1:$C$1,0), FALSE))*VLOOKUP($F219, 'Exit Capacity Split'!A:H, 4,0)/100</f>
        <v>0</v>
      </c>
      <c r="K219" s="205" t="str">
        <f>IF(VLOOKUP(F219,'Exit Prices'!$A:$Q,13,FALSE)&gt;0,VLOOKUP(F219,'Exit Prices'!$A:$Q,13,FALSE),0)</f>
        <v>N/A</v>
      </c>
      <c r="L219" s="207" t="s">
        <v>428</v>
      </c>
      <c r="M219" s="209">
        <f ca="1">(VLOOKUP(F219,'Anticipated Exit Bookings'!$B:$C,MATCH('Exit Anticipated Rev. Recovery'!$C$2,'Anticipated Exit Bookings'!$B$1:$C$1,0), FALSE))*VLOOKUP($F219, 'Exit Capacity Split'!A:H, 5,0)/100</f>
        <v>0</v>
      </c>
      <c r="N219" s="205" t="str">
        <f>IF(VLOOKUP(F219,'Exit Prices'!$A:$Q,14,FALSE)&gt;0,VLOOKUP(F219,'Exit Prices'!$A:$Q,14,FALSE),0)</f>
        <v>N/A</v>
      </c>
      <c r="O219" s="207" t="s">
        <v>428</v>
      </c>
      <c r="P219" s="204">
        <f ca="1">(VLOOKUP(F219,'Anticipated Exit Bookings'!$B:$C,MATCH('Exit Anticipated Rev. Recovery'!$C$2,'Anticipated Exit Bookings'!$B$1:$C$1,0), FALSE))*VLOOKUP($F219, 'Exit Capacity Split'!A:H, 6,0)/100</f>
        <v>50111.278469380333</v>
      </c>
      <c r="Q219" s="200">
        <f ca="1">IF(VLOOKUP(F219,'Exit Prices'!$A:$Q,15,FALSE)&gt;0,VLOOKUP(F219,'Exit Prices'!$A:$Q,15,FALSE),0)</f>
        <v>1.9820323133808871E-2</v>
      </c>
      <c r="R219" s="202">
        <f ca="1">P219*Q219*'User Inputs'!$D$7/100</f>
        <v>3625.2593214766007</v>
      </c>
      <c r="S219" s="209">
        <f ca="1">(VLOOKUP(F219,'Anticipated Exit Bookings'!$B:$C,MATCH('Exit Anticipated Rev. Recovery'!$C$2,'Anticipated Exit Bookings'!$B$1:$C$1,0), FALSE))*VLOOKUP($F219, 'Exit Capacity Split'!A:H, 7,0)/100</f>
        <v>12758.276624764456</v>
      </c>
      <c r="T219" s="205" t="str">
        <f>IF(VLOOKUP(F219,'Exit Prices'!$A:$Q,16,FALSE)&gt;0,VLOOKUP(F219,'Exit Prices'!$A:$Q,16,FALSE),0)</f>
        <v>N/A</v>
      </c>
      <c r="U219" s="207" t="s">
        <v>428</v>
      </c>
      <c r="V219" s="204">
        <f ca="1">(VLOOKUP(F219,'Anticipated Exit Bookings'!$B:$C,MATCH('Exit Anticipated Rev. Recovery'!$C$2,'Anticipated Exit Bookings'!$B$1:$C$1,0), FALSE))*VLOOKUP($F219, 'Exit Capacity Split'!A:H, 8,0)/100</f>
        <v>9669513.1543908659</v>
      </c>
      <c r="W219" s="200">
        <f ca="1">IF(VLOOKUP(F219,'Exit Prices'!$A:$Q,17,FALSE)&gt;0,VLOOKUP(F219,'Exit Prices'!$A:$Q,17,FALSE),0)</f>
        <v>1.7838290820427986E-2</v>
      </c>
      <c r="X219" s="202">
        <f ca="1">V219*W219*'User Inputs'!$D$7/100</f>
        <v>629579.6952509206</v>
      </c>
      <c r="Y219" s="199">
        <f t="shared" ca="1" si="4"/>
        <v>1317291.3272545892</v>
      </c>
      <c r="AA219" s="164"/>
    </row>
    <row r="220" spans="5:27">
      <c r="E220" s="213" t="s">
        <v>474</v>
      </c>
      <c r="F220" s="213" t="s">
        <v>236</v>
      </c>
      <c r="G220" s="197">
        <f ca="1">(VLOOKUP(F220,'Anticipated Exit Bookings'!$B:$C,MATCH('Exit Anticipated Rev. Recovery'!$C$2,'Anticipated Exit Bookings'!$B$1:$C$1,0), FALSE))*VLOOKUP($F220, 'Exit Capacity Split'!A:H, 3,0)/100</f>
        <v>0</v>
      </c>
      <c r="H220" s="200">
        <f ca="1">IF(VLOOKUP(F220,'Exit Prices'!$A:$Q,12,FALSE)&gt;0,VLOOKUP(F220,'Exit Prices'!$A:$Q,12,FALSE),0)</f>
        <v>1.9820323133808871E-2</v>
      </c>
      <c r="I220" s="202">
        <f ca="1">G220*H220*'User Inputs'!$D$7/100</f>
        <v>0</v>
      </c>
      <c r="J220" s="209">
        <f ca="1">(VLOOKUP(F220,'Anticipated Exit Bookings'!$B:$C,MATCH('Exit Anticipated Rev. Recovery'!$C$2,'Anticipated Exit Bookings'!$B$1:$C$1,0), FALSE))*VLOOKUP($F220, 'Exit Capacity Split'!A:H, 4,0)/100</f>
        <v>0</v>
      </c>
      <c r="K220" s="205" t="str">
        <f>IF(VLOOKUP(F220,'Exit Prices'!$A:$Q,13,FALSE)&gt;0,VLOOKUP(F220,'Exit Prices'!$A:$Q,13,FALSE),0)</f>
        <v>N/A</v>
      </c>
      <c r="L220" s="207" t="s">
        <v>428</v>
      </c>
      <c r="M220" s="209">
        <f ca="1">(VLOOKUP(F220,'Anticipated Exit Bookings'!$B:$C,MATCH('Exit Anticipated Rev. Recovery'!$C$2,'Anticipated Exit Bookings'!$B$1:$C$1,0), FALSE))*VLOOKUP($F220, 'Exit Capacity Split'!A:H, 5,0)/100</f>
        <v>0</v>
      </c>
      <c r="N220" s="205" t="str">
        <f>IF(VLOOKUP(F220,'Exit Prices'!$A:$Q,14,FALSE)&gt;0,VLOOKUP(F220,'Exit Prices'!$A:$Q,14,FALSE),0)</f>
        <v>N/A</v>
      </c>
      <c r="O220" s="207" t="s">
        <v>428</v>
      </c>
      <c r="P220" s="204">
        <f ca="1">(VLOOKUP(F220,'Anticipated Exit Bookings'!$B:$C,MATCH('Exit Anticipated Rev. Recovery'!$C$2,'Anticipated Exit Bookings'!$B$1:$C$1,0), FALSE))*VLOOKUP($F220, 'Exit Capacity Split'!A:H, 6,0)/100</f>
        <v>0</v>
      </c>
      <c r="Q220" s="200">
        <f ca="1">IF(VLOOKUP(F220,'Exit Prices'!$A:$Q,15,FALSE)&gt;0,VLOOKUP(F220,'Exit Prices'!$A:$Q,15,FALSE),0)</f>
        <v>1.9820323133808871E-2</v>
      </c>
      <c r="R220" s="202">
        <f ca="1">P220*Q220*'User Inputs'!$D$7/100</f>
        <v>0</v>
      </c>
      <c r="S220" s="209">
        <f ca="1">(VLOOKUP(F220,'Anticipated Exit Bookings'!$B:$C,MATCH('Exit Anticipated Rev. Recovery'!$C$2,'Anticipated Exit Bookings'!$B$1:$C$1,0), FALSE))*VLOOKUP($F220, 'Exit Capacity Split'!A:H, 7,0)/100</f>
        <v>0</v>
      </c>
      <c r="T220" s="205" t="str">
        <f>IF(VLOOKUP(F220,'Exit Prices'!$A:$Q,16,FALSE)&gt;0,VLOOKUP(F220,'Exit Prices'!$A:$Q,16,FALSE),0)</f>
        <v>N/A</v>
      </c>
      <c r="U220" s="207" t="s">
        <v>428</v>
      </c>
      <c r="V220" s="204">
        <f ca="1">(VLOOKUP(F220,'Anticipated Exit Bookings'!$B:$C,MATCH('Exit Anticipated Rev. Recovery'!$C$2,'Anticipated Exit Bookings'!$B$1:$C$1,0), FALSE))*VLOOKUP($F220, 'Exit Capacity Split'!A:H, 8,0)/100</f>
        <v>0</v>
      </c>
      <c r="W220" s="200">
        <f ca="1">IF(VLOOKUP(F220,'Exit Prices'!$A:$Q,17,FALSE)&gt;0,VLOOKUP(F220,'Exit Prices'!$A:$Q,17,FALSE),0)</f>
        <v>1.7838290820427986E-2</v>
      </c>
      <c r="X220" s="202">
        <f ca="1">V220*W220*'User Inputs'!$D$7/100</f>
        <v>0</v>
      </c>
      <c r="Y220" s="199">
        <f t="shared" ca="1" si="4"/>
        <v>0</v>
      </c>
      <c r="AA220" s="164"/>
    </row>
    <row r="221" spans="5:27">
      <c r="E221" s="213" t="s">
        <v>474</v>
      </c>
      <c r="F221" s="213" t="s">
        <v>237</v>
      </c>
      <c r="G221" s="197">
        <f ca="1">(VLOOKUP(F221,'Anticipated Exit Bookings'!$B:$C,MATCH('Exit Anticipated Rev. Recovery'!$C$2,'Anticipated Exit Bookings'!$B$1:$C$1,0), FALSE))*VLOOKUP($F221, 'Exit Capacity Split'!A:H, 3,0)/100</f>
        <v>71045595.350832343</v>
      </c>
      <c r="H221" s="200">
        <f ca="1">IF(VLOOKUP(F221,'Exit Prices'!$A:$Q,12,FALSE)&gt;0,VLOOKUP(F221,'Exit Prices'!$A:$Q,12,FALSE),0)</f>
        <v>1.9820323133808871E-2</v>
      </c>
      <c r="I221" s="202">
        <f ca="1">G221*H221*'User Inputs'!$D$7/100</f>
        <v>5139735.2983687408</v>
      </c>
      <c r="J221" s="209">
        <f ca="1">(VLOOKUP(F221,'Anticipated Exit Bookings'!$B:$C,MATCH('Exit Anticipated Rev. Recovery'!$C$2,'Anticipated Exit Bookings'!$B$1:$C$1,0), FALSE))*VLOOKUP($F221, 'Exit Capacity Split'!A:H, 4,0)/100</f>
        <v>0</v>
      </c>
      <c r="K221" s="205" t="str">
        <f>IF(VLOOKUP(F221,'Exit Prices'!$A:$Q,13,FALSE)&gt;0,VLOOKUP(F221,'Exit Prices'!$A:$Q,13,FALSE),0)</f>
        <v>N/A</v>
      </c>
      <c r="L221" s="207" t="s">
        <v>428</v>
      </c>
      <c r="M221" s="209">
        <f ca="1">(VLOOKUP(F221,'Anticipated Exit Bookings'!$B:$C,MATCH('Exit Anticipated Rev. Recovery'!$C$2,'Anticipated Exit Bookings'!$B$1:$C$1,0), FALSE))*VLOOKUP($F221, 'Exit Capacity Split'!A:H, 5,0)/100</f>
        <v>0</v>
      </c>
      <c r="N221" s="205" t="str">
        <f>IF(VLOOKUP(F221,'Exit Prices'!$A:$Q,14,FALSE)&gt;0,VLOOKUP(F221,'Exit Prices'!$A:$Q,14,FALSE),0)</f>
        <v>N/A</v>
      </c>
      <c r="O221" s="207" t="s">
        <v>428</v>
      </c>
      <c r="P221" s="204">
        <f ca="1">(VLOOKUP(F221,'Anticipated Exit Bookings'!$B:$C,MATCH('Exit Anticipated Rev. Recovery'!$C$2,'Anticipated Exit Bookings'!$B$1:$C$1,0), FALSE))*VLOOKUP($F221, 'Exit Capacity Split'!A:H, 6,0)/100</f>
        <v>0</v>
      </c>
      <c r="Q221" s="200">
        <f ca="1">IF(VLOOKUP(F221,'Exit Prices'!$A:$Q,15,FALSE)&gt;0,VLOOKUP(F221,'Exit Prices'!$A:$Q,15,FALSE),0)</f>
        <v>1.9820323133808871E-2</v>
      </c>
      <c r="R221" s="202">
        <f ca="1">P221*Q221*'User Inputs'!$D$7/100</f>
        <v>0</v>
      </c>
      <c r="S221" s="209">
        <f ca="1">(VLOOKUP(F221,'Anticipated Exit Bookings'!$B:$C,MATCH('Exit Anticipated Rev. Recovery'!$C$2,'Anticipated Exit Bookings'!$B$1:$C$1,0), FALSE))*VLOOKUP($F221, 'Exit Capacity Split'!A:H, 7,0)/100</f>
        <v>67167.18670778659</v>
      </c>
      <c r="T221" s="205" t="str">
        <f>IF(VLOOKUP(F221,'Exit Prices'!$A:$Q,16,FALSE)&gt;0,VLOOKUP(F221,'Exit Prices'!$A:$Q,16,FALSE),0)</f>
        <v>N/A</v>
      </c>
      <c r="U221" s="207" t="s">
        <v>428</v>
      </c>
      <c r="V221" s="204">
        <f ca="1">(VLOOKUP(F221,'Anticipated Exit Bookings'!$B:$C,MATCH('Exit Anticipated Rev. Recovery'!$C$2,'Anticipated Exit Bookings'!$B$1:$C$1,0), FALSE))*VLOOKUP($F221, 'Exit Capacity Split'!A:H, 8,0)/100</f>
        <v>1826137.4624598725</v>
      </c>
      <c r="W221" s="200">
        <f ca="1">IF(VLOOKUP(F221,'Exit Prices'!$A:$Q,17,FALSE)&gt;0,VLOOKUP(F221,'Exit Prices'!$A:$Q,17,FALSE),0)</f>
        <v>1.7838290820427986E-2</v>
      </c>
      <c r="X221" s="202">
        <f ca="1">V221*W221*'User Inputs'!$D$7/100</f>
        <v>118899.37463704724</v>
      </c>
      <c r="Y221" s="199">
        <f t="shared" ca="1" si="4"/>
        <v>5258634.6730057877</v>
      </c>
      <c r="AA221" s="164"/>
    </row>
    <row r="222" spans="5:27">
      <c r="E222" s="213" t="s">
        <v>474</v>
      </c>
      <c r="F222" s="213" t="s">
        <v>238</v>
      </c>
      <c r="G222" s="197">
        <f ca="1">(VLOOKUP(F222,'Anticipated Exit Bookings'!$B:$C,MATCH('Exit Anticipated Rev. Recovery'!$C$2,'Anticipated Exit Bookings'!$B$1:$C$1,0), FALSE))*VLOOKUP($F222, 'Exit Capacity Split'!A:H, 3,0)/100</f>
        <v>210400.41410412837</v>
      </c>
      <c r="H222" s="200">
        <f ca="1">IF(VLOOKUP(F222,'Exit Prices'!$A:$Q,12,FALSE)&gt;0,VLOOKUP(F222,'Exit Prices'!$A:$Q,12,FALSE),0)</f>
        <v>1.9820323133808871E-2</v>
      </c>
      <c r="I222" s="202">
        <f ca="1">G222*H222*'User Inputs'!$D$7/100</f>
        <v>15221.245311863231</v>
      </c>
      <c r="J222" s="209">
        <f ca="1">(VLOOKUP(F222,'Anticipated Exit Bookings'!$B:$C,MATCH('Exit Anticipated Rev. Recovery'!$C$2,'Anticipated Exit Bookings'!$B$1:$C$1,0), FALSE))*VLOOKUP($F222, 'Exit Capacity Split'!A:H, 4,0)/100</f>
        <v>0</v>
      </c>
      <c r="K222" s="205" t="str">
        <f>IF(VLOOKUP(F222,'Exit Prices'!$A:$Q,13,FALSE)&gt;0,VLOOKUP(F222,'Exit Prices'!$A:$Q,13,FALSE),0)</f>
        <v>N/A</v>
      </c>
      <c r="L222" s="207" t="s">
        <v>428</v>
      </c>
      <c r="M222" s="209">
        <f ca="1">(VLOOKUP(F222,'Anticipated Exit Bookings'!$B:$C,MATCH('Exit Anticipated Rev. Recovery'!$C$2,'Anticipated Exit Bookings'!$B$1:$C$1,0), FALSE))*VLOOKUP($F222, 'Exit Capacity Split'!A:H, 5,0)/100</f>
        <v>0</v>
      </c>
      <c r="N222" s="205" t="str">
        <f>IF(VLOOKUP(F222,'Exit Prices'!$A:$Q,14,FALSE)&gt;0,VLOOKUP(F222,'Exit Prices'!$A:$Q,14,FALSE),0)</f>
        <v>N/A</v>
      </c>
      <c r="O222" s="207" t="s">
        <v>428</v>
      </c>
      <c r="P222" s="204">
        <f ca="1">(VLOOKUP(F222,'Anticipated Exit Bookings'!$B:$C,MATCH('Exit Anticipated Rev. Recovery'!$C$2,'Anticipated Exit Bookings'!$B$1:$C$1,0), FALSE))*VLOOKUP($F222, 'Exit Capacity Split'!A:H, 6,0)/100</f>
        <v>7.3082979393772556</v>
      </c>
      <c r="Q222" s="200">
        <f ca="1">IF(VLOOKUP(F222,'Exit Prices'!$A:$Q,15,FALSE)&gt;0,VLOOKUP(F222,'Exit Prices'!$A:$Q,15,FALSE),0)</f>
        <v>1.9820323133808871E-2</v>
      </c>
      <c r="R222" s="202">
        <f ca="1">P222*Q222*'User Inputs'!$D$7/100</f>
        <v>0.5287128175156145</v>
      </c>
      <c r="S222" s="209">
        <f ca="1">(VLOOKUP(F222,'Anticipated Exit Bookings'!$B:$C,MATCH('Exit Anticipated Rev. Recovery'!$C$2,'Anticipated Exit Bookings'!$B$1:$C$1,0), FALSE))*VLOOKUP($F222, 'Exit Capacity Split'!A:H, 7,0)/100</f>
        <v>262.53654905301323</v>
      </c>
      <c r="T222" s="205" t="str">
        <f>IF(VLOOKUP(F222,'Exit Prices'!$A:$Q,16,FALSE)&gt;0,VLOOKUP(F222,'Exit Prices'!$A:$Q,16,FALSE),0)</f>
        <v>N/A</v>
      </c>
      <c r="U222" s="207" t="s">
        <v>428</v>
      </c>
      <c r="V222" s="204">
        <f ca="1">(VLOOKUP(F222,'Anticipated Exit Bookings'!$B:$C,MATCH('Exit Anticipated Rev. Recovery'!$C$2,'Anticipated Exit Bookings'!$B$1:$C$1,0), FALSE))*VLOOKUP($F222, 'Exit Capacity Split'!A:H, 8,0)/100</f>
        <v>67745.122665317715</v>
      </c>
      <c r="W222" s="200">
        <f ca="1">IF(VLOOKUP(F222,'Exit Prices'!$A:$Q,17,FALSE)&gt;0,VLOOKUP(F222,'Exit Prices'!$A:$Q,17,FALSE),0)</f>
        <v>1.7838290820427986E-2</v>
      </c>
      <c r="X222" s="202">
        <f ca="1">V222*W222*'User Inputs'!$D$7/100</f>
        <v>4410.8687791586926</v>
      </c>
      <c r="Y222" s="199">
        <f t="shared" ca="1" si="4"/>
        <v>19632.642803839437</v>
      </c>
      <c r="AA222" s="164"/>
    </row>
    <row r="223" spans="5:27">
      <c r="E223" s="213" t="s">
        <v>474</v>
      </c>
      <c r="F223" s="213" t="s">
        <v>534</v>
      </c>
      <c r="G223" s="197">
        <f ca="1">(VLOOKUP(F223,'Anticipated Exit Bookings'!$B:$C,MATCH('Exit Anticipated Rev. Recovery'!$C$2,'Anticipated Exit Bookings'!$B$1:$C$1,0), FALSE))*VLOOKUP($F223, 'Exit Capacity Split'!A:H, 3,0)/100</f>
        <v>0</v>
      </c>
      <c r="H223" s="200">
        <f ca="1">IF(VLOOKUP(F223,'Exit Prices'!$A:$Q,12,FALSE)&gt;0,VLOOKUP(F223,'Exit Prices'!$A:$Q,12,FALSE),0)</f>
        <v>1.9820323133808871E-2</v>
      </c>
      <c r="I223" s="202">
        <f ca="1">G223*H223*'User Inputs'!$D$7/100</f>
        <v>0</v>
      </c>
      <c r="J223" s="209">
        <f ca="1">(VLOOKUP(F223,'Anticipated Exit Bookings'!$B:$C,MATCH('Exit Anticipated Rev. Recovery'!$C$2,'Anticipated Exit Bookings'!$B$1:$C$1,0), FALSE))*VLOOKUP($F223, 'Exit Capacity Split'!A:H, 4,0)/100</f>
        <v>0</v>
      </c>
      <c r="K223" s="205" t="str">
        <f>IF(VLOOKUP(F223,'Exit Prices'!$A:$Q,13,FALSE)&gt;0,VLOOKUP(F223,'Exit Prices'!$A:$Q,13,FALSE),0)</f>
        <v>N/A</v>
      </c>
      <c r="L223" s="207" t="s">
        <v>428</v>
      </c>
      <c r="M223" s="209">
        <f ca="1">(VLOOKUP(F223,'Anticipated Exit Bookings'!$B:$C,MATCH('Exit Anticipated Rev. Recovery'!$C$2,'Anticipated Exit Bookings'!$B$1:$C$1,0), FALSE))*VLOOKUP($F223, 'Exit Capacity Split'!A:H, 5,0)/100</f>
        <v>0</v>
      </c>
      <c r="N223" s="205" t="str">
        <f>IF(VLOOKUP(F223,'Exit Prices'!$A:$Q,14,FALSE)&gt;0,VLOOKUP(F223,'Exit Prices'!$A:$Q,14,FALSE),0)</f>
        <v>N/A</v>
      </c>
      <c r="O223" s="207" t="s">
        <v>428</v>
      </c>
      <c r="P223" s="204">
        <f ca="1">(VLOOKUP(F223,'Anticipated Exit Bookings'!$B:$C,MATCH('Exit Anticipated Rev. Recovery'!$C$2,'Anticipated Exit Bookings'!$B$1:$C$1,0), FALSE))*VLOOKUP($F223, 'Exit Capacity Split'!A:H, 6,0)/100</f>
        <v>0</v>
      </c>
      <c r="Q223" s="200">
        <f ca="1">IF(VLOOKUP(F223,'Exit Prices'!$A:$Q,15,FALSE)&gt;0,VLOOKUP(F223,'Exit Prices'!$A:$Q,15,FALSE),0)</f>
        <v>1.9820323133808871E-2</v>
      </c>
      <c r="R223" s="202">
        <f ca="1">P223*Q223*'User Inputs'!$D$7/100</f>
        <v>0</v>
      </c>
      <c r="S223" s="209">
        <f ca="1">(VLOOKUP(F223,'Anticipated Exit Bookings'!$B:$C,MATCH('Exit Anticipated Rev. Recovery'!$C$2,'Anticipated Exit Bookings'!$B$1:$C$1,0), FALSE))*VLOOKUP($F223, 'Exit Capacity Split'!A:H, 7,0)/100</f>
        <v>0</v>
      </c>
      <c r="T223" s="205" t="str">
        <f>IF(VLOOKUP(F223,'Exit Prices'!$A:$Q,16,FALSE)&gt;0,VLOOKUP(F223,'Exit Prices'!$A:$Q,16,FALSE),0)</f>
        <v>N/A</v>
      </c>
      <c r="U223" s="207" t="s">
        <v>428</v>
      </c>
      <c r="V223" s="204">
        <f ca="1">(VLOOKUP(F223,'Anticipated Exit Bookings'!$B:$C,MATCH('Exit Anticipated Rev. Recovery'!$C$2,'Anticipated Exit Bookings'!$B$1:$C$1,0), FALSE))*VLOOKUP($F223, 'Exit Capacity Split'!A:H, 8,0)/100</f>
        <v>0</v>
      </c>
      <c r="W223" s="200">
        <f ca="1">IF(VLOOKUP(F223,'Exit Prices'!$A:$Q,17,FALSE)&gt;0,VLOOKUP(F223,'Exit Prices'!$A:$Q,17,FALSE),0)</f>
        <v>1.7838290820427986E-2</v>
      </c>
      <c r="X223" s="202">
        <f ca="1">V223*W223*'User Inputs'!$D$7/100</f>
        <v>0</v>
      </c>
      <c r="Y223" s="199">
        <f ca="1">I223+R223+X223</f>
        <v>0</v>
      </c>
      <c r="AA223" s="164"/>
    </row>
    <row r="224" spans="5:27">
      <c r="E224" s="213" t="s">
        <v>474</v>
      </c>
      <c r="F224" s="213" t="s">
        <v>535</v>
      </c>
      <c r="G224" s="197">
        <f ca="1">(VLOOKUP(F224,'Anticipated Exit Bookings'!$B:$C,MATCH('Exit Anticipated Rev. Recovery'!$C$2,'Anticipated Exit Bookings'!$B$1:$C$1,0), FALSE))*VLOOKUP($F224, 'Exit Capacity Split'!A:H, 3,0)/100</f>
        <v>887078.94175272062</v>
      </c>
      <c r="H224" s="200">
        <f ca="1">IF(VLOOKUP(F224,'Exit Prices'!$A:$Q,12,FALSE)&gt;0,VLOOKUP(F224,'Exit Prices'!$A:$Q,12,FALSE),0)</f>
        <v>1.9820323133808871E-2</v>
      </c>
      <c r="I224" s="202">
        <f ca="1">G224*H224*'User Inputs'!$D$7/100</f>
        <v>64174.998138186915</v>
      </c>
      <c r="J224" s="209">
        <f ca="1">(VLOOKUP(F224,'Anticipated Exit Bookings'!$B:$C,MATCH('Exit Anticipated Rev. Recovery'!$C$2,'Anticipated Exit Bookings'!$B$1:$C$1,0), FALSE))*VLOOKUP($F224, 'Exit Capacity Split'!A:H, 4,0)/100</f>
        <v>0</v>
      </c>
      <c r="K224" s="205" t="str">
        <f>IF(VLOOKUP(F224,'Exit Prices'!$A:$Q,13,FALSE)&gt;0,VLOOKUP(F224,'Exit Prices'!$A:$Q,13,FALSE),0)</f>
        <v>N/A</v>
      </c>
      <c r="L224" s="207" t="s">
        <v>428</v>
      </c>
      <c r="M224" s="209">
        <f ca="1">(VLOOKUP(F224,'Anticipated Exit Bookings'!$B:$C,MATCH('Exit Anticipated Rev. Recovery'!$C$2,'Anticipated Exit Bookings'!$B$1:$C$1,0), FALSE))*VLOOKUP($F224, 'Exit Capacity Split'!A:H, 5,0)/100</f>
        <v>0</v>
      </c>
      <c r="N224" s="205" t="str">
        <f>IF(VLOOKUP(F224,'Exit Prices'!$A:$Q,14,FALSE)&gt;0,VLOOKUP(F224,'Exit Prices'!$A:$Q,14,FALSE),0)</f>
        <v>N/A</v>
      </c>
      <c r="O224" s="207" t="s">
        <v>428</v>
      </c>
      <c r="P224" s="204">
        <f ca="1">(VLOOKUP(F224,'Anticipated Exit Bookings'!$B:$C,MATCH('Exit Anticipated Rev. Recovery'!$C$2,'Anticipated Exit Bookings'!$B$1:$C$1,0), FALSE))*VLOOKUP($F224, 'Exit Capacity Split'!A:H, 6,0)/100</f>
        <v>30.812853813433424</v>
      </c>
      <c r="Q224" s="200">
        <f ca="1">IF(VLOOKUP(F224,'Exit Prices'!$A:$Q,15,FALSE)&gt;0,VLOOKUP(F224,'Exit Prices'!$A:$Q,15,FALSE),0)</f>
        <v>1.9820323133808871E-2</v>
      </c>
      <c r="R224" s="202">
        <f ca="1">P224*Q224*'User Inputs'!$D$7/100</f>
        <v>2.2291306252882888</v>
      </c>
      <c r="S224" s="209">
        <f ca="1">(VLOOKUP(F224,'Anticipated Exit Bookings'!$B:$C,MATCH('Exit Anticipated Rev. Recovery'!$C$2,'Anticipated Exit Bookings'!$B$1:$C$1,0), FALSE))*VLOOKUP($F224, 'Exit Capacity Split'!A:H, 7,0)/100</f>
        <v>1106.8925177594911</v>
      </c>
      <c r="T224" s="205" t="str">
        <f>IF(VLOOKUP(F224,'Exit Prices'!$A:$Q,16,FALSE)&gt;0,VLOOKUP(F224,'Exit Prices'!$A:$Q,16,FALSE),0)</f>
        <v>N/A</v>
      </c>
      <c r="U224" s="207" t="s">
        <v>428</v>
      </c>
      <c r="V224" s="204">
        <f ca="1">(VLOOKUP(F224,'Anticipated Exit Bookings'!$B:$C,MATCH('Exit Anticipated Rev. Recovery'!$C$2,'Anticipated Exit Bookings'!$B$1:$C$1,0), FALSE))*VLOOKUP($F224, 'Exit Capacity Split'!A:H, 8,0)/100</f>
        <v>285623.35287570674</v>
      </c>
      <c r="W224" s="200">
        <f ca="1">IF(VLOOKUP(F224,'Exit Prices'!$A:$Q,17,FALSE)&gt;0,VLOOKUP(F224,'Exit Prices'!$A:$Q,17,FALSE),0)</f>
        <v>1.7838290820427986E-2</v>
      </c>
      <c r="X224" s="202">
        <f ca="1">V224*W224*'User Inputs'!$D$7/100</f>
        <v>18596.868383014429</v>
      </c>
      <c r="Y224" s="199">
        <f t="shared" ref="Y224:Y231" ca="1" si="5">I224+R224+X224</f>
        <v>82774.095651826632</v>
      </c>
      <c r="AA224" s="164"/>
    </row>
    <row r="225" spans="5:27">
      <c r="E225" s="213" t="s">
        <v>474</v>
      </c>
      <c r="F225" s="213" t="s">
        <v>536</v>
      </c>
      <c r="G225" s="197">
        <f ca="1">(VLOOKUP(F225,'Anticipated Exit Bookings'!$B:$C,MATCH('Exit Anticipated Rev. Recovery'!$C$2,'Anticipated Exit Bookings'!$B$1:$C$1,0), FALSE))*VLOOKUP($F225, 'Exit Capacity Split'!A:H, 3,0)/100</f>
        <v>2069752.0506480888</v>
      </c>
      <c r="H225" s="200">
        <f ca="1">IF(VLOOKUP(F225,'Exit Prices'!$A:$Q,12,FALSE)&gt;0,VLOOKUP(F225,'Exit Prices'!$A:$Q,12,FALSE),0)</f>
        <v>1.9820323133808871E-2</v>
      </c>
      <c r="I225" s="202">
        <f ca="1">G225*H225*'User Inputs'!$D$7/100</f>
        <v>149734.51374508662</v>
      </c>
      <c r="J225" s="209">
        <f ca="1">(VLOOKUP(F225,'Anticipated Exit Bookings'!$B:$C,MATCH('Exit Anticipated Rev. Recovery'!$C$2,'Anticipated Exit Bookings'!$B$1:$C$1,0), FALSE))*VLOOKUP($F225, 'Exit Capacity Split'!A:H, 4,0)/100</f>
        <v>0</v>
      </c>
      <c r="K225" s="205" t="str">
        <f>IF(VLOOKUP(F225,'Exit Prices'!$A:$Q,13,FALSE)&gt;0,VLOOKUP(F225,'Exit Prices'!$A:$Q,13,FALSE),0)</f>
        <v>N/A</v>
      </c>
      <c r="L225" s="207" t="s">
        <v>428</v>
      </c>
      <c r="M225" s="209">
        <f ca="1">(VLOOKUP(F225,'Anticipated Exit Bookings'!$B:$C,MATCH('Exit Anticipated Rev. Recovery'!$C$2,'Anticipated Exit Bookings'!$B$1:$C$1,0), FALSE))*VLOOKUP($F225, 'Exit Capacity Split'!A:H, 5,0)/100</f>
        <v>0</v>
      </c>
      <c r="N225" s="205" t="str">
        <f>IF(VLOOKUP(F225,'Exit Prices'!$A:$Q,14,FALSE)&gt;0,VLOOKUP(F225,'Exit Prices'!$A:$Q,14,FALSE),0)</f>
        <v>N/A</v>
      </c>
      <c r="O225" s="207" t="s">
        <v>428</v>
      </c>
      <c r="P225" s="204">
        <f ca="1">(VLOOKUP(F225,'Anticipated Exit Bookings'!$B:$C,MATCH('Exit Anticipated Rev. Recovery'!$C$2,'Anticipated Exit Bookings'!$B$1:$C$1,0), FALSE))*VLOOKUP($F225, 'Exit Capacity Split'!A:H, 6,0)/100</f>
        <v>10968.480318264086</v>
      </c>
      <c r="Q225" s="200">
        <f ca="1">IF(VLOOKUP(F225,'Exit Prices'!$A:$Q,15,FALSE)&gt;0,VLOOKUP(F225,'Exit Prices'!$A:$Q,15,FALSE),0)</f>
        <v>1.9820323133808871E-2</v>
      </c>
      <c r="R225" s="202">
        <f ca="1">P225*Q225*'User Inputs'!$D$7/100</f>
        <v>793.505708311082</v>
      </c>
      <c r="S225" s="209">
        <f ca="1">(VLOOKUP(F225,'Anticipated Exit Bookings'!$B:$C,MATCH('Exit Anticipated Rev. Recovery'!$C$2,'Anticipated Exit Bookings'!$B$1:$C$1,0), FALSE))*VLOOKUP($F225, 'Exit Capacity Split'!A:H, 7,0)/100</f>
        <v>2792.5630781742079</v>
      </c>
      <c r="T225" s="205" t="str">
        <f>IF(VLOOKUP(F225,'Exit Prices'!$A:$Q,16,FALSE)&gt;0,VLOOKUP(F225,'Exit Prices'!$A:$Q,16,FALSE),0)</f>
        <v>N/A</v>
      </c>
      <c r="U225" s="207" t="s">
        <v>428</v>
      </c>
      <c r="V225" s="204">
        <f ca="1">(VLOOKUP(F225,'Anticipated Exit Bookings'!$B:$C,MATCH('Exit Anticipated Rev. Recovery'!$C$2,'Anticipated Exit Bookings'!$B$1:$C$1,0), FALSE))*VLOOKUP($F225, 'Exit Capacity Split'!A:H, 8,0)/100</f>
        <v>2116486.9059554725</v>
      </c>
      <c r="W225" s="200">
        <f ca="1">IF(VLOOKUP(F225,'Exit Prices'!$A:$Q,17,FALSE)&gt;0,VLOOKUP(F225,'Exit Prices'!$A:$Q,17,FALSE),0)</f>
        <v>1.7838290820427986E-2</v>
      </c>
      <c r="X225" s="202">
        <f ca="1">V225*W225*'User Inputs'!$D$7/100</f>
        <v>137803.95765312458</v>
      </c>
      <c r="Y225" s="199">
        <f t="shared" ca="1" si="5"/>
        <v>288331.9771065223</v>
      </c>
      <c r="AA225" s="164"/>
    </row>
    <row r="226" spans="5:27">
      <c r="E226" s="213" t="s">
        <v>474</v>
      </c>
      <c r="F226" s="213" t="s">
        <v>537</v>
      </c>
      <c r="G226" s="197">
        <f ca="1">(VLOOKUP(F226,'Anticipated Exit Bookings'!$B:$C,MATCH('Exit Anticipated Rev. Recovery'!$C$2,'Anticipated Exit Bookings'!$B$1:$C$1,0), FALSE))*VLOOKUP($F226, 'Exit Capacity Split'!A:H, 3,0)/100</f>
        <v>2856445.4728479655</v>
      </c>
      <c r="H226" s="200">
        <f ca="1">IF(VLOOKUP(F226,'Exit Prices'!$A:$Q,12,FALSE)&gt;0,VLOOKUP(F226,'Exit Prices'!$A:$Q,12,FALSE),0)</f>
        <v>1.9820323133808871E-2</v>
      </c>
      <c r="I226" s="202">
        <f ca="1">G226*H226*'User Inputs'!$D$7/100</f>
        <v>206647.20384372535</v>
      </c>
      <c r="J226" s="209">
        <f ca="1">(VLOOKUP(F226,'Anticipated Exit Bookings'!$B:$C,MATCH('Exit Anticipated Rev. Recovery'!$C$2,'Anticipated Exit Bookings'!$B$1:$C$1,0), FALSE))*VLOOKUP($F226, 'Exit Capacity Split'!A:H, 4,0)/100</f>
        <v>0</v>
      </c>
      <c r="K226" s="205" t="str">
        <f>IF(VLOOKUP(F226,'Exit Prices'!$A:$Q,13,FALSE)&gt;0,VLOOKUP(F226,'Exit Prices'!$A:$Q,13,FALSE),0)</f>
        <v>N/A</v>
      </c>
      <c r="L226" s="207" t="s">
        <v>428</v>
      </c>
      <c r="M226" s="209">
        <f ca="1">(VLOOKUP(F226,'Anticipated Exit Bookings'!$B:$C,MATCH('Exit Anticipated Rev. Recovery'!$C$2,'Anticipated Exit Bookings'!$B$1:$C$1,0), FALSE))*VLOOKUP($F226, 'Exit Capacity Split'!A:H, 5,0)/100</f>
        <v>0</v>
      </c>
      <c r="N226" s="205" t="str">
        <f>IF(VLOOKUP(F226,'Exit Prices'!$A:$Q,14,FALSE)&gt;0,VLOOKUP(F226,'Exit Prices'!$A:$Q,14,FALSE),0)</f>
        <v>N/A</v>
      </c>
      <c r="O226" s="207" t="s">
        <v>428</v>
      </c>
      <c r="P226" s="204">
        <f ca="1">(VLOOKUP(F226,'Anticipated Exit Bookings'!$B:$C,MATCH('Exit Anticipated Rev. Recovery'!$C$2,'Anticipated Exit Bookings'!$B$1:$C$1,0), FALSE))*VLOOKUP($F226, 'Exit Capacity Split'!A:H, 6,0)/100</f>
        <v>99.219170513736444</v>
      </c>
      <c r="Q226" s="200">
        <f ca="1">IF(VLOOKUP(F226,'Exit Prices'!$A:$Q,15,FALSE)&gt;0,VLOOKUP(F226,'Exit Prices'!$A:$Q,15,FALSE),0)</f>
        <v>1.9820323133808871E-2</v>
      </c>
      <c r="R226" s="202">
        <f ca="1">P226*Q226*'User Inputs'!$D$7/100</f>
        <v>7.1779294753751923</v>
      </c>
      <c r="S226" s="209">
        <f ca="1">(VLOOKUP(F226,'Anticipated Exit Bookings'!$B:$C,MATCH('Exit Anticipated Rev. Recovery'!$C$2,'Anticipated Exit Bookings'!$B$1:$C$1,0), FALSE))*VLOOKUP($F226, 'Exit Capacity Split'!A:H, 7,0)/100</f>
        <v>3564.2578946088338</v>
      </c>
      <c r="T226" s="205" t="str">
        <f>IF(VLOOKUP(F226,'Exit Prices'!$A:$Q,16,FALSE)&gt;0,VLOOKUP(F226,'Exit Prices'!$A:$Q,16,FALSE),0)</f>
        <v>N/A</v>
      </c>
      <c r="U226" s="207" t="s">
        <v>428</v>
      </c>
      <c r="V226" s="204">
        <f ca="1">(VLOOKUP(F226,'Anticipated Exit Bookings'!$B:$C,MATCH('Exit Anticipated Rev. Recovery'!$C$2,'Anticipated Exit Bookings'!$B$1:$C$1,0), FALSE))*VLOOKUP($F226, 'Exit Capacity Split'!A:H, 8,0)/100</f>
        <v>919723.70762116241</v>
      </c>
      <c r="W226" s="200">
        <f ca="1">IF(VLOOKUP(F226,'Exit Prices'!$A:$Q,17,FALSE)&gt;0,VLOOKUP(F226,'Exit Prices'!$A:$Q,17,FALSE),0)</f>
        <v>1.7838290820427986E-2</v>
      </c>
      <c r="X226" s="202">
        <f ca="1">V226*W226*'User Inputs'!$D$7/100</f>
        <v>59882.991244108292</v>
      </c>
      <c r="Y226" s="199">
        <f t="shared" ca="1" si="5"/>
        <v>266537.373017309</v>
      </c>
      <c r="AA226" s="164"/>
    </row>
    <row r="227" spans="5:27">
      <c r="E227" s="213" t="s">
        <v>474</v>
      </c>
      <c r="F227" s="213" t="s">
        <v>538</v>
      </c>
      <c r="G227" s="197">
        <f ca="1">(VLOOKUP(F227,'Anticipated Exit Bookings'!$B:$C,MATCH('Exit Anticipated Rev. Recovery'!$C$2,'Anticipated Exit Bookings'!$B$1:$C$1,0), FALSE))*VLOOKUP($F227, 'Exit Capacity Split'!A:H, 3,0)/100</f>
        <v>0</v>
      </c>
      <c r="H227" s="200">
        <f ca="1">IF(VLOOKUP(F227,'Exit Prices'!$A:$Q,12,FALSE)&gt;0,VLOOKUP(F227,'Exit Prices'!$A:$Q,12,FALSE),0)</f>
        <v>1.9820323133808871E-2</v>
      </c>
      <c r="I227" s="202">
        <f ca="1">G227*H227*'User Inputs'!$D$7/100</f>
        <v>0</v>
      </c>
      <c r="J227" s="209">
        <f ca="1">(VLOOKUP(F227,'Anticipated Exit Bookings'!$B:$C,MATCH('Exit Anticipated Rev. Recovery'!$C$2,'Anticipated Exit Bookings'!$B$1:$C$1,0), FALSE))*VLOOKUP($F227, 'Exit Capacity Split'!A:H, 4,0)/100</f>
        <v>0</v>
      </c>
      <c r="K227" s="205" t="str">
        <f>IF(VLOOKUP(F227,'Exit Prices'!$A:$Q,13,FALSE)&gt;0,VLOOKUP(F227,'Exit Prices'!$A:$Q,13,FALSE),0)</f>
        <v>N/A</v>
      </c>
      <c r="L227" s="207" t="s">
        <v>428</v>
      </c>
      <c r="M227" s="209">
        <f ca="1">(VLOOKUP(F227,'Anticipated Exit Bookings'!$B:$C,MATCH('Exit Anticipated Rev. Recovery'!$C$2,'Anticipated Exit Bookings'!$B$1:$C$1,0), FALSE))*VLOOKUP($F227, 'Exit Capacity Split'!A:H, 5,0)/100</f>
        <v>0</v>
      </c>
      <c r="N227" s="205" t="str">
        <f>IF(VLOOKUP(F227,'Exit Prices'!$A:$Q,14,FALSE)&gt;0,VLOOKUP(F227,'Exit Prices'!$A:$Q,14,FALSE),0)</f>
        <v>N/A</v>
      </c>
      <c r="O227" s="207" t="s">
        <v>428</v>
      </c>
      <c r="P227" s="204">
        <f ca="1">(VLOOKUP(F227,'Anticipated Exit Bookings'!$B:$C,MATCH('Exit Anticipated Rev. Recovery'!$C$2,'Anticipated Exit Bookings'!$B$1:$C$1,0), FALSE))*VLOOKUP($F227, 'Exit Capacity Split'!A:H, 6,0)/100</f>
        <v>0</v>
      </c>
      <c r="Q227" s="200">
        <f ca="1">IF(VLOOKUP(F227,'Exit Prices'!$A:$Q,15,FALSE)&gt;0,VLOOKUP(F227,'Exit Prices'!$A:$Q,15,FALSE),0)</f>
        <v>1.9820323133808871E-2</v>
      </c>
      <c r="R227" s="202">
        <f ca="1">P227*Q227*'User Inputs'!$D$7/100</f>
        <v>0</v>
      </c>
      <c r="S227" s="209">
        <f ca="1">(VLOOKUP(F227,'Anticipated Exit Bookings'!$B:$C,MATCH('Exit Anticipated Rev. Recovery'!$C$2,'Anticipated Exit Bookings'!$B$1:$C$1,0), FALSE))*VLOOKUP($F227, 'Exit Capacity Split'!A:H, 7,0)/100</f>
        <v>0</v>
      </c>
      <c r="T227" s="205" t="str">
        <f>IF(VLOOKUP(F227,'Exit Prices'!$A:$Q,16,FALSE)&gt;0,VLOOKUP(F227,'Exit Prices'!$A:$Q,16,FALSE),0)</f>
        <v>N/A</v>
      </c>
      <c r="U227" s="207" t="s">
        <v>428</v>
      </c>
      <c r="V227" s="204">
        <f ca="1">(VLOOKUP(F227,'Anticipated Exit Bookings'!$B:$C,MATCH('Exit Anticipated Rev. Recovery'!$C$2,'Anticipated Exit Bookings'!$B$1:$C$1,0), FALSE))*VLOOKUP($F227, 'Exit Capacity Split'!A:H, 8,0)/100</f>
        <v>0</v>
      </c>
      <c r="W227" s="200">
        <f ca="1">IF(VLOOKUP(F227,'Exit Prices'!$A:$Q,17,FALSE)&gt;0,VLOOKUP(F227,'Exit Prices'!$A:$Q,17,FALSE),0)</f>
        <v>1.7838290820427986E-2</v>
      </c>
      <c r="X227" s="202">
        <f ca="1">V227*W227*'User Inputs'!$D$7/100</f>
        <v>0</v>
      </c>
      <c r="Y227" s="199">
        <f t="shared" ca="1" si="5"/>
        <v>0</v>
      </c>
      <c r="AA227" s="164"/>
    </row>
    <row r="228" spans="5:27">
      <c r="E228" s="213" t="s">
        <v>474</v>
      </c>
      <c r="F228" s="213" t="s">
        <v>545</v>
      </c>
      <c r="G228" s="197">
        <f ca="1">(VLOOKUP(F228,'Anticipated Exit Bookings'!$B:$C,MATCH('Exit Anticipated Rev. Recovery'!$C$2,'Anticipated Exit Bookings'!$B$1:$C$1,0), FALSE))*VLOOKUP($F228, 'Exit Capacity Split'!A:H, 3,0)/100</f>
        <v>3602433.0120394365</v>
      </c>
      <c r="H228" s="200">
        <f ca="1">IF(VLOOKUP(F228,'Exit Prices'!$A:$Q,12,FALSE)&gt;0,VLOOKUP(F228,'Exit Prices'!$A:$Q,12,FALSE),0)</f>
        <v>1.9820323133808871E-2</v>
      </c>
      <c r="I228" s="202">
        <f ca="1">G228*H228*'User Inputs'!$D$7/100</f>
        <v>260615.06023780536</v>
      </c>
      <c r="J228" s="209">
        <f ca="1">(VLOOKUP(F228,'Anticipated Exit Bookings'!$B:$C,MATCH('Exit Anticipated Rev. Recovery'!$C$2,'Anticipated Exit Bookings'!$B$1:$C$1,0), FALSE))*VLOOKUP($F228, 'Exit Capacity Split'!A:H, 4,0)/100</f>
        <v>0</v>
      </c>
      <c r="K228" s="205" t="str">
        <f>IF(VLOOKUP(F228,'Exit Prices'!$A:$Q,13,FALSE)&gt;0,VLOOKUP(F228,'Exit Prices'!$A:$Q,13,FALSE),0)</f>
        <v>N/A</v>
      </c>
      <c r="L228" s="207" t="s">
        <v>428</v>
      </c>
      <c r="M228" s="209">
        <f ca="1">(VLOOKUP(F228,'Anticipated Exit Bookings'!$B:$C,MATCH('Exit Anticipated Rev. Recovery'!$C$2,'Anticipated Exit Bookings'!$B$1:$C$1,0), FALSE))*VLOOKUP($F228, 'Exit Capacity Split'!A:H, 5,0)/100</f>
        <v>0</v>
      </c>
      <c r="N228" s="205" t="str">
        <f>IF(VLOOKUP(F228,'Exit Prices'!$A:$Q,14,FALSE)&gt;0,VLOOKUP(F228,'Exit Prices'!$A:$Q,14,FALSE),0)</f>
        <v>N/A</v>
      </c>
      <c r="O228" s="207" t="s">
        <v>428</v>
      </c>
      <c r="P228" s="204">
        <f ca="1">(VLOOKUP(F228,'Anticipated Exit Bookings'!$B:$C,MATCH('Exit Anticipated Rev. Recovery'!$C$2,'Anticipated Exit Bookings'!$B$1:$C$1,0), FALSE))*VLOOKUP($F228, 'Exit Capacity Split'!A:H, 6,0)/100</f>
        <v>19090.796686514615</v>
      </c>
      <c r="Q228" s="200">
        <f ca="1">IF(VLOOKUP(F228,'Exit Prices'!$A:$Q,15,FALSE)&gt;0,VLOOKUP(F228,'Exit Prices'!$A:$Q,15,FALSE),0)</f>
        <v>1.9820323133808871E-2</v>
      </c>
      <c r="R228" s="202">
        <f ca="1">P228*Q228*'User Inputs'!$D$7/100</f>
        <v>1381.108021111271</v>
      </c>
      <c r="S228" s="209">
        <f ca="1">(VLOOKUP(F228,'Anticipated Exit Bookings'!$B:$C,MATCH('Exit Anticipated Rev. Recovery'!$C$2,'Anticipated Exit Bookings'!$B$1:$C$1,0), FALSE))*VLOOKUP($F228, 'Exit Capacity Split'!A:H, 7,0)/100</f>
        <v>4860.4959313204681</v>
      </c>
      <c r="T228" s="205" t="str">
        <f>IF(VLOOKUP(F228,'Exit Prices'!$A:$Q,16,FALSE)&gt;0,VLOOKUP(F228,'Exit Prices'!$A:$Q,16,FALSE),0)</f>
        <v>N/A</v>
      </c>
      <c r="U228" s="207" t="s">
        <v>428</v>
      </c>
      <c r="V228" s="204">
        <f ca="1">(VLOOKUP(F228,'Anticipated Exit Bookings'!$B:$C,MATCH('Exit Anticipated Rev. Recovery'!$C$2,'Anticipated Exit Bookings'!$B$1:$C$1,0), FALSE))*VLOOKUP($F228, 'Exit Capacity Split'!A:H, 8,0)/100</f>
        <v>3683775.6953427275</v>
      </c>
      <c r="W228" s="200">
        <f ca="1">IF(VLOOKUP(F228,'Exit Prices'!$A:$Q,17,FALSE)&gt;0,VLOOKUP(F228,'Exit Prices'!$A:$Q,17,FALSE),0)</f>
        <v>1.7838290820427986E-2</v>
      </c>
      <c r="X228" s="202">
        <f ca="1">V228*W228*'User Inputs'!$D$7/100</f>
        <v>239849.75692322984</v>
      </c>
      <c r="Y228" s="199">
        <f t="shared" ca="1" si="5"/>
        <v>501845.92518214649</v>
      </c>
      <c r="AA228" s="164"/>
    </row>
    <row r="229" spans="5:27">
      <c r="E229" s="213" t="s">
        <v>474</v>
      </c>
      <c r="F229" s="213" t="s">
        <v>539</v>
      </c>
      <c r="G229" s="197">
        <f ca="1">(VLOOKUP(F229,'Anticipated Exit Bookings'!$B:$C,MATCH('Exit Anticipated Rev. Recovery'!$C$2,'Anticipated Exit Bookings'!$B$1:$C$1,0), FALSE))*VLOOKUP($F229, 'Exit Capacity Split'!A:H, 3,0)/100</f>
        <v>0</v>
      </c>
      <c r="H229" s="200">
        <f ca="1">IF(VLOOKUP(F229,'Exit Prices'!$A:$Q,12,FALSE)&gt;0,VLOOKUP(F229,'Exit Prices'!$A:$Q,12,FALSE),0)</f>
        <v>1.9820323133808871E-2</v>
      </c>
      <c r="I229" s="202">
        <f ca="1">G229*H229*'User Inputs'!$D$7/100</f>
        <v>0</v>
      </c>
      <c r="J229" s="209">
        <f ca="1">(VLOOKUP(F229,'Anticipated Exit Bookings'!$B:$C,MATCH('Exit Anticipated Rev. Recovery'!$C$2,'Anticipated Exit Bookings'!$B$1:$C$1,0), FALSE))*VLOOKUP($F229, 'Exit Capacity Split'!A:H, 4,0)/100</f>
        <v>0</v>
      </c>
      <c r="K229" s="205" t="str">
        <f>IF(VLOOKUP(F229,'Exit Prices'!$A:$Q,13,FALSE)&gt;0,VLOOKUP(F229,'Exit Prices'!$A:$Q,13,FALSE),0)</f>
        <v>N/A</v>
      </c>
      <c r="L229" s="207" t="s">
        <v>428</v>
      </c>
      <c r="M229" s="209">
        <f ca="1">(VLOOKUP(F229,'Anticipated Exit Bookings'!$B:$C,MATCH('Exit Anticipated Rev. Recovery'!$C$2,'Anticipated Exit Bookings'!$B$1:$C$1,0), FALSE))*VLOOKUP($F229, 'Exit Capacity Split'!A:H, 5,0)/100</f>
        <v>0</v>
      </c>
      <c r="N229" s="205" t="str">
        <f>IF(VLOOKUP(F229,'Exit Prices'!$A:$Q,14,FALSE)&gt;0,VLOOKUP(F229,'Exit Prices'!$A:$Q,14,FALSE),0)</f>
        <v>N/A</v>
      </c>
      <c r="O229" s="207" t="s">
        <v>428</v>
      </c>
      <c r="P229" s="204">
        <f ca="1">(VLOOKUP(F229,'Anticipated Exit Bookings'!$B:$C,MATCH('Exit Anticipated Rev. Recovery'!$C$2,'Anticipated Exit Bookings'!$B$1:$C$1,0), FALSE))*VLOOKUP($F229, 'Exit Capacity Split'!A:H, 6,0)/100</f>
        <v>0</v>
      </c>
      <c r="Q229" s="200">
        <f ca="1">IF(VLOOKUP(F229,'Exit Prices'!$A:$Q,15,FALSE)&gt;0,VLOOKUP(F229,'Exit Prices'!$A:$Q,15,FALSE),0)</f>
        <v>1.9820323133808871E-2</v>
      </c>
      <c r="R229" s="202">
        <f ca="1">P229*Q229*'User Inputs'!$D$7/100</f>
        <v>0</v>
      </c>
      <c r="S229" s="209">
        <f ca="1">(VLOOKUP(F229,'Anticipated Exit Bookings'!$B:$C,MATCH('Exit Anticipated Rev. Recovery'!$C$2,'Anticipated Exit Bookings'!$B$1:$C$1,0), FALSE))*VLOOKUP($F229, 'Exit Capacity Split'!A:H, 7,0)/100</f>
        <v>0</v>
      </c>
      <c r="T229" s="205" t="str">
        <f>IF(VLOOKUP(F229,'Exit Prices'!$A:$Q,16,FALSE)&gt;0,VLOOKUP(F229,'Exit Prices'!$A:$Q,16,FALSE),0)</f>
        <v>N/A</v>
      </c>
      <c r="U229" s="207" t="s">
        <v>428</v>
      </c>
      <c r="V229" s="204">
        <f ca="1">(VLOOKUP(F229,'Anticipated Exit Bookings'!$B:$C,MATCH('Exit Anticipated Rev. Recovery'!$C$2,'Anticipated Exit Bookings'!$B$1:$C$1,0), FALSE))*VLOOKUP($F229, 'Exit Capacity Split'!A:H, 8,0)/100</f>
        <v>0</v>
      </c>
      <c r="W229" s="200">
        <f ca="1">IF(VLOOKUP(F229,'Exit Prices'!$A:$Q,17,FALSE)&gt;0,VLOOKUP(F229,'Exit Prices'!$A:$Q,17,FALSE),0)</f>
        <v>1.7838290820427986E-2</v>
      </c>
      <c r="X229" s="202">
        <f ca="1">V229*W229*'User Inputs'!$D$7/100</f>
        <v>0</v>
      </c>
      <c r="Y229" s="199">
        <f t="shared" ca="1" si="5"/>
        <v>0</v>
      </c>
      <c r="AA229" s="164"/>
    </row>
    <row r="230" spans="5:27">
      <c r="E230" s="213" t="s">
        <v>474</v>
      </c>
      <c r="F230" s="213" t="s">
        <v>540</v>
      </c>
      <c r="G230" s="197">
        <f ca="1">(VLOOKUP(F230,'Anticipated Exit Bookings'!$B:$C,MATCH('Exit Anticipated Rev. Recovery'!$C$2,'Anticipated Exit Bookings'!$B$1:$C$1,0), FALSE))*VLOOKUP($F230, 'Exit Capacity Split'!A:H, 3,0)/100</f>
        <v>16325725.278361849</v>
      </c>
      <c r="H230" s="200">
        <f ca="1">IF(VLOOKUP(F230,'Exit Prices'!$A:$Q,12,FALSE)&gt;0,VLOOKUP(F230,'Exit Prices'!$A:$Q,12,FALSE),0)</f>
        <v>1.9820323133808871E-2</v>
      </c>
      <c r="I230" s="202">
        <f ca="1">G230*H230*'User Inputs'!$D$7/100</f>
        <v>1181071.1989998713</v>
      </c>
      <c r="J230" s="209">
        <f ca="1">(VLOOKUP(F230,'Anticipated Exit Bookings'!$B:$C,MATCH('Exit Anticipated Rev. Recovery'!$C$2,'Anticipated Exit Bookings'!$B$1:$C$1,0), FALSE))*VLOOKUP($F230, 'Exit Capacity Split'!A:H, 4,0)/100</f>
        <v>0</v>
      </c>
      <c r="K230" s="205" t="str">
        <f>IF(VLOOKUP(F230,'Exit Prices'!$A:$Q,13,FALSE)&gt;0,VLOOKUP(F230,'Exit Prices'!$A:$Q,13,FALSE),0)</f>
        <v>N/A</v>
      </c>
      <c r="L230" s="207" t="s">
        <v>428</v>
      </c>
      <c r="M230" s="209">
        <f ca="1">(VLOOKUP(F230,'Anticipated Exit Bookings'!$B:$C,MATCH('Exit Anticipated Rev. Recovery'!$C$2,'Anticipated Exit Bookings'!$B$1:$C$1,0), FALSE))*VLOOKUP($F230, 'Exit Capacity Split'!A:H, 5,0)/100</f>
        <v>0</v>
      </c>
      <c r="N230" s="205" t="str">
        <f>IF(VLOOKUP(F230,'Exit Prices'!$A:$Q,14,FALSE)&gt;0,VLOOKUP(F230,'Exit Prices'!$A:$Q,14,FALSE),0)</f>
        <v>N/A</v>
      </c>
      <c r="O230" s="207" t="s">
        <v>428</v>
      </c>
      <c r="P230" s="204">
        <f ca="1">(VLOOKUP(F230,'Anticipated Exit Bookings'!$B:$C,MATCH('Exit Anticipated Rev. Recovery'!$C$2,'Anticipated Exit Bookings'!$B$1:$C$1,0), FALSE))*VLOOKUP($F230, 'Exit Capacity Split'!A:H, 6,0)/100</f>
        <v>86516.83487450963</v>
      </c>
      <c r="Q230" s="200">
        <f ca="1">IF(VLOOKUP(F230,'Exit Prices'!$A:$Q,15,FALSE)&gt;0,VLOOKUP(F230,'Exit Prices'!$A:$Q,15,FALSE),0)</f>
        <v>1.9820323133808871E-2</v>
      </c>
      <c r="R230" s="202">
        <f ca="1">P230*Q230*'User Inputs'!$D$7/100</f>
        <v>6258.9894266041547</v>
      </c>
      <c r="S230" s="209">
        <f ca="1">(VLOOKUP(F230,'Anticipated Exit Bookings'!$B:$C,MATCH('Exit Anticipated Rev. Recovery'!$C$2,'Anticipated Exit Bookings'!$B$1:$C$1,0), FALSE))*VLOOKUP($F230, 'Exit Capacity Split'!A:H, 7,0)/100</f>
        <v>22027.091420198438</v>
      </c>
      <c r="T230" s="205" t="str">
        <f>IF(VLOOKUP(F230,'Exit Prices'!$A:$Q,16,FALSE)&gt;0,VLOOKUP(F230,'Exit Prices'!$A:$Q,16,FALSE),0)</f>
        <v>N/A</v>
      </c>
      <c r="U230" s="207" t="s">
        <v>428</v>
      </c>
      <c r="V230" s="204">
        <f ca="1">(VLOOKUP(F230,'Anticipated Exit Bookings'!$B:$C,MATCH('Exit Anticipated Rev. Recovery'!$C$2,'Anticipated Exit Bookings'!$B$1:$C$1,0), FALSE))*VLOOKUP($F230, 'Exit Capacity Split'!A:H, 8,0)/100</f>
        <v>16694359.003562618</v>
      </c>
      <c r="W230" s="200">
        <f ca="1">IF(VLOOKUP(F230,'Exit Prices'!$A:$Q,17,FALSE)&gt;0,VLOOKUP(F230,'Exit Prices'!$A:$Q,17,FALSE),0)</f>
        <v>1.7838290820427986E-2</v>
      </c>
      <c r="X230" s="202">
        <f ca="1">V230*W230*'User Inputs'!$D$7/100</f>
        <v>1086965.7330265583</v>
      </c>
      <c r="Y230" s="199">
        <f t="shared" ca="1" si="5"/>
        <v>2274295.9214530336</v>
      </c>
      <c r="AA230" s="164"/>
    </row>
    <row r="231" spans="5:27">
      <c r="E231" s="213" t="s">
        <v>474</v>
      </c>
      <c r="F231" s="213" t="s">
        <v>176</v>
      </c>
      <c r="G231" s="197">
        <f ca="1">(VLOOKUP(F231,'Anticipated Exit Bookings'!$B:$C,MATCH('Exit Anticipated Rev. Recovery'!$C$2,'Anticipated Exit Bookings'!$B$1:$C$1,0), FALSE))*VLOOKUP($F231, 'Exit Capacity Split'!A:H, 3,0)/100</f>
        <v>1808853.6240762479</v>
      </c>
      <c r="H231" s="200">
        <f ca="1">IF(VLOOKUP(F231,'Exit Prices'!$A:$Q,12,FALSE)&gt;0,VLOOKUP(F231,'Exit Prices'!$A:$Q,12,FALSE),0)</f>
        <v>9.9101615669044355E-3</v>
      </c>
      <c r="I231" s="202">
        <f ca="1">G231*H231*'User Inputs'!$D$7/100</f>
        <v>65430.015578988263</v>
      </c>
      <c r="J231" s="209">
        <f ca="1">(VLOOKUP(F231,'Anticipated Exit Bookings'!$B:$C,MATCH('Exit Anticipated Rev. Recovery'!$C$2,'Anticipated Exit Bookings'!$B$1:$C$1,0), FALSE))*VLOOKUP($F231, 'Exit Capacity Split'!A:H, 4,0)/100</f>
        <v>0</v>
      </c>
      <c r="K231" s="205" t="str">
        <f>IF(VLOOKUP(F231,'Exit Prices'!$A:$Q,13,FALSE)&gt;0,VLOOKUP(F231,'Exit Prices'!$A:$Q,13,FALSE),0)</f>
        <v>N/A</v>
      </c>
      <c r="L231" s="207" t="s">
        <v>428</v>
      </c>
      <c r="M231" s="209">
        <f ca="1">(VLOOKUP(F231,'Anticipated Exit Bookings'!$B:$C,MATCH('Exit Anticipated Rev. Recovery'!$C$2,'Anticipated Exit Bookings'!$B$1:$C$1,0), FALSE))*VLOOKUP($F231, 'Exit Capacity Split'!A:H, 5,0)/100</f>
        <v>0</v>
      </c>
      <c r="N231" s="205" t="str">
        <f>IF(VLOOKUP(F231,'Exit Prices'!$A:$Q,14,FALSE)&gt;0,VLOOKUP(F231,'Exit Prices'!$A:$Q,14,FALSE),0)</f>
        <v>N/A</v>
      </c>
      <c r="O231" s="207" t="s">
        <v>428</v>
      </c>
      <c r="P231" s="204">
        <f ca="1">(VLOOKUP(F231,'Anticipated Exit Bookings'!$B:$C,MATCH('Exit Anticipated Rev. Recovery'!$C$2,'Anticipated Exit Bookings'!$B$1:$C$1,0), FALSE))*VLOOKUP($F231, 'Exit Capacity Split'!A:H, 6,0)/100</f>
        <v>0</v>
      </c>
      <c r="Q231" s="200">
        <f ca="1">IF(VLOOKUP(F231,'Exit Prices'!$A:$Q,15,FALSE)&gt;0,VLOOKUP(F231,'Exit Prices'!$A:$Q,15,FALSE),0)</f>
        <v>9.9101615669044355E-3</v>
      </c>
      <c r="R231" s="202">
        <f ca="1">P231*Q231*'User Inputs'!$D$7/100</f>
        <v>0</v>
      </c>
      <c r="S231" s="209">
        <f ca="1">(VLOOKUP(F231,'Anticipated Exit Bookings'!$B:$C,MATCH('Exit Anticipated Rev. Recovery'!$C$2,'Anticipated Exit Bookings'!$B$1:$C$1,0), FALSE))*VLOOKUP($F231, 'Exit Capacity Split'!A:H, 7,0)/100</f>
        <v>10122.179552873951</v>
      </c>
      <c r="T231" s="205" t="str">
        <f>IF(VLOOKUP(F231,'Exit Prices'!$A:$Q,16,FALSE)&gt;0,VLOOKUP(F231,'Exit Prices'!$A:$Q,16,FALSE),0)</f>
        <v>N/A</v>
      </c>
      <c r="U231" s="207" t="s">
        <v>428</v>
      </c>
      <c r="V231" s="204">
        <f ca="1">(VLOOKUP(F231,'Anticipated Exit Bookings'!$B:$C,MATCH('Exit Anticipated Rev. Recovery'!$C$2,'Anticipated Exit Bookings'!$B$1:$C$1,0), FALSE))*VLOOKUP($F231, 'Exit Capacity Split'!A:H, 8,0)/100</f>
        <v>4719349.7580147153</v>
      </c>
      <c r="W231" s="200">
        <f ca="1">IF(VLOOKUP(F231,'Exit Prices'!$A:$Q,17,FALSE)&gt;0,VLOOKUP(F231,'Exit Prices'!$A:$Q,17,FALSE),0)</f>
        <v>8.9191454102139928E-3</v>
      </c>
      <c r="X231" s="202">
        <f ca="1">V231*W231*'User Inputs'!$D$7/100</f>
        <v>153637.86857687886</v>
      </c>
      <c r="Y231" s="199">
        <f t="shared" ca="1" si="5"/>
        <v>219067.88415586713</v>
      </c>
      <c r="AA231" s="164"/>
    </row>
  </sheetData>
  <mergeCells count="18">
    <mergeCell ref="A1:C1"/>
    <mergeCell ref="A2:B2"/>
    <mergeCell ref="V1:X1"/>
    <mergeCell ref="G1:I1"/>
    <mergeCell ref="J1:L1"/>
    <mergeCell ref="M1:O1"/>
    <mergeCell ref="P1:R1"/>
    <mergeCell ref="S1:U1"/>
    <mergeCell ref="A6:C6"/>
    <mergeCell ref="A7:B7"/>
    <mergeCell ref="A3:B3"/>
    <mergeCell ref="A4:B4"/>
    <mergeCell ref="A14:B14"/>
    <mergeCell ref="A12:C12"/>
    <mergeCell ref="A8:B8"/>
    <mergeCell ref="A9:B9"/>
    <mergeCell ref="A10:B10"/>
    <mergeCell ref="A13:C13"/>
  </mergeCells>
  <conditionalFormatting sqref="C9:C10">
    <cfRule type="cellIs" dxfId="8" priority="18" operator="greaterThan">
      <formula>0</formula>
    </cfRule>
    <cfRule type="cellIs" dxfId="7" priority="19" operator="lessThan">
      <formula>0</formula>
    </cfRule>
    <cfRule type="cellIs" dxfId="6" priority="20" operator="equal">
      <formula>0</formula>
    </cfRule>
  </conditionalFormatting>
  <dataValidations count="3">
    <dataValidation type="list" allowBlank="1" showInputMessage="1" showErrorMessage="1" sqref="C2">
      <formula1>Exit_Booking_Scenarios</formula1>
    </dataValidation>
    <dataValidation type="list" allowBlank="1" showInputMessage="1" showErrorMessage="1" error="Please enter a value between 0% and 100%" sqref="C3">
      <formula1>Exit_Flow_Scenarios</formula1>
    </dataValidation>
    <dataValidation type="list" allowBlank="1" showInputMessage="1" showErrorMessage="1" error="Please enter a value between 0% and 100%" sqref="C4">
      <formula1>Yes_or_No</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70" r:id="rId4" name="Button 6">
              <controlPr defaultSize="0" print="0" autoFill="0" autoPict="0" macro="[0]!UserInputSelect">
                <anchor moveWithCells="1" sizeWithCells="1">
                  <from>
                    <xdr:col>4</xdr:col>
                    <xdr:colOff>85725</xdr:colOff>
                    <xdr:row>1</xdr:row>
                    <xdr:rowOff>9525</xdr:rowOff>
                  </from>
                  <to>
                    <xdr:col>4</xdr:col>
                    <xdr:colOff>1466850</xdr:colOff>
                    <xdr:row>1</xdr:row>
                    <xdr:rowOff>790575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F2D6863-1DA0-414B-B847-CCA0F5B043B1}">
            <xm:f>'Drop Down Inputs'!$E$10="Enduring"</xm:f>
            <x14:dxf>
              <font>
                <color theme="0" tint="-0.499984740745262"/>
              </font>
              <fill>
                <patternFill>
                  <bgColor theme="6" tint="0.79998168889431442"/>
                </patternFill>
              </fill>
            </x14:dxf>
          </x14:cfRule>
          <xm:sqref>A12:C12 A15:C15</xm:sqref>
        </x14:conditionalFormatting>
        <x14:conditionalFormatting xmlns:xm="http://schemas.microsoft.com/office/excel/2006/main">
          <x14:cfRule type="expression" priority="1" id="{972DAB9D-D2D8-445E-B51F-70BEC00F1E75}">
            <xm:f>'Drop Down Inputs'!$E$10="Transitional"</xm:f>
            <x14:dxf>
              <font>
                <color theme="0" tint="-0.499984740745262"/>
              </font>
              <fill>
                <patternFill>
                  <bgColor theme="6" tint="0.79998168889431442"/>
                </patternFill>
              </fill>
            </x14:dxf>
          </x14:cfRule>
          <xm:sqref>A13:C14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'Drop Down Inputs'!$C$33</xm:f>
          </x14:formula1>
          <xm:sqref>C19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tint="0.59999389629810485"/>
  </sheetPr>
  <dimension ref="A1:R36"/>
  <sheetViews>
    <sheetView zoomScale="80" zoomScaleNormal="80" workbookViewId="0">
      <selection activeCell="Q18" sqref="Q18"/>
    </sheetView>
  </sheetViews>
  <sheetFormatPr defaultColWidth="9.140625" defaultRowHeight="15"/>
  <cols>
    <col min="1" max="1" width="25" style="242" customWidth="1"/>
    <col min="2" max="2" width="27.7109375" style="242" customWidth="1"/>
    <col min="3" max="6" width="28.85546875" customWidth="1"/>
    <col min="7" max="7" width="28.85546875" hidden="1" customWidth="1"/>
    <col min="8" max="8" width="15.42578125" customWidth="1"/>
    <col min="9" max="9" width="13.5703125" customWidth="1"/>
    <col min="10" max="10" width="16.7109375" customWidth="1"/>
    <col min="11" max="11" width="11.42578125" customWidth="1"/>
    <col min="12" max="12" width="15.5703125" style="242" customWidth="1"/>
    <col min="13" max="13" width="15.5703125" style="242" bestFit="1" customWidth="1"/>
    <col min="14" max="14" width="20" style="242" customWidth="1"/>
    <col min="15" max="15" width="9.140625" style="242"/>
    <col min="16" max="16" width="25.5703125" style="242" bestFit="1" customWidth="1"/>
    <col min="17" max="17" width="29.5703125" style="242" customWidth="1"/>
    <col min="18" max="18" width="31.140625" style="242" customWidth="1"/>
    <col min="19" max="16384" width="9.140625" style="242"/>
  </cols>
  <sheetData>
    <row r="1" spans="1:18">
      <c r="A1" s="242" t="str">
        <f>"The following table provides a summary of the Transmission Services Entry charging information related to the year "&amp;'User Inputs'!C7&amp;", modelled in line with the inputs selected. "</f>
        <v xml:space="preserve">The following table provides a summary of the Transmission Services Entry charging information related to the year 01-Oct-2020 to 30-Sep-2021, modelled in line with the inputs selected. </v>
      </c>
    </row>
    <row r="2" spans="1:18" ht="15.75" thickBot="1"/>
    <row r="3" spans="1:18" ht="77.25" thickBot="1">
      <c r="A3" s="278" t="s">
        <v>25</v>
      </c>
      <c r="B3" s="278" t="s">
        <v>323</v>
      </c>
      <c r="C3" s="259" t="s">
        <v>518</v>
      </c>
      <c r="D3" s="259" t="s">
        <v>508</v>
      </c>
      <c r="E3" s="259" t="s">
        <v>503</v>
      </c>
      <c r="F3" s="259" t="s">
        <v>504</v>
      </c>
      <c r="G3" s="259" t="s">
        <v>505</v>
      </c>
      <c r="H3" s="259" t="s">
        <v>500</v>
      </c>
      <c r="I3" s="259" t="s">
        <v>501</v>
      </c>
      <c r="J3" s="259" t="s">
        <v>502</v>
      </c>
      <c r="K3" s="259" t="s">
        <v>525</v>
      </c>
      <c r="L3" s="258" t="s">
        <v>479</v>
      </c>
      <c r="M3" s="258" t="s">
        <v>512</v>
      </c>
      <c r="N3" s="258" t="s">
        <v>524</v>
      </c>
      <c r="Q3" s="260" t="str">
        <f>"Calculated Entry Capacity Revenue (Based on Booking Scenario)
(£) for "&amp;'User Inputs'!C7</f>
        <v>Calculated Entry Capacity Revenue (Based on Booking Scenario)
(£) for 01-Oct-2020 to 30-Sep-2021</v>
      </c>
      <c r="R3" s="260" t="str">
        <f>"Calculated Entry Revenue Recovery (Based on Booking Scenario)
(£) for "&amp;'User Inputs'!C7</f>
        <v>Calculated Entry Revenue Recovery (Based on Booking Scenario)
(£) for 01-Oct-2020 to 30-Sep-2021</v>
      </c>
    </row>
    <row r="4" spans="1:18">
      <c r="A4" s="279" t="str">
        <f>'Entry Prices'!A3</f>
        <v>Avonmouth</v>
      </c>
      <c r="B4" s="279" t="str">
        <f>'Entry Prices'!B3</f>
        <v>STORAGE SITE</v>
      </c>
      <c r="C4" s="276">
        <f ca="1">VLOOKUP(A4,'Entry Prices'!$A:$C,3,FALSE)</f>
        <v>0</v>
      </c>
      <c r="D4" s="276">
        <f>HLOOKUP('User Inputs'!$C$7,'Existing Contracts - Entry'!$A$1:$N$31,MATCH(A4,'Existing Contracts - Entry'!$A$1:$A$31,0),FALSE)</f>
        <v>0</v>
      </c>
      <c r="E4" s="276">
        <f ca="1">VLOOKUP(A4,'Entry Anticipated Rev. Recovery'!$F$1:$Y$29,2,FALSE)+VLOOKUP(A4,'Entry Anticipated Rev. Recovery'!$F$1:$Y$29,5,FALSE)+VLOOKUP(A4,'Entry Anticipated Rev. Recovery'!$F$1:$Y$29,8,FALSE)+VLOOKUP(A4,'Entry Anticipated Rev. Recovery'!$F$1:$Y$29,11,FALSE)+VLOOKUP(A4,'Entry Anticipated Rev. Recovery'!$F$1:$Y$29,14,FALSE)</f>
        <v>0</v>
      </c>
      <c r="F4" s="276">
        <f ca="1">VLOOKUP(A4,'Entry Anticipated Rev. Recovery'!$F$1:$Y$29,17,FALSE)</f>
        <v>0</v>
      </c>
      <c r="G4" s="276">
        <f ca="1">IF(B4="STORAGE SITE",E4+F4,IF('Entry Anticipated Rev. Recovery'!$C$5="Yes",D4+E4+F4,E4+F4))</f>
        <v>0</v>
      </c>
      <c r="H4" s="282">
        <f ca="1">VLOOKUP($A4, 'Entry Prices'!$A$3:$R$29, 9, 0)</f>
        <v>26.185696365442677</v>
      </c>
      <c r="I4" s="282">
        <f ca="1">VLOOKUP($A4, 'Entry Prices'!$A$3:$R$29, 13, 0)</f>
        <v>3.5870816938962574E-2</v>
      </c>
      <c r="J4" s="282">
        <f ca="1">VLOOKUP($A4, 'Entry Prices'!$A$3:$R$29, 18, 0)</f>
        <v>3.2283735245066315E-2</v>
      </c>
      <c r="K4" s="296">
        <f ca="1">'Entry Anticipated Rev. Recovery'!$C$15</f>
        <v>0</v>
      </c>
      <c r="L4" s="302">
        <f ca="1">VLOOKUP(A4,'Entry Anticipated Rev. Recovery'!F:Y,20,FALSE)</f>
        <v>0</v>
      </c>
      <c r="M4" s="299">
        <f ca="1">((E4*I4)+(F4*J4))*'User Inputs'!$D$7/100</f>
        <v>0</v>
      </c>
      <c r="N4" s="299">
        <f ca="1">((E4*K4)+(F4*K4))*'User Inputs'!$D$7/100</f>
        <v>0</v>
      </c>
      <c r="O4" s="294"/>
      <c r="P4" s="356" t="s">
        <v>267</v>
      </c>
      <c r="Q4" s="362">
        <f t="shared" ref="Q4:Q9" ca="1" si="0">SUMIF($B$4:$B$30,P4,$M$4:$M$30)</f>
        <v>6972717.5281817801</v>
      </c>
      <c r="R4" s="359">
        <f ca="1">SUMIF($B$4:$B$30,P4,$N$4:$N$30)</f>
        <v>0</v>
      </c>
    </row>
    <row r="5" spans="1:18">
      <c r="A5" s="280" t="str">
        <f>'Entry Prices'!A4</f>
        <v>Bacton IP</v>
      </c>
      <c r="B5" s="280" t="str">
        <f>'Entry Prices'!B4</f>
        <v>INTERCONNECTION POINT</v>
      </c>
      <c r="C5" s="276">
        <f ca="1">VLOOKUP(A5,'Entry Prices'!$A:$C,3,FALSE)</f>
        <v>178627069.62191781</v>
      </c>
      <c r="D5" s="276">
        <f>HLOOKUP('User Inputs'!$C$7,'Existing Contracts - Entry'!$A$1:$N$31,MATCH(A5,'Existing Contracts - Entry'!$A$1:$A$31,0),FALSE)</f>
        <v>92162298.547945201</v>
      </c>
      <c r="E5" s="276">
        <f ca="1">VLOOKUP(A5,'Entry Anticipated Rev. Recovery'!$F$1:$Y$29,2,FALSE)+VLOOKUP(A5,'Entry Anticipated Rev. Recovery'!$F$1:$Y$29,5,FALSE)+VLOOKUP(A5,'Entry Anticipated Rev. Recovery'!$F$1:$Y$29,8,FALSE)+VLOOKUP(A5,'Entry Anticipated Rev. Recovery'!$F$1:$Y$29,11,FALSE)+VLOOKUP(A5,'Entry Anticipated Rev. Recovery'!$F$1:$Y$29,14,FALSE)</f>
        <v>43418869.42453447</v>
      </c>
      <c r="F5" s="276">
        <f ca="1">VLOOKUP(A5,'Entry Anticipated Rev. Recovery'!$F$1:$Y$29,17,FALSE)</f>
        <v>43045901.649438143</v>
      </c>
      <c r="G5" s="276">
        <f ca="1">IF(B5="STORAGE SITE",E5+F5,IF('Entry Anticipated Rev. Recovery'!$C$5="Yes",D5+E5+F5,E5+F5))</f>
        <v>86464771.073972613</v>
      </c>
      <c r="H5" s="283">
        <f ca="1">VLOOKUP($A5, 'Entry Prices'!$A$3:$R$29, 9, 0)</f>
        <v>26.185696365442677</v>
      </c>
      <c r="I5" s="283">
        <f ca="1">VLOOKUP($A5, 'Entry Prices'!$A$3:$R$29, 13, 0)</f>
        <v>7.1741633877925148E-2</v>
      </c>
      <c r="J5" s="283">
        <f ca="1">VLOOKUP($A5, 'Entry Prices'!$A$3:$R$29, 18, 0)</f>
        <v>6.4567470490132631E-2</v>
      </c>
      <c r="K5" s="297">
        <f ca="1">'Entry Anticipated Rev. Recovery'!$C$15</f>
        <v>0</v>
      </c>
      <c r="L5" s="303">
        <f ca="1">VLOOKUP(A5,'Entry Anticipated Rev. Recovery'!F:Y,20,FALSE)</f>
        <v>21514215.506136686</v>
      </c>
      <c r="M5" s="300">
        <f ca="1">((E5*I5)+(F5*J5))*'User Inputs'!$D$7/100</f>
        <v>21514215.506136686</v>
      </c>
      <c r="N5" s="300">
        <f ca="1">((E5*K5)+(F5*K5))*'User Inputs'!$D$7/100</f>
        <v>0</v>
      </c>
      <c r="P5" s="357" t="s">
        <v>268</v>
      </c>
      <c r="Q5" s="363">
        <f t="shared" ca="1" si="0"/>
        <v>21514215.506136686</v>
      </c>
      <c r="R5" s="360">
        <f t="shared" ref="R5:R10" ca="1" si="1">SUMIF($B$4:$B$30,P5,$N$4:$N$30)</f>
        <v>0</v>
      </c>
    </row>
    <row r="6" spans="1:18">
      <c r="A6" s="280" t="str">
        <f>'Entry Prices'!A5</f>
        <v>Bacton UKCS</v>
      </c>
      <c r="B6" s="280" t="str">
        <f>'Entry Prices'!B5</f>
        <v>BEACH TERMINAL</v>
      </c>
      <c r="C6" s="276">
        <f ca="1">VLOOKUP(A6,'Entry Prices'!$A:$C,3,FALSE)</f>
        <v>648603335.88767123</v>
      </c>
      <c r="D6" s="276">
        <f>HLOOKUP('User Inputs'!$C$7,'Existing Contracts - Entry'!$A$1:$N$31,MATCH(A6,'Existing Contracts - Entry'!$A$1:$A$31,0),FALSE)</f>
        <v>210556462.92602739</v>
      </c>
      <c r="E6" s="276">
        <f ca="1">VLOOKUP(A6,'Entry Anticipated Rev. Recovery'!$F$1:$Y$29,2,FALSE)+VLOOKUP(A6,'Entry Anticipated Rev. Recovery'!$F$1:$Y$29,5,FALSE)+VLOOKUP(A6,'Entry Anticipated Rev. Recovery'!$F$1:$Y$29,8,FALSE)+VLOOKUP(A6,'Entry Anticipated Rev. Recovery'!$F$1:$Y$29,11,FALSE)+VLOOKUP(A6,'Entry Anticipated Rev. Recovery'!$F$1:$Y$29,14,FALSE)</f>
        <v>307900386.80947053</v>
      </c>
      <c r="F6" s="276">
        <f ca="1">VLOOKUP(A6,'Entry Anticipated Rev. Recovery'!$F$1:$Y$29,17,FALSE)</f>
        <v>130146486.15217325</v>
      </c>
      <c r="G6" s="276">
        <f ca="1">IF(B6="STORAGE SITE",E6+F6,IF('Entry Anticipated Rev. Recovery'!$C$5="Yes",D6+E6+F6,E6+F6))</f>
        <v>438046872.96164382</v>
      </c>
      <c r="H6" s="283">
        <f ca="1">VLOOKUP($A6, 'Entry Prices'!$A$3:$R$29, 9, 0)</f>
        <v>26.185696365442677</v>
      </c>
      <c r="I6" s="283">
        <f ca="1">VLOOKUP($A6, 'Entry Prices'!$A$3:$R$29, 13, 0)</f>
        <v>7.1741633877925148E-2</v>
      </c>
      <c r="J6" s="283">
        <f ca="1">VLOOKUP($A6, 'Entry Prices'!$A$3:$R$29, 18, 0)</f>
        <v>6.4567470490132631E-2</v>
      </c>
      <c r="K6" s="297">
        <f ca="1">'Entry Anticipated Rev. Recovery'!$C$15</f>
        <v>0</v>
      </c>
      <c r="L6" s="303">
        <f ca="1">VLOOKUP(A6,'Entry Anticipated Rev. Recovery'!F:Y,20,FALSE)</f>
        <v>111297647.72264238</v>
      </c>
      <c r="M6" s="300">
        <f ca="1">((E6*I6)+(F6*J6))*'User Inputs'!$D$7/100</f>
        <v>111297647.72264236</v>
      </c>
      <c r="N6" s="300">
        <f ca="1">((E6*K6)+(F6*K6))*'User Inputs'!$D$7/100</f>
        <v>0</v>
      </c>
      <c r="O6" s="294"/>
      <c r="P6" s="357" t="s">
        <v>269</v>
      </c>
      <c r="Q6" s="363">
        <f t="shared" ca="1" si="0"/>
        <v>414202905.20182329</v>
      </c>
      <c r="R6" s="360">
        <f t="shared" ca="1" si="1"/>
        <v>0</v>
      </c>
    </row>
    <row r="7" spans="1:18">
      <c r="A7" s="280" t="str">
        <f>'Entry Prices'!A6</f>
        <v>Burton Point</v>
      </c>
      <c r="B7" s="280" t="str">
        <f>'Entry Prices'!B6</f>
        <v>ONSHORE FIELD</v>
      </c>
      <c r="C7" s="276">
        <f ca="1">VLOOKUP(A7,'Entry Prices'!$A:$C,3,FALSE)</f>
        <v>14936970.808219178</v>
      </c>
      <c r="D7" s="276">
        <f>HLOOKUP('User Inputs'!$C$7,'Existing Contracts - Entry'!$A$1:$N$31,MATCH(A7,'Existing Contracts - Entry'!$A$1:$A$31,0),FALSE)</f>
        <v>7134731.1068493146</v>
      </c>
      <c r="E7" s="276">
        <f ca="1">VLOOKUP(A7,'Entry Anticipated Rev. Recovery'!$F$1:$Y$29,2,FALSE)+VLOOKUP(A7,'Entry Anticipated Rev. Recovery'!$F$1:$Y$29,5,FALSE)+VLOOKUP(A7,'Entry Anticipated Rev. Recovery'!$F$1:$Y$29,8,FALSE)+VLOOKUP(A7,'Entry Anticipated Rev. Recovery'!$F$1:$Y$29,11,FALSE)+VLOOKUP(A7,'Entry Anticipated Rev. Recovery'!$F$1:$Y$29,14,FALSE)</f>
        <v>7578131.7499912474</v>
      </c>
      <c r="F7" s="276">
        <f ca="1">VLOOKUP(A7,'Entry Anticipated Rev. Recovery'!$F$1:$Y$29,17,FALSE)</f>
        <v>224107.95137861534</v>
      </c>
      <c r="G7" s="276">
        <f ca="1">IF(B7="STORAGE SITE",E7+F7,IF('Entry Anticipated Rev. Recovery'!$C$5="Yes",D7+E7+F7,E7+F7))</f>
        <v>7802239.701369863</v>
      </c>
      <c r="H7" s="283">
        <f ca="1">VLOOKUP($A7, 'Entry Prices'!$A$3:$R$29, 9, 0)</f>
        <v>26.185696365442677</v>
      </c>
      <c r="I7" s="283">
        <f ca="1">VLOOKUP($A7, 'Entry Prices'!$A$3:$R$29, 13, 0)</f>
        <v>7.1741633877925148E-2</v>
      </c>
      <c r="J7" s="283">
        <f ca="1">VLOOKUP($A7, 'Entry Prices'!$A$3:$R$29, 18, 0)</f>
        <v>6.4567470490132631E-2</v>
      </c>
      <c r="K7" s="297">
        <f ca="1">'Entry Anticipated Rev. Recovery'!$C$15</f>
        <v>0</v>
      </c>
      <c r="L7" s="303">
        <f ca="1">VLOOKUP(A7,'Entry Anticipated Rev. Recovery'!F:Y,20,FALSE)</f>
        <v>2037202.3751368525</v>
      </c>
      <c r="M7" s="300">
        <f ca="1">((E7*I7)+(F7*J7))*'User Inputs'!$D$7/100</f>
        <v>2037202.3751368523</v>
      </c>
      <c r="N7" s="300">
        <f ca="1">((E7*K7)+(F7*K7))*'User Inputs'!$D$7/100</f>
        <v>0</v>
      </c>
      <c r="O7" s="294"/>
      <c r="P7" s="357" t="s">
        <v>270</v>
      </c>
      <c r="Q7" s="363">
        <f t="shared" ca="1" si="0"/>
        <v>2037202.3751368523</v>
      </c>
      <c r="R7" s="360">
        <f t="shared" ca="1" si="1"/>
        <v>0</v>
      </c>
    </row>
    <row r="8" spans="1:18">
      <c r="A8" s="280" t="str">
        <f>'Entry Prices'!A7</f>
        <v>Barrow</v>
      </c>
      <c r="B8" s="280" t="str">
        <f>'Entry Prices'!B7</f>
        <v>BEACH TERMINAL</v>
      </c>
      <c r="C8" s="276">
        <f ca="1">VLOOKUP(A8,'Entry Prices'!$A:$C,3,FALSE)</f>
        <v>75553005.904109582</v>
      </c>
      <c r="D8" s="276">
        <f>HLOOKUP('User Inputs'!$C$7,'Existing Contracts - Entry'!$A$1:$N$31,MATCH(A8,'Existing Contracts - Entry'!$A$1:$A$31,0),FALSE)</f>
        <v>28613480.994520549</v>
      </c>
      <c r="E8" s="276">
        <f ca="1">VLOOKUP(A8,'Entry Anticipated Rev. Recovery'!$F$1:$Y$29,2,FALSE)+VLOOKUP(A8,'Entry Anticipated Rev. Recovery'!$F$1:$Y$29,5,FALSE)+VLOOKUP(A8,'Entry Anticipated Rev. Recovery'!$F$1:$Y$29,8,FALSE)+VLOOKUP(A8,'Entry Anticipated Rev. Recovery'!$F$1:$Y$29,11,FALSE)+VLOOKUP(A8,'Entry Anticipated Rev. Recovery'!$F$1:$Y$29,14,FALSE)</f>
        <v>32993496.286368307</v>
      </c>
      <c r="F8" s="276">
        <f ca="1">VLOOKUP(A8,'Entry Anticipated Rev. Recovery'!$F$1:$Y$29,17,FALSE)</f>
        <v>13946028.623220734</v>
      </c>
      <c r="G8" s="276">
        <f ca="1">IF(B8="STORAGE SITE",E8+F8,IF('Entry Anticipated Rev. Recovery'!$C$5="Yes",D8+E8+F8,E8+F8))</f>
        <v>46939524.909589037</v>
      </c>
      <c r="H8" s="283">
        <f ca="1">VLOOKUP($A8, 'Entry Prices'!$A$3:$R$29, 9, 0)</f>
        <v>26.185696365442677</v>
      </c>
      <c r="I8" s="283">
        <f ca="1">VLOOKUP($A8, 'Entry Prices'!$A$3:$R$29, 13, 0)</f>
        <v>7.1741633877925148E-2</v>
      </c>
      <c r="J8" s="283">
        <f ca="1">VLOOKUP($A8, 'Entry Prices'!$A$3:$R$29, 18, 0)</f>
        <v>6.4567470490132631E-2</v>
      </c>
      <c r="K8" s="297">
        <f ca="1">'Entry Anticipated Rev. Recovery'!$C$15</f>
        <v>0</v>
      </c>
      <c r="L8" s="303">
        <f ca="1">VLOOKUP(A8,'Entry Anticipated Rev. Recovery'!F:Y,20,FALSE)</f>
        <v>11926254.997174887</v>
      </c>
      <c r="M8" s="300">
        <f ca="1">((E8*I8)+(F8*J8))*'User Inputs'!$D$7/100</f>
        <v>11926254.997174887</v>
      </c>
      <c r="N8" s="300">
        <f ca="1">((E8*K8)+(F8*K8))*'User Inputs'!$D$7/100</f>
        <v>0</v>
      </c>
      <c r="O8" s="294"/>
      <c r="P8" s="357" t="s">
        <v>271</v>
      </c>
      <c r="Q8" s="363">
        <f t="shared" ca="1" si="0"/>
        <v>50264.998509654884</v>
      </c>
      <c r="R8" s="360">
        <f t="shared" ca="1" si="1"/>
        <v>0</v>
      </c>
    </row>
    <row r="9" spans="1:18">
      <c r="A9" s="280" t="str">
        <f>'Entry Prices'!A8</f>
        <v>Barton Stacey</v>
      </c>
      <c r="B9" s="280" t="str">
        <f>'Entry Prices'!B8</f>
        <v>STORAGE SITE</v>
      </c>
      <c r="C9" s="276">
        <f ca="1">VLOOKUP(A9,'Entry Prices'!$A:$C,3,FALSE)</f>
        <v>80975342.465753421</v>
      </c>
      <c r="D9" s="276">
        <f>HLOOKUP('User Inputs'!$C$7,'Existing Contracts - Entry'!$A$1:$N$31,MATCH(A9,'Existing Contracts - Entry'!$A$1:$A$31,0),FALSE)</f>
        <v>80975342.465753421</v>
      </c>
      <c r="E9" s="276">
        <f ca="1">VLOOKUP(A9,'Entry Anticipated Rev. Recovery'!$F$1:$Y$29,2,FALSE)+VLOOKUP(A9,'Entry Anticipated Rev. Recovery'!$F$1:$Y$29,5,FALSE)+VLOOKUP(A9,'Entry Anticipated Rev. Recovery'!$F$1:$Y$29,8,FALSE)+VLOOKUP(A9,'Entry Anticipated Rev. Recovery'!$F$1:$Y$29,11,FALSE)+VLOOKUP(A9,'Entry Anticipated Rev. Recovery'!$F$1:$Y$29,14,FALSE)</f>
        <v>0</v>
      </c>
      <c r="F9" s="276">
        <f ca="1">VLOOKUP(A9,'Entry Anticipated Rev. Recovery'!$F$1:$Y$29,17,FALSE)</f>
        <v>0</v>
      </c>
      <c r="G9" s="276">
        <f ca="1">IF(B9="STORAGE SITE",E9+F9,IF('Entry Anticipated Rev. Recovery'!$C$5="Yes",D9+E9+F9,E9+F9))</f>
        <v>0</v>
      </c>
      <c r="H9" s="283">
        <f ca="1">VLOOKUP($A9, 'Entry Prices'!$A$3:$R$29, 9, 0)</f>
        <v>26.185696365442677</v>
      </c>
      <c r="I9" s="283">
        <f ca="1">VLOOKUP($A9, 'Entry Prices'!$A$3:$R$29, 13, 0)</f>
        <v>3.5870816938962574E-2</v>
      </c>
      <c r="J9" s="283">
        <f ca="1">VLOOKUP($A9, 'Entry Prices'!$A$3:$R$29, 18, 0)</f>
        <v>3.2283735245066315E-2</v>
      </c>
      <c r="K9" s="297">
        <f ca="1">'Entry Anticipated Rev. Recovery'!$C$15</f>
        <v>0</v>
      </c>
      <c r="L9" s="303">
        <f ca="1">VLOOKUP(A9,'Entry Anticipated Rev. Recovery'!F:Y,20,FALSE)</f>
        <v>0</v>
      </c>
      <c r="M9" s="300">
        <f ca="1">((E9*I9)+(F9*J9))*'User Inputs'!$D$7/100</f>
        <v>0</v>
      </c>
      <c r="N9" s="300">
        <f ca="1">((E9*K9)+(F9*K9))*'User Inputs'!$D$7/100</f>
        <v>0</v>
      </c>
      <c r="O9" s="294"/>
      <c r="P9" s="357" t="s">
        <v>531</v>
      </c>
      <c r="Q9" s="363">
        <f t="shared" ca="1" si="0"/>
        <v>127578.25917702852</v>
      </c>
      <c r="R9" s="363">
        <f t="shared" ca="1" si="1"/>
        <v>0</v>
      </c>
    </row>
    <row r="10" spans="1:18" ht="15.75" thickBot="1">
      <c r="A10" s="280" t="str">
        <f>'Entry Prices'!A9</f>
        <v>Canonbie</v>
      </c>
      <c r="B10" s="280" t="str">
        <f>'Entry Prices'!B9</f>
        <v>ONSHORE FIELD</v>
      </c>
      <c r="C10" s="276">
        <f ca="1">VLOOKUP(A10,'Entry Prices'!$A:$C,3,FALSE)</f>
        <v>0</v>
      </c>
      <c r="D10" s="276">
        <f>HLOOKUP('User Inputs'!$C$7,'Existing Contracts - Entry'!$A$1:$N$31,MATCH(A10,'Existing Contracts - Entry'!$A$1:$A$31,0),FALSE)</f>
        <v>0</v>
      </c>
      <c r="E10" s="276">
        <f ca="1">VLOOKUP(A10,'Entry Anticipated Rev. Recovery'!$F$1:$Y$29,2,FALSE)+VLOOKUP(A10,'Entry Anticipated Rev. Recovery'!$F$1:$Y$29,5,FALSE)+VLOOKUP(A10,'Entry Anticipated Rev. Recovery'!$F$1:$Y$29,8,FALSE)+VLOOKUP(A10,'Entry Anticipated Rev. Recovery'!$F$1:$Y$29,11,FALSE)+VLOOKUP(A10,'Entry Anticipated Rev. Recovery'!$F$1:$Y$29,14,FALSE)</f>
        <v>0</v>
      </c>
      <c r="F10" s="276">
        <f ca="1">VLOOKUP(A10,'Entry Anticipated Rev. Recovery'!$F$1:$Y$29,17,FALSE)</f>
        <v>0</v>
      </c>
      <c r="G10" s="276">
        <f ca="1">IF(B10="STORAGE SITE",E10+F10,IF('Entry Anticipated Rev. Recovery'!$C$5="Yes",D10+E10+F10,E10+F10))</f>
        <v>0</v>
      </c>
      <c r="H10" s="283">
        <f ca="1">VLOOKUP($A10, 'Entry Prices'!$A$3:$R$29, 9, 0)</f>
        <v>26.185696365442677</v>
      </c>
      <c r="I10" s="283">
        <f ca="1">VLOOKUP($A10, 'Entry Prices'!$A$3:$R$29, 13, 0)</f>
        <v>7.1741633877925148E-2</v>
      </c>
      <c r="J10" s="283">
        <f ca="1">VLOOKUP($A10, 'Entry Prices'!$A$3:$R$29, 18, 0)</f>
        <v>6.4567470490132631E-2</v>
      </c>
      <c r="K10" s="297">
        <f ca="1">'Entry Anticipated Rev. Recovery'!$C$15</f>
        <v>0</v>
      </c>
      <c r="L10" s="303">
        <f ca="1">VLOOKUP(A10,'Entry Anticipated Rev. Recovery'!F:Y,20,FALSE)</f>
        <v>0</v>
      </c>
      <c r="M10" s="300">
        <f ca="1">((E10*I10)+(F10*J10))*'User Inputs'!$D$7/100</f>
        <v>0</v>
      </c>
      <c r="N10" s="300">
        <f ca="1">((E10*K10)+(F10*K10))*'User Inputs'!$D$7/100</f>
        <v>0</v>
      </c>
      <c r="O10" s="294"/>
      <c r="P10" s="358" t="s">
        <v>522</v>
      </c>
      <c r="Q10" s="364">
        <f>'Revenue Input'!F3</f>
        <v>60021774.283854999</v>
      </c>
      <c r="R10" s="361">
        <f t="shared" si="1"/>
        <v>0</v>
      </c>
    </row>
    <row r="11" spans="1:18">
      <c r="A11" s="280" t="str">
        <f>'Entry Prices'!A10</f>
        <v>Cheshire</v>
      </c>
      <c r="B11" s="280" t="str">
        <f>'Entry Prices'!B10</f>
        <v>STORAGE SITE</v>
      </c>
      <c r="C11" s="276">
        <f ca="1">VLOOKUP(A11,'Entry Prices'!$A:$C,3,FALSE)</f>
        <v>541245000</v>
      </c>
      <c r="D11" s="276">
        <f>HLOOKUP('User Inputs'!$C$7,'Existing Contracts - Entry'!$A$1:$N$31,MATCH(A11,'Existing Contracts - Entry'!$A$1:$A$31,0),FALSE)</f>
        <v>514110000</v>
      </c>
      <c r="E11" s="276">
        <f ca="1">VLOOKUP(A11,'Entry Anticipated Rev. Recovery'!$F$1:$Y$29,2,FALSE)+VLOOKUP(A11,'Entry Anticipated Rev. Recovery'!$F$1:$Y$29,5,FALSE)+VLOOKUP(A11,'Entry Anticipated Rev. Recovery'!$F$1:$Y$29,8,FALSE)+VLOOKUP(A11,'Entry Anticipated Rev. Recovery'!$F$1:$Y$29,11,FALSE)+VLOOKUP(A11,'Entry Anticipated Rev. Recovery'!$F$1:$Y$29,14,FALSE)</f>
        <v>23294859.640489504</v>
      </c>
      <c r="F11" s="276">
        <f ca="1">VLOOKUP(A11,'Entry Anticipated Rev. Recovery'!$F$1:$Y$29,17,FALSE)</f>
        <v>3840140.3595104991</v>
      </c>
      <c r="G11" s="276">
        <f ca="1">IF(B11="STORAGE SITE",E11+F11,IF('Entry Anticipated Rev. Recovery'!$C$5="Yes",D11+E11+F11,E11+F11))</f>
        <v>27135000.000000004</v>
      </c>
      <c r="H11" s="283">
        <f ca="1">VLOOKUP($A11, 'Entry Prices'!$A$3:$R$29, 9, 0)</f>
        <v>26.185696365442677</v>
      </c>
      <c r="I11" s="283">
        <f ca="1">VLOOKUP($A11, 'Entry Prices'!$A$3:$R$29, 13, 0)</f>
        <v>3.5870816938962574E-2</v>
      </c>
      <c r="J11" s="283">
        <f ca="1">VLOOKUP($A11, 'Entry Prices'!$A$3:$R$29, 18, 0)</f>
        <v>3.2283735245066315E-2</v>
      </c>
      <c r="K11" s="297">
        <f ca="1">'Entry Anticipated Rev. Recovery'!$C$15</f>
        <v>0</v>
      </c>
      <c r="L11" s="303">
        <f ca="1">VLOOKUP(A11,'Entry Anticipated Rev. Recovery'!F:Y,20,FALSE)</f>
        <v>3502465.9796540239</v>
      </c>
      <c r="M11" s="300">
        <f ca="1">((E11*I11)+(F11*J11))*'User Inputs'!$D$7/100</f>
        <v>3502465.9796540234</v>
      </c>
      <c r="N11" s="300">
        <f ca="1">((E11*K11)+(F11*K11))*'User Inputs'!$D$7/100</f>
        <v>0</v>
      </c>
      <c r="O11" s="294"/>
    </row>
    <row r="12" spans="1:18">
      <c r="A12" s="280" t="str">
        <f>'Entry Prices'!A11</f>
        <v>Caythorpe</v>
      </c>
      <c r="B12" s="280" t="str">
        <f>'Entry Prices'!B11</f>
        <v>STORAGE SITE</v>
      </c>
      <c r="C12" s="276">
        <f ca="1">VLOOKUP(A12,'Entry Prices'!$A:$C,3,FALSE)</f>
        <v>90000000</v>
      </c>
      <c r="D12" s="276">
        <f>HLOOKUP('User Inputs'!$C$7,'Existing Contracts - Entry'!$A$1:$N$31,MATCH(A12,'Existing Contracts - Entry'!$A$1:$A$31,0),FALSE)</f>
        <v>90000000</v>
      </c>
      <c r="E12" s="276">
        <f ca="1">VLOOKUP(A12,'Entry Anticipated Rev. Recovery'!$F$1:$Y$29,2,FALSE)+VLOOKUP(A12,'Entry Anticipated Rev. Recovery'!$F$1:$Y$29,5,FALSE)+VLOOKUP(A12,'Entry Anticipated Rev. Recovery'!$F$1:$Y$29,8,FALSE)+VLOOKUP(A12,'Entry Anticipated Rev. Recovery'!$F$1:$Y$29,11,FALSE)+VLOOKUP(A12,'Entry Anticipated Rev. Recovery'!$F$1:$Y$29,14,FALSE)</f>
        <v>0</v>
      </c>
      <c r="F12" s="276">
        <f ca="1">VLOOKUP(A12,'Entry Anticipated Rev. Recovery'!$F$1:$Y$29,17,FALSE)</f>
        <v>0</v>
      </c>
      <c r="G12" s="276">
        <f ca="1">IF(B12="STORAGE SITE",E12+F12,IF('Entry Anticipated Rev. Recovery'!$C$5="Yes",D12+E12+F12,E12+F12))</f>
        <v>0</v>
      </c>
      <c r="H12" s="283">
        <f ca="1">VLOOKUP($A12, 'Entry Prices'!$A$3:$R$29, 9, 0)</f>
        <v>26.185696365442677</v>
      </c>
      <c r="I12" s="283">
        <f ca="1">VLOOKUP($A12, 'Entry Prices'!$A$3:$R$29, 13, 0)</f>
        <v>3.5870816938962574E-2</v>
      </c>
      <c r="J12" s="283">
        <f ca="1">VLOOKUP($A12, 'Entry Prices'!$A$3:$R$29, 18, 0)</f>
        <v>3.2283735245066315E-2</v>
      </c>
      <c r="K12" s="297">
        <f ca="1">'Entry Anticipated Rev. Recovery'!$C$15</f>
        <v>0</v>
      </c>
      <c r="L12" s="303">
        <f ca="1">VLOOKUP(A12,'Entry Anticipated Rev. Recovery'!F:Y,20,FALSE)</f>
        <v>0</v>
      </c>
      <c r="M12" s="300">
        <f ca="1">((E12*I12)+(F12*J12))*'User Inputs'!$D$7/100</f>
        <v>0</v>
      </c>
      <c r="N12" s="300">
        <f ca="1">((E12*K12)+(F12*K12))*'User Inputs'!$D$7/100</f>
        <v>0</v>
      </c>
      <c r="O12" s="294"/>
    </row>
    <row r="13" spans="1:18">
      <c r="A13" s="280" t="str">
        <f>'Entry Prices'!A12</f>
        <v>Dynevor Arms</v>
      </c>
      <c r="B13" s="280" t="str">
        <f>'Entry Prices'!B12</f>
        <v>STORAGE SITE</v>
      </c>
      <c r="C13" s="276">
        <f ca="1">VLOOKUP(A13,'Entry Prices'!$A:$C,3,FALSE)</f>
        <v>0</v>
      </c>
      <c r="D13" s="276">
        <f>HLOOKUP('User Inputs'!$C$7,'Existing Contracts - Entry'!$A$1:$N$31,MATCH(A13,'Existing Contracts - Entry'!$A$1:$A$31,0),FALSE)</f>
        <v>0</v>
      </c>
      <c r="E13" s="276">
        <f ca="1">VLOOKUP(A13,'Entry Anticipated Rev. Recovery'!$F$1:$Y$29,2,FALSE)+VLOOKUP(A13,'Entry Anticipated Rev. Recovery'!$F$1:$Y$29,5,FALSE)+VLOOKUP(A13,'Entry Anticipated Rev. Recovery'!$F$1:$Y$29,8,FALSE)+VLOOKUP(A13,'Entry Anticipated Rev. Recovery'!$F$1:$Y$29,11,FALSE)+VLOOKUP(A13,'Entry Anticipated Rev. Recovery'!$F$1:$Y$29,14,FALSE)</f>
        <v>0</v>
      </c>
      <c r="F13" s="276">
        <f ca="1">VLOOKUP(A13,'Entry Anticipated Rev. Recovery'!$F$1:$Y$29,17,FALSE)</f>
        <v>0</v>
      </c>
      <c r="G13" s="276">
        <f ca="1">IF(B13="STORAGE SITE",E13+F13,IF('Entry Anticipated Rev. Recovery'!$C$5="Yes",D13+E13+F13,E13+F13))</f>
        <v>0</v>
      </c>
      <c r="H13" s="283">
        <f ca="1">VLOOKUP($A13, 'Entry Prices'!$A$3:$R$29, 9, 0)</f>
        <v>26.185696365442677</v>
      </c>
      <c r="I13" s="283">
        <f ca="1">VLOOKUP($A13, 'Entry Prices'!$A$3:$R$29, 13, 0)</f>
        <v>3.5870816938962574E-2</v>
      </c>
      <c r="J13" s="283">
        <f ca="1">VLOOKUP($A13, 'Entry Prices'!$A$3:$R$29, 18, 0)</f>
        <v>3.2283735245066315E-2</v>
      </c>
      <c r="K13" s="297">
        <f ca="1">'Entry Anticipated Rev. Recovery'!$C$15</f>
        <v>0</v>
      </c>
      <c r="L13" s="303">
        <f ca="1">VLOOKUP(A13,'Entry Anticipated Rev. Recovery'!F:Y,20,FALSE)</f>
        <v>0</v>
      </c>
      <c r="M13" s="300">
        <f ca="1">((E13*I13)+(F13*J13))*'User Inputs'!$D$7/100</f>
        <v>0</v>
      </c>
      <c r="N13" s="300">
        <f ca="1">((E13*K13)+(F13*K13))*'User Inputs'!$D$7/100</f>
        <v>0</v>
      </c>
      <c r="O13" s="294"/>
    </row>
    <row r="14" spans="1:18">
      <c r="A14" s="280" t="str">
        <f>'Entry Prices'!A13</f>
        <v>Easington</v>
      </c>
      <c r="B14" s="280" t="str">
        <f>'Entry Prices'!B13</f>
        <v>BEACH TERMINAL</v>
      </c>
      <c r="C14" s="276">
        <f ca="1">VLOOKUP(A14,'Entry Prices'!$A:$C,3,FALSE)</f>
        <v>833294279.96712327</v>
      </c>
      <c r="D14" s="276">
        <f>HLOOKUP('User Inputs'!$C$7,'Existing Contracts - Entry'!$A$1:$N$31,MATCH(A14,'Existing Contracts - Entry'!$A$1:$A$31,0),FALSE)</f>
        <v>672206895.00547945</v>
      </c>
      <c r="E14" s="276">
        <f ca="1">VLOOKUP(A14,'Entry Anticipated Rev. Recovery'!$F$1:$Y$29,2,FALSE)+VLOOKUP(A14,'Entry Anticipated Rev. Recovery'!$F$1:$Y$29,5,FALSE)+VLOOKUP(A14,'Entry Anticipated Rev. Recovery'!$F$1:$Y$29,8,FALSE)+VLOOKUP(A14,'Entry Anticipated Rev. Recovery'!$F$1:$Y$29,11,FALSE)+VLOOKUP(A14,'Entry Anticipated Rev. Recovery'!$F$1:$Y$29,14,FALSE)</f>
        <v>113227307.85515547</v>
      </c>
      <c r="F14" s="276">
        <f ca="1">VLOOKUP(A14,'Entry Anticipated Rev. Recovery'!$F$1:$Y$29,17,FALSE)</f>
        <v>47860077.106488355</v>
      </c>
      <c r="G14" s="276">
        <f ca="1">IF(B14="STORAGE SITE",E14+F14,IF('Entry Anticipated Rev. Recovery'!$C$5="Yes",D14+E14+F14,E14+F14))</f>
        <v>161087384.96164382</v>
      </c>
      <c r="H14" s="283">
        <f ca="1">VLOOKUP($A14, 'Entry Prices'!$A$3:$R$29, 9, 0)</f>
        <v>26.185696365442677</v>
      </c>
      <c r="I14" s="283">
        <f ca="1">VLOOKUP($A14, 'Entry Prices'!$A$3:$R$29, 13, 0)</f>
        <v>7.1741633877925148E-2</v>
      </c>
      <c r="J14" s="283">
        <f ca="1">VLOOKUP($A14, 'Entry Prices'!$A$3:$R$29, 18, 0)</f>
        <v>6.4567470490132631E-2</v>
      </c>
      <c r="K14" s="297">
        <f ca="1">'Entry Anticipated Rev. Recovery'!$C$15</f>
        <v>0</v>
      </c>
      <c r="L14" s="303">
        <f ca="1">VLOOKUP(A14,'Entry Anticipated Rev. Recovery'!F:Y,20,FALSE)</f>
        <v>40928604.061950639</v>
      </c>
      <c r="M14" s="300">
        <f ca="1">((E14*I14)+(F14*J14))*'User Inputs'!$D$7/100</f>
        <v>40928604.061950646</v>
      </c>
      <c r="N14" s="300">
        <f ca="1">((E14*K14)+(F14*K14))*'User Inputs'!$D$7/100</f>
        <v>0</v>
      </c>
      <c r="O14" s="294"/>
    </row>
    <row r="15" spans="1:18">
      <c r="A15" s="280" t="str">
        <f>'Entry Prices'!A14</f>
        <v>Fleetwood</v>
      </c>
      <c r="B15" s="280" t="str">
        <f>'Entry Prices'!B14</f>
        <v>STORAGE SITE</v>
      </c>
      <c r="C15" s="276">
        <f ca="1">VLOOKUP(A15,'Entry Prices'!$A:$C,3,FALSE)</f>
        <v>0</v>
      </c>
      <c r="D15" s="276">
        <f>HLOOKUP('User Inputs'!$C$7,'Existing Contracts - Entry'!$A$1:$N$31,MATCH(A15,'Existing Contracts - Entry'!$A$1:$A$31,0),FALSE)</f>
        <v>0</v>
      </c>
      <c r="E15" s="276">
        <f ca="1">VLOOKUP(A15,'Entry Anticipated Rev. Recovery'!$F$1:$Y$29,2,FALSE)+VLOOKUP(A15,'Entry Anticipated Rev. Recovery'!$F$1:$Y$29,5,FALSE)+VLOOKUP(A15,'Entry Anticipated Rev. Recovery'!$F$1:$Y$29,8,FALSE)+VLOOKUP(A15,'Entry Anticipated Rev. Recovery'!$F$1:$Y$29,11,FALSE)+VLOOKUP(A15,'Entry Anticipated Rev. Recovery'!$F$1:$Y$29,14,FALSE)</f>
        <v>0</v>
      </c>
      <c r="F15" s="276">
        <f ca="1">VLOOKUP(A15,'Entry Anticipated Rev. Recovery'!$F$1:$Y$29,17,FALSE)</f>
        <v>0</v>
      </c>
      <c r="G15" s="276">
        <f ca="1">IF(B15="STORAGE SITE",E15+F15,IF('Entry Anticipated Rev. Recovery'!$C$5="Yes",D15+E15+F15,E15+F15))</f>
        <v>0</v>
      </c>
      <c r="H15" s="283">
        <f ca="1">VLOOKUP($A15, 'Entry Prices'!$A$3:$R$29, 9, 0)</f>
        <v>26.185696365442677</v>
      </c>
      <c r="I15" s="283">
        <f ca="1">VLOOKUP($A15, 'Entry Prices'!$A$3:$R$29, 13, 0)</f>
        <v>3.5870816938962574E-2</v>
      </c>
      <c r="J15" s="283">
        <f ca="1">VLOOKUP($A15, 'Entry Prices'!$A$3:$R$29, 18, 0)</f>
        <v>3.2283735245066315E-2</v>
      </c>
      <c r="K15" s="297">
        <f ca="1">'Entry Anticipated Rev. Recovery'!$C$15</f>
        <v>0</v>
      </c>
      <c r="L15" s="303">
        <f ca="1">VLOOKUP(A15,'Entry Anticipated Rev. Recovery'!F:Y,20,FALSE)</f>
        <v>0</v>
      </c>
      <c r="M15" s="300">
        <f ca="1">((E15*I15)+(F15*J15))*'User Inputs'!$D$7/100</f>
        <v>0</v>
      </c>
      <c r="N15" s="300">
        <f ca="1">((E15*K15)+(F15*K15))*'User Inputs'!$D$7/100</f>
        <v>0</v>
      </c>
      <c r="O15" s="294"/>
    </row>
    <row r="16" spans="1:18">
      <c r="A16" s="280" t="str">
        <f>'Entry Prices'!A15</f>
        <v>Glenmavis</v>
      </c>
      <c r="B16" s="280" t="str">
        <f>'Entry Prices'!B15</f>
        <v>STORAGE SITE</v>
      </c>
      <c r="C16" s="276">
        <f ca="1">VLOOKUP(A16,'Entry Prices'!$A:$C,3,FALSE)</f>
        <v>0</v>
      </c>
      <c r="D16" s="276">
        <f>HLOOKUP('User Inputs'!$C$7,'Existing Contracts - Entry'!$A$1:$N$31,MATCH(A16,'Existing Contracts - Entry'!$A$1:$A$31,0),FALSE)</f>
        <v>0</v>
      </c>
      <c r="E16" s="276">
        <f ca="1">VLOOKUP(A16,'Entry Anticipated Rev. Recovery'!$F$1:$Y$29,2,FALSE)+VLOOKUP(A16,'Entry Anticipated Rev. Recovery'!$F$1:$Y$29,5,FALSE)+VLOOKUP(A16,'Entry Anticipated Rev. Recovery'!$F$1:$Y$29,8,FALSE)+VLOOKUP(A16,'Entry Anticipated Rev. Recovery'!$F$1:$Y$29,11,FALSE)+VLOOKUP(A16,'Entry Anticipated Rev. Recovery'!$F$1:$Y$29,14,FALSE)</f>
        <v>0</v>
      </c>
      <c r="F16" s="276">
        <f ca="1">VLOOKUP(A16,'Entry Anticipated Rev. Recovery'!$F$1:$Y$29,17,FALSE)</f>
        <v>0</v>
      </c>
      <c r="G16" s="276">
        <f ca="1">IF(B16="STORAGE SITE",E16+F16,IF('Entry Anticipated Rev. Recovery'!$C$5="Yes",D16+E16+F16,E16+F16))</f>
        <v>0</v>
      </c>
      <c r="H16" s="283">
        <f ca="1">VLOOKUP($A16, 'Entry Prices'!$A$3:$R$29, 9, 0)</f>
        <v>26.185696365442677</v>
      </c>
      <c r="I16" s="283">
        <f ca="1">VLOOKUP($A16, 'Entry Prices'!$A$3:$R$29, 13, 0)</f>
        <v>3.5870816938962574E-2</v>
      </c>
      <c r="J16" s="283">
        <f ca="1">VLOOKUP($A16, 'Entry Prices'!$A$3:$R$29, 18, 0)</f>
        <v>3.2283735245066315E-2</v>
      </c>
      <c r="K16" s="297">
        <f ca="1">'Entry Anticipated Rev. Recovery'!$C$15</f>
        <v>0</v>
      </c>
      <c r="L16" s="303">
        <f ca="1">VLOOKUP(A16,'Entry Anticipated Rev. Recovery'!F:Y,20,FALSE)</f>
        <v>0</v>
      </c>
      <c r="M16" s="300">
        <f ca="1">((E16*I16)+(F16*J16))*'User Inputs'!$D$7/100</f>
        <v>0</v>
      </c>
      <c r="N16" s="300">
        <f ca="1">((E16*K16)+(F16*K16))*'User Inputs'!$D$7/100</f>
        <v>0</v>
      </c>
      <c r="O16" s="294"/>
    </row>
    <row r="17" spans="1:15">
      <c r="A17" s="280" t="str">
        <f>'Entry Prices'!A16</f>
        <v>Garton</v>
      </c>
      <c r="B17" s="280" t="str">
        <f>'Entry Prices'!B16</f>
        <v>STORAGE SITE</v>
      </c>
      <c r="C17" s="276">
        <f ca="1">VLOOKUP(A17,'Entry Prices'!$A:$C,3,FALSE)</f>
        <v>420000000</v>
      </c>
      <c r="D17" s="276">
        <f>HLOOKUP('User Inputs'!$C$7,'Existing Contracts - Entry'!$A$1:$N$31,MATCH(A17,'Existing Contracts - Entry'!$A$1:$A$31,0),FALSE)</f>
        <v>420000000</v>
      </c>
      <c r="E17" s="276">
        <f ca="1">VLOOKUP(A17,'Entry Anticipated Rev. Recovery'!$F$1:$Y$29,2,FALSE)+VLOOKUP(A17,'Entry Anticipated Rev. Recovery'!$F$1:$Y$29,5,FALSE)+VLOOKUP(A17,'Entry Anticipated Rev. Recovery'!$F$1:$Y$29,8,FALSE)+VLOOKUP(A17,'Entry Anticipated Rev. Recovery'!$F$1:$Y$29,11,FALSE)+VLOOKUP(A17,'Entry Anticipated Rev. Recovery'!$F$1:$Y$29,14,FALSE)</f>
        <v>0</v>
      </c>
      <c r="F17" s="276">
        <f ca="1">VLOOKUP(A17,'Entry Anticipated Rev. Recovery'!$F$1:$Y$29,17,FALSE)</f>
        <v>0</v>
      </c>
      <c r="G17" s="276">
        <f ca="1">IF(B17="STORAGE SITE",E17+F17,IF('Entry Anticipated Rev. Recovery'!$C$5="Yes",D17+E17+F17,E17+F17))</f>
        <v>0</v>
      </c>
      <c r="H17" s="283">
        <f ca="1">VLOOKUP($A17, 'Entry Prices'!$A$3:$R$29, 9, 0)</f>
        <v>26.185696365442677</v>
      </c>
      <c r="I17" s="283">
        <f ca="1">VLOOKUP($A17, 'Entry Prices'!$A$3:$R$29, 13, 0)</f>
        <v>3.5870816938962574E-2</v>
      </c>
      <c r="J17" s="283">
        <f ca="1">VLOOKUP($A17, 'Entry Prices'!$A$3:$R$29, 18, 0)</f>
        <v>3.2283735245066315E-2</v>
      </c>
      <c r="K17" s="297">
        <f ca="1">'Entry Anticipated Rev. Recovery'!$C$15</f>
        <v>0</v>
      </c>
      <c r="L17" s="303">
        <f ca="1">VLOOKUP(A17,'Entry Anticipated Rev. Recovery'!F:Y,20,FALSE)</f>
        <v>0</v>
      </c>
      <c r="M17" s="300">
        <f ca="1">((E17*I17)+(F17*J17))*'User Inputs'!$D$7/100</f>
        <v>0</v>
      </c>
      <c r="N17" s="300">
        <f ca="1">((E17*K17)+(F17*K17))*'User Inputs'!$D$7/100</f>
        <v>0</v>
      </c>
      <c r="O17" s="294"/>
    </row>
    <row r="18" spans="1:15">
      <c r="A18" s="280" t="str">
        <f>'Entry Prices'!A17</f>
        <v>Hole House Farm</v>
      </c>
      <c r="B18" s="280" t="str">
        <f>'Entry Prices'!B17</f>
        <v>STORAGE SITE</v>
      </c>
      <c r="C18" s="276">
        <f ca="1">VLOOKUP(A18,'Entry Prices'!$A:$C,3,FALSE)</f>
        <v>283440000</v>
      </c>
      <c r="D18" s="276">
        <f>HLOOKUP('User Inputs'!$C$7,'Existing Contracts - Entry'!$A$1:$N$31,MATCH(A18,'Existing Contracts - Entry'!$A$1:$A$31,0),FALSE)</f>
        <v>283440000</v>
      </c>
      <c r="E18" s="276">
        <f ca="1">VLOOKUP(A18,'Entry Anticipated Rev. Recovery'!$F$1:$Y$29,2,FALSE)+VLOOKUP(A18,'Entry Anticipated Rev. Recovery'!$F$1:$Y$29,5,FALSE)+VLOOKUP(A18,'Entry Anticipated Rev. Recovery'!$F$1:$Y$29,8,FALSE)+VLOOKUP(A18,'Entry Anticipated Rev. Recovery'!$F$1:$Y$29,11,FALSE)+VLOOKUP(A18,'Entry Anticipated Rev. Recovery'!$F$1:$Y$29,14,FALSE)</f>
        <v>0</v>
      </c>
      <c r="F18" s="276">
        <f ca="1">VLOOKUP(A18,'Entry Anticipated Rev. Recovery'!$F$1:$Y$29,17,FALSE)</f>
        <v>0</v>
      </c>
      <c r="G18" s="276">
        <f ca="1">IF(B18="STORAGE SITE",E18+F18,IF('Entry Anticipated Rev. Recovery'!$C$5="Yes",D18+E18+F18,E18+F18))</f>
        <v>0</v>
      </c>
      <c r="H18" s="283">
        <f ca="1">VLOOKUP($A18, 'Entry Prices'!$A$3:$R$29, 9, 0)</f>
        <v>26.185696365442677</v>
      </c>
      <c r="I18" s="283">
        <f ca="1">VLOOKUP($A18, 'Entry Prices'!$A$3:$R$29, 13, 0)</f>
        <v>3.5870816938962574E-2</v>
      </c>
      <c r="J18" s="283">
        <f ca="1">VLOOKUP($A18, 'Entry Prices'!$A$3:$R$29, 18, 0)</f>
        <v>3.2283735245066315E-2</v>
      </c>
      <c r="K18" s="297">
        <f ca="1">'Entry Anticipated Rev. Recovery'!$C$15</f>
        <v>0</v>
      </c>
      <c r="L18" s="303">
        <f ca="1">VLOOKUP(A18,'Entry Anticipated Rev. Recovery'!F:Y,20,FALSE)</f>
        <v>0</v>
      </c>
      <c r="M18" s="300">
        <f ca="1">((E18*I18)+(F18*J18))*'User Inputs'!$D$7/100</f>
        <v>0</v>
      </c>
      <c r="N18" s="300">
        <f ca="1">((E18*K18)+(F18*K18))*'User Inputs'!$D$7/100</f>
        <v>0</v>
      </c>
      <c r="O18" s="294"/>
    </row>
    <row r="19" spans="1:15">
      <c r="A19" s="280" t="str">
        <f>'Entry Prices'!A18</f>
        <v>Hatfield Moor (onshore)</v>
      </c>
      <c r="B19" s="280" t="str">
        <f>'Entry Prices'!B18</f>
        <v>ONSHORE FIELD</v>
      </c>
      <c r="C19" s="276">
        <f ca="1">VLOOKUP(A19,'Entry Prices'!$A:$C,3,FALSE)</f>
        <v>0</v>
      </c>
      <c r="D19" s="276">
        <f>HLOOKUP('User Inputs'!$C$7,'Existing Contracts - Entry'!$A$1:$N$31,MATCH(A19,'Existing Contracts - Entry'!$A$1:$A$31,0),FALSE)</f>
        <v>0</v>
      </c>
      <c r="E19" s="276">
        <f ca="1">VLOOKUP(A19,'Entry Anticipated Rev. Recovery'!$F$1:$Y$29,2,FALSE)+VLOOKUP(A19,'Entry Anticipated Rev. Recovery'!$F$1:$Y$29,5,FALSE)+VLOOKUP(A19,'Entry Anticipated Rev. Recovery'!$F$1:$Y$29,8,FALSE)+VLOOKUP(A19,'Entry Anticipated Rev. Recovery'!$F$1:$Y$29,11,FALSE)+VLOOKUP(A19,'Entry Anticipated Rev. Recovery'!$F$1:$Y$29,14,FALSE)</f>
        <v>0</v>
      </c>
      <c r="F19" s="276">
        <f ca="1">VLOOKUP(A19,'Entry Anticipated Rev. Recovery'!$F$1:$Y$29,17,FALSE)</f>
        <v>0</v>
      </c>
      <c r="G19" s="276">
        <f ca="1">IF(B19="STORAGE SITE",E19+F19,IF('Entry Anticipated Rev. Recovery'!$C$5="Yes",D19+E19+F19,E19+F19))</f>
        <v>0</v>
      </c>
      <c r="H19" s="283">
        <f ca="1">VLOOKUP($A19, 'Entry Prices'!$A$3:$R$29, 9, 0)</f>
        <v>26.185696365442677</v>
      </c>
      <c r="I19" s="283">
        <f ca="1">VLOOKUP($A19, 'Entry Prices'!$A$3:$R$29, 13, 0)</f>
        <v>7.1741633877925148E-2</v>
      </c>
      <c r="J19" s="283">
        <f ca="1">VLOOKUP($A19, 'Entry Prices'!$A$3:$R$29, 18, 0)</f>
        <v>6.4567470490132631E-2</v>
      </c>
      <c r="K19" s="297">
        <f ca="1">'Entry Anticipated Rev. Recovery'!$C$15</f>
        <v>0</v>
      </c>
      <c r="L19" s="303">
        <f ca="1">VLOOKUP(A19,'Entry Anticipated Rev. Recovery'!F:Y,20,FALSE)</f>
        <v>0</v>
      </c>
      <c r="M19" s="300">
        <f ca="1">((E19*I19)+(F19*J19))*'User Inputs'!$D$7/100</f>
        <v>0</v>
      </c>
      <c r="N19" s="300">
        <f ca="1">((E19*K19)+(F19*K19))*'User Inputs'!$D$7/100</f>
        <v>0</v>
      </c>
      <c r="O19" s="294"/>
    </row>
    <row r="20" spans="1:15">
      <c r="A20" s="280" t="str">
        <f>'Entry Prices'!A19</f>
        <v>Hornsea</v>
      </c>
      <c r="B20" s="280" t="str">
        <f>'Entry Prices'!B19</f>
        <v>STORAGE SITE</v>
      </c>
      <c r="C20" s="276">
        <f ca="1">VLOOKUP(A20,'Entry Prices'!$A:$C,3,FALSE)</f>
        <v>77588014.975342467</v>
      </c>
      <c r="D20" s="276">
        <f>HLOOKUP('User Inputs'!$C$7,'Existing Contracts - Entry'!$A$1:$N$31,MATCH(A20,'Existing Contracts - Entry'!$A$1:$A$31,0),FALSE)</f>
        <v>50742739.726027399</v>
      </c>
      <c r="E20" s="276">
        <f ca="1">VLOOKUP(A20,'Entry Anticipated Rev. Recovery'!$F$1:$Y$29,2,FALSE)+VLOOKUP(A20,'Entry Anticipated Rev. Recovery'!$F$1:$Y$29,5,FALSE)+VLOOKUP(A20,'Entry Anticipated Rev. Recovery'!$F$1:$Y$29,8,FALSE)+VLOOKUP(A20,'Entry Anticipated Rev. Recovery'!$F$1:$Y$29,11,FALSE)+VLOOKUP(A20,'Entry Anticipated Rev. Recovery'!$F$1:$Y$29,14,FALSE)</f>
        <v>23046136.684838813</v>
      </c>
      <c r="F20" s="276">
        <f ca="1">VLOOKUP(A20,'Entry Anticipated Rev. Recovery'!$F$1:$Y$29,17,FALSE)</f>
        <v>3799138.5644762511</v>
      </c>
      <c r="G20" s="276">
        <f ca="1">IF(B20="STORAGE SITE",E20+F20,IF('Entry Anticipated Rev. Recovery'!$C$5="Yes",D20+E20+F20,E20+F20))</f>
        <v>26845275.249315064</v>
      </c>
      <c r="H20" s="283">
        <f ca="1">VLOOKUP($A20, 'Entry Prices'!$A$3:$R$29, 9, 0)</f>
        <v>26.185696365442677</v>
      </c>
      <c r="I20" s="283">
        <f ca="1">VLOOKUP($A20, 'Entry Prices'!$A$3:$R$29, 13, 0)</f>
        <v>3.5870816938962574E-2</v>
      </c>
      <c r="J20" s="283">
        <f ca="1">VLOOKUP($A20, 'Entry Prices'!$A$3:$R$29, 18, 0)</f>
        <v>3.2283735245066315E-2</v>
      </c>
      <c r="K20" s="297">
        <f ca="1">'Entry Anticipated Rev. Recovery'!$C$15</f>
        <v>0</v>
      </c>
      <c r="L20" s="303">
        <f ca="1">VLOOKUP(A20,'Entry Anticipated Rev. Recovery'!F:Y,20,FALSE)</f>
        <v>3465069.5881766793</v>
      </c>
      <c r="M20" s="300">
        <f ca="1">((E20*I20)+(F20*J20))*'User Inputs'!$D$7/100</f>
        <v>3465069.5881766798</v>
      </c>
      <c r="N20" s="300">
        <f ca="1">((E20*K20)+(F20*K20))*'User Inputs'!$D$7/100</f>
        <v>0</v>
      </c>
      <c r="O20" s="294"/>
    </row>
    <row r="21" spans="1:15">
      <c r="A21" s="280" t="str">
        <f>'Entry Prices'!A20</f>
        <v>Hatfield Moor (storage)</v>
      </c>
      <c r="B21" s="280" t="str">
        <f>'Entry Prices'!B20</f>
        <v>STORAGE SITE</v>
      </c>
      <c r="C21" s="276">
        <f ca="1">VLOOKUP(A21,'Entry Prices'!$A:$C,3,FALSE)</f>
        <v>5424657.5342465751</v>
      </c>
      <c r="D21" s="276">
        <f>HLOOKUP('User Inputs'!$C$7,'Existing Contracts - Entry'!$A$1:$N$31,MATCH(A21,'Existing Contracts - Entry'!$A$1:$A$31,0),FALSE)</f>
        <v>5424657.5342465751</v>
      </c>
      <c r="E21" s="276">
        <f ca="1">VLOOKUP(A21,'Entry Anticipated Rev. Recovery'!$F$1:$Y$29,2,FALSE)+VLOOKUP(A21,'Entry Anticipated Rev. Recovery'!$F$1:$Y$29,5,FALSE)+VLOOKUP(A21,'Entry Anticipated Rev. Recovery'!$F$1:$Y$29,8,FALSE)+VLOOKUP(A21,'Entry Anticipated Rev. Recovery'!$F$1:$Y$29,11,FALSE)+VLOOKUP(A21,'Entry Anticipated Rev. Recovery'!$F$1:$Y$29,14,FALSE)</f>
        <v>0</v>
      </c>
      <c r="F21" s="276">
        <f ca="1">VLOOKUP(A21,'Entry Anticipated Rev. Recovery'!$F$1:$Y$29,17,FALSE)</f>
        <v>0</v>
      </c>
      <c r="G21" s="276">
        <f ca="1">IF(B21="STORAGE SITE",E21+F21,IF('Entry Anticipated Rev. Recovery'!$C$5="Yes",D21+E21+F21,E21+F21))</f>
        <v>0</v>
      </c>
      <c r="H21" s="283">
        <f ca="1">VLOOKUP($A21, 'Entry Prices'!$A$3:$R$29, 9, 0)</f>
        <v>26.185696365442677</v>
      </c>
      <c r="I21" s="283">
        <f ca="1">VLOOKUP($A21, 'Entry Prices'!$A$3:$R$29, 13, 0)</f>
        <v>3.5870816938962574E-2</v>
      </c>
      <c r="J21" s="283">
        <f ca="1">VLOOKUP($A21, 'Entry Prices'!$A$3:$R$29, 18, 0)</f>
        <v>3.2283735245066315E-2</v>
      </c>
      <c r="K21" s="297">
        <f ca="1">'Entry Anticipated Rev. Recovery'!$C$15</f>
        <v>0</v>
      </c>
      <c r="L21" s="303">
        <f ca="1">VLOOKUP(A21,'Entry Anticipated Rev. Recovery'!F:Y,20,FALSE)</f>
        <v>0</v>
      </c>
      <c r="M21" s="300">
        <f ca="1">((E21*I21)+(F21*J21))*'User Inputs'!$D$7/100</f>
        <v>0</v>
      </c>
      <c r="N21" s="300">
        <f ca="1">((E21*K21)+(F21*K21))*'User Inputs'!$D$7/100</f>
        <v>0</v>
      </c>
      <c r="O21" s="294"/>
    </row>
    <row r="22" spans="1:15">
      <c r="A22" s="280" t="str">
        <f>'Entry Prices'!A21</f>
        <v>Isle of Grain</v>
      </c>
      <c r="B22" s="280" t="str">
        <f>'Entry Prices'!B21</f>
        <v>LNG IMPORTATION TERMINAL</v>
      </c>
      <c r="C22" s="276">
        <f ca="1">VLOOKUP(A22,'Entry Prices'!$A:$C,3,FALSE)</f>
        <v>643590136.98630142</v>
      </c>
      <c r="D22" s="276">
        <f>HLOOKUP('User Inputs'!$C$7,'Existing Contracts - Entry'!$A$1:$N$31,MATCH(A22,'Existing Contracts - Entry'!$A$1:$A$31,0),FALSE)</f>
        <v>643392876.71232879</v>
      </c>
      <c r="E22" s="276">
        <f ca="1">VLOOKUP(A22,'Entry Anticipated Rev. Recovery'!$F$1:$Y$29,2,FALSE)+VLOOKUP(A22,'Entry Anticipated Rev. Recovery'!$F$1:$Y$29,5,FALSE)+VLOOKUP(A22,'Entry Anticipated Rev. Recovery'!$F$1:$Y$29,8,FALSE)+VLOOKUP(A22,'Entry Anticipated Rev. Recovery'!$F$1:$Y$29,11,FALSE)+VLOOKUP(A22,'Entry Anticipated Rev. Recovery'!$F$1:$Y$29,14,FALSE)</f>
        <v>144216.89246105356</v>
      </c>
      <c r="F22" s="276">
        <f ca="1">VLOOKUP(A22,'Entry Anticipated Rev. Recovery'!$F$1:$Y$29,17,FALSE)</f>
        <v>53043.381511576961</v>
      </c>
      <c r="G22" s="276">
        <f ca="1">IF(B22="STORAGE SITE",E22+F22,IF('Entry Anticipated Rev. Recovery'!$C$5="Yes",D22+E22+F22,E22+F22))</f>
        <v>197260.27397263053</v>
      </c>
      <c r="H22" s="283">
        <f ca="1">VLOOKUP($A22, 'Entry Prices'!$A$3:$R$29, 9, 0)</f>
        <v>26.185696365442677</v>
      </c>
      <c r="I22" s="283">
        <f ca="1">VLOOKUP($A22, 'Entry Prices'!$A$3:$R$29, 13, 0)</f>
        <v>7.1741633877925148E-2</v>
      </c>
      <c r="J22" s="283">
        <f ca="1">VLOOKUP($A22, 'Entry Prices'!$A$3:$R$29, 18, 0)</f>
        <v>6.4567470490132631E-2</v>
      </c>
      <c r="K22" s="297">
        <f ca="1">'Entry Anticipated Rev. Recovery'!$C$15</f>
        <v>0</v>
      </c>
      <c r="L22" s="303">
        <f ca="1">VLOOKUP(A22,'Entry Anticipated Rev. Recovery'!F:Y,20,FALSE)</f>
        <v>50264.998509654884</v>
      </c>
      <c r="M22" s="300">
        <f ca="1">((E22*I22)+(F22*J22))*'User Inputs'!$D$7/100</f>
        <v>50264.998509654884</v>
      </c>
      <c r="N22" s="300">
        <f ca="1">((E22*K22)+(F22*K22))*'User Inputs'!$D$7/100</f>
        <v>0</v>
      </c>
      <c r="O22" s="294"/>
    </row>
    <row r="23" spans="1:15">
      <c r="A23" s="280" t="str">
        <f>'Entry Prices'!A22</f>
        <v>Milford Haven</v>
      </c>
      <c r="B23" s="280" t="str">
        <f>'Entry Prices'!B22</f>
        <v>LNG IMPORTATION TERMINAL</v>
      </c>
      <c r="C23" s="276">
        <f ca="1">VLOOKUP(A23,'Entry Prices'!$A:$C,3,FALSE)</f>
        <v>649178082.19178081</v>
      </c>
      <c r="D23" s="276">
        <f>HLOOKUP('User Inputs'!$C$7,'Existing Contracts - Entry'!$A$1:$N$31,MATCH(A23,'Existing Contracts - Entry'!$A$1:$A$31,0),FALSE)</f>
        <v>649178082.19178081</v>
      </c>
      <c r="E23" s="276">
        <f ca="1">VLOOKUP(A23,'Entry Anticipated Rev. Recovery'!$F$1:$Y$29,2,FALSE)+VLOOKUP(A23,'Entry Anticipated Rev. Recovery'!$F$1:$Y$29,5,FALSE)+VLOOKUP(A23,'Entry Anticipated Rev. Recovery'!$F$1:$Y$29,8,FALSE)+VLOOKUP(A23,'Entry Anticipated Rev. Recovery'!$F$1:$Y$29,11,FALSE)+VLOOKUP(A23,'Entry Anticipated Rev. Recovery'!$F$1:$Y$29,14,FALSE)</f>
        <v>0</v>
      </c>
      <c r="F23" s="276">
        <f ca="1">VLOOKUP(A23,'Entry Anticipated Rev. Recovery'!$F$1:$Y$29,17,FALSE)</f>
        <v>0</v>
      </c>
      <c r="G23" s="276">
        <f ca="1">IF(B23="STORAGE SITE",E23+F23,IF('Entry Anticipated Rev. Recovery'!$C$5="Yes",D23+E23+F23,E23+F23))</f>
        <v>0</v>
      </c>
      <c r="H23" s="283">
        <f ca="1">VLOOKUP($A23, 'Entry Prices'!$A$3:$R$29, 9, 0)</f>
        <v>26.185696365442677</v>
      </c>
      <c r="I23" s="283">
        <f ca="1">VLOOKUP($A23, 'Entry Prices'!$A$3:$R$29, 13, 0)</f>
        <v>7.1741633877925148E-2</v>
      </c>
      <c r="J23" s="283">
        <f ca="1">VLOOKUP($A23, 'Entry Prices'!$A$3:$R$29, 18, 0)</f>
        <v>6.4567470490132631E-2</v>
      </c>
      <c r="K23" s="297">
        <f ca="1">'Entry Anticipated Rev. Recovery'!$C$15</f>
        <v>0</v>
      </c>
      <c r="L23" s="303">
        <f ca="1">VLOOKUP(A23,'Entry Anticipated Rev. Recovery'!F:Y,20,FALSE)</f>
        <v>0</v>
      </c>
      <c r="M23" s="300">
        <f ca="1">((E23*I23)+(F23*J23))*'User Inputs'!$D$7/100</f>
        <v>0</v>
      </c>
      <c r="N23" s="300">
        <f ca="1">((E23*K23)+(F23*K23))*'User Inputs'!$D$7/100</f>
        <v>0</v>
      </c>
      <c r="O23" s="294"/>
    </row>
    <row r="24" spans="1:15">
      <c r="A24" s="280" t="str">
        <f>'Entry Prices'!A23</f>
        <v>Partington</v>
      </c>
      <c r="B24" s="280" t="str">
        <f>'Entry Prices'!B23</f>
        <v>STORAGE SITE</v>
      </c>
      <c r="C24" s="276">
        <f ca="1">VLOOKUP(A24,'Entry Prices'!$A:$C,3,FALSE)</f>
        <v>40146.71232876712</v>
      </c>
      <c r="D24" s="276">
        <f>HLOOKUP('User Inputs'!$C$7,'Existing Contracts - Entry'!$A$1:$N$31,MATCH(A24,'Existing Contracts - Entry'!$A$1:$A$31,0),FALSE)</f>
        <v>0</v>
      </c>
      <c r="E24" s="276">
        <f ca="1">VLOOKUP(A24,'Entry Anticipated Rev. Recovery'!$F$1:$Y$29,2,FALSE)+VLOOKUP(A24,'Entry Anticipated Rev. Recovery'!$F$1:$Y$29,5,FALSE)+VLOOKUP(A24,'Entry Anticipated Rev. Recovery'!$F$1:$Y$29,8,FALSE)+VLOOKUP(A24,'Entry Anticipated Rev. Recovery'!$F$1:$Y$29,11,FALSE)+VLOOKUP(A24,'Entry Anticipated Rev. Recovery'!$F$1:$Y$29,14,FALSE)</f>
        <v>34465.156761589809</v>
      </c>
      <c r="F24" s="276">
        <f ca="1">VLOOKUP(A24,'Entry Anticipated Rev. Recovery'!$F$1:$Y$29,17,FALSE)</f>
        <v>5681.5555671773118</v>
      </c>
      <c r="G24" s="276">
        <f ca="1">IF(B24="STORAGE SITE",E24+F24,IF('Entry Anticipated Rev. Recovery'!$C$5="Yes",D24+E24+F24,E24+F24))</f>
        <v>40146.71232876712</v>
      </c>
      <c r="H24" s="283">
        <f ca="1">VLOOKUP($A24, 'Entry Prices'!$A$3:$R$29, 9, 0)</f>
        <v>26.185696365442677</v>
      </c>
      <c r="I24" s="283">
        <f ca="1">VLOOKUP($A24, 'Entry Prices'!$A$3:$R$29, 13, 0)</f>
        <v>3.5870816938962574E-2</v>
      </c>
      <c r="J24" s="283">
        <f ca="1">VLOOKUP($A24, 'Entry Prices'!$A$3:$R$29, 18, 0)</f>
        <v>3.2283735245066315E-2</v>
      </c>
      <c r="K24" s="297">
        <f ca="1">'Entry Anticipated Rev. Recovery'!$C$15</f>
        <v>0</v>
      </c>
      <c r="L24" s="303">
        <f ca="1">VLOOKUP(A24,'Entry Anticipated Rev. Recovery'!F:Y,20,FALSE)</f>
        <v>5181.9603510766028</v>
      </c>
      <c r="M24" s="300">
        <f ca="1">((E24*I24)+(F24*J24))*'User Inputs'!$D$7/100</f>
        <v>5181.9603510766019</v>
      </c>
      <c r="N24" s="300">
        <f ca="1">((E24*K24)+(F24*K24))*'User Inputs'!$D$7/100</f>
        <v>0</v>
      </c>
      <c r="O24" s="294"/>
    </row>
    <row r="25" spans="1:15">
      <c r="A25" s="280" t="str">
        <f>'Entry Prices'!A24</f>
        <v>Moffat (Irish Interconnector)</v>
      </c>
      <c r="B25" s="280" t="str">
        <f>'Entry Prices'!B24</f>
        <v>INTERCONNECTION POINT</v>
      </c>
      <c r="C25" s="276">
        <f ca="1">VLOOKUP(A25,'Entry Prices'!$A:$C,3,FALSE)</f>
        <v>0</v>
      </c>
      <c r="D25" s="276">
        <f>HLOOKUP('User Inputs'!$C$7,'Existing Contracts - Entry'!$A$1:$N$31,MATCH(A25,'Existing Contracts - Entry'!$A$1:$A$31,0),FALSE)</f>
        <v>0</v>
      </c>
      <c r="E25" s="276">
        <f ca="1">VLOOKUP(A25,'Entry Anticipated Rev. Recovery'!$F$1:$Y$29,2,FALSE)+VLOOKUP(A25,'Entry Anticipated Rev. Recovery'!$F$1:$Y$29,5,FALSE)+VLOOKUP(A25,'Entry Anticipated Rev. Recovery'!$F$1:$Y$29,8,FALSE)+VLOOKUP(A25,'Entry Anticipated Rev. Recovery'!$F$1:$Y$29,11,FALSE)+VLOOKUP(A25,'Entry Anticipated Rev. Recovery'!$F$1:$Y$29,14,FALSE)</f>
        <v>0</v>
      </c>
      <c r="F25" s="276">
        <f ca="1">VLOOKUP(A25,'Entry Anticipated Rev. Recovery'!$F$1:$Y$29,17,FALSE)</f>
        <v>0</v>
      </c>
      <c r="G25" s="276">
        <f ca="1">IF(B25="STORAGE SITE",E25+F25,IF('Entry Anticipated Rev. Recovery'!$C$5="Yes",D25+E25+F25,E25+F25))</f>
        <v>0</v>
      </c>
      <c r="H25" s="283">
        <f ca="1">VLOOKUP($A25, 'Entry Prices'!$A$3:$R$29, 9, 0)</f>
        <v>26.185696365442677</v>
      </c>
      <c r="I25" s="283">
        <f ca="1">VLOOKUP($A25, 'Entry Prices'!$A$3:$R$29, 13, 0)</f>
        <v>7.1741633877925148E-2</v>
      </c>
      <c r="J25" s="283">
        <f ca="1">VLOOKUP($A25, 'Entry Prices'!$A$3:$R$29, 18, 0)</f>
        <v>6.4567470490132631E-2</v>
      </c>
      <c r="K25" s="297">
        <f ca="1">'Entry Anticipated Rev. Recovery'!$C$15</f>
        <v>0</v>
      </c>
      <c r="L25" s="303">
        <f ca="1">VLOOKUP(A25,'Entry Anticipated Rev. Recovery'!F:Y,20,FALSE)</f>
        <v>0</v>
      </c>
      <c r="M25" s="300">
        <f ca="1">((E25*I25)+(F25*J25))*'User Inputs'!$D$7/100</f>
        <v>0</v>
      </c>
      <c r="N25" s="300">
        <f ca="1">((E25*K25)+(F25*K25))*'User Inputs'!$D$7/100</f>
        <v>0</v>
      </c>
      <c r="O25" s="294"/>
    </row>
    <row r="26" spans="1:15">
      <c r="A26" s="280" t="s">
        <v>533</v>
      </c>
      <c r="B26" s="280" t="s">
        <v>531</v>
      </c>
      <c r="C26" s="276">
        <f ca="1">VLOOKUP(A26,'Entry Prices'!$A:$C,3,FALSE)</f>
        <v>500000</v>
      </c>
      <c r="D26" s="276">
        <f>HLOOKUP('User Inputs'!$C$7,'Existing Contracts - Entry'!$A$1:$N$31,MATCH(A26,'Existing Contracts - Entry'!$A$1:$A$31,0),FALSE)</f>
        <v>0</v>
      </c>
      <c r="E26" s="276">
        <f ca="1">VLOOKUP(A26,'Entry Anticipated Rev. Recovery'!$F$1:$Y$29,2,FALSE)+VLOOKUP(A26,'Entry Anticipated Rev. Recovery'!$F$1:$Y$29,5,FALSE)+VLOOKUP(A26,'Entry Anticipated Rev. Recovery'!$F$1:$Y$29,8,FALSE)+VLOOKUP(A26,'Entry Anticipated Rev. Recovery'!$F$1:$Y$29,11,FALSE)+VLOOKUP(A26,'Entry Anticipated Rev. Recovery'!$F$1:$Y$29,14,FALSE)</f>
        <v>372059.05837179907</v>
      </c>
      <c r="F26" s="276">
        <f ca="1">VLOOKUP(A26,'Entry Anticipated Rev. Recovery'!$F$1:$Y$29,17,FALSE)</f>
        <v>127940.94162820098</v>
      </c>
      <c r="G26" s="276">
        <f ca="1">IF(B26="STORAGE SITE",E26+F26,IF('Entry Anticipated Rev. Recovery'!$C$5="Yes",D26+E26+F26,E26+F26))</f>
        <v>500000.00000000006</v>
      </c>
      <c r="H26" s="283">
        <f ca="1">VLOOKUP($A26, 'Entry Prices'!$A$3:$R$29, 9, 0)</f>
        <v>26.185696365442677</v>
      </c>
      <c r="I26" s="283">
        <f ca="1">VLOOKUP($A26, 'Entry Prices'!$A$3:$R$29, 13, 0)</f>
        <v>7.1741633877925148E-2</v>
      </c>
      <c r="J26" s="283">
        <f ca="1">VLOOKUP($A26, 'Entry Prices'!$A$3:$R$29, 18, 0)</f>
        <v>6.4567470490132631E-2</v>
      </c>
      <c r="K26" s="297">
        <f ca="1">'Entry Anticipated Rev. Recovery'!$C$15</f>
        <v>0</v>
      </c>
      <c r="L26" s="303">
        <f ca="1">VLOOKUP(A26,'Entry Anticipated Rev. Recovery'!F:Y,20,FALSE)</f>
        <v>127578.25917702849</v>
      </c>
      <c r="M26" s="300">
        <f ca="1">((E26*I26)+(F26*J26))*'User Inputs'!$D$7/100</f>
        <v>127578.25917702852</v>
      </c>
      <c r="N26" s="300">
        <f ca="1">((E26*K26)+(F26*K26))*'User Inputs'!$D$7/100</f>
        <v>0</v>
      </c>
      <c r="O26" s="294"/>
    </row>
    <row r="27" spans="1:15">
      <c r="A27" s="280" t="str">
        <f>'Entry Prices'!A26</f>
        <v>St Fergus</v>
      </c>
      <c r="B27" s="280" t="str">
        <f>'Entry Prices'!B26</f>
        <v>BEACH TERMINAL</v>
      </c>
      <c r="C27" s="276">
        <f ca="1">VLOOKUP(A27,'Entry Prices'!$A:$C,3,FALSE)</f>
        <v>786035942.57168889</v>
      </c>
      <c r="D27" s="276">
        <f>HLOOKUP('User Inputs'!$C$7,'Existing Contracts - Entry'!$A$1:$N$31,MATCH(A27,'Existing Contracts - Entry'!$A$1:$A$31,0),FALSE)</f>
        <v>53730053.983561642</v>
      </c>
      <c r="E27" s="276">
        <f ca="1">VLOOKUP(A27,'Entry Anticipated Rev. Recovery'!$F$1:$Y$29,2,FALSE)+VLOOKUP(A27,'Entry Anticipated Rev. Recovery'!$F$1:$Y$29,5,FALSE)+VLOOKUP(A27,'Entry Anticipated Rev. Recovery'!$F$1:$Y$29,8,FALSE)+VLOOKUP(A27,'Entry Anticipated Rev. Recovery'!$F$1:$Y$29,11,FALSE)+VLOOKUP(A27,'Entry Anticipated Rev. Recovery'!$F$1:$Y$29,14,FALSE)</f>
        <v>514733194.72567183</v>
      </c>
      <c r="F27" s="276">
        <f ca="1">VLOOKUP(A27,'Entry Anticipated Rev. Recovery'!$F$1:$Y$29,17,FALSE)</f>
        <v>217572693.8624554</v>
      </c>
      <c r="G27" s="276">
        <f ca="1">IF(B27="STORAGE SITE",E27+F27,IF('Entry Anticipated Rev. Recovery'!$C$5="Yes",D27+E27+F27,E27+F27))</f>
        <v>732305888.58812726</v>
      </c>
      <c r="H27" s="283">
        <f ca="1">VLOOKUP($A27, 'Entry Prices'!$A$3:$R$29, 9, 0)</f>
        <v>26.185696365442677</v>
      </c>
      <c r="I27" s="283">
        <f ca="1">VLOOKUP($A27, 'Entry Prices'!$A$3:$R$29, 13, 0)</f>
        <v>7.1741633877925148E-2</v>
      </c>
      <c r="J27" s="283">
        <f ca="1">VLOOKUP($A27, 'Entry Prices'!$A$3:$R$29, 18, 0)</f>
        <v>6.4567470490132631E-2</v>
      </c>
      <c r="K27" s="297">
        <f ca="1">'Entry Anticipated Rev. Recovery'!$C$15</f>
        <v>0</v>
      </c>
      <c r="L27" s="303">
        <f ca="1">VLOOKUP(A27,'Entry Anticipated Rev. Recovery'!F:Y,20,FALSE)</f>
        <v>186062103.95305026</v>
      </c>
      <c r="M27" s="300">
        <f ca="1">((E27*I27)+(F27*J27))*'User Inputs'!$D$7/100</f>
        <v>186062103.95305026</v>
      </c>
      <c r="N27" s="300">
        <f ca="1">((E27*K27)+(F27*K27))*'User Inputs'!$D$7/100</f>
        <v>0</v>
      </c>
      <c r="O27" s="294"/>
    </row>
    <row r="28" spans="1:15">
      <c r="A28" s="280" t="str">
        <f>'Entry Prices'!A27</f>
        <v>Teesside</v>
      </c>
      <c r="B28" s="280" t="str">
        <f>'Entry Prices'!B27</f>
        <v>BEACH TERMINAL</v>
      </c>
      <c r="C28" s="276">
        <f ca="1">VLOOKUP(A28,'Entry Prices'!$A:$C,3,FALSE)</f>
        <v>293042284.44999158</v>
      </c>
      <c r="D28" s="276">
        <f>HLOOKUP('User Inputs'!$C$7,'Existing Contracts - Entry'!$A$1:$N$31,MATCH(A28,'Existing Contracts - Entry'!$A$1:$A$31,0),FALSE)</f>
        <v>51920075.95890411</v>
      </c>
      <c r="E28" s="276">
        <f ca="1">VLOOKUP(A28,'Entry Anticipated Rev. Recovery'!$F$1:$Y$29,2,FALSE)+VLOOKUP(A28,'Entry Anticipated Rev. Recovery'!$F$1:$Y$29,5,FALSE)+VLOOKUP(A28,'Entry Anticipated Rev. Recovery'!$F$1:$Y$29,8,FALSE)+VLOOKUP(A28,'Entry Anticipated Rev. Recovery'!$F$1:$Y$29,11,FALSE)+VLOOKUP(A28,'Entry Anticipated Rev. Recovery'!$F$1:$Y$29,14,FALSE)</f>
        <v>169483281.00326461</v>
      </c>
      <c r="F28" s="276">
        <f ca="1">VLOOKUP(A28,'Entry Anticipated Rev. Recovery'!$F$1:$Y$29,17,FALSE)</f>
        <v>71638927.487822846</v>
      </c>
      <c r="G28" s="276">
        <f ca="1">IF(B28="STORAGE SITE",E28+F28,IF('Entry Anticipated Rev. Recovery'!$C$5="Yes",D28+E28+F28,E28+F28))</f>
        <v>241122208.49108744</v>
      </c>
      <c r="H28" s="283">
        <f ca="1">VLOOKUP($A28, 'Entry Prices'!$A$3:$R$29, 9, 0)</f>
        <v>26.185696365442677</v>
      </c>
      <c r="I28" s="283">
        <f ca="1">VLOOKUP($A28, 'Entry Prices'!$A$3:$R$29, 13, 0)</f>
        <v>7.1741633877925148E-2</v>
      </c>
      <c r="J28" s="283">
        <f ca="1">VLOOKUP($A28, 'Entry Prices'!$A$3:$R$29, 18, 0)</f>
        <v>6.4567470490132631E-2</v>
      </c>
      <c r="K28" s="297">
        <f ca="1">'Entry Anticipated Rev. Recovery'!$C$15</f>
        <v>0</v>
      </c>
      <c r="L28" s="303">
        <f ca="1">VLOOKUP(A28,'Entry Anticipated Rev. Recovery'!F:Y,20,FALSE)</f>
        <v>61263614.181983724</v>
      </c>
      <c r="M28" s="300">
        <f ca="1">((E28*I28)+(F28*J28))*'User Inputs'!$D$7/100</f>
        <v>61263614.181983717</v>
      </c>
      <c r="N28" s="300">
        <f ca="1">((E28*K28)+(F28*K28))*'User Inputs'!$D$7/100</f>
        <v>0</v>
      </c>
      <c r="O28" s="294"/>
    </row>
    <row r="29" spans="1:15">
      <c r="A29" s="280" t="str">
        <f>'Entry Prices'!A28</f>
        <v>Theddlethorpe</v>
      </c>
      <c r="B29" s="280" t="str">
        <f>'Entry Prices'!B28</f>
        <v>BEACH TERMINAL</v>
      </c>
      <c r="C29" s="276">
        <f ca="1">VLOOKUP(A29,'Entry Prices'!$A:$C,3,FALSE)</f>
        <v>10723835.616438357</v>
      </c>
      <c r="D29" s="276">
        <f>HLOOKUP('User Inputs'!$C$7,'Existing Contracts - Entry'!$A$1:$N$31,MATCH(A29,'Existing Contracts - Entry'!$A$1:$A$31,0),FALSE)</f>
        <v>0</v>
      </c>
      <c r="E29" s="276">
        <f ca="1">VLOOKUP(A29,'Entry Anticipated Rev. Recovery'!$F$1:$Y$29,2,FALSE)+VLOOKUP(A29,'Entry Anticipated Rev. Recovery'!$F$1:$Y$29,5,FALSE)+VLOOKUP(A29,'Entry Anticipated Rev. Recovery'!$F$1:$Y$29,8,FALSE)+VLOOKUP(A29,'Entry Anticipated Rev. Recovery'!$F$1:$Y$29,11,FALSE)+VLOOKUP(A29,'Entry Anticipated Rev. Recovery'!$F$1:$Y$29,14,FALSE)</f>
        <v>7537716.4823903795</v>
      </c>
      <c r="F29" s="276">
        <f ca="1">VLOOKUP(A29,'Entry Anticipated Rev. Recovery'!$F$1:$Y$29,17,FALSE)</f>
        <v>3186119.1340479772</v>
      </c>
      <c r="G29" s="276">
        <f ca="1">IF(B29="STORAGE SITE",E29+F29,IF('Entry Anticipated Rev. Recovery'!$C$5="Yes",D29+E29+F29,E29+F29))</f>
        <v>10723835.616438357</v>
      </c>
      <c r="H29" s="283">
        <f ca="1">VLOOKUP($A29, 'Entry Prices'!$A$3:$R$29, 9, 0)</f>
        <v>26.185696365442677</v>
      </c>
      <c r="I29" s="283">
        <f ca="1">VLOOKUP($A29, 'Entry Prices'!$A$3:$R$29, 13, 0)</f>
        <v>7.1741633877925148E-2</v>
      </c>
      <c r="J29" s="283">
        <f ca="1">VLOOKUP($A29, 'Entry Prices'!$A$3:$R$29, 18, 0)</f>
        <v>6.4567470490132631E-2</v>
      </c>
      <c r="K29" s="297">
        <f ca="1">'Entry Anticipated Rev. Recovery'!$C$15</f>
        <v>0</v>
      </c>
      <c r="L29" s="303">
        <f ca="1">VLOOKUP(A29,'Entry Anticipated Rev. Recovery'!F:Y,20,FALSE)</f>
        <v>2724680.2850214392</v>
      </c>
      <c r="M29" s="300">
        <f ca="1">((E29*I29)+(F29*J29))*'User Inputs'!$D$7/100</f>
        <v>2724680.2850214387</v>
      </c>
      <c r="N29" s="300">
        <f ca="1">((E29*K29)+(F29*K29))*'User Inputs'!$D$7/100</f>
        <v>0</v>
      </c>
      <c r="O29" s="294"/>
    </row>
    <row r="30" spans="1:15" ht="15.75" thickBot="1">
      <c r="A30" s="281" t="str">
        <f>'Entry Prices'!A29</f>
        <v>Wytch Farm</v>
      </c>
      <c r="B30" s="281" t="str">
        <f>'Entry Prices'!B29</f>
        <v>ONSHORE FIELD</v>
      </c>
      <c r="C30" s="285">
        <f ca="1">VLOOKUP(A30,'Entry Prices'!$A:$C,3,FALSE)</f>
        <v>0</v>
      </c>
      <c r="D30" s="286">
        <f>HLOOKUP('User Inputs'!$C$7,'Existing Contracts - Entry'!$A$1:$N$31,MATCH(A30,'Existing Contracts - Entry'!$A$1:$A$31,0),FALSE)</f>
        <v>0</v>
      </c>
      <c r="E30" s="286">
        <f ca="1">VLOOKUP(A30,'Entry Anticipated Rev. Recovery'!$F$1:$Y$29,2,FALSE)+VLOOKUP(A30,'Entry Anticipated Rev. Recovery'!$F$1:$Y$29,5,FALSE)+VLOOKUP(A30,'Entry Anticipated Rev. Recovery'!$F$1:$Y$29,8,FALSE)+VLOOKUP(A30,'Entry Anticipated Rev. Recovery'!$F$1:$Y$29,11,FALSE)+VLOOKUP(A30,'Entry Anticipated Rev. Recovery'!$F$1:$Y$29,14,FALSE)</f>
        <v>0</v>
      </c>
      <c r="F30" s="287">
        <f ca="1">VLOOKUP(A30,'Entry Anticipated Rev. Recovery'!$F$1:$Y$29,17,FALSE)</f>
        <v>0</v>
      </c>
      <c r="G30" s="276">
        <f ca="1">IF(B30="STORAGE SITE",E30+F30,IF('Entry Anticipated Rev. Recovery'!$C$5="Yes",D30+E30+F30,E30+F30))</f>
        <v>0</v>
      </c>
      <c r="H30" s="284">
        <f ca="1">VLOOKUP($A30, 'Entry Prices'!$A$3:$R$29, 9, 0)</f>
        <v>26.185696365442677</v>
      </c>
      <c r="I30" s="284">
        <f ca="1">VLOOKUP($A30, 'Entry Prices'!$A$3:$R$29, 13, 0)</f>
        <v>7.1741633877925148E-2</v>
      </c>
      <c r="J30" s="284">
        <f ca="1">VLOOKUP($A30, 'Entry Prices'!$A$3:$R$29, 18, 0)</f>
        <v>6.4567470490132631E-2</v>
      </c>
      <c r="K30" s="298">
        <f ca="1">'Entry Anticipated Rev. Recovery'!$C$15</f>
        <v>0</v>
      </c>
      <c r="L30" s="304">
        <f ca="1">VLOOKUP(A30,'Entry Anticipated Rev. Recovery'!F:Y,20,FALSE)</f>
        <v>0</v>
      </c>
      <c r="M30" s="301">
        <f ca="1">((E30*I30)+(F30*J30))*'User Inputs'!$D$7/100</f>
        <v>0</v>
      </c>
      <c r="N30" s="301">
        <f ca="1">((E30*K30)+(F30*K30))*'User Inputs'!$D$7/100</f>
        <v>0</v>
      </c>
      <c r="O30" s="294"/>
    </row>
    <row r="31" spans="1:15">
      <c r="A31" s="249"/>
      <c r="B31" s="249"/>
    </row>
    <row r="32" spans="1:15">
      <c r="C32" s="137"/>
      <c r="D32" s="137"/>
      <c r="K32" s="265"/>
    </row>
    <row r="33" spans="4:11">
      <c r="D33" s="137"/>
      <c r="G33" s="65"/>
      <c r="K33" s="265"/>
    </row>
    <row r="34" spans="4:11">
      <c r="D34" s="137"/>
    </row>
    <row r="35" spans="4:11">
      <c r="D35" s="137"/>
    </row>
    <row r="36" spans="4:11">
      <c r="D36" s="370"/>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1EC37CE2-4B04-4EE4-90E9-3931C2F23626}">
            <xm:f>'Drop Down Inputs'!$E$10="Transitional"</xm:f>
            <x14:dxf>
              <font>
                <color theme="0" tint="-0.24994659260841701"/>
              </font>
            </x14:dxf>
          </x14:cfRule>
          <xm:sqref>K4:K30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59999389629810485"/>
  </sheetPr>
  <dimension ref="A1:Q235"/>
  <sheetViews>
    <sheetView zoomScale="80" zoomScaleNormal="80" workbookViewId="0">
      <pane xSplit="1" ySplit="3" topLeftCell="B223" activePane="bottomRight" state="frozen"/>
      <selection pane="topRight" activeCell="B1" sqref="B1"/>
      <selection pane="bottomLeft" activeCell="A2" sqref="A2"/>
      <selection pane="bottomRight" activeCell="K248" sqref="K248"/>
    </sheetView>
  </sheetViews>
  <sheetFormatPr defaultColWidth="9.140625" defaultRowHeight="15"/>
  <cols>
    <col min="1" max="1" width="25" style="242" customWidth="1"/>
    <col min="2" max="2" width="27.7109375" style="242" customWidth="1"/>
    <col min="3" max="6" width="28.85546875" customWidth="1"/>
    <col min="7" max="7" width="15.42578125" customWidth="1"/>
    <col min="8" max="8" width="13.5703125" customWidth="1"/>
    <col min="9" max="9" width="16.7109375" customWidth="1"/>
    <col min="10" max="10" width="11.42578125" customWidth="1"/>
    <col min="11" max="11" width="14.5703125" style="242" customWidth="1"/>
    <col min="12" max="13" width="15.28515625" style="242" customWidth="1"/>
    <col min="14" max="14" width="9.140625" style="242"/>
    <col min="15" max="15" width="24.140625" style="242" customWidth="1"/>
    <col min="16" max="16" width="29.5703125" style="242" customWidth="1"/>
    <col min="17" max="17" width="28.7109375" style="242" customWidth="1"/>
    <col min="18" max="16384" width="9.140625" style="242"/>
  </cols>
  <sheetData>
    <row r="1" spans="1:17">
      <c r="A1" s="242" t="str">
        <f>"The following table provides a summary of the Transmission Services Exit charging information related to the year "&amp;'User Inputs'!C7&amp;", modelled in line with the inputs selected. "</f>
        <v xml:space="preserve">The following table provides a summary of the Transmission Services Exit charging information related to the year 01-Oct-2020 to 30-Sep-2021, modelled in line with the inputs selected. </v>
      </c>
    </row>
    <row r="2" spans="1:17" ht="15.75" thickBot="1"/>
    <row r="3" spans="1:17" ht="90" thickBot="1">
      <c r="A3" s="289" t="s">
        <v>244</v>
      </c>
      <c r="B3" s="310" t="s">
        <v>329</v>
      </c>
      <c r="C3" s="289" t="s">
        <v>506</v>
      </c>
      <c r="D3" s="289" t="s">
        <v>503</v>
      </c>
      <c r="E3" s="289" t="s">
        <v>504</v>
      </c>
      <c r="F3" s="289" t="s">
        <v>505</v>
      </c>
      <c r="G3" s="289" t="s">
        <v>500</v>
      </c>
      <c r="H3" s="289" t="s">
        <v>501</v>
      </c>
      <c r="I3" s="289" t="s">
        <v>502</v>
      </c>
      <c r="J3" s="292" t="s">
        <v>526</v>
      </c>
      <c r="K3" s="258" t="s">
        <v>479</v>
      </c>
      <c r="L3" s="258" t="s">
        <v>512</v>
      </c>
      <c r="M3" s="258" t="s">
        <v>524</v>
      </c>
      <c r="P3" s="260" t="str">
        <f>"Calculated Exit Capacity Revenue (Based on Booking Scenario) (£) for "&amp;'User Inputs'!C7</f>
        <v>Calculated Exit Capacity Revenue (Based on Booking Scenario) (£) for 01-Oct-2020 to 30-Sep-2021</v>
      </c>
      <c r="Q3" s="260" t="str">
        <f>"Calculated Exit Revenue Recovery (Based on Booking Scenario) (£) for "&amp;'User Inputs'!C7</f>
        <v>Calculated Exit Revenue Recovery (Based on Booking Scenario) (£) for 01-Oct-2020 to 30-Sep-2021</v>
      </c>
    </row>
    <row r="4" spans="1:17">
      <c r="A4" s="308" t="str">
        <f>'Exit Prices'!A3</f>
        <v>Aberdeen</v>
      </c>
      <c r="B4" s="279" t="str">
        <f>VLOOKUP(A4,'Locations &amp; Types'!E:I,4,FALSE)</f>
        <v>GDN (SC)</v>
      </c>
      <c r="C4" s="290">
        <f ca="1">VLOOKUP(A4,'Exit Prices'!$A:$C,3,FALSE)</f>
        <v>21639348</v>
      </c>
      <c r="D4" s="291">
        <f ca="1">VLOOKUP(A4,'Exit Anticipated Rev. Recovery'!$F$1:$Y$231,2,FALSE)+VLOOKUP(A4,'Exit Anticipated Rev. Recovery'!$F$1:$Y$231,5,FALSE)+VLOOKUP(A4,'Exit Anticipated Rev. Recovery'!$F$1:$Y$231,8,FALSE)+VLOOKUP(A4,'Exit Anticipated Rev. Recovery'!$F$1:$Y$231,11,FALSE)+VLOOKUP(A4,'Exit Anticipated Rev. Recovery'!$F$1:$Y$231,14,FALSE)</f>
        <v>21097573.664960593</v>
      </c>
      <c r="E4" s="291">
        <f ca="1">VLOOKUP(A4,'Exit Anticipated Rev. Recovery'!$F$1:$Y$231,17,FALSE)</f>
        <v>541774.33503941121</v>
      </c>
      <c r="F4" s="291">
        <f t="shared" ref="F4:F67" ca="1" si="0">D4+E4</f>
        <v>21639348.000000004</v>
      </c>
      <c r="G4" s="283">
        <f ca="1">VLOOKUP($A4, 'Exit Prices'!$A$3:$Q$231, 8, 0)</f>
        <v>7.2344179438402385</v>
      </c>
      <c r="H4" s="283">
        <f ca="1">VLOOKUP($A4, 'Exit Prices'!$A$3:$Q$231, 12, 0)</f>
        <v>1.9820323133808871E-2</v>
      </c>
      <c r="I4" s="283">
        <f ca="1">VLOOKUP($A4, 'Exit Prices'!$A$3:$Q$231,17, 0)</f>
        <v>1.7838290820427986E-2</v>
      </c>
      <c r="J4" s="297">
        <f ca="1">'Exit Anticipated Rev. Recovery'!$C$14</f>
        <v>0</v>
      </c>
      <c r="K4" s="307">
        <f ca="1">VLOOKUP(A4,'Exit Anticipated Rev. Recovery'!F:Y,20,FALSE)</f>
        <v>1560119.8495458318</v>
      </c>
      <c r="L4" s="305">
        <f ca="1">((D4*H4)+(E4*I4))*'User Inputs'!$D$7/100</f>
        <v>1561561.4526711127</v>
      </c>
      <c r="M4" s="305">
        <f ca="1">((D4*J4)+(E4*J4))*'User Inputs'!$D$7/100</f>
        <v>0</v>
      </c>
      <c r="O4" s="243" t="s">
        <v>289</v>
      </c>
      <c r="P4" s="244">
        <f t="shared" ref="P4:P20" ca="1" si="1">SUMIF($B$4:$B$232,O4,$L$4:$L$232)</f>
        <v>22562571.969121497</v>
      </c>
      <c r="Q4" s="244">
        <f t="shared" ref="Q4:Q20" ca="1" si="2">SUMIF($B$4:$B$232,O4,$M$4:$M$232)</f>
        <v>0</v>
      </c>
    </row>
    <row r="5" spans="1:17">
      <c r="A5" s="309" t="str">
        <f>'Exit Prices'!A4</f>
        <v>Abson (Seabank Power Station phase I)</v>
      </c>
      <c r="B5" s="280" t="str">
        <f>VLOOKUP(A5,'Locations &amp; Types'!E:I,4,FALSE)</f>
        <v>POWER STATION</v>
      </c>
      <c r="C5" s="291">
        <f ca="1">VLOOKUP(A5,'Exit Prices'!$A:$C,3,FALSE)</f>
        <v>27992295.175342463</v>
      </c>
      <c r="D5" s="291">
        <f ca="1">VLOOKUP(A5,'Exit Anticipated Rev. Recovery'!$F$1:$Y$231,2,FALSE)+VLOOKUP(A5,'Exit Anticipated Rev. Recovery'!$F$1:$Y$231,5,FALSE)+VLOOKUP(A5,'Exit Anticipated Rev. Recovery'!$F$1:$Y$231,8,FALSE)+VLOOKUP(A5,'Exit Anticipated Rev. Recovery'!$F$1:$Y$231,11,FALSE)+VLOOKUP(A5,'Exit Anticipated Rev. Recovery'!$F$1:$Y$231,14,FALSE)</f>
        <v>13886265.126234638</v>
      </c>
      <c r="E5" s="291">
        <f ca="1">VLOOKUP(A5,'Exit Anticipated Rev. Recovery'!$F$1:$Y$231,17,FALSE)</f>
        <v>14106030.049107825</v>
      </c>
      <c r="F5" s="291">
        <f t="shared" ca="1" si="0"/>
        <v>27992295.175342463</v>
      </c>
      <c r="G5" s="283">
        <f ca="1">VLOOKUP($A5, 'Exit Prices'!$A$3:$Q$231, 8, 0)</f>
        <v>7.2344179438402385</v>
      </c>
      <c r="H5" s="283">
        <f ca="1">VLOOKUP($A5, 'Exit Prices'!$A$3:$Q$231, 12, 0)</f>
        <v>1.9820323133808871E-2</v>
      </c>
      <c r="I5" s="283">
        <f ca="1">VLOOKUP($A5, 'Exit Prices'!$A$3:$Q$231,17, 0)</f>
        <v>1.7838290820427986E-2</v>
      </c>
      <c r="J5" s="297">
        <f ca="1">'Exit Anticipated Rev. Recovery'!$C$14</f>
        <v>0</v>
      </c>
      <c r="K5" s="307">
        <f ca="1">VLOOKUP(A5,'Exit Anticipated Rev. Recovery'!F:Y,20,FALSE)</f>
        <v>1921684.2408704425</v>
      </c>
      <c r="L5" s="306">
        <f ca="1">((D5*H5)+(E5*I5))*'User Inputs'!$D$7/100</f>
        <v>1923030.7081540853</v>
      </c>
      <c r="M5" s="306">
        <f ca="1">((D5*J5)+(E5*J5))*'User Inputs'!$D$7/100</f>
        <v>0</v>
      </c>
      <c r="O5" s="246" t="s">
        <v>277</v>
      </c>
      <c r="P5" s="245">
        <f t="shared" ca="1" si="1"/>
        <v>29477725.204937872</v>
      </c>
      <c r="Q5" s="245">
        <f t="shared" ca="1" si="2"/>
        <v>0</v>
      </c>
    </row>
    <row r="6" spans="1:17">
      <c r="A6" s="309" t="str">
        <f>'Exit Prices'!A5</f>
        <v>Alrewas (EM)</v>
      </c>
      <c r="B6" s="280" t="str">
        <f>VLOOKUP(A6,'Locations &amp; Types'!E:I,4,FALSE)</f>
        <v>GDN (EM)</v>
      </c>
      <c r="C6" s="291">
        <f ca="1">VLOOKUP(A6,'Exit Prices'!$A:$C,3,FALSE)</f>
        <v>64721087</v>
      </c>
      <c r="D6" s="291">
        <f ca="1">VLOOKUP(A6,'Exit Anticipated Rev. Recovery'!$F$1:$Y$231,2,FALSE)+VLOOKUP(A6,'Exit Anticipated Rev. Recovery'!$F$1:$Y$231,5,FALSE)+VLOOKUP(A6,'Exit Anticipated Rev. Recovery'!$F$1:$Y$231,8,FALSE)+VLOOKUP(A6,'Exit Anticipated Rev. Recovery'!$F$1:$Y$231,11,FALSE)+VLOOKUP(A6,'Exit Anticipated Rev. Recovery'!$F$1:$Y$231,14,FALSE)</f>
        <v>63100695.11608313</v>
      </c>
      <c r="E6" s="291">
        <f ca="1">VLOOKUP(A6,'Exit Anticipated Rev. Recovery'!$F$1:$Y$231,17,FALSE)</f>
        <v>1620391.883916876</v>
      </c>
      <c r="F6" s="291">
        <f t="shared" ca="1" si="0"/>
        <v>64721087.000000007</v>
      </c>
      <c r="G6" s="283">
        <f ca="1">VLOOKUP($A6, 'Exit Prices'!$A$3:$Q$231, 8, 0)</f>
        <v>7.2344179438402385</v>
      </c>
      <c r="H6" s="283">
        <f ca="1">VLOOKUP($A6, 'Exit Prices'!$A$3:$Q$231, 12, 0)</f>
        <v>1.9820323133808871E-2</v>
      </c>
      <c r="I6" s="283">
        <f ca="1">VLOOKUP($A6, 'Exit Prices'!$A$3:$Q$231,17, 0)</f>
        <v>1.7838290820427986E-2</v>
      </c>
      <c r="J6" s="297">
        <f ca="1">'Exit Anticipated Rev. Recovery'!$C$14</f>
        <v>0</v>
      </c>
      <c r="K6" s="307">
        <f ca="1">VLOOKUP(A6,'Exit Anticipated Rev. Recovery'!F:Y,20,FALSE)</f>
        <v>4666159.6510616997</v>
      </c>
      <c r="L6" s="306">
        <f ca="1">((D6*H6)+(E6*I6))*'User Inputs'!$D$7/100</f>
        <v>4670471.3392553907</v>
      </c>
      <c r="M6" s="306">
        <f ca="1">((D6*J6)+(E6*J6))*'User Inputs'!$D$7/100</f>
        <v>0</v>
      </c>
      <c r="O6" s="246" t="s">
        <v>283</v>
      </c>
      <c r="P6" s="245">
        <f t="shared" ca="1" si="1"/>
        <v>19859826.639987595</v>
      </c>
      <c r="Q6" s="245">
        <f t="shared" ca="1" si="2"/>
        <v>0</v>
      </c>
    </row>
    <row r="7" spans="1:17">
      <c r="A7" s="309" t="str">
        <f>'Exit Prices'!A6</f>
        <v>Alrewas (WM)</v>
      </c>
      <c r="B7" s="280" t="str">
        <f>VLOOKUP(A7,'Locations &amp; Types'!E:I,4,FALSE)</f>
        <v>GDN (WM)</v>
      </c>
      <c r="C7" s="291">
        <f ca="1">VLOOKUP(A7,'Exit Prices'!$A:$C,3,FALSE)</f>
        <v>72462290</v>
      </c>
      <c r="D7" s="291">
        <f ca="1">VLOOKUP(A7,'Exit Anticipated Rev. Recovery'!$F$1:$Y$231,2,FALSE)+VLOOKUP(A7,'Exit Anticipated Rev. Recovery'!$F$1:$Y$231,5,FALSE)+VLOOKUP(A7,'Exit Anticipated Rev. Recovery'!$F$1:$Y$231,8,FALSE)+VLOOKUP(A7,'Exit Anticipated Rev. Recovery'!$F$1:$Y$231,11,FALSE)+VLOOKUP(A7,'Exit Anticipated Rev. Recovery'!$F$1:$Y$231,14,FALSE)</f>
        <v>70648085.201399654</v>
      </c>
      <c r="E7" s="291">
        <f ca="1">VLOOKUP(A7,'Exit Anticipated Rev. Recovery'!$F$1:$Y$231,17,FALSE)</f>
        <v>1814204.7986003545</v>
      </c>
      <c r="F7" s="291">
        <f t="shared" ca="1" si="0"/>
        <v>72462290.000000015</v>
      </c>
      <c r="G7" s="283">
        <f ca="1">VLOOKUP($A7, 'Exit Prices'!$A$3:$Q$231, 8, 0)</f>
        <v>7.2344179438402385</v>
      </c>
      <c r="H7" s="283">
        <f ca="1">VLOOKUP($A7, 'Exit Prices'!$A$3:$Q$231, 12, 0)</f>
        <v>1.9820323133808871E-2</v>
      </c>
      <c r="I7" s="283">
        <f ca="1">VLOOKUP($A7, 'Exit Prices'!$A$3:$Q$231,17, 0)</f>
        <v>1.7838290820427986E-2</v>
      </c>
      <c r="J7" s="297">
        <f ca="1">'Exit Anticipated Rev. Recovery'!$C$14</f>
        <v>0</v>
      </c>
      <c r="K7" s="307">
        <f ca="1">VLOOKUP(A7,'Exit Anticipated Rev. Recovery'!F:Y,20,FALSE)</f>
        <v>5224272.7910538912</v>
      </c>
      <c r="L7" s="306">
        <f ca="1">((D7*H7)+(E7*I7))*'User Inputs'!$D$7/100</f>
        <v>5229100.1945287548</v>
      </c>
      <c r="M7" s="306">
        <f ca="1">((D7*J7)+(E7*J7))*'User Inputs'!$D$7/100</f>
        <v>0</v>
      </c>
      <c r="O7" s="246" t="s">
        <v>293</v>
      </c>
      <c r="P7" s="245">
        <f t="shared" ca="1" si="1"/>
        <v>17197578.495501984</v>
      </c>
      <c r="Q7" s="245">
        <f t="shared" ca="1" si="2"/>
        <v>0</v>
      </c>
    </row>
    <row r="8" spans="1:17">
      <c r="A8" s="309" t="str">
        <f>'Exit Prices'!A7</f>
        <v>Apache (Sage Black Start)</v>
      </c>
      <c r="B8" s="280" t="str">
        <f>VLOOKUP(A8,'Locations &amp; Types'!E:I,4,FALSE)</f>
        <v>INDUSTRIAL</v>
      </c>
      <c r="C8" s="291">
        <f ca="1">VLOOKUP(A8,'Exit Prices'!$A:$C,3,FALSE)</f>
        <v>0</v>
      </c>
      <c r="D8" s="291">
        <f ca="1">VLOOKUP(A8,'Exit Anticipated Rev. Recovery'!$F$1:$Y$231,2,FALSE)+VLOOKUP(A8,'Exit Anticipated Rev. Recovery'!$F$1:$Y$231,5,FALSE)+VLOOKUP(A8,'Exit Anticipated Rev. Recovery'!$F$1:$Y$231,8,FALSE)+VLOOKUP(A8,'Exit Anticipated Rev. Recovery'!$F$1:$Y$231,11,FALSE)+VLOOKUP(A8,'Exit Anticipated Rev. Recovery'!$F$1:$Y$231,14,FALSE)</f>
        <v>0</v>
      </c>
      <c r="E8" s="291">
        <f ca="1">VLOOKUP(A8,'Exit Anticipated Rev. Recovery'!$F$1:$Y$231,17,FALSE)</f>
        <v>0</v>
      </c>
      <c r="F8" s="291">
        <f t="shared" ca="1" si="0"/>
        <v>0</v>
      </c>
      <c r="G8" s="283">
        <f ca="1">VLOOKUP($A8, 'Exit Prices'!$A$3:$Q$231, 8, 0)</f>
        <v>7.2344179438402385</v>
      </c>
      <c r="H8" s="283">
        <f ca="1">VLOOKUP($A8, 'Exit Prices'!$A$3:$Q$231, 12, 0)</f>
        <v>1.9820323133808871E-2</v>
      </c>
      <c r="I8" s="283">
        <f ca="1">VLOOKUP($A8, 'Exit Prices'!$A$3:$Q$231,17, 0)</f>
        <v>1.7838290820427986E-2</v>
      </c>
      <c r="J8" s="297">
        <f ca="1">'Exit Anticipated Rev. Recovery'!$C$14</f>
        <v>0</v>
      </c>
      <c r="K8" s="307">
        <f ca="1">VLOOKUP(A8,'Exit Anticipated Rev. Recovery'!F:Y,20,FALSE)</f>
        <v>0</v>
      </c>
      <c r="L8" s="306">
        <f ca="1">((D8*H8)+(E8*I8))*'User Inputs'!$D$7/100</f>
        <v>0</v>
      </c>
      <c r="M8" s="306">
        <f ca="1">((D8*J8)+(E8*J8))*'User Inputs'!$D$7/100</f>
        <v>0</v>
      </c>
      <c r="O8" s="246" t="s">
        <v>310</v>
      </c>
      <c r="P8" s="245">
        <f t="shared" ca="1" si="1"/>
        <v>27883410.817993056</v>
      </c>
      <c r="Q8" s="245">
        <f t="shared" ca="1" si="2"/>
        <v>0</v>
      </c>
    </row>
    <row r="9" spans="1:17">
      <c r="A9" s="309" t="str">
        <f>'Exit Prices'!A8</f>
        <v>Armadale</v>
      </c>
      <c r="B9" s="280" t="str">
        <f>VLOOKUP(A9,'Locations &amp; Types'!E:I,4,FALSE)</f>
        <v>GDN (SC)</v>
      </c>
      <c r="C9" s="291">
        <f ca="1">VLOOKUP(A9,'Exit Prices'!$A:$C,3,FALSE)</f>
        <v>7519525</v>
      </c>
      <c r="D9" s="291">
        <f ca="1">VLOOKUP(A9,'Exit Anticipated Rev. Recovery'!$F$1:$Y$231,2,FALSE)+VLOOKUP(A9,'Exit Anticipated Rev. Recovery'!$F$1:$Y$231,5,FALSE)+VLOOKUP(A9,'Exit Anticipated Rev. Recovery'!$F$1:$Y$231,8,FALSE)+VLOOKUP(A9,'Exit Anticipated Rev. Recovery'!$F$1:$Y$231,11,FALSE)+VLOOKUP(A9,'Exit Anticipated Rev. Recovery'!$F$1:$Y$231,14,FALSE)</f>
        <v>7331262.134746979</v>
      </c>
      <c r="E9" s="291">
        <f ca="1">VLOOKUP(A9,'Exit Anticipated Rev. Recovery'!$F$1:$Y$231,17,FALSE)</f>
        <v>188262.86525302098</v>
      </c>
      <c r="F9" s="291">
        <f t="shared" ca="1" si="0"/>
        <v>7519525</v>
      </c>
      <c r="G9" s="283">
        <f ca="1">VLOOKUP($A9, 'Exit Prices'!$A$3:$Q$231, 8, 0)</f>
        <v>7.2344179438402385</v>
      </c>
      <c r="H9" s="283">
        <f ca="1">VLOOKUP($A9, 'Exit Prices'!$A$3:$Q$231, 12, 0)</f>
        <v>1.9820323133808871E-2</v>
      </c>
      <c r="I9" s="283">
        <f ca="1">VLOOKUP($A9, 'Exit Prices'!$A$3:$Q$231,17, 0)</f>
        <v>1.7838290820427986E-2</v>
      </c>
      <c r="J9" s="297">
        <f ca="1">'Exit Anticipated Rev. Recovery'!$C$14</f>
        <v>0</v>
      </c>
      <c r="K9" s="307">
        <f ca="1">VLOOKUP(A9,'Exit Anticipated Rev. Recovery'!F:Y,20,FALSE)</f>
        <v>542130.94644330861</v>
      </c>
      <c r="L9" s="306">
        <f ca="1">((D9*H9)+(E9*I9))*'User Inputs'!$D$7/100</f>
        <v>542631.89364100737</v>
      </c>
      <c r="M9" s="306">
        <f ca="1">((D9*J9)+(E9*J9))*'User Inputs'!$D$7/100</f>
        <v>0</v>
      </c>
      <c r="O9" s="246" t="s">
        <v>285</v>
      </c>
      <c r="P9" s="245">
        <f t="shared" ca="1" si="1"/>
        <v>33043394.970675565</v>
      </c>
      <c r="Q9" s="245">
        <f t="shared" ca="1" si="2"/>
        <v>0</v>
      </c>
    </row>
    <row r="10" spans="1:17">
      <c r="A10" s="309" t="str">
        <f>'Exit Prices'!A9</f>
        <v>Aspley</v>
      </c>
      <c r="B10" s="280" t="str">
        <f>VLOOKUP(A10,'Locations &amp; Types'!E:I,4,FALSE)</f>
        <v>GDN (WM)</v>
      </c>
      <c r="C10" s="291">
        <f ca="1">VLOOKUP(A10,'Exit Prices'!$A:$C,3,FALSE)</f>
        <v>50894176</v>
      </c>
      <c r="D10" s="291">
        <f ca="1">VLOOKUP(A10,'Exit Anticipated Rev. Recovery'!$F$1:$Y$231,2,FALSE)+VLOOKUP(A10,'Exit Anticipated Rev. Recovery'!$F$1:$Y$231,5,FALSE)+VLOOKUP(A10,'Exit Anticipated Rev. Recovery'!$F$1:$Y$231,8,FALSE)+VLOOKUP(A10,'Exit Anticipated Rev. Recovery'!$F$1:$Y$231,11,FALSE)+VLOOKUP(A10,'Exit Anticipated Rev. Recovery'!$F$1:$Y$231,14,FALSE)</f>
        <v>49619962.08376839</v>
      </c>
      <c r="E10" s="291">
        <f ca="1">VLOOKUP(A10,'Exit Anticipated Rev. Recovery'!$F$1:$Y$231,17,FALSE)</f>
        <v>1274213.916231615</v>
      </c>
      <c r="F10" s="291">
        <f t="shared" ca="1" si="0"/>
        <v>50894176.000000007</v>
      </c>
      <c r="G10" s="283">
        <f ca="1">VLOOKUP($A10, 'Exit Prices'!$A$3:$Q$231, 8, 0)</f>
        <v>7.2344179438402385</v>
      </c>
      <c r="H10" s="283">
        <f ca="1">VLOOKUP($A10, 'Exit Prices'!$A$3:$Q$231, 12, 0)</f>
        <v>1.9820323133808871E-2</v>
      </c>
      <c r="I10" s="283">
        <f ca="1">VLOOKUP($A10, 'Exit Prices'!$A$3:$Q$231,17, 0)</f>
        <v>1.7838290820427986E-2</v>
      </c>
      <c r="J10" s="297">
        <f ca="1">'Exit Anticipated Rev. Recovery'!$C$14</f>
        <v>0</v>
      </c>
      <c r="K10" s="307">
        <f ca="1">VLOOKUP(A10,'Exit Anticipated Rev. Recovery'!F:Y,20,FALSE)</f>
        <v>3669288.6589687951</v>
      </c>
      <c r="L10" s="306">
        <f ca="1">((D10*H10)+(E10*I10))*'User Inputs'!$D$7/100</f>
        <v>3672679.2048937553</v>
      </c>
      <c r="M10" s="306">
        <f ca="1">((D10*J10)+(E10*J10))*'User Inputs'!$D$7/100</f>
        <v>0</v>
      </c>
      <c r="O10" s="246" t="s">
        <v>273</v>
      </c>
      <c r="P10" s="245">
        <f t="shared" ca="1" si="1"/>
        <v>26823550.951660562</v>
      </c>
      <c r="Q10" s="245">
        <f t="shared" ca="1" si="2"/>
        <v>0</v>
      </c>
    </row>
    <row r="11" spans="1:17">
      <c r="A11" s="309" t="str">
        <f>'Exit Prices'!A10</f>
        <v>Asselby</v>
      </c>
      <c r="B11" s="280" t="str">
        <f>VLOOKUP(A11,'Locations &amp; Types'!E:I,4,FALSE)</f>
        <v>GDN (NE)</v>
      </c>
      <c r="C11" s="291">
        <f ca="1">VLOOKUP(A11,'Exit Prices'!$A:$C,3,FALSE)</f>
        <v>3586201</v>
      </c>
      <c r="D11" s="291">
        <f ca="1">VLOOKUP(A11,'Exit Anticipated Rev. Recovery'!$F$1:$Y$231,2,FALSE)+VLOOKUP(A11,'Exit Anticipated Rev. Recovery'!$F$1:$Y$231,5,FALSE)+VLOOKUP(A11,'Exit Anticipated Rev. Recovery'!$F$1:$Y$231,8,FALSE)+VLOOKUP(A11,'Exit Anticipated Rev. Recovery'!$F$1:$Y$231,11,FALSE)+VLOOKUP(A11,'Exit Anticipated Rev. Recovery'!$F$1:$Y$231,14,FALSE)</f>
        <v>3496414.9462754293</v>
      </c>
      <c r="E11" s="291">
        <f ca="1">VLOOKUP(A11,'Exit Anticipated Rev. Recovery'!$F$1:$Y$231,17,FALSE)</f>
        <v>89786.053724570258</v>
      </c>
      <c r="F11" s="291">
        <f t="shared" ca="1" si="0"/>
        <v>3586200.9999999995</v>
      </c>
      <c r="G11" s="283">
        <f ca="1">VLOOKUP($A11, 'Exit Prices'!$A$3:$Q$231, 8, 0)</f>
        <v>7.2344179438402385</v>
      </c>
      <c r="H11" s="283">
        <f ca="1">VLOOKUP($A11, 'Exit Prices'!$A$3:$Q$231, 12, 0)</f>
        <v>1.9820323133808871E-2</v>
      </c>
      <c r="I11" s="283">
        <f ca="1">VLOOKUP($A11, 'Exit Prices'!$A$3:$Q$231,17, 0)</f>
        <v>1.7838290820427986E-2</v>
      </c>
      <c r="J11" s="297">
        <f ca="1">'Exit Anticipated Rev. Recovery'!$C$14</f>
        <v>0</v>
      </c>
      <c r="K11" s="307">
        <f ca="1">VLOOKUP(A11,'Exit Anticipated Rev. Recovery'!F:Y,20,FALSE)</f>
        <v>258552.30779416786</v>
      </c>
      <c r="L11" s="306">
        <f ca="1">((D11*H11)+(E11*I11))*'User Inputs'!$D$7/100</f>
        <v>258791.21880800638</v>
      </c>
      <c r="M11" s="306">
        <f ca="1">((D11*J11)+(E11*J11))*'User Inputs'!$D$7/100</f>
        <v>0</v>
      </c>
      <c r="O11" s="246" t="s">
        <v>305</v>
      </c>
      <c r="P11" s="245">
        <f t="shared" ca="1" si="1"/>
        <v>38509603.40665058</v>
      </c>
      <c r="Q11" s="245">
        <f t="shared" ca="1" si="2"/>
        <v>0</v>
      </c>
    </row>
    <row r="12" spans="1:17">
      <c r="A12" s="309" t="str">
        <f>'Exit Prices'!A11</f>
        <v>Audley (NW)</v>
      </c>
      <c r="B12" s="280" t="str">
        <f>VLOOKUP(A12,'Locations &amp; Types'!E:I,4,FALSE)</f>
        <v>GDN (NW)</v>
      </c>
      <c r="C12" s="291">
        <f ca="1">VLOOKUP(A12,'Exit Prices'!$A:$C,3,FALSE)</f>
        <v>8037574</v>
      </c>
      <c r="D12" s="291">
        <f ca="1">VLOOKUP(A12,'Exit Anticipated Rev. Recovery'!$F$1:$Y$231,2,FALSE)+VLOOKUP(A12,'Exit Anticipated Rev. Recovery'!$F$1:$Y$231,5,FALSE)+VLOOKUP(A12,'Exit Anticipated Rev. Recovery'!$F$1:$Y$231,8,FALSE)+VLOOKUP(A12,'Exit Anticipated Rev. Recovery'!$F$1:$Y$231,11,FALSE)+VLOOKUP(A12,'Exit Anticipated Rev. Recovery'!$F$1:$Y$231,14,FALSE)</f>
        <v>7836340.9818342011</v>
      </c>
      <c r="E12" s="291">
        <f ca="1">VLOOKUP(A12,'Exit Anticipated Rev. Recovery'!$F$1:$Y$231,17,FALSE)</f>
        <v>201233.01816579967</v>
      </c>
      <c r="F12" s="291">
        <f t="shared" ca="1" si="0"/>
        <v>8037574.0000000009</v>
      </c>
      <c r="G12" s="283">
        <f ca="1">VLOOKUP($A12, 'Exit Prices'!$A$3:$Q$231, 8, 0)</f>
        <v>7.2344179438402385</v>
      </c>
      <c r="H12" s="283">
        <f ca="1">VLOOKUP($A12, 'Exit Prices'!$A$3:$Q$231, 12, 0)</f>
        <v>1.9820323133808871E-2</v>
      </c>
      <c r="I12" s="283">
        <f ca="1">VLOOKUP($A12, 'Exit Prices'!$A$3:$Q$231,17, 0)</f>
        <v>1.7838290820427986E-2</v>
      </c>
      <c r="J12" s="297">
        <f ca="1">'Exit Anticipated Rev. Recovery'!$C$14</f>
        <v>0</v>
      </c>
      <c r="K12" s="307">
        <f ca="1">VLOOKUP(A12,'Exit Anticipated Rev. Recovery'!F:Y,20,FALSE)</f>
        <v>579480.4325709577</v>
      </c>
      <c r="L12" s="306">
        <f ca="1">((D12*H12)+(E12*I12))*'User Inputs'!$D$7/100</f>
        <v>580015.89194792579</v>
      </c>
      <c r="M12" s="306">
        <f ca="1">((D12*J12)+(E12*J12))*'User Inputs'!$D$7/100</f>
        <v>0</v>
      </c>
      <c r="O12" s="246" t="s">
        <v>297</v>
      </c>
      <c r="P12" s="245">
        <f t="shared" ca="1" si="1"/>
        <v>26165711.390712</v>
      </c>
      <c r="Q12" s="245">
        <f t="shared" ca="1" si="2"/>
        <v>0</v>
      </c>
    </row>
    <row r="13" spans="1:17">
      <c r="A13" s="309" t="str">
        <f>'Exit Prices'!A12</f>
        <v>Audley (WM)</v>
      </c>
      <c r="B13" s="280" t="str">
        <f>VLOOKUP(A13,'Locations &amp; Types'!E:I,4,FALSE)</f>
        <v>GDN (WM)</v>
      </c>
      <c r="C13" s="291">
        <f ca="1">VLOOKUP(A13,'Exit Prices'!$A:$C,3,FALSE)</f>
        <v>13572412</v>
      </c>
      <c r="D13" s="291">
        <f ca="1">VLOOKUP(A13,'Exit Anticipated Rev. Recovery'!$F$1:$Y$231,2,FALSE)+VLOOKUP(A13,'Exit Anticipated Rev. Recovery'!$F$1:$Y$231,5,FALSE)+VLOOKUP(A13,'Exit Anticipated Rev. Recovery'!$F$1:$Y$231,8,FALSE)+VLOOKUP(A13,'Exit Anticipated Rev. Recovery'!$F$1:$Y$231,11,FALSE)+VLOOKUP(A13,'Exit Anticipated Rev. Recovery'!$F$1:$Y$231,14,FALSE)</f>
        <v>13232605.805923315</v>
      </c>
      <c r="E13" s="291">
        <f ca="1">VLOOKUP(A13,'Exit Anticipated Rev. Recovery'!$F$1:$Y$231,17,FALSE)</f>
        <v>339806.194076685</v>
      </c>
      <c r="F13" s="291">
        <f t="shared" ca="1" si="0"/>
        <v>13572412</v>
      </c>
      <c r="G13" s="283">
        <f ca="1">VLOOKUP($A13, 'Exit Prices'!$A$3:$Q$231, 8, 0)</f>
        <v>7.2344179438402385</v>
      </c>
      <c r="H13" s="283">
        <f ca="1">VLOOKUP($A13, 'Exit Prices'!$A$3:$Q$231, 12, 0)</f>
        <v>1.9820323133808871E-2</v>
      </c>
      <c r="I13" s="283">
        <f ca="1">VLOOKUP($A13, 'Exit Prices'!$A$3:$Q$231,17, 0)</f>
        <v>1.7838290820427986E-2</v>
      </c>
      <c r="J13" s="297">
        <f ca="1">'Exit Anticipated Rev. Recovery'!$C$14</f>
        <v>0</v>
      </c>
      <c r="K13" s="307">
        <f ca="1">VLOOKUP(A13,'Exit Anticipated Rev. Recovery'!F:Y,20,FALSE)</f>
        <v>978522.52144630428</v>
      </c>
      <c r="L13" s="306">
        <f ca="1">((D13*H13)+(E13*I13))*'User Inputs'!$D$7/100</f>
        <v>979426.70911206934</v>
      </c>
      <c r="M13" s="306">
        <f ca="1">((D13*J13)+(E13*J13))*'User Inputs'!$D$7/100</f>
        <v>0</v>
      </c>
      <c r="O13" s="246" t="s">
        <v>287</v>
      </c>
      <c r="P13" s="245">
        <f t="shared" ca="1" si="1"/>
        <v>19085427.292576198</v>
      </c>
      <c r="Q13" s="245">
        <f t="shared" ca="1" si="2"/>
        <v>0</v>
      </c>
    </row>
    <row r="14" spans="1:17">
      <c r="A14" s="309" t="str">
        <f>'Exit Prices'!A13</f>
        <v>Austrey</v>
      </c>
      <c r="B14" s="280" t="str">
        <f>VLOOKUP(A14,'Locations &amp; Types'!E:I,4,FALSE)</f>
        <v>GDN (WM)</v>
      </c>
      <c r="C14" s="291">
        <f ca="1">VLOOKUP(A14,'Exit Prices'!$A:$C,3,FALSE)</f>
        <v>59601211</v>
      </c>
      <c r="D14" s="291">
        <f ca="1">VLOOKUP(A14,'Exit Anticipated Rev. Recovery'!$F$1:$Y$231,2,FALSE)+VLOOKUP(A14,'Exit Anticipated Rev. Recovery'!$F$1:$Y$231,5,FALSE)+VLOOKUP(A14,'Exit Anticipated Rev. Recovery'!$F$1:$Y$231,8,FALSE)+VLOOKUP(A14,'Exit Anticipated Rev. Recovery'!$F$1:$Y$231,11,FALSE)+VLOOKUP(A14,'Exit Anticipated Rev. Recovery'!$F$1:$Y$231,14,FALSE)</f>
        <v>58109003.080562286</v>
      </c>
      <c r="E14" s="291">
        <f ca="1">VLOOKUP(A14,'Exit Anticipated Rev. Recovery'!$F$1:$Y$231,17,FALSE)</f>
        <v>1492207.9194377132</v>
      </c>
      <c r="F14" s="291">
        <f t="shared" ca="1" si="0"/>
        <v>59601211</v>
      </c>
      <c r="G14" s="283">
        <f ca="1">VLOOKUP($A14, 'Exit Prices'!$A$3:$Q$231, 8, 0)</f>
        <v>7.2344179438402385</v>
      </c>
      <c r="H14" s="283">
        <f ca="1">VLOOKUP($A14, 'Exit Prices'!$A$3:$Q$231, 12, 0)</f>
        <v>1.9820323133808871E-2</v>
      </c>
      <c r="I14" s="283">
        <f ca="1">VLOOKUP($A14, 'Exit Prices'!$A$3:$Q$231,17, 0)</f>
        <v>1.7838290820427986E-2</v>
      </c>
      <c r="J14" s="297">
        <f ca="1">'Exit Anticipated Rev. Recovery'!$C$14</f>
        <v>0</v>
      </c>
      <c r="K14" s="307">
        <f ca="1">VLOOKUP(A14,'Exit Anticipated Rev. Recovery'!F:Y,20,FALSE)</f>
        <v>4297034.843104763</v>
      </c>
      <c r="L14" s="306">
        <f ca="1">((D14*H14)+(E14*I14))*'User Inputs'!$D$7/100</f>
        <v>4301005.4475817606</v>
      </c>
      <c r="M14" s="306">
        <f ca="1">((D14*J14)+(E14*J14))*'User Inputs'!$D$7/100</f>
        <v>0</v>
      </c>
      <c r="O14" s="246" t="s">
        <v>279</v>
      </c>
      <c r="P14" s="245">
        <f t="shared" ca="1" si="1"/>
        <v>23321545.597641271</v>
      </c>
      <c r="Q14" s="245">
        <f t="shared" ca="1" si="2"/>
        <v>0</v>
      </c>
    </row>
    <row r="15" spans="1:17">
      <c r="A15" s="309" t="str">
        <f>'Exit Prices'!A14</f>
        <v>Avonmouth Max Refill</v>
      </c>
      <c r="B15" s="280" t="str">
        <f>VLOOKUP(A15,'Locations &amp; Types'!E:I,4,FALSE)</f>
        <v>STORAGE SITE</v>
      </c>
      <c r="C15" s="291">
        <f ca="1">VLOOKUP(A15,'Exit Prices'!$A:$C,3,FALSE)</f>
        <v>0</v>
      </c>
      <c r="D15" s="291">
        <f ca="1">VLOOKUP(A15,'Exit Anticipated Rev. Recovery'!$F$1:$Y$231,2,FALSE)+VLOOKUP(A15,'Exit Anticipated Rev. Recovery'!$F$1:$Y$231,5,FALSE)+VLOOKUP(A15,'Exit Anticipated Rev. Recovery'!$F$1:$Y$231,8,FALSE)+VLOOKUP(A15,'Exit Anticipated Rev. Recovery'!$F$1:$Y$231,11,FALSE)+VLOOKUP(A15,'Exit Anticipated Rev. Recovery'!$F$1:$Y$231,14,FALSE)</f>
        <v>0</v>
      </c>
      <c r="E15" s="291">
        <f ca="1">VLOOKUP(A15,'Exit Anticipated Rev. Recovery'!$F$1:$Y$231,17,FALSE)</f>
        <v>0</v>
      </c>
      <c r="F15" s="291">
        <f t="shared" ca="1" si="0"/>
        <v>0</v>
      </c>
      <c r="G15" s="283">
        <f ca="1">VLOOKUP($A15, 'Exit Prices'!$A$3:$Q$231, 8, 0)</f>
        <v>7.2344179438402385</v>
      </c>
      <c r="H15" s="283">
        <f ca="1">VLOOKUP($A15, 'Exit Prices'!$A$3:$Q$231, 12, 0)</f>
        <v>9.9101615669044355E-3</v>
      </c>
      <c r="I15" s="283">
        <f ca="1">VLOOKUP($A15, 'Exit Prices'!$A$3:$Q$231,17, 0)</f>
        <v>8.9191454102139928E-3</v>
      </c>
      <c r="J15" s="297">
        <f ca="1">'Exit Anticipated Rev. Recovery'!$C$14</f>
        <v>0</v>
      </c>
      <c r="K15" s="307">
        <f ca="1">VLOOKUP(A15,'Exit Anticipated Rev. Recovery'!F:Y,20,FALSE)</f>
        <v>0</v>
      </c>
      <c r="L15" s="306">
        <f ca="1">((D15*H15)+(E15*I15))*'User Inputs'!$D$7/100</f>
        <v>0</v>
      </c>
      <c r="M15" s="306">
        <f ca="1">((D15*J15)+(E15*J15))*'User Inputs'!$D$7/100</f>
        <v>0</v>
      </c>
      <c r="O15" s="246" t="s">
        <v>314</v>
      </c>
      <c r="P15" s="245">
        <f t="shared" ca="1" si="1"/>
        <v>3554679.1881858832</v>
      </c>
      <c r="Q15" s="245">
        <f t="shared" ca="1" si="2"/>
        <v>0</v>
      </c>
    </row>
    <row r="16" spans="1:17">
      <c r="A16" s="309" t="str">
        <f>'Exit Prices'!A15</f>
        <v>Aylesbeare</v>
      </c>
      <c r="B16" s="280" t="str">
        <f>VLOOKUP(A16,'Locations &amp; Types'!E:I,4,FALSE)</f>
        <v>GDN (SW)</v>
      </c>
      <c r="C16" s="291">
        <f ca="1">VLOOKUP(A16,'Exit Prices'!$A:$C,3,FALSE)</f>
        <v>19275940</v>
      </c>
      <c r="D16" s="291">
        <f ca="1">VLOOKUP(A16,'Exit Anticipated Rev. Recovery'!$F$1:$Y$231,2,FALSE)+VLOOKUP(A16,'Exit Anticipated Rev. Recovery'!$F$1:$Y$231,5,FALSE)+VLOOKUP(A16,'Exit Anticipated Rev. Recovery'!$F$1:$Y$231,8,FALSE)+VLOOKUP(A16,'Exit Anticipated Rev. Recovery'!$F$1:$Y$231,11,FALSE)+VLOOKUP(A16,'Exit Anticipated Rev. Recovery'!$F$1:$Y$231,14,FALSE)</f>
        <v>18793337.216600075</v>
      </c>
      <c r="E16" s="291">
        <f ca="1">VLOOKUP(A16,'Exit Anticipated Rev. Recovery'!$F$1:$Y$231,17,FALSE)</f>
        <v>482602.78339992446</v>
      </c>
      <c r="F16" s="291">
        <f t="shared" ca="1" si="0"/>
        <v>19275940</v>
      </c>
      <c r="G16" s="283">
        <f ca="1">VLOOKUP($A16, 'Exit Prices'!$A$3:$Q$231, 8, 0)</f>
        <v>7.2344179438402385</v>
      </c>
      <c r="H16" s="283">
        <f ca="1">VLOOKUP($A16, 'Exit Prices'!$A$3:$Q$231, 12, 0)</f>
        <v>1.9820323133808871E-2</v>
      </c>
      <c r="I16" s="283">
        <f ca="1">VLOOKUP($A16, 'Exit Prices'!$A$3:$Q$231,17, 0)</f>
        <v>1.7838290820427986E-2</v>
      </c>
      <c r="J16" s="297">
        <f ca="1">'Exit Anticipated Rev. Recovery'!$C$14</f>
        <v>0</v>
      </c>
      <c r="K16" s="307">
        <f ca="1">VLOOKUP(A16,'Exit Anticipated Rev. Recovery'!F:Y,20,FALSE)</f>
        <v>1389726.5579653543</v>
      </c>
      <c r="L16" s="306">
        <f ca="1">((D16*H16)+(E16*I16))*'User Inputs'!$D$7/100</f>
        <v>1391010.7119679023</v>
      </c>
      <c r="M16" s="306">
        <f ca="1">((D16*J16)+(E16*J16))*'User Inputs'!$D$7/100</f>
        <v>0</v>
      </c>
      <c r="O16" s="246" t="s">
        <v>302</v>
      </c>
      <c r="P16" s="245">
        <f t="shared" ca="1" si="1"/>
        <v>14938137.305859227</v>
      </c>
      <c r="Q16" s="245">
        <f t="shared" ca="1" si="2"/>
        <v>0</v>
      </c>
    </row>
    <row r="17" spans="1:17">
      <c r="A17" s="309" t="str">
        <f>'Exit Prices'!A16</f>
        <v>Bacton</v>
      </c>
      <c r="B17" s="280" t="str">
        <f>VLOOKUP(A17,'Locations &amp; Types'!E:I,4,FALSE)</f>
        <v>GDN (EA)</v>
      </c>
      <c r="C17" s="291">
        <f ca="1">VLOOKUP(A17,'Exit Prices'!$A:$C,3,FALSE)</f>
        <v>2844268</v>
      </c>
      <c r="D17" s="291">
        <f ca="1">VLOOKUP(A17,'Exit Anticipated Rev. Recovery'!$F$1:$Y$231,2,FALSE)+VLOOKUP(A17,'Exit Anticipated Rev. Recovery'!$F$1:$Y$231,5,FALSE)+VLOOKUP(A17,'Exit Anticipated Rev. Recovery'!$F$1:$Y$231,8,FALSE)+VLOOKUP(A17,'Exit Anticipated Rev. Recovery'!$F$1:$Y$231,11,FALSE)+VLOOKUP(A17,'Exit Anticipated Rev. Recovery'!$F$1:$Y$231,14,FALSE)</f>
        <v>2773057.3792191022</v>
      </c>
      <c r="E17" s="291">
        <f ca="1">VLOOKUP(A17,'Exit Anticipated Rev. Recovery'!$F$1:$Y$231,17,FALSE)</f>
        <v>71210.620780897661</v>
      </c>
      <c r="F17" s="291">
        <f t="shared" ca="1" si="0"/>
        <v>2844268</v>
      </c>
      <c r="G17" s="283">
        <f ca="1">VLOOKUP($A17, 'Exit Prices'!$A$3:$Q$231, 8, 0)</f>
        <v>7.2344179438402385</v>
      </c>
      <c r="H17" s="283">
        <f ca="1">VLOOKUP($A17, 'Exit Prices'!$A$3:$Q$231, 12, 0)</f>
        <v>1.9820323133808871E-2</v>
      </c>
      <c r="I17" s="283">
        <f ca="1">VLOOKUP($A17, 'Exit Prices'!$A$3:$Q$231,17, 0)</f>
        <v>1.7838290820427986E-2</v>
      </c>
      <c r="J17" s="297">
        <f ca="1">'Exit Anticipated Rev. Recovery'!$C$14</f>
        <v>0</v>
      </c>
      <c r="K17" s="307">
        <f ca="1">VLOOKUP(A17,'Exit Anticipated Rev. Recovery'!F:Y,20,FALSE)</f>
        <v>205061.58338171846</v>
      </c>
      <c r="L17" s="306">
        <f ca="1">((D17*H17)+(E17*I17))*'User Inputs'!$D$7/100</f>
        <v>205251.06717013652</v>
      </c>
      <c r="M17" s="306">
        <f ca="1">((D17*J17)+(E17*J17))*'User Inputs'!$D$7/100</f>
        <v>0</v>
      </c>
      <c r="O17" s="246" t="s">
        <v>437</v>
      </c>
      <c r="P17" s="245">
        <f t="shared" ca="1" si="1"/>
        <v>81805374.804584295</v>
      </c>
      <c r="Q17" s="245">
        <f t="shared" ca="1" si="2"/>
        <v>0</v>
      </c>
    </row>
    <row r="18" spans="1:17">
      <c r="A18" s="309" t="str">
        <f>'Exit Prices'!A17</f>
        <v>Bacton (Baird)</v>
      </c>
      <c r="B18" s="280" t="str">
        <f>VLOOKUP(A18,'Locations &amp; Types'!E:I,4,FALSE)</f>
        <v>STORAGE SITE</v>
      </c>
      <c r="C18" s="291">
        <f ca="1">VLOOKUP(A18,'Exit Prices'!$A:$C,3,FALSE)</f>
        <v>0</v>
      </c>
      <c r="D18" s="291">
        <f ca="1">VLOOKUP(A18,'Exit Anticipated Rev. Recovery'!$F$1:$Y$231,2,FALSE)+VLOOKUP(A18,'Exit Anticipated Rev. Recovery'!$F$1:$Y$231,5,FALSE)+VLOOKUP(A18,'Exit Anticipated Rev. Recovery'!$F$1:$Y$231,8,FALSE)+VLOOKUP(A18,'Exit Anticipated Rev. Recovery'!$F$1:$Y$231,11,FALSE)+VLOOKUP(A18,'Exit Anticipated Rev. Recovery'!$F$1:$Y$231,14,FALSE)</f>
        <v>0</v>
      </c>
      <c r="E18" s="291">
        <f ca="1">VLOOKUP(A18,'Exit Anticipated Rev. Recovery'!$F$1:$Y$231,17,FALSE)</f>
        <v>0</v>
      </c>
      <c r="F18" s="291">
        <f t="shared" ca="1" si="0"/>
        <v>0</v>
      </c>
      <c r="G18" s="283">
        <f ca="1">VLOOKUP($A18, 'Exit Prices'!$A$3:$Q$231, 8, 0)</f>
        <v>7.2344179438402385</v>
      </c>
      <c r="H18" s="283">
        <f ca="1">VLOOKUP($A18, 'Exit Prices'!$A$3:$Q$231, 12, 0)</f>
        <v>9.9101615669044355E-3</v>
      </c>
      <c r="I18" s="283">
        <f ca="1">VLOOKUP($A18, 'Exit Prices'!$A$3:$Q$231,17, 0)</f>
        <v>8.9191454102139928E-3</v>
      </c>
      <c r="J18" s="297">
        <f ca="1">'Exit Anticipated Rev. Recovery'!$C$14</f>
        <v>0</v>
      </c>
      <c r="K18" s="307">
        <f ca="1">VLOOKUP(A18,'Exit Anticipated Rev. Recovery'!F:Y,20,FALSE)</f>
        <v>0</v>
      </c>
      <c r="L18" s="306">
        <f ca="1">((D18*H18)+(E18*I18))*'User Inputs'!$D$7/100</f>
        <v>0</v>
      </c>
      <c r="M18" s="306">
        <f ca="1">((D18*J18)+(E18*J18))*'User Inputs'!$D$7/100</f>
        <v>0</v>
      </c>
      <c r="O18" s="246" t="s">
        <v>267</v>
      </c>
      <c r="P18" s="245">
        <f t="shared" ca="1" si="1"/>
        <v>16065834.366187243</v>
      </c>
      <c r="Q18" s="245">
        <f t="shared" ca="1" si="2"/>
        <v>0</v>
      </c>
    </row>
    <row r="19" spans="1:17">
      <c r="A19" s="309" t="str">
        <f>'Exit Prices'!A18</f>
        <v>Bacton (BBL)</v>
      </c>
      <c r="B19" s="280" t="str">
        <f>VLOOKUP(A19,'Locations &amp; Types'!E:I,4,FALSE)</f>
        <v>INTERCONNECTOR</v>
      </c>
      <c r="C19" s="291">
        <f ca="1">VLOOKUP(A19,'Exit Prices'!$A:$C,3,FALSE)</f>
        <v>281930.30136986304</v>
      </c>
      <c r="D19" s="291">
        <f ca="1">VLOOKUP(A19,'Exit Anticipated Rev. Recovery'!$F$1:$Y$231,2,FALSE)+VLOOKUP(A19,'Exit Anticipated Rev. Recovery'!$F$1:$Y$231,5,FALSE)+VLOOKUP(A19,'Exit Anticipated Rev. Recovery'!$F$1:$Y$231,8,FALSE)+VLOOKUP(A19,'Exit Anticipated Rev. Recovery'!$F$1:$Y$231,11,FALSE)+VLOOKUP(A19,'Exit Anticipated Rev. Recovery'!$F$1:$Y$231,14,FALSE)</f>
        <v>138038.68880946829</v>
      </c>
      <c r="E19" s="291">
        <f ca="1">VLOOKUP(A19,'Exit Anticipated Rev. Recovery'!$F$1:$Y$231,17,FALSE)</f>
        <v>143891.61256039471</v>
      </c>
      <c r="F19" s="291">
        <f t="shared" ca="1" si="0"/>
        <v>281930.30136986298</v>
      </c>
      <c r="G19" s="283">
        <f ca="1">VLOOKUP($A19, 'Exit Prices'!$A$3:$Q$231, 8, 0)</f>
        <v>7.2344179438402385</v>
      </c>
      <c r="H19" s="283">
        <f ca="1">VLOOKUP($A19, 'Exit Prices'!$A$3:$Q$231, 12, 0)</f>
        <v>1.9820323133808871E-2</v>
      </c>
      <c r="I19" s="283">
        <f ca="1">VLOOKUP($A19, 'Exit Prices'!$A$3:$Q$231,17, 0)</f>
        <v>1.7838290820427986E-2</v>
      </c>
      <c r="J19" s="297">
        <f ca="1">'Exit Anticipated Rev. Recovery'!$C$14</f>
        <v>0</v>
      </c>
      <c r="K19" s="307">
        <f ca="1">VLOOKUP(A19,'Exit Anticipated Rev. Recovery'!F:Y,20,FALSE)</f>
        <v>19355.044247549205</v>
      </c>
      <c r="L19" s="306">
        <f ca="1">((D19*H19)+(E19*I19))*'User Inputs'!$D$7/100</f>
        <v>19355.044247549205</v>
      </c>
      <c r="M19" s="306">
        <f ca="1">((D19*J19)+(E19*J19))*'User Inputs'!$D$7/100</f>
        <v>0</v>
      </c>
      <c r="O19" s="246" t="s">
        <v>291</v>
      </c>
      <c r="P19" s="245">
        <f t="shared" ca="1" si="1"/>
        <v>28718615.021407172</v>
      </c>
      <c r="Q19" s="245">
        <f t="shared" ca="1" si="2"/>
        <v>0</v>
      </c>
    </row>
    <row r="20" spans="1:17" ht="15.75" thickBot="1">
      <c r="A20" s="309" t="str">
        <f>'Exit Prices'!A19</f>
        <v>Bacton (Great Yarmouth)</v>
      </c>
      <c r="B20" s="280" t="str">
        <f>VLOOKUP(A20,'Locations &amp; Types'!E:I,4,FALSE)</f>
        <v>POWER STATION</v>
      </c>
      <c r="C20" s="291">
        <f ca="1">VLOOKUP(A20,'Exit Prices'!$A:$C,3,FALSE)</f>
        <v>20000000</v>
      </c>
      <c r="D20" s="291">
        <f ca="1">VLOOKUP(A20,'Exit Anticipated Rev. Recovery'!$F$1:$Y$231,2,FALSE)+VLOOKUP(A20,'Exit Anticipated Rev. Recovery'!$F$1:$Y$231,5,FALSE)+VLOOKUP(A20,'Exit Anticipated Rev. Recovery'!$F$1:$Y$231,8,FALSE)+VLOOKUP(A20,'Exit Anticipated Rev. Recovery'!$F$1:$Y$231,11,FALSE)+VLOOKUP(A20,'Exit Anticipated Rev. Recovery'!$F$1:$Y$231,14,FALSE)</f>
        <v>9921490.9240215588</v>
      </c>
      <c r="E20" s="291">
        <f ca="1">VLOOKUP(A20,'Exit Anticipated Rev. Recovery'!$F$1:$Y$231,17,FALSE)</f>
        <v>10078509.075978439</v>
      </c>
      <c r="F20" s="291">
        <f t="shared" ca="1" si="0"/>
        <v>20000000</v>
      </c>
      <c r="G20" s="283">
        <f ca="1">VLOOKUP($A20, 'Exit Prices'!$A$3:$Q$231, 8, 0)</f>
        <v>7.2344179438402385</v>
      </c>
      <c r="H20" s="283">
        <f ca="1">VLOOKUP($A20, 'Exit Prices'!$A$3:$Q$231, 12, 0)</f>
        <v>1.9820323133808871E-2</v>
      </c>
      <c r="I20" s="283">
        <f ca="1">VLOOKUP($A20, 'Exit Prices'!$A$3:$Q$231,17, 0)</f>
        <v>1.7838290820427986E-2</v>
      </c>
      <c r="J20" s="297">
        <f ca="1">'Exit Anticipated Rev. Recovery'!$C$14</f>
        <v>0</v>
      </c>
      <c r="K20" s="307">
        <f ca="1">VLOOKUP(A20,'Exit Anticipated Rev. Recovery'!F:Y,20,FALSE)</f>
        <v>1373009.4147929633</v>
      </c>
      <c r="L20" s="306">
        <f ca="1">((D20*H20)+(E20*I20))*'User Inputs'!$D$7/100</f>
        <v>1373971.4418616325</v>
      </c>
      <c r="M20" s="306">
        <f ca="1">((D20*J20)+(E20*J20))*'User Inputs'!$D$7/100</f>
        <v>0</v>
      </c>
      <c r="O20" s="247" t="s">
        <v>438</v>
      </c>
      <c r="P20" s="248">
        <f t="shared" ca="1" si="1"/>
        <v>15271214.377137331</v>
      </c>
      <c r="Q20" s="248">
        <f t="shared" ca="1" si="2"/>
        <v>0</v>
      </c>
    </row>
    <row r="21" spans="1:17">
      <c r="A21" s="309" t="str">
        <f>'Exit Prices'!A20</f>
        <v>Bacton (IUK)</v>
      </c>
      <c r="B21" s="280" t="str">
        <f>VLOOKUP(A21,'Locations &amp; Types'!E:I,4,FALSE)</f>
        <v>INTERCONNECTOR</v>
      </c>
      <c r="C21" s="291">
        <f ca="1">VLOOKUP(A21,'Exit Prices'!$A:$C,3,FALSE)</f>
        <v>174391001.25205481</v>
      </c>
      <c r="D21" s="291">
        <f ca="1">VLOOKUP(A21,'Exit Anticipated Rev. Recovery'!$F$1:$Y$231,2,FALSE)+VLOOKUP(A21,'Exit Anticipated Rev. Recovery'!$F$1:$Y$231,5,FALSE)+VLOOKUP(A21,'Exit Anticipated Rev. Recovery'!$F$1:$Y$231,8,FALSE)+VLOOKUP(A21,'Exit Anticipated Rev. Recovery'!$F$1:$Y$231,11,FALSE)+VLOOKUP(A21,'Exit Anticipated Rev. Recovery'!$F$1:$Y$231,14,FALSE)</f>
        <v>85385306.354222342</v>
      </c>
      <c r="E21" s="291">
        <f ca="1">VLOOKUP(A21,'Exit Anticipated Rev. Recovery'!$F$1:$Y$231,17,FALSE)</f>
        <v>89005694.897832438</v>
      </c>
      <c r="F21" s="291">
        <f t="shared" ca="1" si="0"/>
        <v>174391001.25205478</v>
      </c>
      <c r="G21" s="283">
        <f ca="1">VLOOKUP($A21, 'Exit Prices'!$A$3:$Q$231, 8, 0)</f>
        <v>7.2344179438402385</v>
      </c>
      <c r="H21" s="283">
        <f ca="1">VLOOKUP($A21, 'Exit Prices'!$A$3:$Q$231, 12, 0)</f>
        <v>1.9820323133808871E-2</v>
      </c>
      <c r="I21" s="283">
        <f ca="1">VLOOKUP($A21, 'Exit Prices'!$A$3:$Q$231,17, 0)</f>
        <v>1.7838290820427986E-2</v>
      </c>
      <c r="J21" s="297">
        <f ca="1">'Exit Anticipated Rev. Recovery'!$C$14</f>
        <v>0</v>
      </c>
      <c r="K21" s="307">
        <f ca="1">VLOOKUP(A21,'Exit Anticipated Rev. Recovery'!F:Y,20,FALSE)</f>
        <v>11972269.490748458</v>
      </c>
      <c r="L21" s="306">
        <f ca="1">((D21*H21)+(E21*I21))*'User Inputs'!$D$7/100</f>
        <v>11972269.490748458</v>
      </c>
      <c r="M21" s="306">
        <f ca="1">((D21*J21)+(E21*J21))*'User Inputs'!$D$7/100</f>
        <v>0</v>
      </c>
    </row>
    <row r="22" spans="1:17">
      <c r="A22" s="309" t="str">
        <f>'Exit Prices'!A21</f>
        <v>Baldersby</v>
      </c>
      <c r="B22" s="280" t="str">
        <f>VLOOKUP(A22,'Locations &amp; Types'!E:I,4,FALSE)</f>
        <v>GDN (NE)</v>
      </c>
      <c r="C22" s="291">
        <f ca="1">VLOOKUP(A22,'Exit Prices'!$A:$C,3,FALSE)</f>
        <v>1126642</v>
      </c>
      <c r="D22" s="291">
        <f ca="1">VLOOKUP(A22,'Exit Anticipated Rev. Recovery'!$F$1:$Y$231,2,FALSE)+VLOOKUP(A22,'Exit Anticipated Rev. Recovery'!$F$1:$Y$231,5,FALSE)+VLOOKUP(A22,'Exit Anticipated Rev. Recovery'!$F$1:$Y$231,8,FALSE)+VLOOKUP(A22,'Exit Anticipated Rev. Recovery'!$F$1:$Y$231,11,FALSE)+VLOOKUP(A22,'Exit Anticipated Rev. Recovery'!$F$1:$Y$231,14,FALSE)</f>
        <v>1098434.7859759238</v>
      </c>
      <c r="E22" s="291">
        <f ca="1">VLOOKUP(A22,'Exit Anticipated Rev. Recovery'!$F$1:$Y$231,17,FALSE)</f>
        <v>28207.214024076526</v>
      </c>
      <c r="F22" s="291">
        <f t="shared" ca="1" si="0"/>
        <v>1126642.0000000002</v>
      </c>
      <c r="G22" s="283">
        <f ca="1">VLOOKUP($A22, 'Exit Prices'!$A$3:$Q$231, 8, 0)</f>
        <v>7.2344179438402385</v>
      </c>
      <c r="H22" s="283">
        <f ca="1">VLOOKUP($A22, 'Exit Prices'!$A$3:$Q$231, 12, 0)</f>
        <v>1.9820323133808871E-2</v>
      </c>
      <c r="I22" s="283">
        <f ca="1">VLOOKUP($A22, 'Exit Prices'!$A$3:$Q$231,17, 0)</f>
        <v>1.7838290820427986E-2</v>
      </c>
      <c r="J22" s="297">
        <f ca="1">'Exit Anticipated Rev. Recovery'!$C$14</f>
        <v>0</v>
      </c>
      <c r="K22" s="307">
        <f ca="1">VLOOKUP(A22,'Exit Anticipated Rev. Recovery'!F:Y,20,FALSE)</f>
        <v>81226.871878580409</v>
      </c>
      <c r="L22" s="306">
        <f ca="1">((D22*H22)+(E22*I22))*'User Inputs'!$D$7/100</f>
        <v>81301.92823555904</v>
      </c>
      <c r="M22" s="306">
        <f ca="1">((D22*J22)+(E22*J22))*'User Inputs'!$D$7/100</f>
        <v>0</v>
      </c>
    </row>
    <row r="23" spans="1:17">
      <c r="A23" s="309" t="str">
        <f>'Exit Prices'!A22</f>
        <v>Balgray</v>
      </c>
      <c r="B23" s="280" t="str">
        <f>VLOOKUP(A23,'Locations &amp; Types'!E:I,4,FALSE)</f>
        <v>GDN (SC)</v>
      </c>
      <c r="C23" s="291">
        <f ca="1">VLOOKUP(A23,'Exit Prices'!$A:$C,3,FALSE)</f>
        <v>14957981</v>
      </c>
      <c r="D23" s="291">
        <f ca="1">VLOOKUP(A23,'Exit Anticipated Rev. Recovery'!$F$1:$Y$231,2,FALSE)+VLOOKUP(A23,'Exit Anticipated Rev. Recovery'!$F$1:$Y$231,5,FALSE)+VLOOKUP(A23,'Exit Anticipated Rev. Recovery'!$F$1:$Y$231,8,FALSE)+VLOOKUP(A23,'Exit Anticipated Rev. Recovery'!$F$1:$Y$231,11,FALSE)+VLOOKUP(A23,'Exit Anticipated Rev. Recovery'!$F$1:$Y$231,14,FALSE)</f>
        <v>14583484.9565052</v>
      </c>
      <c r="E23" s="291">
        <f ca="1">VLOOKUP(A23,'Exit Anticipated Rev. Recovery'!$F$1:$Y$231,17,FALSE)</f>
        <v>374496.04349480162</v>
      </c>
      <c r="F23" s="291">
        <f t="shared" ca="1" si="0"/>
        <v>14957981.000000002</v>
      </c>
      <c r="G23" s="283">
        <f ca="1">VLOOKUP($A23, 'Exit Prices'!$A$3:$Q$231, 8, 0)</f>
        <v>7.2344179438402385</v>
      </c>
      <c r="H23" s="283">
        <f ca="1">VLOOKUP($A23, 'Exit Prices'!$A$3:$Q$231, 12, 0)</f>
        <v>1.9820323133808871E-2</v>
      </c>
      <c r="I23" s="283">
        <f ca="1">VLOOKUP($A23, 'Exit Prices'!$A$3:$Q$231,17, 0)</f>
        <v>1.7838290820427986E-2</v>
      </c>
      <c r="J23" s="297">
        <f ca="1">'Exit Anticipated Rev. Recovery'!$C$14</f>
        <v>0</v>
      </c>
      <c r="K23" s="307">
        <f ca="1">VLOOKUP(A23,'Exit Anticipated Rev. Recovery'!F:Y,20,FALSE)</f>
        <v>1078417.1069862831</v>
      </c>
      <c r="L23" s="306">
        <f ca="1">((D23*H23)+(E23*I23))*'User Inputs'!$D$7/100</f>
        <v>1079413.6006032578</v>
      </c>
      <c r="M23" s="306">
        <f ca="1">((D23*J23)+(E23*J23))*'User Inputs'!$D$7/100</f>
        <v>0</v>
      </c>
    </row>
    <row r="24" spans="1:17">
      <c r="A24" s="309" t="str">
        <f>'Exit Prices'!A23</f>
        <v>Barking (Horndon)</v>
      </c>
      <c r="B24" s="280" t="str">
        <f>VLOOKUP(A24,'Locations &amp; Types'!E:I,4,FALSE)</f>
        <v>POWER STATION</v>
      </c>
      <c r="C24" s="291">
        <f ca="1">VLOOKUP(A24,'Exit Prices'!$A:$C,3,FALSE)</f>
        <v>0</v>
      </c>
      <c r="D24" s="291">
        <f ca="1">VLOOKUP(A24,'Exit Anticipated Rev. Recovery'!$F$1:$Y$231,2,FALSE)+VLOOKUP(A24,'Exit Anticipated Rev. Recovery'!$F$1:$Y$231,5,FALSE)+VLOOKUP(A24,'Exit Anticipated Rev. Recovery'!$F$1:$Y$231,8,FALSE)+VLOOKUP(A24,'Exit Anticipated Rev. Recovery'!$F$1:$Y$231,11,FALSE)+VLOOKUP(A24,'Exit Anticipated Rev. Recovery'!$F$1:$Y$231,14,FALSE)</f>
        <v>0</v>
      </c>
      <c r="E24" s="291">
        <f ca="1">VLOOKUP(A24,'Exit Anticipated Rev. Recovery'!$F$1:$Y$231,17,FALSE)</f>
        <v>0</v>
      </c>
      <c r="F24" s="291">
        <f t="shared" ca="1" si="0"/>
        <v>0</v>
      </c>
      <c r="G24" s="283">
        <f ca="1">VLOOKUP($A24, 'Exit Prices'!$A$3:$Q$231, 8, 0)</f>
        <v>7.2344179438402385</v>
      </c>
      <c r="H24" s="283">
        <f ca="1">VLOOKUP($A24, 'Exit Prices'!$A$3:$Q$231, 12, 0)</f>
        <v>1.9820323133808871E-2</v>
      </c>
      <c r="I24" s="283">
        <f ca="1">VLOOKUP($A24, 'Exit Prices'!$A$3:$Q$231,17, 0)</f>
        <v>1.7838290820427986E-2</v>
      </c>
      <c r="J24" s="297">
        <f ca="1">'Exit Anticipated Rev. Recovery'!$C$14</f>
        <v>0</v>
      </c>
      <c r="K24" s="307">
        <f ca="1">VLOOKUP(A24,'Exit Anticipated Rev. Recovery'!F:Y,20,FALSE)</f>
        <v>0</v>
      </c>
      <c r="L24" s="306">
        <f ca="1">((D24*H24)+(E24*I24))*'User Inputs'!$D$7/100</f>
        <v>0</v>
      </c>
      <c r="M24" s="306">
        <f ca="1">((D24*J24)+(E24*J24))*'User Inputs'!$D$7/100</f>
        <v>0</v>
      </c>
    </row>
    <row r="25" spans="1:17">
      <c r="A25" s="309" t="str">
        <f>'Exit Prices'!A24</f>
        <v>Barrow (Bains)</v>
      </c>
      <c r="B25" s="280" t="str">
        <f>VLOOKUP(A25,'Locations &amp; Types'!E:I,4,FALSE)</f>
        <v>STORAGE SITE</v>
      </c>
      <c r="C25" s="291">
        <f ca="1">VLOOKUP(A25,'Exit Prices'!$A:$C,3,FALSE)</f>
        <v>0</v>
      </c>
      <c r="D25" s="291">
        <f ca="1">VLOOKUP(A25,'Exit Anticipated Rev. Recovery'!$F$1:$Y$231,2,FALSE)+VLOOKUP(A25,'Exit Anticipated Rev. Recovery'!$F$1:$Y$231,5,FALSE)+VLOOKUP(A25,'Exit Anticipated Rev. Recovery'!$F$1:$Y$231,8,FALSE)+VLOOKUP(A25,'Exit Anticipated Rev. Recovery'!$F$1:$Y$231,11,FALSE)+VLOOKUP(A25,'Exit Anticipated Rev. Recovery'!$F$1:$Y$231,14,FALSE)</f>
        <v>0</v>
      </c>
      <c r="E25" s="291">
        <f ca="1">VLOOKUP(A25,'Exit Anticipated Rev. Recovery'!$F$1:$Y$231,17,FALSE)</f>
        <v>0</v>
      </c>
      <c r="F25" s="291">
        <f t="shared" ca="1" si="0"/>
        <v>0</v>
      </c>
      <c r="G25" s="283">
        <f ca="1">VLOOKUP($A25, 'Exit Prices'!$A$3:$Q$231, 8, 0)</f>
        <v>7.2344179438402385</v>
      </c>
      <c r="H25" s="283">
        <f ca="1">VLOOKUP($A25, 'Exit Prices'!$A$3:$Q$231, 12, 0)</f>
        <v>9.9101615669044355E-3</v>
      </c>
      <c r="I25" s="283">
        <f ca="1">VLOOKUP($A25, 'Exit Prices'!$A$3:$Q$231,17, 0)</f>
        <v>8.9191454102139928E-3</v>
      </c>
      <c r="J25" s="297">
        <f ca="1">'Exit Anticipated Rev. Recovery'!$C$14</f>
        <v>0</v>
      </c>
      <c r="K25" s="307">
        <f ca="1">VLOOKUP(A25,'Exit Anticipated Rev. Recovery'!F:Y,20,FALSE)</f>
        <v>0</v>
      </c>
      <c r="L25" s="306">
        <f ca="1">((D25*H25)+(E25*I25))*'User Inputs'!$D$7/100</f>
        <v>0</v>
      </c>
      <c r="M25" s="306">
        <f ca="1">((D25*J25)+(E25*J25))*'User Inputs'!$D$7/100</f>
        <v>0</v>
      </c>
    </row>
    <row r="26" spans="1:17">
      <c r="A26" s="309" t="str">
        <f>'Exit Prices'!A25</f>
        <v>Barrow (Black Start)</v>
      </c>
      <c r="B26" s="280" t="str">
        <f>VLOOKUP(A26,'Locations &amp; Types'!E:I,4,FALSE)</f>
        <v>INDUSTRIAL</v>
      </c>
      <c r="C26" s="291">
        <f ca="1">VLOOKUP(A26,'Exit Prices'!$A:$C,3,FALSE)</f>
        <v>1000000</v>
      </c>
      <c r="D26" s="291">
        <f ca="1">VLOOKUP(A26,'Exit Anticipated Rev. Recovery'!$F$1:$Y$231,2,FALSE)+VLOOKUP(A26,'Exit Anticipated Rev. Recovery'!$F$1:$Y$231,5,FALSE)+VLOOKUP(A26,'Exit Anticipated Rev. Recovery'!$F$1:$Y$231,8,FALSE)+VLOOKUP(A26,'Exit Anticipated Rev. Recovery'!$F$1:$Y$231,11,FALSE)+VLOOKUP(A26,'Exit Anticipated Rev. Recovery'!$F$1:$Y$231,14,FALSE)</f>
        <v>756676.07776553335</v>
      </c>
      <c r="E26" s="291">
        <f ca="1">VLOOKUP(A26,'Exit Anticipated Rev. Recovery'!$F$1:$Y$231,17,FALSE)</f>
        <v>243323.922234467</v>
      </c>
      <c r="F26" s="291">
        <f t="shared" ca="1" si="0"/>
        <v>1000000.0000000003</v>
      </c>
      <c r="G26" s="283">
        <f ca="1">VLOOKUP($A26, 'Exit Prices'!$A$3:$Q$231, 8, 0)</f>
        <v>7.2344179438402385</v>
      </c>
      <c r="H26" s="283">
        <f ca="1">VLOOKUP($A26, 'Exit Prices'!$A$3:$Q$231, 12, 0)</f>
        <v>1.9820323133808871E-2</v>
      </c>
      <c r="I26" s="283">
        <f ca="1">VLOOKUP($A26, 'Exit Prices'!$A$3:$Q$231,17, 0)</f>
        <v>1.7838290820427986E-2</v>
      </c>
      <c r="J26" s="297">
        <f ca="1">'Exit Anticipated Rev. Recovery'!$C$14</f>
        <v>0</v>
      </c>
      <c r="K26" s="307">
        <f ca="1">VLOOKUP(A26,'Exit Anticipated Rev. Recovery'!F:Y,20,FALSE)</f>
        <v>70515.654307083285</v>
      </c>
      <c r="L26" s="306">
        <f ca="1">((D26*H26)+(E26*I26))*'User Inputs'!$D$7/100</f>
        <v>70583.872489223781</v>
      </c>
      <c r="M26" s="306">
        <f ca="1">((D26*J26)+(E26*J26))*'User Inputs'!$D$7/100</f>
        <v>0</v>
      </c>
    </row>
    <row r="27" spans="1:17">
      <c r="A27" s="309" t="str">
        <f>'Exit Prices'!A26</f>
        <v>Barrow (Gateway)</v>
      </c>
      <c r="B27" s="280" t="str">
        <f>VLOOKUP(A27,'Locations &amp; Types'!E:I,4,FALSE)</f>
        <v>STORAGE SITE</v>
      </c>
      <c r="C27" s="291">
        <f ca="1">VLOOKUP(A27,'Exit Prices'!$A:$C,3,FALSE)</f>
        <v>0</v>
      </c>
      <c r="D27" s="291">
        <f ca="1">VLOOKUP(A27,'Exit Anticipated Rev. Recovery'!$F$1:$Y$231,2,FALSE)+VLOOKUP(A27,'Exit Anticipated Rev. Recovery'!$F$1:$Y$231,5,FALSE)+VLOOKUP(A27,'Exit Anticipated Rev. Recovery'!$F$1:$Y$231,8,FALSE)+VLOOKUP(A27,'Exit Anticipated Rev. Recovery'!$F$1:$Y$231,11,FALSE)+VLOOKUP(A27,'Exit Anticipated Rev. Recovery'!$F$1:$Y$231,14,FALSE)</f>
        <v>0</v>
      </c>
      <c r="E27" s="291">
        <f ca="1">VLOOKUP(A27,'Exit Anticipated Rev. Recovery'!$F$1:$Y$231,17,FALSE)</f>
        <v>0</v>
      </c>
      <c r="F27" s="291">
        <f t="shared" ca="1" si="0"/>
        <v>0</v>
      </c>
      <c r="G27" s="283">
        <f ca="1">VLOOKUP($A27, 'Exit Prices'!$A$3:$Q$231, 8, 0)</f>
        <v>7.2344179438402385</v>
      </c>
      <c r="H27" s="283">
        <f ca="1">VLOOKUP($A27, 'Exit Prices'!$A$3:$Q$231, 12, 0)</f>
        <v>9.9101615669044355E-3</v>
      </c>
      <c r="I27" s="283">
        <f ca="1">VLOOKUP($A27, 'Exit Prices'!$A$3:$Q$231,17, 0)</f>
        <v>8.9191454102139928E-3</v>
      </c>
      <c r="J27" s="297">
        <f ca="1">'Exit Anticipated Rev. Recovery'!$C$14</f>
        <v>0</v>
      </c>
      <c r="K27" s="307">
        <f ca="1">VLOOKUP(A27,'Exit Anticipated Rev. Recovery'!F:Y,20,FALSE)</f>
        <v>0</v>
      </c>
      <c r="L27" s="306">
        <f ca="1">((D27*H27)+(E27*I27))*'User Inputs'!$D$7/100</f>
        <v>0</v>
      </c>
      <c r="M27" s="306">
        <f ca="1">((D27*J27)+(E27*J27))*'User Inputs'!$D$7/100</f>
        <v>0</v>
      </c>
    </row>
    <row r="28" spans="1:17">
      <c r="A28" s="309" t="str">
        <f>'Exit Prices'!A27</f>
        <v>Barton Stacey Max Refill (Humbly Grove)</v>
      </c>
      <c r="B28" s="280" t="str">
        <f>VLOOKUP(A28,'Locations &amp; Types'!E:I,4,FALSE)</f>
        <v>STORAGE SITE</v>
      </c>
      <c r="C28" s="291">
        <f ca="1">VLOOKUP(A28,'Exit Prices'!$A:$C,3,FALSE)</f>
        <v>6270352.3013698645</v>
      </c>
      <c r="D28" s="291">
        <f ca="1">VLOOKUP(A28,'Exit Anticipated Rev. Recovery'!$F$1:$Y$231,2,FALSE)+VLOOKUP(A28,'Exit Anticipated Rev. Recovery'!$F$1:$Y$231,5,FALSE)+VLOOKUP(A28,'Exit Anticipated Rev. Recovery'!$F$1:$Y$231,8,FALSE)+VLOOKUP(A28,'Exit Anticipated Rev. Recovery'!$F$1:$Y$231,11,FALSE)+VLOOKUP(A28,'Exit Anticipated Rev. Recovery'!$F$1:$Y$231,14,FALSE)</f>
        <v>1744425.0838978433</v>
      </c>
      <c r="E28" s="291">
        <f ca="1">VLOOKUP(A28,'Exit Anticipated Rev. Recovery'!$F$1:$Y$231,17,FALSE)</f>
        <v>4525927.2174720224</v>
      </c>
      <c r="F28" s="291">
        <f t="shared" ca="1" si="0"/>
        <v>6270352.3013698654</v>
      </c>
      <c r="G28" s="283">
        <f ca="1">VLOOKUP($A28, 'Exit Prices'!$A$3:$Q$231, 8, 0)</f>
        <v>7.2344179438402385</v>
      </c>
      <c r="H28" s="283">
        <f ca="1">VLOOKUP($A28, 'Exit Prices'!$A$3:$Q$231, 12, 0)</f>
        <v>9.9101615669044355E-3</v>
      </c>
      <c r="I28" s="283">
        <f ca="1">VLOOKUP($A28, 'Exit Prices'!$A$3:$Q$231,17, 0)</f>
        <v>8.9191454102139928E-3</v>
      </c>
      <c r="J28" s="297">
        <f ca="1">'Exit Anticipated Rev. Recovery'!$C$14</f>
        <v>0</v>
      </c>
      <c r="K28" s="307">
        <f ca="1">VLOOKUP(A28,'Exit Anticipated Rev. Recovery'!F:Y,20,FALSE)</f>
        <v>210089.38735495083</v>
      </c>
      <c r="L28" s="306">
        <f ca="1">((D28*H28)+(E28*I28))*'User Inputs'!$D$7/100</f>
        <v>210440.52147885322</v>
      </c>
      <c r="M28" s="306">
        <f ca="1">((D28*J28)+(E28*J28))*'User Inputs'!$D$7/100</f>
        <v>0</v>
      </c>
    </row>
    <row r="29" spans="1:17">
      <c r="A29" s="309" t="str">
        <f>'Exit Prices'!A28</f>
        <v>Bathgate</v>
      </c>
      <c r="B29" s="280" t="str">
        <f>VLOOKUP(A29,'Locations &amp; Types'!E:I,4,FALSE)</f>
        <v>GDN (SC)</v>
      </c>
      <c r="C29" s="291">
        <f ca="1">VLOOKUP(A29,'Exit Prices'!$A:$C,3,FALSE)</f>
        <v>24494907</v>
      </c>
      <c r="D29" s="291">
        <f ca="1">VLOOKUP(A29,'Exit Anticipated Rev. Recovery'!$F$1:$Y$231,2,FALSE)+VLOOKUP(A29,'Exit Anticipated Rev. Recovery'!$F$1:$Y$231,5,FALSE)+VLOOKUP(A29,'Exit Anticipated Rev. Recovery'!$F$1:$Y$231,8,FALSE)+VLOOKUP(A29,'Exit Anticipated Rev. Recovery'!$F$1:$Y$231,11,FALSE)+VLOOKUP(A29,'Exit Anticipated Rev. Recovery'!$F$1:$Y$231,14,FALSE)</f>
        <v>23881639.356641371</v>
      </c>
      <c r="E29" s="291">
        <f ca="1">VLOOKUP(A29,'Exit Anticipated Rev. Recovery'!$F$1:$Y$231,17,FALSE)</f>
        <v>613267.6433586271</v>
      </c>
      <c r="F29" s="291">
        <f t="shared" ca="1" si="0"/>
        <v>24494906.999999996</v>
      </c>
      <c r="G29" s="283">
        <f ca="1">VLOOKUP($A29, 'Exit Prices'!$A$3:$Q$231, 8, 0)</f>
        <v>7.2344179438402385</v>
      </c>
      <c r="H29" s="283">
        <f ca="1">VLOOKUP($A29, 'Exit Prices'!$A$3:$Q$231, 12, 0)</f>
        <v>1.9820323133808871E-2</v>
      </c>
      <c r="I29" s="283">
        <f ca="1">VLOOKUP($A29, 'Exit Prices'!$A$3:$Q$231,17, 0)</f>
        <v>1.7838290820427986E-2</v>
      </c>
      <c r="J29" s="297">
        <f ca="1">'Exit Anticipated Rev. Recovery'!$C$14</f>
        <v>0</v>
      </c>
      <c r="K29" s="307">
        <f ca="1">VLOOKUP(A29,'Exit Anticipated Rev. Recovery'!F:Y,20,FALSE)</f>
        <v>1765995.4737767116</v>
      </c>
      <c r="L29" s="306">
        <f ca="1">((D29*H29)+(E29*I29))*'User Inputs'!$D$7/100</f>
        <v>1767627.312891488</v>
      </c>
      <c r="M29" s="306">
        <f ca="1">((D29*J29)+(E29*J29))*'User Inputs'!$D$7/100</f>
        <v>0</v>
      </c>
    </row>
    <row r="30" spans="1:17">
      <c r="A30" s="309" t="str">
        <f>'Exit Prices'!A29</f>
        <v>Billingham ICI (Terra Billingham)</v>
      </c>
      <c r="B30" s="280" t="str">
        <f>VLOOKUP(A30,'Locations &amp; Types'!E:I,4,FALSE)</f>
        <v>INDUSTRIAL</v>
      </c>
      <c r="C30" s="291">
        <f ca="1">VLOOKUP(A30,'Exit Prices'!$A:$C,3,FALSE)</f>
        <v>43231850</v>
      </c>
      <c r="D30" s="291">
        <f ca="1">VLOOKUP(A30,'Exit Anticipated Rev. Recovery'!$F$1:$Y$231,2,FALSE)+VLOOKUP(A30,'Exit Anticipated Rev. Recovery'!$F$1:$Y$231,5,FALSE)+VLOOKUP(A30,'Exit Anticipated Rev. Recovery'!$F$1:$Y$231,8,FALSE)+VLOOKUP(A30,'Exit Anticipated Rev. Recovery'!$F$1:$Y$231,11,FALSE)+VLOOKUP(A30,'Exit Anticipated Rev. Recovery'!$F$1:$Y$231,14,FALSE)</f>
        <v>32712506.692547869</v>
      </c>
      <c r="E30" s="291">
        <f ca="1">VLOOKUP(A30,'Exit Anticipated Rev. Recovery'!$F$1:$Y$231,17,FALSE)</f>
        <v>10519343.307452142</v>
      </c>
      <c r="F30" s="291">
        <f t="shared" ca="1" si="0"/>
        <v>43231850.000000015</v>
      </c>
      <c r="G30" s="283">
        <f ca="1">VLOOKUP($A30, 'Exit Prices'!$A$3:$Q$231, 8, 0)</f>
        <v>7.2344179438402385</v>
      </c>
      <c r="H30" s="283">
        <f ca="1">VLOOKUP($A30, 'Exit Prices'!$A$3:$Q$231, 12, 0)</f>
        <v>1.9820323133808871E-2</v>
      </c>
      <c r="I30" s="283">
        <f ca="1">VLOOKUP($A30, 'Exit Prices'!$A$3:$Q$231,17, 0)</f>
        <v>1.7838290820427986E-2</v>
      </c>
      <c r="J30" s="297">
        <f ca="1">'Exit Anticipated Rev. Recovery'!$C$14</f>
        <v>0</v>
      </c>
      <c r="K30" s="307">
        <f ca="1">VLOOKUP(A30,'Exit Anticipated Rev. Recovery'!F:Y,20,FALSE)</f>
        <v>3048522.1896556779</v>
      </c>
      <c r="L30" s="306">
        <f ca="1">((D30*H30)+(E30*I30))*'User Inputs'!$D$7/100</f>
        <v>3051471.3878732491</v>
      </c>
      <c r="M30" s="306">
        <f ca="1">((D30*J30)+(E30*J30))*'User Inputs'!$D$7/100</f>
        <v>0</v>
      </c>
    </row>
    <row r="31" spans="1:17">
      <c r="A31" s="309" t="str">
        <f>'Exit Prices'!A30</f>
        <v>Bishop Auckland</v>
      </c>
      <c r="B31" s="280" t="str">
        <f>VLOOKUP(A31,'Locations &amp; Types'!E:I,4,FALSE)</f>
        <v>GDN (NO)</v>
      </c>
      <c r="C31" s="291">
        <f ca="1">VLOOKUP(A31,'Exit Prices'!$A:$C,3,FALSE)</f>
        <v>55604210</v>
      </c>
      <c r="D31" s="291">
        <f ca="1">VLOOKUP(A31,'Exit Anticipated Rev. Recovery'!$F$1:$Y$231,2,FALSE)+VLOOKUP(A31,'Exit Anticipated Rev. Recovery'!$F$1:$Y$231,5,FALSE)+VLOOKUP(A31,'Exit Anticipated Rev. Recovery'!$F$1:$Y$231,8,FALSE)+VLOOKUP(A31,'Exit Anticipated Rev. Recovery'!$F$1:$Y$231,11,FALSE)+VLOOKUP(A31,'Exit Anticipated Rev. Recovery'!$F$1:$Y$231,14,FALSE)</f>
        <v>54212073.143651932</v>
      </c>
      <c r="E31" s="291">
        <f ca="1">VLOOKUP(A31,'Exit Anticipated Rev. Recovery'!$F$1:$Y$231,17,FALSE)</f>
        <v>1392136.8563480647</v>
      </c>
      <c r="F31" s="291">
        <f t="shared" ca="1" si="0"/>
        <v>55604210</v>
      </c>
      <c r="G31" s="283">
        <f ca="1">VLOOKUP($A31, 'Exit Prices'!$A$3:$Q$231, 8, 0)</f>
        <v>7.2344179438402385</v>
      </c>
      <c r="H31" s="283">
        <f ca="1">VLOOKUP($A31, 'Exit Prices'!$A$3:$Q$231, 12, 0)</f>
        <v>1.9820323133808871E-2</v>
      </c>
      <c r="I31" s="283">
        <f ca="1">VLOOKUP($A31, 'Exit Prices'!$A$3:$Q$231,17, 0)</f>
        <v>1.7838290820427986E-2</v>
      </c>
      <c r="J31" s="297">
        <f ca="1">'Exit Anticipated Rev. Recovery'!$C$14</f>
        <v>0</v>
      </c>
      <c r="K31" s="307">
        <f ca="1">VLOOKUP(A31,'Exit Anticipated Rev. Recovery'!F:Y,20,FALSE)</f>
        <v>4008865.3197552352</v>
      </c>
      <c r="L31" s="306">
        <f ca="1">((D31*H31)+(E31*I31))*'User Inputs'!$D$7/100</f>
        <v>4012569.6459167614</v>
      </c>
      <c r="M31" s="306">
        <f ca="1">((D31*J31)+(E31*J31))*'User Inputs'!$D$7/100</f>
        <v>0</v>
      </c>
    </row>
    <row r="32" spans="1:17">
      <c r="A32" s="309" t="str">
        <f>'Exit Prices'!A31</f>
        <v>Bishop Auckland (test facility)</v>
      </c>
      <c r="B32" s="280" t="str">
        <f>VLOOKUP(A32,'Locations &amp; Types'!E:I,4,FALSE)</f>
        <v>INDUSTRIAL</v>
      </c>
      <c r="C32" s="291">
        <f ca="1">VLOOKUP(A32,'Exit Prices'!$A:$C,3,FALSE)</f>
        <v>1151040</v>
      </c>
      <c r="D32" s="291">
        <f ca="1">VLOOKUP(A32,'Exit Anticipated Rev. Recovery'!$F$1:$Y$231,2,FALSE)+VLOOKUP(A32,'Exit Anticipated Rev. Recovery'!$F$1:$Y$231,5,FALSE)+VLOOKUP(A32,'Exit Anticipated Rev. Recovery'!$F$1:$Y$231,8,FALSE)+VLOOKUP(A32,'Exit Anticipated Rev. Recovery'!$F$1:$Y$231,11,FALSE)+VLOOKUP(A32,'Exit Anticipated Rev. Recovery'!$F$1:$Y$231,14,FALSE)</f>
        <v>870964.43255123938</v>
      </c>
      <c r="E32" s="291">
        <f ca="1">VLOOKUP(A32,'Exit Anticipated Rev. Recovery'!$F$1:$Y$231,17,FALSE)</f>
        <v>280075.56744876091</v>
      </c>
      <c r="F32" s="291">
        <f t="shared" ca="1" si="0"/>
        <v>1151040.0000000002</v>
      </c>
      <c r="G32" s="283">
        <f ca="1">VLOOKUP($A32, 'Exit Prices'!$A$3:$Q$231, 8, 0)</f>
        <v>7.2344179438402385</v>
      </c>
      <c r="H32" s="283">
        <f ca="1">VLOOKUP($A32, 'Exit Prices'!$A$3:$Q$231, 12, 0)</f>
        <v>1.9820323133808871E-2</v>
      </c>
      <c r="I32" s="283">
        <f ca="1">VLOOKUP($A32, 'Exit Prices'!$A$3:$Q$231,17, 0)</f>
        <v>1.7838290820427986E-2</v>
      </c>
      <c r="J32" s="297">
        <f ca="1">'Exit Anticipated Rev. Recovery'!$C$14</f>
        <v>0</v>
      </c>
      <c r="K32" s="307">
        <f ca="1">VLOOKUP(A32,'Exit Anticipated Rev. Recovery'!F:Y,20,FALSE)</f>
        <v>81166.338733625133</v>
      </c>
      <c r="L32" s="306">
        <f ca="1">((D32*H32)+(E32*I32))*'User Inputs'!$D$7/100</f>
        <v>81244.860589996155</v>
      </c>
      <c r="M32" s="306">
        <f ca="1">((D32*J32)+(E32*J32))*'User Inputs'!$D$7/100</f>
        <v>0</v>
      </c>
    </row>
    <row r="33" spans="1:13">
      <c r="A33" s="309" t="str">
        <f>'Exit Prices'!A32</f>
        <v>Blaby</v>
      </c>
      <c r="B33" s="280" t="str">
        <f>VLOOKUP(A33,'Locations &amp; Types'!E:I,4,FALSE)</f>
        <v>GDN (EM)</v>
      </c>
      <c r="C33" s="291">
        <f ca="1">VLOOKUP(A33,'Exit Prices'!$A:$C,3,FALSE)</f>
        <v>9867513</v>
      </c>
      <c r="D33" s="291">
        <f ca="1">VLOOKUP(A33,'Exit Anticipated Rev. Recovery'!$F$1:$Y$231,2,FALSE)+VLOOKUP(A33,'Exit Anticipated Rev. Recovery'!$F$1:$Y$231,5,FALSE)+VLOOKUP(A33,'Exit Anticipated Rev. Recovery'!$F$1:$Y$231,8,FALSE)+VLOOKUP(A33,'Exit Anticipated Rev. Recovery'!$F$1:$Y$231,11,FALSE)+VLOOKUP(A33,'Exit Anticipated Rev. Recovery'!$F$1:$Y$231,14,FALSE)</f>
        <v>9620464.6465067361</v>
      </c>
      <c r="E33" s="291">
        <f ca="1">VLOOKUP(A33,'Exit Anticipated Rev. Recovery'!$F$1:$Y$231,17,FALSE)</f>
        <v>247048.35349326357</v>
      </c>
      <c r="F33" s="291">
        <f t="shared" ca="1" si="0"/>
        <v>9867513</v>
      </c>
      <c r="G33" s="283">
        <f ca="1">VLOOKUP($A33, 'Exit Prices'!$A$3:$Q$231, 8, 0)</f>
        <v>7.2344179438402385</v>
      </c>
      <c r="H33" s="283">
        <f ca="1">VLOOKUP($A33, 'Exit Prices'!$A$3:$Q$231, 12, 0)</f>
        <v>1.9820323133808871E-2</v>
      </c>
      <c r="I33" s="283">
        <f ca="1">VLOOKUP($A33, 'Exit Prices'!$A$3:$Q$231,17, 0)</f>
        <v>1.7838290820427986E-2</v>
      </c>
      <c r="J33" s="297">
        <f ca="1">'Exit Anticipated Rev. Recovery'!$C$14</f>
        <v>0</v>
      </c>
      <c r="K33" s="307">
        <f ca="1">VLOOKUP(A33,'Exit Anticipated Rev. Recovery'!F:Y,20,FALSE)</f>
        <v>711412.51099393272</v>
      </c>
      <c r="L33" s="306">
        <f ca="1">((D33*H33)+(E33*I33))*'User Inputs'!$D$7/100</f>
        <v>712069.88004126027</v>
      </c>
      <c r="M33" s="306">
        <f ca="1">((D33*J33)+(E33*J33))*'User Inputs'!$D$7/100</f>
        <v>0</v>
      </c>
    </row>
    <row r="34" spans="1:13">
      <c r="A34" s="309" t="str">
        <f>'Exit Prices'!A33</f>
        <v>Blackness (BP Grangemouth)</v>
      </c>
      <c r="B34" s="280" t="str">
        <f>VLOOKUP(A34,'Locations &amp; Types'!E:I,4,FALSE)</f>
        <v>INDUSTRIAL</v>
      </c>
      <c r="C34" s="291">
        <f ca="1">VLOOKUP(A34,'Exit Prices'!$A:$C,3,FALSE)</f>
        <v>27291369.8630137</v>
      </c>
      <c r="D34" s="291">
        <f ca="1">VLOOKUP(A34,'Exit Anticipated Rev. Recovery'!$F$1:$Y$231,2,FALSE)+VLOOKUP(A34,'Exit Anticipated Rev. Recovery'!$F$1:$Y$231,5,FALSE)+VLOOKUP(A34,'Exit Anticipated Rev. Recovery'!$F$1:$Y$231,8,FALSE)+VLOOKUP(A34,'Exit Anticipated Rev. Recovery'!$F$1:$Y$231,11,FALSE)+VLOOKUP(A34,'Exit Anticipated Rev. Recovery'!$F$1:$Y$231,14,FALSE)</f>
        <v>20650726.704793688</v>
      </c>
      <c r="E34" s="291">
        <f ca="1">VLOOKUP(A34,'Exit Anticipated Rev. Recovery'!$F$1:$Y$231,17,FALSE)</f>
        <v>6640643.158220022</v>
      </c>
      <c r="F34" s="291">
        <f t="shared" ca="1" si="0"/>
        <v>27291369.863013711</v>
      </c>
      <c r="G34" s="283">
        <f ca="1">VLOOKUP($A34, 'Exit Prices'!$A$3:$Q$231, 8, 0)</f>
        <v>7.2344179438402385</v>
      </c>
      <c r="H34" s="283">
        <f ca="1">VLOOKUP($A34, 'Exit Prices'!$A$3:$Q$231, 12, 0)</f>
        <v>1.9820323133808871E-2</v>
      </c>
      <c r="I34" s="283">
        <f ca="1">VLOOKUP($A34, 'Exit Prices'!$A$3:$Q$231,17, 0)</f>
        <v>1.7838290820427986E-2</v>
      </c>
      <c r="J34" s="297">
        <f ca="1">'Exit Anticipated Rev. Recovery'!$C$14</f>
        <v>0</v>
      </c>
      <c r="K34" s="307">
        <f ca="1">VLOOKUP(A34,'Exit Anticipated Rev. Recovery'!F:Y,20,FALSE)</f>
        <v>1924468.8028270248</v>
      </c>
      <c r="L34" s="306">
        <f ca="1">((D34*H34)+(E34*I34))*'User Inputs'!$D$7/100</f>
        <v>1926330.5704672041</v>
      </c>
      <c r="M34" s="306">
        <f ca="1">((D34*J34)+(E34*J34))*'User Inputs'!$D$7/100</f>
        <v>0</v>
      </c>
    </row>
    <row r="35" spans="1:13">
      <c r="A35" s="309" t="str">
        <f>'Exit Prices'!A34</f>
        <v>Blackrod</v>
      </c>
      <c r="B35" s="280" t="str">
        <f>VLOOKUP(A35,'Locations &amp; Types'!E:I,4,FALSE)</f>
        <v>GDN (NW)</v>
      </c>
      <c r="C35" s="291">
        <f ca="1">VLOOKUP(A35,'Exit Prices'!$A:$C,3,FALSE)</f>
        <v>126130731</v>
      </c>
      <c r="D35" s="291">
        <f ca="1">VLOOKUP(A35,'Exit Anticipated Rev. Recovery'!$F$1:$Y$231,2,FALSE)+VLOOKUP(A35,'Exit Anticipated Rev. Recovery'!$F$1:$Y$231,5,FALSE)+VLOOKUP(A35,'Exit Anticipated Rev. Recovery'!$F$1:$Y$231,8,FALSE)+VLOOKUP(A35,'Exit Anticipated Rev. Recovery'!$F$1:$Y$231,11,FALSE)+VLOOKUP(A35,'Exit Anticipated Rev. Recovery'!$F$1:$Y$231,14,FALSE)</f>
        <v>122972854.29708087</v>
      </c>
      <c r="E35" s="291">
        <f ca="1">VLOOKUP(A35,'Exit Anticipated Rev. Recovery'!$F$1:$Y$231,17,FALSE)</f>
        <v>3157876.7029191386</v>
      </c>
      <c r="F35" s="291">
        <f t="shared" ca="1" si="0"/>
        <v>126130731.00000001</v>
      </c>
      <c r="G35" s="283">
        <f ca="1">VLOOKUP($A35, 'Exit Prices'!$A$3:$Q$231, 8, 0)</f>
        <v>7.2344179438402385</v>
      </c>
      <c r="H35" s="283">
        <f ca="1">VLOOKUP($A35, 'Exit Prices'!$A$3:$Q$231, 12, 0)</f>
        <v>1.9820323133808871E-2</v>
      </c>
      <c r="I35" s="283">
        <f ca="1">VLOOKUP($A35, 'Exit Prices'!$A$3:$Q$231,17, 0)</f>
        <v>1.7838290820427986E-2</v>
      </c>
      <c r="J35" s="297">
        <f ca="1">'Exit Anticipated Rev. Recovery'!$C$14</f>
        <v>0</v>
      </c>
      <c r="K35" s="307">
        <f ca="1">VLOOKUP(A35,'Exit Anticipated Rev. Recovery'!F:Y,20,FALSE)</f>
        <v>9093576.0666553248</v>
      </c>
      <c r="L35" s="306">
        <f ca="1">((D35*H35)+(E35*I35))*'User Inputs'!$D$7/100</f>
        <v>9101978.8362768292</v>
      </c>
      <c r="M35" s="306">
        <f ca="1">((D35*J35)+(E35*J35))*'User Inputs'!$D$7/100</f>
        <v>0</v>
      </c>
    </row>
    <row r="36" spans="1:13">
      <c r="A36" s="309" t="str">
        <f>'Exit Prices'!A35</f>
        <v>Blyborough</v>
      </c>
      <c r="B36" s="280" t="str">
        <f>VLOOKUP(A36,'Locations &amp; Types'!E:I,4,FALSE)</f>
        <v>GDN (EM)</v>
      </c>
      <c r="C36" s="291">
        <f ca="1">VLOOKUP(A36,'Exit Prices'!$A:$C,3,FALSE)</f>
        <v>63346076</v>
      </c>
      <c r="D36" s="291">
        <f ca="1">VLOOKUP(A36,'Exit Anticipated Rev. Recovery'!$F$1:$Y$231,2,FALSE)+VLOOKUP(A36,'Exit Anticipated Rev. Recovery'!$F$1:$Y$231,5,FALSE)+VLOOKUP(A36,'Exit Anticipated Rev. Recovery'!$F$1:$Y$231,8,FALSE)+VLOOKUP(A36,'Exit Anticipated Rev. Recovery'!$F$1:$Y$231,11,FALSE)+VLOOKUP(A36,'Exit Anticipated Rev. Recovery'!$F$1:$Y$231,14,FALSE)</f>
        <v>61760109.629744485</v>
      </c>
      <c r="E36" s="291">
        <f ca="1">VLOOKUP(A36,'Exit Anticipated Rev. Recovery'!$F$1:$Y$231,17,FALSE)</f>
        <v>1585966.3702555182</v>
      </c>
      <c r="F36" s="291">
        <f t="shared" ca="1" si="0"/>
        <v>63346076</v>
      </c>
      <c r="G36" s="283">
        <f ca="1">VLOOKUP($A36, 'Exit Prices'!$A$3:$Q$231, 8, 0)</f>
        <v>7.2344179438402385</v>
      </c>
      <c r="H36" s="283">
        <f ca="1">VLOOKUP($A36, 'Exit Prices'!$A$3:$Q$231, 12, 0)</f>
        <v>1.9820323133808871E-2</v>
      </c>
      <c r="I36" s="283">
        <f ca="1">VLOOKUP($A36, 'Exit Prices'!$A$3:$Q$231,17, 0)</f>
        <v>1.7838290820427986E-2</v>
      </c>
      <c r="J36" s="297">
        <f ca="1">'Exit Anticipated Rev. Recovery'!$C$14</f>
        <v>0</v>
      </c>
      <c r="K36" s="307">
        <f ca="1">VLOOKUP(A36,'Exit Anticipated Rev. Recovery'!F:Y,20,FALSE)</f>
        <v>4567026.2596839247</v>
      </c>
      <c r="L36" s="306">
        <f ca="1">((D36*H36)+(E36*I36))*'User Inputs'!$D$7/100</f>
        <v>4571246.3452953715</v>
      </c>
      <c r="M36" s="306">
        <f ca="1">((D36*J36)+(E36*J36))*'User Inputs'!$D$7/100</f>
        <v>0</v>
      </c>
    </row>
    <row r="37" spans="1:13">
      <c r="A37" s="309" t="str">
        <f>'Exit Prices'!A36</f>
        <v>Blyborough (Brigg)</v>
      </c>
      <c r="B37" s="280" t="str">
        <f>VLOOKUP(A37,'Locations &amp; Types'!E:I,4,FALSE)</f>
        <v>POWER STATION</v>
      </c>
      <c r="C37" s="291">
        <f ca="1">VLOOKUP(A37,'Exit Prices'!$A:$C,3,FALSE)</f>
        <v>1605479.4520547944</v>
      </c>
      <c r="D37" s="291">
        <f ca="1">VLOOKUP(A37,'Exit Anticipated Rev. Recovery'!$F$1:$Y$231,2,FALSE)+VLOOKUP(A37,'Exit Anticipated Rev. Recovery'!$F$1:$Y$231,5,FALSE)+VLOOKUP(A37,'Exit Anticipated Rev. Recovery'!$F$1:$Y$231,8,FALSE)+VLOOKUP(A37,'Exit Anticipated Rev. Recovery'!$F$1:$Y$231,11,FALSE)+VLOOKUP(A37,'Exit Anticipated Rev. Recovery'!$F$1:$Y$231,14,FALSE)</f>
        <v>796437.49061323726</v>
      </c>
      <c r="E37" s="291">
        <f ca="1">VLOOKUP(A37,'Exit Anticipated Rev. Recovery'!$F$1:$Y$231,17,FALSE)</f>
        <v>809041.96144155681</v>
      </c>
      <c r="F37" s="291">
        <f t="shared" ca="1" si="0"/>
        <v>1605479.4520547939</v>
      </c>
      <c r="G37" s="283">
        <f ca="1">VLOOKUP($A37, 'Exit Prices'!$A$3:$Q$231, 8, 0)</f>
        <v>7.2344179438402385</v>
      </c>
      <c r="H37" s="283">
        <f ca="1">VLOOKUP($A37, 'Exit Prices'!$A$3:$Q$231, 12, 0)</f>
        <v>1.9820323133808871E-2</v>
      </c>
      <c r="I37" s="283">
        <f ca="1">VLOOKUP($A37, 'Exit Prices'!$A$3:$Q$231,17, 0)</f>
        <v>1.7838290820427986E-2</v>
      </c>
      <c r="J37" s="297">
        <f ca="1">'Exit Anticipated Rev. Recovery'!$C$14</f>
        <v>0</v>
      </c>
      <c r="K37" s="307">
        <f ca="1">VLOOKUP(A37,'Exit Anticipated Rev. Recovery'!F:Y,20,FALSE)</f>
        <v>110216.92014639403</v>
      </c>
      <c r="L37" s="306">
        <f ca="1">((D37*H37)+(E37*I37))*'User Inputs'!$D$7/100</f>
        <v>110294.14588094744</v>
      </c>
      <c r="M37" s="306">
        <f ca="1">((D37*J37)+(E37*J37))*'User Inputs'!$D$7/100</f>
        <v>0</v>
      </c>
    </row>
    <row r="38" spans="1:13">
      <c r="A38" s="309" t="str">
        <f>'Exit Prices'!A37</f>
        <v>Blyborough (Cottam)</v>
      </c>
      <c r="B38" s="280" t="str">
        <f>VLOOKUP(A38,'Locations &amp; Types'!E:I,4,FALSE)</f>
        <v>POWER STATION</v>
      </c>
      <c r="C38" s="291">
        <f ca="1">VLOOKUP(A38,'Exit Prices'!$A:$C,3,FALSE)</f>
        <v>13982362.493150689</v>
      </c>
      <c r="D38" s="291">
        <f ca="1">VLOOKUP(A38,'Exit Anticipated Rev. Recovery'!$F$1:$Y$231,2,FALSE)+VLOOKUP(A38,'Exit Anticipated Rev. Recovery'!$F$1:$Y$231,5,FALSE)+VLOOKUP(A38,'Exit Anticipated Rev. Recovery'!$F$1:$Y$231,8,FALSE)+VLOOKUP(A38,'Exit Anticipated Rev. Recovery'!$F$1:$Y$231,11,FALSE)+VLOOKUP(A38,'Exit Anticipated Rev. Recovery'!$F$1:$Y$231,14,FALSE)</f>
        <v>6936294.1286087008</v>
      </c>
      <c r="E38" s="291">
        <f ca="1">VLOOKUP(A38,'Exit Anticipated Rev. Recovery'!$F$1:$Y$231,17,FALSE)</f>
        <v>7046068.3645419888</v>
      </c>
      <c r="F38" s="291">
        <f t="shared" ca="1" si="0"/>
        <v>13982362.493150689</v>
      </c>
      <c r="G38" s="283">
        <f ca="1">VLOOKUP($A38, 'Exit Prices'!$A$3:$Q$231, 8, 0)</f>
        <v>7.2344179438402385</v>
      </c>
      <c r="H38" s="283">
        <f ca="1">VLOOKUP($A38, 'Exit Prices'!$A$3:$Q$231, 12, 0)</f>
        <v>1.9820323133808871E-2</v>
      </c>
      <c r="I38" s="283">
        <f ca="1">VLOOKUP($A38, 'Exit Prices'!$A$3:$Q$231,17, 0)</f>
        <v>1.7838290820427986E-2</v>
      </c>
      <c r="J38" s="297">
        <f ca="1">'Exit Anticipated Rev. Recovery'!$C$14</f>
        <v>0</v>
      </c>
      <c r="K38" s="307">
        <f ca="1">VLOOKUP(A38,'Exit Anticipated Rev. Recovery'!F:Y,20,FALSE)</f>
        <v>959895.76720719552</v>
      </c>
      <c r="L38" s="306">
        <f ca="1">((D38*H38)+(E38*I38))*'User Inputs'!$D$7/100</f>
        <v>960568.33776731312</v>
      </c>
      <c r="M38" s="306">
        <f ca="1">((D38*J38)+(E38*J38))*'User Inputs'!$D$7/100</f>
        <v>0</v>
      </c>
    </row>
    <row r="39" spans="1:13">
      <c r="A39" s="309" t="str">
        <f>'Exit Prices'!A38</f>
        <v>Braishfield A</v>
      </c>
      <c r="B39" s="280" t="str">
        <f>VLOOKUP(A39,'Locations &amp; Types'!E:I,4,FALSE)</f>
        <v>GDN (SO)</v>
      </c>
      <c r="C39" s="291">
        <f ca="1">VLOOKUP(A39,'Exit Prices'!$A:$C,3,FALSE)</f>
        <v>94132349</v>
      </c>
      <c r="D39" s="291">
        <f ca="1">VLOOKUP(A39,'Exit Anticipated Rev. Recovery'!$F$1:$Y$231,2,FALSE)+VLOOKUP(A39,'Exit Anticipated Rev. Recovery'!$F$1:$Y$231,5,FALSE)+VLOOKUP(A39,'Exit Anticipated Rev. Recovery'!$F$1:$Y$231,8,FALSE)+VLOOKUP(A39,'Exit Anticipated Rev. Recovery'!$F$1:$Y$231,11,FALSE)+VLOOKUP(A39,'Exit Anticipated Rev. Recovery'!$F$1:$Y$231,14,FALSE)</f>
        <v>91775600.969275013</v>
      </c>
      <c r="E39" s="291">
        <f ca="1">VLOOKUP(A39,'Exit Anticipated Rev. Recovery'!$F$1:$Y$231,17,FALSE)</f>
        <v>2356748.030724992</v>
      </c>
      <c r="F39" s="291">
        <f t="shared" ca="1" si="0"/>
        <v>94132349</v>
      </c>
      <c r="G39" s="283">
        <f ca="1">VLOOKUP($A39, 'Exit Prices'!$A$3:$Q$231, 8, 0)</f>
        <v>7.2344179438402385</v>
      </c>
      <c r="H39" s="283">
        <f ca="1">VLOOKUP($A39, 'Exit Prices'!$A$3:$Q$231, 12, 0)</f>
        <v>1.9820323133808871E-2</v>
      </c>
      <c r="I39" s="283">
        <f ca="1">VLOOKUP($A39, 'Exit Prices'!$A$3:$Q$231,17, 0)</f>
        <v>1.7838290820427986E-2</v>
      </c>
      <c r="J39" s="297">
        <f ca="1">'Exit Anticipated Rev. Recovery'!$C$14</f>
        <v>0</v>
      </c>
      <c r="K39" s="307">
        <f ca="1">VLOOKUP(A39,'Exit Anticipated Rev. Recovery'!F:Y,20,FALSE)</f>
        <v>6786606.7942192946</v>
      </c>
      <c r="L39" s="306">
        <f ca="1">((D39*H39)+(E39*I39))*'User Inputs'!$D$7/100</f>
        <v>6792877.8467717301</v>
      </c>
      <c r="M39" s="306">
        <f ca="1">((D39*J39)+(E39*J39))*'User Inputs'!$D$7/100</f>
        <v>0</v>
      </c>
    </row>
    <row r="40" spans="1:13">
      <c r="A40" s="309" t="str">
        <f>'Exit Prices'!A39</f>
        <v>Braishfield B</v>
      </c>
      <c r="B40" s="280" t="str">
        <f>VLOOKUP(A40,'Locations &amp; Types'!E:I,4,FALSE)</f>
        <v>GDN (SO)</v>
      </c>
      <c r="C40" s="291">
        <f ca="1">VLOOKUP(A40,'Exit Prices'!$A:$C,3,FALSE)</f>
        <v>65767083</v>
      </c>
      <c r="D40" s="291">
        <f ca="1">VLOOKUP(A40,'Exit Anticipated Rev. Recovery'!$F$1:$Y$231,2,FALSE)+VLOOKUP(A40,'Exit Anticipated Rev. Recovery'!$F$1:$Y$231,5,FALSE)+VLOOKUP(A40,'Exit Anticipated Rev. Recovery'!$F$1:$Y$231,8,FALSE)+VLOOKUP(A40,'Exit Anticipated Rev. Recovery'!$F$1:$Y$231,11,FALSE)+VLOOKUP(A40,'Exit Anticipated Rev. Recovery'!$F$1:$Y$231,14,FALSE)</f>
        <v>64120502.998615175</v>
      </c>
      <c r="E40" s="291">
        <f ca="1">VLOOKUP(A40,'Exit Anticipated Rev. Recovery'!$F$1:$Y$231,17,FALSE)</f>
        <v>1646580.0013848278</v>
      </c>
      <c r="F40" s="291">
        <f t="shared" ca="1" si="0"/>
        <v>65767083</v>
      </c>
      <c r="G40" s="283">
        <f ca="1">VLOOKUP($A40, 'Exit Prices'!$A$3:$Q$231, 8, 0)</f>
        <v>7.2344179438402385</v>
      </c>
      <c r="H40" s="283">
        <f ca="1">VLOOKUP($A40, 'Exit Prices'!$A$3:$Q$231, 12, 0)</f>
        <v>1.9820323133808871E-2</v>
      </c>
      <c r="I40" s="283">
        <f ca="1">VLOOKUP($A40, 'Exit Prices'!$A$3:$Q$231,17, 0)</f>
        <v>1.7838290820427986E-2</v>
      </c>
      <c r="J40" s="297">
        <f ca="1">'Exit Anticipated Rev. Recovery'!$C$14</f>
        <v>0</v>
      </c>
      <c r="K40" s="307">
        <f ca="1">VLOOKUP(A40,'Exit Anticipated Rev. Recovery'!F:Y,20,FALSE)</f>
        <v>4741572.2338320082</v>
      </c>
      <c r="L40" s="306">
        <f ca="1">((D40*H40)+(E40*I40))*'User Inputs'!$D$7/100</f>
        <v>4745953.6057843165</v>
      </c>
      <c r="M40" s="306">
        <f ca="1">((D40*J40)+(E40*J40))*'User Inputs'!$D$7/100</f>
        <v>0</v>
      </c>
    </row>
    <row r="41" spans="1:13">
      <c r="A41" s="309" t="str">
        <f>'Exit Prices'!A40</f>
        <v>Brine Field (Teesside) Power Station</v>
      </c>
      <c r="B41" s="280" t="str">
        <f>VLOOKUP(A41,'Locations &amp; Types'!E:I,4,FALSE)</f>
        <v>POWER STATION</v>
      </c>
      <c r="C41" s="291">
        <f ca="1">VLOOKUP(A41,'Exit Prices'!$A:$C,3,FALSE)</f>
        <v>105652.43835616432</v>
      </c>
      <c r="D41" s="291">
        <f ca="1">VLOOKUP(A41,'Exit Anticipated Rev. Recovery'!$F$1:$Y$231,2,FALSE)+VLOOKUP(A41,'Exit Anticipated Rev. Recovery'!$F$1:$Y$231,5,FALSE)+VLOOKUP(A41,'Exit Anticipated Rev. Recovery'!$F$1:$Y$231,8,FALSE)+VLOOKUP(A41,'Exit Anticipated Rev. Recovery'!$F$1:$Y$231,11,FALSE)+VLOOKUP(A41,'Exit Anticipated Rev. Recovery'!$F$1:$Y$231,14,FALSE)</f>
        <v>52411.485412571572</v>
      </c>
      <c r="E41" s="291">
        <f ca="1">VLOOKUP(A41,'Exit Anticipated Rev. Recovery'!$F$1:$Y$231,17,FALSE)</f>
        <v>53240.952943592732</v>
      </c>
      <c r="F41" s="291">
        <f t="shared" ca="1" si="0"/>
        <v>105652.4383561643</v>
      </c>
      <c r="G41" s="283">
        <f ca="1">VLOOKUP($A41, 'Exit Prices'!$A$3:$Q$231, 8, 0)</f>
        <v>7.2344179438402385</v>
      </c>
      <c r="H41" s="283">
        <f ca="1">VLOOKUP($A41, 'Exit Prices'!$A$3:$Q$231, 12, 0)</f>
        <v>1.9820323133808871E-2</v>
      </c>
      <c r="I41" s="283">
        <f ca="1">VLOOKUP($A41, 'Exit Prices'!$A$3:$Q$231,17, 0)</f>
        <v>1.7838290820427986E-2</v>
      </c>
      <c r="J41" s="297">
        <f ca="1">'Exit Anticipated Rev. Recovery'!$C$14</f>
        <v>0</v>
      </c>
      <c r="K41" s="307">
        <f ca="1">VLOOKUP(A41,'Exit Anticipated Rev. Recovery'!F:Y,20,FALSE)</f>
        <v>7253.0896279423405</v>
      </c>
      <c r="L41" s="306">
        <f ca="1">((D41*H41)+(E41*I41))*'User Inputs'!$D$7/100</f>
        <v>7258.1716532208156</v>
      </c>
      <c r="M41" s="306">
        <f ca="1">((D41*J41)+(E41*J41))*'User Inputs'!$D$7/100</f>
        <v>0</v>
      </c>
    </row>
    <row r="42" spans="1:13">
      <c r="A42" s="309" t="str">
        <f>'Exit Prices'!A41</f>
        <v>Brisley</v>
      </c>
      <c r="B42" s="280" t="str">
        <f>VLOOKUP(A42,'Locations &amp; Types'!E:I,4,FALSE)</f>
        <v>GDN (EA)</v>
      </c>
      <c r="C42" s="291">
        <f ca="1">VLOOKUP(A42,'Exit Prices'!$A:$C,3,FALSE)</f>
        <v>2077837</v>
      </c>
      <c r="D42" s="291">
        <f ca="1">VLOOKUP(A42,'Exit Anticipated Rev. Recovery'!$F$1:$Y$231,2,FALSE)+VLOOKUP(A42,'Exit Anticipated Rev. Recovery'!$F$1:$Y$231,5,FALSE)+VLOOKUP(A42,'Exit Anticipated Rev. Recovery'!$F$1:$Y$231,8,FALSE)+VLOOKUP(A42,'Exit Anticipated Rev. Recovery'!$F$1:$Y$231,11,FALSE)+VLOOKUP(A42,'Exit Anticipated Rev. Recovery'!$F$1:$Y$231,14,FALSE)</f>
        <v>2025815.1572441426</v>
      </c>
      <c r="E42" s="291">
        <f ca="1">VLOOKUP(A42,'Exit Anticipated Rev. Recovery'!$F$1:$Y$231,17,FALSE)</f>
        <v>52021.84275585776</v>
      </c>
      <c r="F42" s="291">
        <f t="shared" ca="1" si="0"/>
        <v>2077837.0000000005</v>
      </c>
      <c r="G42" s="283">
        <f ca="1">VLOOKUP($A42, 'Exit Prices'!$A$3:$Q$231, 8, 0)</f>
        <v>7.2344179438402385</v>
      </c>
      <c r="H42" s="283">
        <f ca="1">VLOOKUP($A42, 'Exit Prices'!$A$3:$Q$231, 12, 0)</f>
        <v>1.9820323133808871E-2</v>
      </c>
      <c r="I42" s="283">
        <f ca="1">VLOOKUP($A42, 'Exit Prices'!$A$3:$Q$231,17, 0)</f>
        <v>1.7838290820427986E-2</v>
      </c>
      <c r="J42" s="297">
        <f ca="1">'Exit Anticipated Rev. Recovery'!$C$14</f>
        <v>0</v>
      </c>
      <c r="K42" s="307">
        <f ca="1">VLOOKUP(A42,'Exit Anticipated Rev. Recovery'!F:Y,20,FALSE)</f>
        <v>149804.64050121853</v>
      </c>
      <c r="L42" s="306">
        <f ca="1">((D42*H42)+(E42*I42))*'User Inputs'!$D$7/100</f>
        <v>149943.06501904712</v>
      </c>
      <c r="M42" s="306">
        <f ca="1">((D42*J42)+(E42*J42))*'User Inputs'!$D$7/100</f>
        <v>0</v>
      </c>
    </row>
    <row r="43" spans="1:13">
      <c r="A43" s="309" t="str">
        <f>'Exit Prices'!A42</f>
        <v>Broxburn</v>
      </c>
      <c r="B43" s="280" t="str">
        <f>VLOOKUP(A43,'Locations &amp; Types'!E:I,4,FALSE)</f>
        <v>GDN (SC)</v>
      </c>
      <c r="C43" s="291">
        <f ca="1">VLOOKUP(A43,'Exit Prices'!$A:$C,3,FALSE)</f>
        <v>56250554</v>
      </c>
      <c r="D43" s="291">
        <f ca="1">VLOOKUP(A43,'Exit Anticipated Rev. Recovery'!$F$1:$Y$231,2,FALSE)+VLOOKUP(A43,'Exit Anticipated Rev. Recovery'!$F$1:$Y$231,5,FALSE)+VLOOKUP(A43,'Exit Anticipated Rev. Recovery'!$F$1:$Y$231,8,FALSE)+VLOOKUP(A43,'Exit Anticipated Rev. Recovery'!$F$1:$Y$231,11,FALSE)+VLOOKUP(A43,'Exit Anticipated Rev. Recovery'!$F$1:$Y$231,14,FALSE)</f>
        <v>54842234.928235531</v>
      </c>
      <c r="E43" s="291">
        <f ca="1">VLOOKUP(A43,'Exit Anticipated Rev. Recovery'!$F$1:$Y$231,17,FALSE)</f>
        <v>1408319.0717644773</v>
      </c>
      <c r="F43" s="291">
        <f t="shared" ca="1" si="0"/>
        <v>56250554.000000007</v>
      </c>
      <c r="G43" s="283">
        <f ca="1">VLOOKUP($A43, 'Exit Prices'!$A$3:$Q$231, 8, 0)</f>
        <v>7.2344179438402385</v>
      </c>
      <c r="H43" s="283">
        <f ca="1">VLOOKUP($A43, 'Exit Prices'!$A$3:$Q$231, 12, 0)</f>
        <v>1.9820323133808871E-2</v>
      </c>
      <c r="I43" s="283">
        <f ca="1">VLOOKUP($A43, 'Exit Prices'!$A$3:$Q$231,17, 0)</f>
        <v>1.7838290820427986E-2</v>
      </c>
      <c r="J43" s="297">
        <f ca="1">'Exit Anticipated Rev. Recovery'!$C$14</f>
        <v>0</v>
      </c>
      <c r="K43" s="307">
        <f ca="1">VLOOKUP(A43,'Exit Anticipated Rev. Recovery'!F:Y,20,FALSE)</f>
        <v>4055464.4180291239</v>
      </c>
      <c r="L43" s="306">
        <f ca="1">((D43*H43)+(E43*I43))*'User Inputs'!$D$7/100</f>
        <v>4059211.8033221173</v>
      </c>
      <c r="M43" s="306">
        <f ca="1">((D43*J43)+(E43*J43))*'User Inputs'!$D$7/100</f>
        <v>0</v>
      </c>
    </row>
    <row r="44" spans="1:13">
      <c r="A44" s="309" t="str">
        <f>'Exit Prices'!A43</f>
        <v>Burley Bank</v>
      </c>
      <c r="B44" s="280" t="str">
        <f>VLOOKUP(A44,'Locations &amp; Types'!E:I,4,FALSE)</f>
        <v>GDN (NE)</v>
      </c>
      <c r="C44" s="291">
        <f ca="1">VLOOKUP(A44,'Exit Prices'!$A:$C,3,FALSE)</f>
        <v>13868151</v>
      </c>
      <c r="D44" s="291">
        <f ca="1">VLOOKUP(A44,'Exit Anticipated Rev. Recovery'!$F$1:$Y$231,2,FALSE)+VLOOKUP(A44,'Exit Anticipated Rev. Recovery'!$F$1:$Y$231,5,FALSE)+VLOOKUP(A44,'Exit Anticipated Rev. Recovery'!$F$1:$Y$231,8,FALSE)+VLOOKUP(A44,'Exit Anticipated Rev. Recovery'!$F$1:$Y$231,11,FALSE)+VLOOKUP(A44,'Exit Anticipated Rev. Recovery'!$F$1:$Y$231,14,FALSE)</f>
        <v>13520940.525532326</v>
      </c>
      <c r="E44" s="291">
        <f ca="1">VLOOKUP(A44,'Exit Anticipated Rev. Recovery'!$F$1:$Y$231,17,FALSE)</f>
        <v>347210.47446767555</v>
      </c>
      <c r="F44" s="291">
        <f t="shared" ca="1" si="0"/>
        <v>13868151.000000002</v>
      </c>
      <c r="G44" s="283">
        <f ca="1">VLOOKUP($A44, 'Exit Prices'!$A$3:$Q$231, 8, 0)</f>
        <v>7.2344179438402385</v>
      </c>
      <c r="H44" s="283">
        <f ca="1">VLOOKUP($A44, 'Exit Prices'!$A$3:$Q$231, 12, 0)</f>
        <v>1.9820323133808871E-2</v>
      </c>
      <c r="I44" s="283">
        <f ca="1">VLOOKUP($A44, 'Exit Prices'!$A$3:$Q$231,17, 0)</f>
        <v>1.7838290820427986E-2</v>
      </c>
      <c r="J44" s="297">
        <f ca="1">'Exit Anticipated Rev. Recovery'!$C$14</f>
        <v>0</v>
      </c>
      <c r="K44" s="307">
        <f ca="1">VLOOKUP(A44,'Exit Anticipated Rev. Recovery'!F:Y,20,FALSE)</f>
        <v>999844.2490780626</v>
      </c>
      <c r="L44" s="306">
        <f ca="1">((D44*H44)+(E44*I44))*'User Inputs'!$D$7/100</f>
        <v>1000768.1387360814</v>
      </c>
      <c r="M44" s="306">
        <f ca="1">((D44*J44)+(E44*J44))*'User Inputs'!$D$7/100</f>
        <v>0</v>
      </c>
    </row>
    <row r="45" spans="1:13">
      <c r="A45" s="309" t="str">
        <f>'Exit Prices'!A44</f>
        <v>Burnhervie</v>
      </c>
      <c r="B45" s="280" t="str">
        <f>VLOOKUP(A45,'Locations &amp; Types'!E:I,4,FALSE)</f>
        <v>GDN (SC)</v>
      </c>
      <c r="C45" s="291">
        <f ca="1">VLOOKUP(A45,'Exit Prices'!$A:$C,3,FALSE)</f>
        <v>20624435</v>
      </c>
      <c r="D45" s="291">
        <f ca="1">VLOOKUP(A45,'Exit Anticipated Rev. Recovery'!$F$1:$Y$231,2,FALSE)+VLOOKUP(A45,'Exit Anticipated Rev. Recovery'!$F$1:$Y$231,5,FALSE)+VLOOKUP(A45,'Exit Anticipated Rev. Recovery'!$F$1:$Y$231,8,FALSE)+VLOOKUP(A45,'Exit Anticipated Rev. Recovery'!$F$1:$Y$231,11,FALSE)+VLOOKUP(A45,'Exit Anticipated Rev. Recovery'!$F$1:$Y$231,14,FALSE)</f>
        <v>20108070.571751587</v>
      </c>
      <c r="E45" s="291">
        <f ca="1">VLOOKUP(A45,'Exit Anticipated Rev. Recovery'!$F$1:$Y$231,17,FALSE)</f>
        <v>516364.42824841855</v>
      </c>
      <c r="F45" s="291">
        <f t="shared" ca="1" si="0"/>
        <v>20624435.000000007</v>
      </c>
      <c r="G45" s="283">
        <f ca="1">VLOOKUP($A45, 'Exit Prices'!$A$3:$Q$231, 8, 0)</f>
        <v>7.2344179438402385</v>
      </c>
      <c r="H45" s="283">
        <f ca="1">VLOOKUP($A45, 'Exit Prices'!$A$3:$Q$231, 12, 0)</f>
        <v>1.9820323133808871E-2</v>
      </c>
      <c r="I45" s="283">
        <f ca="1">VLOOKUP($A45, 'Exit Prices'!$A$3:$Q$231,17, 0)</f>
        <v>1.7838290820427986E-2</v>
      </c>
      <c r="J45" s="297">
        <f ca="1">'Exit Anticipated Rev. Recovery'!$C$14</f>
        <v>0</v>
      </c>
      <c r="K45" s="307">
        <f ca="1">VLOOKUP(A45,'Exit Anticipated Rev. Recovery'!F:Y,20,FALSE)</f>
        <v>1486948.2402689666</v>
      </c>
      <c r="L45" s="306">
        <f ca="1">((D45*H45)+(E45*I45))*'User Inputs'!$D$7/100</f>
        <v>1488322.2303703856</v>
      </c>
      <c r="M45" s="306">
        <f ca="1">((D45*J45)+(E45*J45))*'User Inputs'!$D$7/100</f>
        <v>0</v>
      </c>
    </row>
    <row r="46" spans="1:13">
      <c r="A46" s="309" t="str">
        <f>'Exit Prices'!A45</f>
        <v>Burton Point (Connahs Quay)</v>
      </c>
      <c r="B46" s="280" t="str">
        <f>VLOOKUP(A46,'Locations &amp; Types'!E:I,4,FALSE)</f>
        <v>POWER STATION</v>
      </c>
      <c r="C46" s="291">
        <f ca="1">VLOOKUP(A46,'Exit Prices'!$A:$C,3,FALSE)</f>
        <v>13827622.451506848</v>
      </c>
      <c r="D46" s="291">
        <f ca="1">VLOOKUP(A46,'Exit Anticipated Rev. Recovery'!$F$1:$Y$231,2,FALSE)+VLOOKUP(A46,'Exit Anticipated Rev. Recovery'!$F$1:$Y$231,5,FALSE)+VLOOKUP(A46,'Exit Anticipated Rev. Recovery'!$F$1:$Y$231,8,FALSE)+VLOOKUP(A46,'Exit Anticipated Rev. Recovery'!$F$1:$Y$231,11,FALSE)+VLOOKUP(A46,'Exit Anticipated Rev. Recovery'!$F$1:$Y$231,14,FALSE)</f>
        <v>6859531.5326710977</v>
      </c>
      <c r="E46" s="291">
        <f ca="1">VLOOKUP(A46,'Exit Anticipated Rev. Recovery'!$F$1:$Y$231,17,FALSE)</f>
        <v>6968090.9188357508</v>
      </c>
      <c r="F46" s="291">
        <f t="shared" ca="1" si="0"/>
        <v>13827622.451506849</v>
      </c>
      <c r="G46" s="283">
        <f ca="1">VLOOKUP($A46, 'Exit Prices'!$A$3:$Q$231, 8, 0)</f>
        <v>7.2344179438402385</v>
      </c>
      <c r="H46" s="283">
        <f ca="1">VLOOKUP($A46, 'Exit Prices'!$A$3:$Q$231, 12, 0)</f>
        <v>1.9820323133808871E-2</v>
      </c>
      <c r="I46" s="283">
        <f ca="1">VLOOKUP($A46, 'Exit Prices'!$A$3:$Q$231,17, 0)</f>
        <v>1.7838290820427986E-2</v>
      </c>
      <c r="J46" s="297">
        <f ca="1">'Exit Anticipated Rev. Recovery'!$C$14</f>
        <v>0</v>
      </c>
      <c r="K46" s="307">
        <f ca="1">VLOOKUP(A46,'Exit Anticipated Rev. Recovery'!F:Y,20,FALSE)</f>
        <v>949272.79050607316</v>
      </c>
      <c r="L46" s="306">
        <f ca="1">((D46*H46)+(E46*I46))*'User Inputs'!$D$7/100</f>
        <v>949937.91786075721</v>
      </c>
      <c r="M46" s="306">
        <f ca="1">((D46*J46)+(E46*J46))*'User Inputs'!$D$7/100</f>
        <v>0</v>
      </c>
    </row>
    <row r="47" spans="1:13">
      <c r="A47" s="309" t="str">
        <f>'Exit Prices'!A46</f>
        <v>Caldecott</v>
      </c>
      <c r="B47" s="280" t="str">
        <f>VLOOKUP(A47,'Locations &amp; Types'!E:I,4,FALSE)</f>
        <v>GDN (EM)</v>
      </c>
      <c r="C47" s="291">
        <f ca="1">VLOOKUP(A47,'Exit Prices'!$A:$C,3,FALSE)</f>
        <v>8977861</v>
      </c>
      <c r="D47" s="291">
        <f ca="1">VLOOKUP(A47,'Exit Anticipated Rev. Recovery'!$F$1:$Y$231,2,FALSE)+VLOOKUP(A47,'Exit Anticipated Rev. Recovery'!$F$1:$Y$231,5,FALSE)+VLOOKUP(A47,'Exit Anticipated Rev. Recovery'!$F$1:$Y$231,8,FALSE)+VLOOKUP(A47,'Exit Anticipated Rev. Recovery'!$F$1:$Y$231,11,FALSE)+VLOOKUP(A47,'Exit Anticipated Rev. Recovery'!$F$1:$Y$231,14,FALSE)</f>
        <v>8753086.4516470972</v>
      </c>
      <c r="E47" s="291">
        <f ca="1">VLOOKUP(A47,'Exit Anticipated Rev. Recovery'!$F$1:$Y$231,17,FALSE)</f>
        <v>224774.54835290156</v>
      </c>
      <c r="F47" s="291">
        <f t="shared" ca="1" si="0"/>
        <v>8977860.9999999981</v>
      </c>
      <c r="G47" s="283">
        <f ca="1">VLOOKUP($A47, 'Exit Prices'!$A$3:$Q$231, 8, 0)</f>
        <v>7.2344179438402385</v>
      </c>
      <c r="H47" s="283">
        <f ca="1">VLOOKUP($A47, 'Exit Prices'!$A$3:$Q$231, 12, 0)</f>
        <v>1.9820323133808871E-2</v>
      </c>
      <c r="I47" s="283">
        <f ca="1">VLOOKUP($A47, 'Exit Prices'!$A$3:$Q$231,17, 0)</f>
        <v>1.7838290820427986E-2</v>
      </c>
      <c r="J47" s="297">
        <f ca="1">'Exit Anticipated Rev. Recovery'!$C$14</f>
        <v>0</v>
      </c>
      <c r="K47" s="307">
        <f ca="1">VLOOKUP(A47,'Exit Anticipated Rev. Recovery'!F:Y,20,FALSE)</f>
        <v>647271.77327909274</v>
      </c>
      <c r="L47" s="306">
        <f ca="1">((D47*H47)+(E47*I47))*'User Inputs'!$D$7/100</f>
        <v>647869.87413111166</v>
      </c>
      <c r="M47" s="306">
        <f ca="1">((D47*J47)+(E47*J47))*'User Inputs'!$D$7/100</f>
        <v>0</v>
      </c>
    </row>
    <row r="48" spans="1:13">
      <c r="A48" s="309" t="str">
        <f>'Exit Prices'!A47</f>
        <v>Caldecott (Corby Power Station)</v>
      </c>
      <c r="B48" s="280" t="str">
        <f>VLOOKUP(A48,'Locations &amp; Types'!E:I,4,FALSE)</f>
        <v>POWER STATION</v>
      </c>
      <c r="C48" s="291">
        <f ca="1">VLOOKUP(A48,'Exit Prices'!$A:$C,3,FALSE)</f>
        <v>343312.71232876705</v>
      </c>
      <c r="D48" s="291">
        <f ca="1">VLOOKUP(A48,'Exit Anticipated Rev. Recovery'!$F$1:$Y$231,2,FALSE)+VLOOKUP(A48,'Exit Anticipated Rev. Recovery'!$F$1:$Y$231,5,FALSE)+VLOOKUP(A48,'Exit Anticipated Rev. Recovery'!$F$1:$Y$231,8,FALSE)+VLOOKUP(A48,'Exit Anticipated Rev. Recovery'!$F$1:$Y$231,11,FALSE)+VLOOKUP(A48,'Exit Anticipated Rev. Recovery'!$F$1:$Y$231,14,FALSE)</f>
        <v>170308.69797355431</v>
      </c>
      <c r="E48" s="291">
        <f ca="1">VLOOKUP(A48,'Exit Anticipated Rev. Recovery'!$F$1:$Y$231,17,FALSE)</f>
        <v>173004.01435521271</v>
      </c>
      <c r="F48" s="291">
        <f t="shared" ca="1" si="0"/>
        <v>343312.71232876705</v>
      </c>
      <c r="G48" s="283">
        <f ca="1">VLOOKUP($A48, 'Exit Prices'!$A$3:$Q$231, 8, 0)</f>
        <v>7.2344179438402385</v>
      </c>
      <c r="H48" s="283">
        <f ca="1">VLOOKUP($A48, 'Exit Prices'!$A$3:$Q$231, 12, 0)</f>
        <v>1.9820323133808871E-2</v>
      </c>
      <c r="I48" s="283">
        <f ca="1">VLOOKUP($A48, 'Exit Prices'!$A$3:$Q$231,17, 0)</f>
        <v>1.7838290820427986E-2</v>
      </c>
      <c r="J48" s="297">
        <f ca="1">'Exit Anticipated Rev. Recovery'!$C$14</f>
        <v>0</v>
      </c>
      <c r="K48" s="307">
        <f ca="1">VLOOKUP(A48,'Exit Anticipated Rev. Recovery'!F:Y,20,FALSE)</f>
        <v>23568.579312275273</v>
      </c>
      <c r="L48" s="306">
        <f ca="1">((D48*H48)+(E48*I48))*'User Inputs'!$D$7/100</f>
        <v>23585.093118389192</v>
      </c>
      <c r="M48" s="306">
        <f ca="1">((D48*J48)+(E48*J48))*'User Inputs'!$D$7/100</f>
        <v>0</v>
      </c>
    </row>
    <row r="49" spans="1:13">
      <c r="A49" s="309" t="str">
        <f>'Exit Prices'!A48</f>
        <v>Cambridge</v>
      </c>
      <c r="B49" s="280" t="str">
        <f>VLOOKUP(A49,'Locations &amp; Types'!E:I,4,FALSE)</f>
        <v>GDN (EA)</v>
      </c>
      <c r="C49" s="291">
        <f ca="1">VLOOKUP(A49,'Exit Prices'!$A:$C,3,FALSE)</f>
        <v>0</v>
      </c>
      <c r="D49" s="291">
        <f ca="1">VLOOKUP(A49,'Exit Anticipated Rev. Recovery'!$F$1:$Y$231,2,FALSE)+VLOOKUP(A49,'Exit Anticipated Rev. Recovery'!$F$1:$Y$231,5,FALSE)+VLOOKUP(A49,'Exit Anticipated Rev. Recovery'!$F$1:$Y$231,8,FALSE)+VLOOKUP(A49,'Exit Anticipated Rev. Recovery'!$F$1:$Y$231,11,FALSE)+VLOOKUP(A49,'Exit Anticipated Rev. Recovery'!$F$1:$Y$231,14,FALSE)</f>
        <v>0</v>
      </c>
      <c r="E49" s="291">
        <f ca="1">VLOOKUP(A49,'Exit Anticipated Rev. Recovery'!$F$1:$Y$231,17,FALSE)</f>
        <v>0</v>
      </c>
      <c r="F49" s="291">
        <f t="shared" ca="1" si="0"/>
        <v>0</v>
      </c>
      <c r="G49" s="283">
        <f ca="1">VLOOKUP($A49, 'Exit Prices'!$A$3:$Q$231, 8, 0)</f>
        <v>7.2344179438402385</v>
      </c>
      <c r="H49" s="283">
        <f ca="1">VLOOKUP($A49, 'Exit Prices'!$A$3:$Q$231, 12, 0)</f>
        <v>1.9820323133808871E-2</v>
      </c>
      <c r="I49" s="283">
        <f ca="1">VLOOKUP($A49, 'Exit Prices'!$A$3:$Q$231,17, 0)</f>
        <v>1.7838290820427986E-2</v>
      </c>
      <c r="J49" s="297">
        <f ca="1">'Exit Anticipated Rev. Recovery'!$C$14</f>
        <v>0</v>
      </c>
      <c r="K49" s="307">
        <f ca="1">VLOOKUP(A49,'Exit Anticipated Rev. Recovery'!F:Y,20,FALSE)</f>
        <v>0</v>
      </c>
      <c r="L49" s="306">
        <f ca="1">((D49*H49)+(E49*I49))*'User Inputs'!$D$7/100</f>
        <v>0</v>
      </c>
      <c r="M49" s="306">
        <f ca="1">((D49*J49)+(E49*J49))*'User Inputs'!$D$7/100</f>
        <v>0</v>
      </c>
    </row>
    <row r="50" spans="1:13">
      <c r="A50" s="309" t="str">
        <f>'Exit Prices'!A49</f>
        <v>Careston</v>
      </c>
      <c r="B50" s="280" t="str">
        <f>VLOOKUP(A50,'Locations &amp; Types'!E:I,4,FALSE)</f>
        <v>GDN (SC)</v>
      </c>
      <c r="C50" s="291">
        <f ca="1">VLOOKUP(A50,'Exit Prices'!$A:$C,3,FALSE)</f>
        <v>4137186</v>
      </c>
      <c r="D50" s="291">
        <f ca="1">VLOOKUP(A50,'Exit Anticipated Rev. Recovery'!$F$1:$Y$231,2,FALSE)+VLOOKUP(A50,'Exit Anticipated Rev. Recovery'!$F$1:$Y$231,5,FALSE)+VLOOKUP(A50,'Exit Anticipated Rev. Recovery'!$F$1:$Y$231,8,FALSE)+VLOOKUP(A50,'Exit Anticipated Rev. Recovery'!$F$1:$Y$231,11,FALSE)+VLOOKUP(A50,'Exit Anticipated Rev. Recovery'!$F$1:$Y$231,14,FALSE)</f>
        <v>4033605.1899827872</v>
      </c>
      <c r="E50" s="291">
        <f ca="1">VLOOKUP(A50,'Exit Anticipated Rev. Recovery'!$F$1:$Y$231,17,FALSE)</f>
        <v>103580.81001721317</v>
      </c>
      <c r="F50" s="291">
        <f t="shared" ca="1" si="0"/>
        <v>4137186.0000000005</v>
      </c>
      <c r="G50" s="283">
        <f ca="1">VLOOKUP($A50, 'Exit Prices'!$A$3:$Q$231, 8, 0)</f>
        <v>7.2344179438402385</v>
      </c>
      <c r="H50" s="283">
        <f ca="1">VLOOKUP($A50, 'Exit Prices'!$A$3:$Q$231, 12, 0)</f>
        <v>1.9820323133808871E-2</v>
      </c>
      <c r="I50" s="283">
        <f ca="1">VLOOKUP($A50, 'Exit Prices'!$A$3:$Q$231,17, 0)</f>
        <v>1.7838290820427986E-2</v>
      </c>
      <c r="J50" s="297">
        <f ca="1">'Exit Anticipated Rev. Recovery'!$C$14</f>
        <v>0</v>
      </c>
      <c r="K50" s="307">
        <f ca="1">VLOOKUP(A50,'Exit Anticipated Rev. Recovery'!F:Y,20,FALSE)</f>
        <v>298276.36210957565</v>
      </c>
      <c r="L50" s="306">
        <f ca="1">((D50*H50)+(E50*I50))*'User Inputs'!$D$7/100</f>
        <v>298551.9794834202</v>
      </c>
      <c r="M50" s="306">
        <f ca="1">((D50*J50)+(E50*J50))*'User Inputs'!$D$7/100</f>
        <v>0</v>
      </c>
    </row>
    <row r="51" spans="1:13">
      <c r="A51" s="309" t="str">
        <f>'Exit Prices'!A50</f>
        <v>Carrington (Partington) Power Station</v>
      </c>
      <c r="B51" s="280" t="str">
        <f>VLOOKUP(A51,'Locations &amp; Types'!E:I,4,FALSE)</f>
        <v>POWER STATION</v>
      </c>
      <c r="C51" s="291">
        <f ca="1">VLOOKUP(A51,'Exit Prices'!$A:$C,3,FALSE)</f>
        <v>22847239.890410975</v>
      </c>
      <c r="D51" s="291">
        <f ca="1">VLOOKUP(A51,'Exit Anticipated Rev. Recovery'!$F$1:$Y$231,2,FALSE)+VLOOKUP(A51,'Exit Anticipated Rev. Recovery'!$F$1:$Y$231,5,FALSE)+VLOOKUP(A51,'Exit Anticipated Rev. Recovery'!$F$1:$Y$231,8,FALSE)+VLOOKUP(A51,'Exit Anticipated Rev. Recovery'!$F$1:$Y$231,11,FALSE)+VLOOKUP(A51,'Exit Anticipated Rev. Recovery'!$F$1:$Y$231,14,FALSE)</f>
        <v>11333934.160582788</v>
      </c>
      <c r="E51" s="291">
        <f ca="1">VLOOKUP(A51,'Exit Anticipated Rev. Recovery'!$F$1:$Y$231,17,FALSE)</f>
        <v>11513305.729828184</v>
      </c>
      <c r="F51" s="291">
        <f t="shared" ca="1" si="0"/>
        <v>22847239.890410975</v>
      </c>
      <c r="G51" s="283">
        <f ca="1">VLOOKUP($A51, 'Exit Prices'!$A$3:$Q$231, 8, 0)</f>
        <v>7.2344179438402385</v>
      </c>
      <c r="H51" s="283">
        <f ca="1">VLOOKUP($A51, 'Exit Prices'!$A$3:$Q$231, 12, 0)</f>
        <v>1.9820323133808871E-2</v>
      </c>
      <c r="I51" s="283">
        <f ca="1">VLOOKUP($A51, 'Exit Prices'!$A$3:$Q$231,17, 0)</f>
        <v>1.7838290820427986E-2</v>
      </c>
      <c r="J51" s="297">
        <f ca="1">'Exit Anticipated Rev. Recovery'!$C$14</f>
        <v>0</v>
      </c>
      <c r="K51" s="307">
        <f ca="1">VLOOKUP(A51,'Exit Anticipated Rev. Recovery'!F:Y,20,FALSE)</f>
        <v>1568473.7735783812</v>
      </c>
      <c r="L51" s="306">
        <f ca="1">((D51*H51)+(E51*I51))*'User Inputs'!$D$7/100</f>
        <v>1569572.7567393286</v>
      </c>
      <c r="M51" s="306">
        <f ca="1">((D51*J51)+(E51*J51))*'User Inputs'!$D$7/100</f>
        <v>0</v>
      </c>
    </row>
    <row r="52" spans="1:13">
      <c r="A52" s="309" t="str">
        <f>'Exit Prices'!A51</f>
        <v>Caythorpe</v>
      </c>
      <c r="B52" s="280" t="str">
        <f>VLOOKUP(A52,'Locations &amp; Types'!E:I,4,FALSE)</f>
        <v>STORAGE SITE</v>
      </c>
      <c r="C52" s="291">
        <f ca="1">VLOOKUP(A52,'Exit Prices'!$A:$C,3,FALSE)</f>
        <v>0</v>
      </c>
      <c r="D52" s="291">
        <f ca="1">VLOOKUP(A52,'Exit Anticipated Rev. Recovery'!$F$1:$Y$231,2,FALSE)+VLOOKUP(A52,'Exit Anticipated Rev. Recovery'!$F$1:$Y$231,5,FALSE)+VLOOKUP(A52,'Exit Anticipated Rev. Recovery'!$F$1:$Y$231,8,FALSE)+VLOOKUP(A52,'Exit Anticipated Rev. Recovery'!$F$1:$Y$231,11,FALSE)+VLOOKUP(A52,'Exit Anticipated Rev. Recovery'!$F$1:$Y$231,14,FALSE)</f>
        <v>0</v>
      </c>
      <c r="E52" s="291">
        <f ca="1">VLOOKUP(A52,'Exit Anticipated Rev. Recovery'!$F$1:$Y$231,17,FALSE)</f>
        <v>0</v>
      </c>
      <c r="F52" s="291">
        <f t="shared" ca="1" si="0"/>
        <v>0</v>
      </c>
      <c r="G52" s="283">
        <f ca="1">VLOOKUP($A52, 'Exit Prices'!$A$3:$Q$231, 8, 0)</f>
        <v>7.2344179438402385</v>
      </c>
      <c r="H52" s="283">
        <f ca="1">VLOOKUP($A52, 'Exit Prices'!$A$3:$Q$231, 12, 0)</f>
        <v>9.9101615669044355E-3</v>
      </c>
      <c r="I52" s="283">
        <f ca="1">VLOOKUP($A52, 'Exit Prices'!$A$3:$Q$231,17, 0)</f>
        <v>8.9191454102139928E-3</v>
      </c>
      <c r="J52" s="297">
        <f ca="1">'Exit Anticipated Rev. Recovery'!$C$14</f>
        <v>0</v>
      </c>
      <c r="K52" s="307">
        <f ca="1">VLOOKUP(A52,'Exit Anticipated Rev. Recovery'!F:Y,20,FALSE)</f>
        <v>0</v>
      </c>
      <c r="L52" s="306">
        <f ca="1">((D52*H52)+(E52*I52))*'User Inputs'!$D$7/100</f>
        <v>0</v>
      </c>
      <c r="M52" s="306">
        <f ca="1">((D52*J52)+(E52*J52))*'User Inputs'!$D$7/100</f>
        <v>0</v>
      </c>
    </row>
    <row r="53" spans="1:13">
      <c r="A53" s="309" t="str">
        <f>'Exit Prices'!A52</f>
        <v>Centrax Industrial</v>
      </c>
      <c r="B53" s="280" t="str">
        <f>VLOOKUP(A53,'Locations &amp; Types'!E:I,4,FALSE)</f>
        <v>INDUSTRIAL</v>
      </c>
      <c r="C53" s="291">
        <f ca="1">VLOOKUP(A53,'Exit Prices'!$A:$C,3,FALSE)</f>
        <v>85000</v>
      </c>
      <c r="D53" s="291">
        <f ca="1">VLOOKUP(A53,'Exit Anticipated Rev. Recovery'!$F$1:$Y$231,2,FALSE)+VLOOKUP(A53,'Exit Anticipated Rev. Recovery'!$F$1:$Y$231,5,FALSE)+VLOOKUP(A53,'Exit Anticipated Rev. Recovery'!$F$1:$Y$231,8,FALSE)+VLOOKUP(A53,'Exit Anticipated Rev. Recovery'!$F$1:$Y$231,11,FALSE)+VLOOKUP(A53,'Exit Anticipated Rev. Recovery'!$F$1:$Y$231,14,FALSE)</f>
        <v>64317.466610070333</v>
      </c>
      <c r="E53" s="291">
        <f ca="1">VLOOKUP(A53,'Exit Anticipated Rev. Recovery'!$F$1:$Y$231,17,FALSE)</f>
        <v>20682.533389929697</v>
      </c>
      <c r="F53" s="291">
        <f t="shared" ca="1" si="0"/>
        <v>85000.000000000029</v>
      </c>
      <c r="G53" s="283">
        <f ca="1">VLOOKUP($A53, 'Exit Prices'!$A$3:$Q$231, 8, 0)</f>
        <v>7.2344179438402385</v>
      </c>
      <c r="H53" s="283">
        <f ca="1">VLOOKUP($A53, 'Exit Prices'!$A$3:$Q$231, 12, 0)</f>
        <v>1.9820323133808871E-2</v>
      </c>
      <c r="I53" s="283">
        <f ca="1">VLOOKUP($A53, 'Exit Prices'!$A$3:$Q$231,17, 0)</f>
        <v>1.7838290820427986E-2</v>
      </c>
      <c r="J53" s="297">
        <f ca="1">'Exit Anticipated Rev. Recovery'!$C$14</f>
        <v>0</v>
      </c>
      <c r="K53" s="307">
        <f ca="1">VLOOKUP(A53,'Exit Anticipated Rev. Recovery'!F:Y,20,FALSE)</f>
        <v>5993.8306161020791</v>
      </c>
      <c r="L53" s="306">
        <f ca="1">((D53*H53)+(E53*I53))*'User Inputs'!$D$7/100</f>
        <v>5999.6291615840209</v>
      </c>
      <c r="M53" s="306">
        <f ca="1">((D53*J53)+(E53*J53))*'User Inputs'!$D$7/100</f>
        <v>0</v>
      </c>
    </row>
    <row r="54" spans="1:13">
      <c r="A54" s="309" t="str">
        <f>'Exit Prices'!A53</f>
        <v>Cirencester</v>
      </c>
      <c r="B54" s="280" t="str">
        <f>VLOOKUP(A54,'Locations &amp; Types'!E:I,4,FALSE)</f>
        <v>GDN (SW)</v>
      </c>
      <c r="C54" s="291">
        <f ca="1">VLOOKUP(A54,'Exit Prices'!$A:$C,3,FALSE)</f>
        <v>7417140</v>
      </c>
      <c r="D54" s="291">
        <f ca="1">VLOOKUP(A54,'Exit Anticipated Rev. Recovery'!$F$1:$Y$231,2,FALSE)+VLOOKUP(A54,'Exit Anticipated Rev. Recovery'!$F$1:$Y$231,5,FALSE)+VLOOKUP(A54,'Exit Anticipated Rev. Recovery'!$F$1:$Y$231,8,FALSE)+VLOOKUP(A54,'Exit Anticipated Rev. Recovery'!$F$1:$Y$231,11,FALSE)+VLOOKUP(A54,'Exit Anticipated Rev. Recovery'!$F$1:$Y$231,14,FALSE)</f>
        <v>7231440.5005791197</v>
      </c>
      <c r="E54" s="291">
        <f ca="1">VLOOKUP(A54,'Exit Anticipated Rev. Recovery'!$F$1:$Y$231,17,FALSE)</f>
        <v>185699.49942087993</v>
      </c>
      <c r="F54" s="291">
        <f t="shared" ca="1" si="0"/>
        <v>7417140</v>
      </c>
      <c r="G54" s="283">
        <f ca="1">VLOOKUP($A54, 'Exit Prices'!$A$3:$Q$231, 8, 0)</f>
        <v>7.2344179438402385</v>
      </c>
      <c r="H54" s="283">
        <f ca="1">VLOOKUP($A54, 'Exit Prices'!$A$3:$Q$231, 12, 0)</f>
        <v>1.9820323133808871E-2</v>
      </c>
      <c r="I54" s="283">
        <f ca="1">VLOOKUP($A54, 'Exit Prices'!$A$3:$Q$231,17, 0)</f>
        <v>1.7838290820427986E-2</v>
      </c>
      <c r="J54" s="297">
        <f ca="1">'Exit Anticipated Rev. Recovery'!$C$14</f>
        <v>0</v>
      </c>
      <c r="K54" s="307">
        <f ca="1">VLOOKUP(A54,'Exit Anticipated Rev. Recovery'!F:Y,20,FALSE)</f>
        <v>534749.3529315379</v>
      </c>
      <c r="L54" s="306">
        <f ca="1">((D54*H54)+(E54*I54))*'User Inputs'!$D$7/100</f>
        <v>535243.4792889792</v>
      </c>
      <c r="M54" s="306">
        <f ca="1">((D54*J54)+(E54*J54))*'User Inputs'!$D$7/100</f>
        <v>0</v>
      </c>
    </row>
    <row r="55" spans="1:13">
      <c r="A55" s="309" t="str">
        <f>'Exit Prices'!A54</f>
        <v>Cockenzie Power Station</v>
      </c>
      <c r="B55" s="280" t="str">
        <f>VLOOKUP(A55,'Locations &amp; Types'!E:I,4,FALSE)</f>
        <v>POWER STATION</v>
      </c>
      <c r="C55" s="291">
        <f ca="1">VLOOKUP(A55,'Exit Prices'!$A:$C,3,FALSE)</f>
        <v>0</v>
      </c>
      <c r="D55" s="291">
        <f ca="1">VLOOKUP(A55,'Exit Anticipated Rev. Recovery'!$F$1:$Y$231,2,FALSE)+VLOOKUP(A55,'Exit Anticipated Rev. Recovery'!$F$1:$Y$231,5,FALSE)+VLOOKUP(A55,'Exit Anticipated Rev. Recovery'!$F$1:$Y$231,8,FALSE)+VLOOKUP(A55,'Exit Anticipated Rev. Recovery'!$F$1:$Y$231,11,FALSE)+VLOOKUP(A55,'Exit Anticipated Rev. Recovery'!$F$1:$Y$231,14,FALSE)</f>
        <v>0</v>
      </c>
      <c r="E55" s="291">
        <f ca="1">VLOOKUP(A55,'Exit Anticipated Rev. Recovery'!$F$1:$Y$231,17,FALSE)</f>
        <v>0</v>
      </c>
      <c r="F55" s="291">
        <f t="shared" ca="1" si="0"/>
        <v>0</v>
      </c>
      <c r="G55" s="283">
        <f ca="1">VLOOKUP($A55, 'Exit Prices'!$A$3:$Q$231, 8, 0)</f>
        <v>7.2344179438402385</v>
      </c>
      <c r="H55" s="283">
        <f ca="1">VLOOKUP($A55, 'Exit Prices'!$A$3:$Q$231, 12, 0)</f>
        <v>1.9820323133808871E-2</v>
      </c>
      <c r="I55" s="283">
        <f ca="1">VLOOKUP($A55, 'Exit Prices'!$A$3:$Q$231,17, 0)</f>
        <v>1.7838290820427986E-2</v>
      </c>
      <c r="J55" s="297">
        <f ca="1">'Exit Anticipated Rev. Recovery'!$C$14</f>
        <v>0</v>
      </c>
      <c r="K55" s="307">
        <f ca="1">VLOOKUP(A55,'Exit Anticipated Rev. Recovery'!F:Y,20,FALSE)</f>
        <v>0</v>
      </c>
      <c r="L55" s="306">
        <f ca="1">((D55*H55)+(E55*I55))*'User Inputs'!$D$7/100</f>
        <v>0</v>
      </c>
      <c r="M55" s="306">
        <f ca="1">((D55*J55)+(E55*J55))*'User Inputs'!$D$7/100</f>
        <v>0</v>
      </c>
    </row>
    <row r="56" spans="1:13">
      <c r="A56" s="309" t="str">
        <f>'Exit Prices'!A55</f>
        <v>Coffinswell</v>
      </c>
      <c r="B56" s="280" t="str">
        <f>VLOOKUP(A56,'Locations &amp; Types'!E:I,4,FALSE)</f>
        <v>GDN (SW)</v>
      </c>
      <c r="C56" s="291">
        <f ca="1">VLOOKUP(A56,'Exit Prices'!$A:$C,3,FALSE)</f>
        <v>5150000</v>
      </c>
      <c r="D56" s="291">
        <f ca="1">VLOOKUP(A56,'Exit Anticipated Rev. Recovery'!$F$1:$Y$231,2,FALSE)+VLOOKUP(A56,'Exit Anticipated Rev. Recovery'!$F$1:$Y$231,5,FALSE)+VLOOKUP(A56,'Exit Anticipated Rev. Recovery'!$F$1:$Y$231,8,FALSE)+VLOOKUP(A56,'Exit Anticipated Rev. Recovery'!$F$1:$Y$231,11,FALSE)+VLOOKUP(A56,'Exit Anticipated Rev. Recovery'!$F$1:$Y$231,14,FALSE)</f>
        <v>5021061.8348827809</v>
      </c>
      <c r="E56" s="291">
        <f ca="1">VLOOKUP(A56,'Exit Anticipated Rev. Recovery'!$F$1:$Y$231,17,FALSE)</f>
        <v>128938.16511721924</v>
      </c>
      <c r="F56" s="291">
        <f t="shared" ca="1" si="0"/>
        <v>5150000</v>
      </c>
      <c r="G56" s="283">
        <f ca="1">VLOOKUP($A56, 'Exit Prices'!$A$3:$Q$231, 8, 0)</f>
        <v>7.2344179438402385</v>
      </c>
      <c r="H56" s="283">
        <f ca="1">VLOOKUP($A56, 'Exit Prices'!$A$3:$Q$231, 12, 0)</f>
        <v>1.9820323133808871E-2</v>
      </c>
      <c r="I56" s="283">
        <f ca="1">VLOOKUP($A56, 'Exit Prices'!$A$3:$Q$231,17, 0)</f>
        <v>1.7838290820427986E-2</v>
      </c>
      <c r="J56" s="297">
        <f ca="1">'Exit Anticipated Rev. Recovery'!$C$14</f>
        <v>0</v>
      </c>
      <c r="K56" s="307">
        <f ca="1">VLOOKUP(A56,'Exit Anticipated Rev. Recovery'!F:Y,20,FALSE)</f>
        <v>371296.64096908248</v>
      </c>
      <c r="L56" s="306">
        <f ca="1">((D56*H56)+(E56*I56))*'User Inputs'!$D$7/100</f>
        <v>371639.73153240239</v>
      </c>
      <c r="M56" s="306">
        <f ca="1">((D56*J56)+(E56*J56))*'User Inputs'!$D$7/100</f>
        <v>0</v>
      </c>
    </row>
    <row r="57" spans="1:13">
      <c r="A57" s="309" t="str">
        <f>'Exit Prices'!A56</f>
        <v>Coldstream</v>
      </c>
      <c r="B57" s="280" t="str">
        <f>VLOOKUP(A57,'Locations &amp; Types'!E:I,4,FALSE)</f>
        <v>GDN (NO)</v>
      </c>
      <c r="C57" s="291">
        <f ca="1">VLOOKUP(A57,'Exit Prices'!$A:$C,3,FALSE)</f>
        <v>2848927</v>
      </c>
      <c r="D57" s="291">
        <f ca="1">VLOOKUP(A57,'Exit Anticipated Rev. Recovery'!$F$1:$Y$231,2,FALSE)+VLOOKUP(A57,'Exit Anticipated Rev. Recovery'!$F$1:$Y$231,5,FALSE)+VLOOKUP(A57,'Exit Anticipated Rev. Recovery'!$F$1:$Y$231,8,FALSE)+VLOOKUP(A57,'Exit Anticipated Rev. Recovery'!$F$1:$Y$231,11,FALSE)+VLOOKUP(A57,'Exit Anticipated Rev. Recovery'!$F$1:$Y$231,14,FALSE)</f>
        <v>2777599.7339936104</v>
      </c>
      <c r="E57" s="291">
        <f ca="1">VLOOKUP(A57,'Exit Anticipated Rev. Recovery'!$F$1:$Y$231,17,FALSE)</f>
        <v>71327.266006389138</v>
      </c>
      <c r="F57" s="291">
        <f t="shared" ca="1" si="0"/>
        <v>2848926.9999999995</v>
      </c>
      <c r="G57" s="283">
        <f ca="1">VLOOKUP($A57, 'Exit Prices'!$A$3:$Q$231, 8, 0)</f>
        <v>7.2344179438402385</v>
      </c>
      <c r="H57" s="283">
        <f ca="1">VLOOKUP($A57, 'Exit Prices'!$A$3:$Q$231, 12, 0)</f>
        <v>1.9820323133808871E-2</v>
      </c>
      <c r="I57" s="283">
        <f ca="1">VLOOKUP($A57, 'Exit Prices'!$A$3:$Q$231,17, 0)</f>
        <v>1.7838290820427986E-2</v>
      </c>
      <c r="J57" s="297">
        <f ca="1">'Exit Anticipated Rev. Recovery'!$C$14</f>
        <v>0</v>
      </c>
      <c r="K57" s="307">
        <f ca="1">VLOOKUP(A57,'Exit Anticipated Rev. Recovery'!F:Y,20,FALSE)</f>
        <v>205397.48067303401</v>
      </c>
      <c r="L57" s="306">
        <f ca="1">((D57*H57)+(E57*I57))*'User Inputs'!$D$7/100</f>
        <v>205587.27484182763</v>
      </c>
      <c r="M57" s="306">
        <f ca="1">((D57*J57)+(E57*J57))*'User Inputs'!$D$7/100</f>
        <v>0</v>
      </c>
    </row>
    <row r="58" spans="1:13">
      <c r="A58" s="309" t="str">
        <f>'Exit Prices'!A57</f>
        <v>Corbridge</v>
      </c>
      <c r="B58" s="280" t="str">
        <f>VLOOKUP(A58,'Locations &amp; Types'!E:I,4,FALSE)</f>
        <v>GDN (NO)</v>
      </c>
      <c r="C58" s="291">
        <f ca="1">VLOOKUP(A58,'Exit Prices'!$A:$C,3,FALSE)</f>
        <v>57846</v>
      </c>
      <c r="D58" s="291">
        <f ca="1">VLOOKUP(A58,'Exit Anticipated Rev. Recovery'!$F$1:$Y$231,2,FALSE)+VLOOKUP(A58,'Exit Anticipated Rev. Recovery'!$F$1:$Y$231,5,FALSE)+VLOOKUP(A58,'Exit Anticipated Rev. Recovery'!$F$1:$Y$231,8,FALSE)+VLOOKUP(A58,'Exit Anticipated Rev. Recovery'!$F$1:$Y$231,11,FALSE)+VLOOKUP(A58,'Exit Anticipated Rev. Recovery'!$F$1:$Y$231,14,FALSE)</f>
        <v>56397.7364855591</v>
      </c>
      <c r="E58" s="291">
        <f ca="1">VLOOKUP(A58,'Exit Anticipated Rev. Recovery'!$F$1:$Y$231,17,FALSE)</f>
        <v>1448.2635144409057</v>
      </c>
      <c r="F58" s="291">
        <f t="shared" ca="1" si="0"/>
        <v>57846.000000000007</v>
      </c>
      <c r="G58" s="283">
        <f ca="1">VLOOKUP($A58, 'Exit Prices'!$A$3:$Q$231, 8, 0)</f>
        <v>7.2344179438402385</v>
      </c>
      <c r="H58" s="283">
        <f ca="1">VLOOKUP($A58, 'Exit Prices'!$A$3:$Q$231, 12, 0)</f>
        <v>1.9820323133808871E-2</v>
      </c>
      <c r="I58" s="283">
        <f ca="1">VLOOKUP($A58, 'Exit Prices'!$A$3:$Q$231,17, 0)</f>
        <v>1.7838290820427986E-2</v>
      </c>
      <c r="J58" s="297">
        <f ca="1">'Exit Anticipated Rev. Recovery'!$C$14</f>
        <v>0</v>
      </c>
      <c r="K58" s="307">
        <f ca="1">VLOOKUP(A58,'Exit Anticipated Rev. Recovery'!F:Y,20,FALSE)</f>
        <v>4170.490387086902</v>
      </c>
      <c r="L58" s="306">
        <f ca="1">((D58*H58)+(E58*I58))*'User Inputs'!$D$7/100</f>
        <v>4174.3440602375449</v>
      </c>
      <c r="M58" s="306">
        <f ca="1">((D58*J58)+(E58*J58))*'User Inputs'!$D$7/100</f>
        <v>0</v>
      </c>
    </row>
    <row r="59" spans="1:13">
      <c r="A59" s="309" t="str">
        <f>'Exit Prices'!A58</f>
        <v>Coryton 2 (Thames Haven) Power Station</v>
      </c>
      <c r="B59" s="280" t="str">
        <f>VLOOKUP(A59,'Locations &amp; Types'!E:I,4,FALSE)</f>
        <v>POWER STATION</v>
      </c>
      <c r="C59" s="291">
        <f ca="1">VLOOKUP(A59,'Exit Prices'!$A:$C,3,FALSE)</f>
        <v>0</v>
      </c>
      <c r="D59" s="291">
        <f ca="1">VLOOKUP(A59,'Exit Anticipated Rev. Recovery'!$F$1:$Y$231,2,FALSE)+VLOOKUP(A59,'Exit Anticipated Rev. Recovery'!$F$1:$Y$231,5,FALSE)+VLOOKUP(A59,'Exit Anticipated Rev. Recovery'!$F$1:$Y$231,8,FALSE)+VLOOKUP(A59,'Exit Anticipated Rev. Recovery'!$F$1:$Y$231,11,FALSE)+VLOOKUP(A59,'Exit Anticipated Rev. Recovery'!$F$1:$Y$231,14,FALSE)</f>
        <v>0</v>
      </c>
      <c r="E59" s="291">
        <f ca="1">VLOOKUP(A59,'Exit Anticipated Rev. Recovery'!$F$1:$Y$231,17,FALSE)</f>
        <v>0</v>
      </c>
      <c r="F59" s="291">
        <f t="shared" ca="1" si="0"/>
        <v>0</v>
      </c>
      <c r="G59" s="283">
        <f ca="1">VLOOKUP($A59, 'Exit Prices'!$A$3:$Q$231, 8, 0)</f>
        <v>7.2344179438402385</v>
      </c>
      <c r="H59" s="283">
        <f ca="1">VLOOKUP($A59, 'Exit Prices'!$A$3:$Q$231, 12, 0)</f>
        <v>1.9820323133808871E-2</v>
      </c>
      <c r="I59" s="283">
        <f ca="1">VLOOKUP($A59, 'Exit Prices'!$A$3:$Q$231,17, 0)</f>
        <v>1.7838290820427986E-2</v>
      </c>
      <c r="J59" s="297">
        <f ca="1">'Exit Anticipated Rev. Recovery'!$C$14</f>
        <v>0</v>
      </c>
      <c r="K59" s="307">
        <f ca="1">VLOOKUP(A59,'Exit Anticipated Rev. Recovery'!F:Y,20,FALSE)</f>
        <v>0</v>
      </c>
      <c r="L59" s="306">
        <f ca="1">((D59*H59)+(E59*I59))*'User Inputs'!$D$7/100</f>
        <v>0</v>
      </c>
      <c r="M59" s="306">
        <f ca="1">((D59*J59)+(E59*J59))*'User Inputs'!$D$7/100</f>
        <v>0</v>
      </c>
    </row>
    <row r="60" spans="1:13">
      <c r="A60" s="309" t="str">
        <f>'Exit Prices'!A59</f>
        <v>Cowpen Bewley</v>
      </c>
      <c r="B60" s="280" t="str">
        <f>VLOOKUP(A60,'Locations &amp; Types'!E:I,4,FALSE)</f>
        <v>GDN (NO)</v>
      </c>
      <c r="C60" s="291">
        <f ca="1">VLOOKUP(A60,'Exit Prices'!$A:$C,3,FALSE)</f>
        <v>40002877</v>
      </c>
      <c r="D60" s="291">
        <f ca="1">VLOOKUP(A60,'Exit Anticipated Rev. Recovery'!$F$1:$Y$231,2,FALSE)+VLOOKUP(A60,'Exit Anticipated Rev. Recovery'!$F$1:$Y$231,5,FALSE)+VLOOKUP(A60,'Exit Anticipated Rev. Recovery'!$F$1:$Y$231,8,FALSE)+VLOOKUP(A60,'Exit Anticipated Rev. Recovery'!$F$1:$Y$231,11,FALSE)+VLOOKUP(A60,'Exit Anticipated Rev. Recovery'!$F$1:$Y$231,14,FALSE)</f>
        <v>39001343.4932447</v>
      </c>
      <c r="E60" s="291">
        <f ca="1">VLOOKUP(A60,'Exit Anticipated Rev. Recovery'!$F$1:$Y$231,17,FALSE)</f>
        <v>1001533.5067553032</v>
      </c>
      <c r="F60" s="291">
        <f t="shared" ca="1" si="0"/>
        <v>40002877</v>
      </c>
      <c r="G60" s="283">
        <f ca="1">VLOOKUP($A60, 'Exit Prices'!$A$3:$Q$231, 8, 0)</f>
        <v>7.2344179438402385</v>
      </c>
      <c r="H60" s="283">
        <f ca="1">VLOOKUP($A60, 'Exit Prices'!$A$3:$Q$231, 12, 0)</f>
        <v>1.9820323133808871E-2</v>
      </c>
      <c r="I60" s="283">
        <f ca="1">VLOOKUP($A60, 'Exit Prices'!$A$3:$Q$231,17, 0)</f>
        <v>1.7838290820427986E-2</v>
      </c>
      <c r="J60" s="297">
        <f ca="1">'Exit Anticipated Rev. Recovery'!$C$14</f>
        <v>0</v>
      </c>
      <c r="K60" s="307">
        <f ca="1">VLOOKUP(A60,'Exit Anticipated Rev. Recovery'!F:Y,20,FALSE)</f>
        <v>2884064.8270290033</v>
      </c>
      <c r="L60" s="306">
        <f ca="1">((D60*H60)+(E60*I60))*'User Inputs'!$D$7/100</f>
        <v>2886729.7997677117</v>
      </c>
      <c r="M60" s="306">
        <f ca="1">((D60*J60)+(E60*J60))*'User Inputs'!$D$7/100</f>
        <v>0</v>
      </c>
    </row>
    <row r="61" spans="1:13">
      <c r="A61" s="309" t="str">
        <f>'Exit Prices'!A60</f>
        <v>Crawley Down</v>
      </c>
      <c r="B61" s="280" t="str">
        <f>VLOOKUP(A61,'Locations &amp; Types'!E:I,4,FALSE)</f>
        <v>GDN (SO)</v>
      </c>
      <c r="C61" s="291">
        <f ca="1">VLOOKUP(A61,'Exit Prices'!$A:$C,3,FALSE)</f>
        <v>0</v>
      </c>
      <c r="D61" s="291">
        <f ca="1">VLOOKUP(A61,'Exit Anticipated Rev. Recovery'!$F$1:$Y$231,2,FALSE)+VLOOKUP(A61,'Exit Anticipated Rev. Recovery'!$F$1:$Y$231,5,FALSE)+VLOOKUP(A61,'Exit Anticipated Rev. Recovery'!$F$1:$Y$231,8,FALSE)+VLOOKUP(A61,'Exit Anticipated Rev. Recovery'!$F$1:$Y$231,11,FALSE)+VLOOKUP(A61,'Exit Anticipated Rev. Recovery'!$F$1:$Y$231,14,FALSE)</f>
        <v>0</v>
      </c>
      <c r="E61" s="291">
        <f ca="1">VLOOKUP(A61,'Exit Anticipated Rev. Recovery'!$F$1:$Y$231,17,FALSE)</f>
        <v>0</v>
      </c>
      <c r="F61" s="291">
        <f t="shared" ca="1" si="0"/>
        <v>0</v>
      </c>
      <c r="G61" s="283">
        <f ca="1">VLOOKUP($A61, 'Exit Prices'!$A$3:$Q$231, 8, 0)</f>
        <v>7.2344179438402385</v>
      </c>
      <c r="H61" s="283">
        <f ca="1">VLOOKUP($A61, 'Exit Prices'!$A$3:$Q$231, 12, 0)</f>
        <v>1.9820323133808871E-2</v>
      </c>
      <c r="I61" s="283">
        <f ca="1">VLOOKUP($A61, 'Exit Prices'!$A$3:$Q$231,17, 0)</f>
        <v>1.7838290820427986E-2</v>
      </c>
      <c r="J61" s="297">
        <f ca="1">'Exit Anticipated Rev. Recovery'!$C$14</f>
        <v>0</v>
      </c>
      <c r="K61" s="307">
        <f ca="1">VLOOKUP(A61,'Exit Anticipated Rev. Recovery'!F:Y,20,FALSE)</f>
        <v>0</v>
      </c>
      <c r="L61" s="306">
        <f ca="1">((D61*H61)+(E61*I61))*'User Inputs'!$D$7/100</f>
        <v>0</v>
      </c>
      <c r="M61" s="306">
        <f ca="1">((D61*J61)+(E61*J61))*'User Inputs'!$D$7/100</f>
        <v>0</v>
      </c>
    </row>
    <row r="62" spans="1:13">
      <c r="A62" s="309" t="str">
        <f>'Exit Prices'!A61</f>
        <v>Deborah Storage (Bacton)</v>
      </c>
      <c r="B62" s="280" t="str">
        <f>VLOOKUP(A62,'Locations &amp; Types'!E:I,4,FALSE)</f>
        <v>STORAGE SITE</v>
      </c>
      <c r="C62" s="291">
        <f ca="1">VLOOKUP(A62,'Exit Prices'!$A:$C,3,FALSE)</f>
        <v>0</v>
      </c>
      <c r="D62" s="291">
        <f ca="1">VLOOKUP(A62,'Exit Anticipated Rev. Recovery'!$F$1:$Y$231,2,FALSE)+VLOOKUP(A62,'Exit Anticipated Rev. Recovery'!$F$1:$Y$231,5,FALSE)+VLOOKUP(A62,'Exit Anticipated Rev. Recovery'!$F$1:$Y$231,8,FALSE)+VLOOKUP(A62,'Exit Anticipated Rev. Recovery'!$F$1:$Y$231,11,FALSE)+VLOOKUP(A62,'Exit Anticipated Rev. Recovery'!$F$1:$Y$231,14,FALSE)</f>
        <v>0</v>
      </c>
      <c r="E62" s="291">
        <f ca="1">VLOOKUP(A62,'Exit Anticipated Rev. Recovery'!$F$1:$Y$231,17,FALSE)</f>
        <v>0</v>
      </c>
      <c r="F62" s="291">
        <f t="shared" ca="1" si="0"/>
        <v>0</v>
      </c>
      <c r="G62" s="283">
        <f ca="1">VLOOKUP($A62, 'Exit Prices'!$A$3:$Q$231, 8, 0)</f>
        <v>7.2344179438402385</v>
      </c>
      <c r="H62" s="283">
        <f ca="1">VLOOKUP($A62, 'Exit Prices'!$A$3:$Q$231, 12, 0)</f>
        <v>9.9101615669044355E-3</v>
      </c>
      <c r="I62" s="283">
        <f ca="1">VLOOKUP($A62, 'Exit Prices'!$A$3:$Q$231,17, 0)</f>
        <v>8.9191454102139928E-3</v>
      </c>
      <c r="J62" s="297">
        <f ca="1">'Exit Anticipated Rev. Recovery'!$C$14</f>
        <v>0</v>
      </c>
      <c r="K62" s="307">
        <f ca="1">VLOOKUP(A62,'Exit Anticipated Rev. Recovery'!F:Y,20,FALSE)</f>
        <v>0</v>
      </c>
      <c r="L62" s="306">
        <f ca="1">((D62*H62)+(E62*I62))*'User Inputs'!$D$7/100</f>
        <v>0</v>
      </c>
      <c r="M62" s="306">
        <f ca="1">((D62*J62)+(E62*J62))*'User Inputs'!$D$7/100</f>
        <v>0</v>
      </c>
    </row>
    <row r="63" spans="1:13">
      <c r="A63" s="309" t="str">
        <f>'Exit Prices'!A62</f>
        <v>Deeside</v>
      </c>
      <c r="B63" s="280" t="str">
        <f>VLOOKUP(A63,'Locations &amp; Types'!E:I,4,FALSE)</f>
        <v>POWER STATION</v>
      </c>
      <c r="C63" s="291">
        <f ca="1">VLOOKUP(A63,'Exit Prices'!$A:$C,3,FALSE)</f>
        <v>0</v>
      </c>
      <c r="D63" s="291">
        <f ca="1">VLOOKUP(A63,'Exit Anticipated Rev. Recovery'!$F$1:$Y$231,2,FALSE)+VLOOKUP(A63,'Exit Anticipated Rev. Recovery'!$F$1:$Y$231,5,FALSE)+VLOOKUP(A63,'Exit Anticipated Rev. Recovery'!$F$1:$Y$231,8,FALSE)+VLOOKUP(A63,'Exit Anticipated Rev. Recovery'!$F$1:$Y$231,11,FALSE)+VLOOKUP(A63,'Exit Anticipated Rev. Recovery'!$F$1:$Y$231,14,FALSE)</f>
        <v>0</v>
      </c>
      <c r="E63" s="291">
        <f ca="1">VLOOKUP(A63,'Exit Anticipated Rev. Recovery'!$F$1:$Y$231,17,FALSE)</f>
        <v>0</v>
      </c>
      <c r="F63" s="291">
        <f t="shared" ca="1" si="0"/>
        <v>0</v>
      </c>
      <c r="G63" s="283">
        <f ca="1">VLOOKUP($A63, 'Exit Prices'!$A$3:$Q$231, 8, 0)</f>
        <v>7.2344179438402385</v>
      </c>
      <c r="H63" s="283">
        <f ca="1">VLOOKUP($A63, 'Exit Prices'!$A$3:$Q$231, 12, 0)</f>
        <v>1.9820323133808871E-2</v>
      </c>
      <c r="I63" s="283">
        <f ca="1">VLOOKUP($A63, 'Exit Prices'!$A$3:$Q$231,17, 0)</f>
        <v>1.7838290820427986E-2</v>
      </c>
      <c r="J63" s="297">
        <f ca="1">'Exit Anticipated Rev. Recovery'!$C$14</f>
        <v>0</v>
      </c>
      <c r="K63" s="307">
        <f ca="1">VLOOKUP(A63,'Exit Anticipated Rev. Recovery'!F:Y,20,FALSE)</f>
        <v>0</v>
      </c>
      <c r="L63" s="306">
        <f ca="1">((D63*H63)+(E63*I63))*'User Inputs'!$D$7/100</f>
        <v>0</v>
      </c>
      <c r="M63" s="306">
        <f ca="1">((D63*J63)+(E63*J63))*'User Inputs'!$D$7/100</f>
        <v>0</v>
      </c>
    </row>
    <row r="64" spans="1:13">
      <c r="A64" s="309" t="str">
        <f>'Exit Prices'!A63</f>
        <v>Didcot</v>
      </c>
      <c r="B64" s="280" t="str">
        <f>VLOOKUP(A64,'Locations &amp; Types'!E:I,4,FALSE)</f>
        <v>POWER STATION</v>
      </c>
      <c r="C64" s="291">
        <f ca="1">VLOOKUP(A64,'Exit Prices'!$A:$C,3,FALSE)</f>
        <v>37798322.958904102</v>
      </c>
      <c r="D64" s="291">
        <f ca="1">VLOOKUP(A64,'Exit Anticipated Rev. Recovery'!$F$1:$Y$231,2,FALSE)+VLOOKUP(A64,'Exit Anticipated Rev. Recovery'!$F$1:$Y$231,5,FALSE)+VLOOKUP(A64,'Exit Anticipated Rev. Recovery'!$F$1:$Y$231,8,FALSE)+VLOOKUP(A64,'Exit Anticipated Rev. Recovery'!$F$1:$Y$231,11,FALSE)+VLOOKUP(A64,'Exit Anticipated Rev. Recovery'!$F$1:$Y$231,14,FALSE)</f>
        <v>18750785.90900014</v>
      </c>
      <c r="E64" s="291">
        <f ca="1">VLOOKUP(A64,'Exit Anticipated Rev. Recovery'!$F$1:$Y$231,17,FALSE)</f>
        <v>19047537.049903959</v>
      </c>
      <c r="F64" s="291">
        <f t="shared" ca="1" si="0"/>
        <v>37798322.958904102</v>
      </c>
      <c r="G64" s="283">
        <f ca="1">VLOOKUP($A64, 'Exit Prices'!$A$3:$Q$231, 8, 0)</f>
        <v>7.2344179438402385</v>
      </c>
      <c r="H64" s="283">
        <f ca="1">VLOOKUP($A64, 'Exit Prices'!$A$3:$Q$231, 12, 0)</f>
        <v>1.9820323133808871E-2</v>
      </c>
      <c r="I64" s="283">
        <f ca="1">VLOOKUP($A64, 'Exit Prices'!$A$3:$Q$231,17, 0)</f>
        <v>1.7838290820427986E-2</v>
      </c>
      <c r="J64" s="297">
        <f ca="1">'Exit Anticipated Rev. Recovery'!$C$14</f>
        <v>0</v>
      </c>
      <c r="K64" s="307">
        <f ca="1">VLOOKUP(A64,'Exit Anticipated Rev. Recovery'!F:Y,20,FALSE)</f>
        <v>2594872.664298018</v>
      </c>
      <c r="L64" s="306">
        <f ca="1">((D64*H64)+(E64*I64))*'User Inputs'!$D$7/100</f>
        <v>2596690.8147898559</v>
      </c>
      <c r="M64" s="306">
        <f ca="1">((D64*J64)+(E64*J64))*'User Inputs'!$D$7/100</f>
        <v>0</v>
      </c>
    </row>
    <row r="65" spans="1:13">
      <c r="A65" s="309" t="str">
        <f>'Exit Prices'!A64</f>
        <v>Dowlais</v>
      </c>
      <c r="B65" s="280" t="str">
        <f>VLOOKUP(A65,'Locations &amp; Types'!E:I,4,FALSE)</f>
        <v>GDN (WS)</v>
      </c>
      <c r="C65" s="291">
        <f ca="1">VLOOKUP(A65,'Exit Prices'!$A:$C,3,FALSE)</f>
        <v>91369207</v>
      </c>
      <c r="D65" s="291">
        <f ca="1">VLOOKUP(A65,'Exit Anticipated Rev. Recovery'!$F$1:$Y$231,2,FALSE)+VLOOKUP(A65,'Exit Anticipated Rev. Recovery'!$F$1:$Y$231,5,FALSE)+VLOOKUP(A65,'Exit Anticipated Rev. Recovery'!$F$1:$Y$231,8,FALSE)+VLOOKUP(A65,'Exit Anticipated Rev. Recovery'!$F$1:$Y$231,11,FALSE)+VLOOKUP(A65,'Exit Anticipated Rev. Recovery'!$F$1:$Y$231,14,FALSE)</f>
        <v>89081638.475962058</v>
      </c>
      <c r="E65" s="291">
        <f ca="1">VLOOKUP(A65,'Exit Anticipated Rev. Recovery'!$F$1:$Y$231,17,FALSE)</f>
        <v>2287568.5240379386</v>
      </c>
      <c r="F65" s="291">
        <f t="shared" ca="1" si="0"/>
        <v>91369207</v>
      </c>
      <c r="G65" s="283">
        <f ca="1">VLOOKUP($A65, 'Exit Prices'!$A$3:$Q$231, 8, 0)</f>
        <v>7.2344179438402385</v>
      </c>
      <c r="H65" s="283">
        <f ca="1">VLOOKUP($A65, 'Exit Prices'!$A$3:$Q$231, 12, 0)</f>
        <v>1.9820323133808871E-2</v>
      </c>
      <c r="I65" s="283">
        <f ca="1">VLOOKUP($A65, 'Exit Prices'!$A$3:$Q$231,17, 0)</f>
        <v>1.7838290820427986E-2</v>
      </c>
      <c r="J65" s="297">
        <f ca="1">'Exit Anticipated Rev. Recovery'!$C$14</f>
        <v>0</v>
      </c>
      <c r="K65" s="307">
        <f ca="1">VLOOKUP(A65,'Exit Anticipated Rev. Recovery'!F:Y,20,FALSE)</f>
        <v>6587394.1062347144</v>
      </c>
      <c r="L65" s="306">
        <f ca="1">((D65*H65)+(E65*I65))*'User Inputs'!$D$7/100</f>
        <v>6593481.0795744658</v>
      </c>
      <c r="M65" s="306">
        <f ca="1">((D65*J65)+(E65*J65))*'User Inputs'!$D$7/100</f>
        <v>0</v>
      </c>
    </row>
    <row r="66" spans="1:13">
      <c r="A66" s="309" t="str">
        <f>'Exit Prices'!A65</f>
        <v>Drakelow Power Station</v>
      </c>
      <c r="B66" s="280" t="str">
        <f>VLOOKUP(A66,'Locations &amp; Types'!E:I,4,FALSE)</f>
        <v>POWER STATION</v>
      </c>
      <c r="C66" s="291">
        <f ca="1">VLOOKUP(A66,'Exit Prices'!$A:$C,3,FALSE)</f>
        <v>0</v>
      </c>
      <c r="D66" s="291">
        <f ca="1">VLOOKUP(A66,'Exit Anticipated Rev. Recovery'!$F$1:$Y$231,2,FALSE)+VLOOKUP(A66,'Exit Anticipated Rev. Recovery'!$F$1:$Y$231,5,FALSE)+VLOOKUP(A66,'Exit Anticipated Rev. Recovery'!$F$1:$Y$231,8,FALSE)+VLOOKUP(A66,'Exit Anticipated Rev. Recovery'!$F$1:$Y$231,11,FALSE)+VLOOKUP(A66,'Exit Anticipated Rev. Recovery'!$F$1:$Y$231,14,FALSE)</f>
        <v>0</v>
      </c>
      <c r="E66" s="291">
        <f ca="1">VLOOKUP(A66,'Exit Anticipated Rev. Recovery'!$F$1:$Y$231,17,FALSE)</f>
        <v>0</v>
      </c>
      <c r="F66" s="291">
        <f t="shared" ca="1" si="0"/>
        <v>0</v>
      </c>
      <c r="G66" s="283">
        <f ca="1">VLOOKUP($A66, 'Exit Prices'!$A$3:$Q$231, 8, 0)</f>
        <v>7.2344179438402385</v>
      </c>
      <c r="H66" s="283">
        <f ca="1">VLOOKUP($A66, 'Exit Prices'!$A$3:$Q$231, 12, 0)</f>
        <v>1.9820323133808871E-2</v>
      </c>
      <c r="I66" s="283">
        <f ca="1">VLOOKUP($A66, 'Exit Prices'!$A$3:$Q$231,17, 0)</f>
        <v>1.7838290820427986E-2</v>
      </c>
      <c r="J66" s="297">
        <f ca="1">'Exit Anticipated Rev. Recovery'!$C$14</f>
        <v>0</v>
      </c>
      <c r="K66" s="307">
        <f ca="1">VLOOKUP(A66,'Exit Anticipated Rev. Recovery'!F:Y,20,FALSE)</f>
        <v>0</v>
      </c>
      <c r="L66" s="306">
        <f ca="1">((D66*H66)+(E66*I66))*'User Inputs'!$D$7/100</f>
        <v>0</v>
      </c>
      <c r="M66" s="306">
        <f ca="1">((D66*J66)+(E66*J66))*'User Inputs'!$D$7/100</f>
        <v>0</v>
      </c>
    </row>
    <row r="67" spans="1:13">
      <c r="A67" s="309" t="str">
        <f>'Exit Prices'!A66</f>
        <v>Drointon</v>
      </c>
      <c r="B67" s="280" t="str">
        <f>VLOOKUP(A67,'Locations &amp; Types'!E:I,4,FALSE)</f>
        <v>GDN (EM)</v>
      </c>
      <c r="C67" s="291">
        <f ca="1">VLOOKUP(A67,'Exit Prices'!$A:$C,3,FALSE)</f>
        <v>54670979</v>
      </c>
      <c r="D67" s="291">
        <f ca="1">VLOOKUP(A67,'Exit Anticipated Rev. Recovery'!$F$1:$Y$231,2,FALSE)+VLOOKUP(A67,'Exit Anticipated Rev. Recovery'!$F$1:$Y$231,5,FALSE)+VLOOKUP(A67,'Exit Anticipated Rev. Recovery'!$F$1:$Y$231,8,FALSE)+VLOOKUP(A67,'Exit Anticipated Rev. Recovery'!$F$1:$Y$231,11,FALSE)+VLOOKUP(A67,'Exit Anticipated Rev. Recovery'!$F$1:$Y$231,14,FALSE)</f>
        <v>53302207.016034566</v>
      </c>
      <c r="E67" s="291">
        <f ca="1">VLOOKUP(A67,'Exit Anticipated Rev. Recovery'!$F$1:$Y$231,17,FALSE)</f>
        <v>1368771.9839654418</v>
      </c>
      <c r="F67" s="291">
        <f t="shared" ca="1" si="0"/>
        <v>54670979.000000007</v>
      </c>
      <c r="G67" s="283">
        <f ca="1">VLOOKUP($A67, 'Exit Prices'!$A$3:$Q$231, 8, 0)</f>
        <v>7.2344179438402385</v>
      </c>
      <c r="H67" s="283">
        <f ca="1">VLOOKUP($A67, 'Exit Prices'!$A$3:$Q$231, 12, 0)</f>
        <v>1.9820323133808871E-2</v>
      </c>
      <c r="I67" s="283">
        <f ca="1">VLOOKUP($A67, 'Exit Prices'!$A$3:$Q$231,17, 0)</f>
        <v>1.7838290820427986E-2</v>
      </c>
      <c r="J67" s="297">
        <f ca="1">'Exit Anticipated Rev. Recovery'!$C$14</f>
        <v>0</v>
      </c>
      <c r="K67" s="307">
        <f ca="1">VLOOKUP(A67,'Exit Anticipated Rev. Recovery'!F:Y,20,FALSE)</f>
        <v>3941582.691493446</v>
      </c>
      <c r="L67" s="306">
        <f ca="1">((D67*H67)+(E67*I67))*'User Inputs'!$D$7/100</f>
        <v>3945224.8462473033</v>
      </c>
      <c r="M67" s="306">
        <f ca="1">((D67*J67)+(E67*J67))*'User Inputs'!$D$7/100</f>
        <v>0</v>
      </c>
    </row>
    <row r="68" spans="1:13">
      <c r="A68" s="309" t="str">
        <f>'Exit Prices'!A67</f>
        <v>Drum</v>
      </c>
      <c r="B68" s="280" t="str">
        <f>VLOOKUP(A68,'Locations &amp; Types'!E:I,4,FALSE)</f>
        <v>GDN (SC)</v>
      </c>
      <c r="C68" s="291">
        <f ca="1">VLOOKUP(A68,'Exit Prices'!$A:$C,3,FALSE)</f>
        <v>66956781</v>
      </c>
      <c r="D68" s="291">
        <f ca="1">VLOOKUP(A68,'Exit Anticipated Rev. Recovery'!$F$1:$Y$231,2,FALSE)+VLOOKUP(A68,'Exit Anticipated Rev. Recovery'!$F$1:$Y$231,5,FALSE)+VLOOKUP(A68,'Exit Anticipated Rev. Recovery'!$F$1:$Y$231,8,FALSE)+VLOOKUP(A68,'Exit Anticipated Rev. Recovery'!$F$1:$Y$231,11,FALSE)+VLOOKUP(A68,'Exit Anticipated Rev. Recovery'!$F$1:$Y$231,14,FALSE)</f>
        <v>65280415.080719329</v>
      </c>
      <c r="E68" s="291">
        <f ca="1">VLOOKUP(A68,'Exit Anticipated Rev. Recovery'!$F$1:$Y$231,17,FALSE)</f>
        <v>1676365.9192806773</v>
      </c>
      <c r="F68" s="291">
        <f t="shared" ref="F68:F131" ca="1" si="3">D68+E68</f>
        <v>66956781.000000007</v>
      </c>
      <c r="G68" s="283">
        <f ca="1">VLOOKUP($A68, 'Exit Prices'!$A$3:$Q$231, 8, 0)</f>
        <v>7.2344179438402385</v>
      </c>
      <c r="H68" s="283">
        <f ca="1">VLOOKUP($A68, 'Exit Prices'!$A$3:$Q$231, 12, 0)</f>
        <v>1.9820323133808871E-2</v>
      </c>
      <c r="I68" s="283">
        <f ca="1">VLOOKUP($A68, 'Exit Prices'!$A$3:$Q$231,17, 0)</f>
        <v>1.7838290820427986E-2</v>
      </c>
      <c r="J68" s="297">
        <f ca="1">'Exit Anticipated Rev. Recovery'!$C$14</f>
        <v>0</v>
      </c>
      <c r="K68" s="307">
        <f ca="1">VLOOKUP(A68,'Exit Anticipated Rev. Recovery'!F:Y,20,FALSE)</f>
        <v>4827345.218524754</v>
      </c>
      <c r="L68" s="306">
        <f ca="1">((D68*H68)+(E68*I68))*'User Inputs'!$D$7/100</f>
        <v>4831805.8475949252</v>
      </c>
      <c r="M68" s="306">
        <f ca="1">((D68*J68)+(E68*J68))*'User Inputs'!$D$7/100</f>
        <v>0</v>
      </c>
    </row>
    <row r="69" spans="1:13">
      <c r="A69" s="309" t="str">
        <f>'Exit Prices'!A68</f>
        <v>Dyffryn Clydach</v>
      </c>
      <c r="B69" s="280" t="str">
        <f>VLOOKUP(A69,'Locations &amp; Types'!E:I,4,FALSE)</f>
        <v>GDN (WS)</v>
      </c>
      <c r="C69" s="291">
        <f ca="1">VLOOKUP(A69,'Exit Prices'!$A:$C,3,FALSE)</f>
        <v>40231974</v>
      </c>
      <c r="D69" s="291">
        <f ca="1">VLOOKUP(A69,'Exit Anticipated Rev. Recovery'!$F$1:$Y$231,2,FALSE)+VLOOKUP(A69,'Exit Anticipated Rev. Recovery'!$F$1:$Y$231,5,FALSE)+VLOOKUP(A69,'Exit Anticipated Rev. Recovery'!$F$1:$Y$231,8,FALSE)+VLOOKUP(A69,'Exit Anticipated Rev. Recovery'!$F$1:$Y$231,11,FALSE)+VLOOKUP(A69,'Exit Anticipated Rev. Recovery'!$F$1:$Y$231,14,FALSE)</f>
        <v>39224704.697746865</v>
      </c>
      <c r="E69" s="291">
        <f ca="1">VLOOKUP(A69,'Exit Anticipated Rev. Recovery'!$F$1:$Y$231,17,FALSE)</f>
        <v>1007269.30225314</v>
      </c>
      <c r="F69" s="291">
        <f t="shared" ca="1" si="3"/>
        <v>40231974.000000007</v>
      </c>
      <c r="G69" s="283">
        <f ca="1">VLOOKUP($A69, 'Exit Prices'!$A$3:$Q$231, 8, 0)</f>
        <v>7.2344179438402385</v>
      </c>
      <c r="H69" s="283">
        <f ca="1">VLOOKUP($A69, 'Exit Prices'!$A$3:$Q$231, 12, 0)</f>
        <v>1.9820323133808871E-2</v>
      </c>
      <c r="I69" s="283">
        <f ca="1">VLOOKUP($A69, 'Exit Prices'!$A$3:$Q$231,17, 0)</f>
        <v>1.7838290820427986E-2</v>
      </c>
      <c r="J69" s="297">
        <f ca="1">'Exit Anticipated Rev. Recovery'!$C$14</f>
        <v>0</v>
      </c>
      <c r="K69" s="307">
        <f ca="1">VLOOKUP(A69,'Exit Anticipated Rev. Recovery'!F:Y,20,FALSE)</f>
        <v>2900581.9040301866</v>
      </c>
      <c r="L69" s="306">
        <f ca="1">((D69*H69)+(E69*I69))*'User Inputs'!$D$7/100</f>
        <v>2903262.1391026401</v>
      </c>
      <c r="M69" s="306">
        <f ca="1">((D69*J69)+(E69*J69))*'User Inputs'!$D$7/100</f>
        <v>0</v>
      </c>
    </row>
    <row r="70" spans="1:13">
      <c r="A70" s="309" t="str">
        <f>'Exit Prices'!A69</f>
        <v>Dynevor Max Refill</v>
      </c>
      <c r="B70" s="280" t="str">
        <f>VLOOKUP(A70,'Locations &amp; Types'!E:I,4,FALSE)</f>
        <v>STORAGE SITE</v>
      </c>
      <c r="C70" s="291">
        <f ca="1">VLOOKUP(A70,'Exit Prices'!$A:$C,3,FALSE)</f>
        <v>23931</v>
      </c>
      <c r="D70" s="291">
        <f ca="1">VLOOKUP(A70,'Exit Anticipated Rev. Recovery'!$F$1:$Y$231,2,FALSE)+VLOOKUP(A70,'Exit Anticipated Rev. Recovery'!$F$1:$Y$231,5,FALSE)+VLOOKUP(A70,'Exit Anticipated Rev. Recovery'!$F$1:$Y$231,8,FALSE)+VLOOKUP(A70,'Exit Anticipated Rev. Recovery'!$F$1:$Y$231,11,FALSE)+VLOOKUP(A70,'Exit Anticipated Rev. Recovery'!$F$1:$Y$231,14,FALSE)</f>
        <v>6657.6540960288967</v>
      </c>
      <c r="E70" s="291">
        <f ca="1">VLOOKUP(A70,'Exit Anticipated Rev. Recovery'!$F$1:$Y$231,17,FALSE)</f>
        <v>17273.345903971109</v>
      </c>
      <c r="F70" s="291">
        <f t="shared" ca="1" si="3"/>
        <v>23931.000000000007</v>
      </c>
      <c r="G70" s="283">
        <f ca="1">VLOOKUP($A70, 'Exit Prices'!$A$3:$Q$231, 8, 0)</f>
        <v>7.2344179438402385</v>
      </c>
      <c r="H70" s="283">
        <f ca="1">VLOOKUP($A70, 'Exit Prices'!$A$3:$Q$231, 12, 0)</f>
        <v>9.9101615669044355E-3</v>
      </c>
      <c r="I70" s="283">
        <f ca="1">VLOOKUP($A70, 'Exit Prices'!$A$3:$Q$231,17, 0)</f>
        <v>8.9191454102139928E-3</v>
      </c>
      <c r="J70" s="297">
        <f ca="1">'Exit Anticipated Rev. Recovery'!$C$14</f>
        <v>0</v>
      </c>
      <c r="K70" s="307">
        <f ca="1">VLOOKUP(A70,'Exit Anticipated Rev. Recovery'!F:Y,20,FALSE)</f>
        <v>801.81286268284362</v>
      </c>
      <c r="L70" s="306">
        <f ca="1">((D70*H70)+(E70*I70))*'User Inputs'!$D$7/100</f>
        <v>803.15297729127997</v>
      </c>
      <c r="M70" s="306">
        <f ca="1">((D70*J70)+(E70*J70))*'User Inputs'!$D$7/100</f>
        <v>0</v>
      </c>
    </row>
    <row r="71" spans="1:13">
      <c r="A71" s="309" t="str">
        <f>'Exit Prices'!A70</f>
        <v>Eastoft (Keadby Blackstart)</v>
      </c>
      <c r="B71" s="280" t="str">
        <f>VLOOKUP(A71,'Locations &amp; Types'!E:I,4,FALSE)</f>
        <v>POWER STATION</v>
      </c>
      <c r="C71" s="291">
        <f ca="1">VLOOKUP(A71,'Exit Prices'!$A:$C,3,FALSE)</f>
        <v>1457215</v>
      </c>
      <c r="D71" s="291">
        <f ca="1">VLOOKUP(A71,'Exit Anticipated Rev. Recovery'!$F$1:$Y$231,2,FALSE)+VLOOKUP(A71,'Exit Anticipated Rev. Recovery'!$F$1:$Y$231,5,FALSE)+VLOOKUP(A71,'Exit Anticipated Rev. Recovery'!$F$1:$Y$231,8,FALSE)+VLOOKUP(A71,'Exit Anticipated Rev. Recovery'!$F$1:$Y$231,11,FALSE)+VLOOKUP(A71,'Exit Anticipated Rev. Recovery'!$F$1:$Y$231,14,FALSE)</f>
        <v>722887.26984240371</v>
      </c>
      <c r="E71" s="291">
        <f ca="1">VLOOKUP(A71,'Exit Anticipated Rev. Recovery'!$F$1:$Y$231,17,FALSE)</f>
        <v>734327.73015759606</v>
      </c>
      <c r="F71" s="291">
        <f t="shared" ca="1" si="3"/>
        <v>1457214.9999999998</v>
      </c>
      <c r="G71" s="283">
        <f ca="1">VLOOKUP($A71, 'Exit Prices'!$A$3:$Q$231, 8, 0)</f>
        <v>7.2344179438402385</v>
      </c>
      <c r="H71" s="283">
        <f ca="1">VLOOKUP($A71, 'Exit Prices'!$A$3:$Q$231, 12, 0)</f>
        <v>1.9820323133808871E-2</v>
      </c>
      <c r="I71" s="283">
        <f ca="1">VLOOKUP($A71, 'Exit Prices'!$A$3:$Q$231,17, 0)</f>
        <v>1.7838290820427986E-2</v>
      </c>
      <c r="J71" s="297">
        <f ca="1">'Exit Anticipated Rev. Recovery'!$C$14</f>
        <v>0</v>
      </c>
      <c r="K71" s="307">
        <f ca="1">VLOOKUP(A71,'Exit Anticipated Rev. Recovery'!F:Y,20,FALSE)</f>
        <v>100038.49571887642</v>
      </c>
      <c r="L71" s="306">
        <f ca="1">((D71*H71)+(E71*I71))*'User Inputs'!$D$7/100</f>
        <v>100108.58973261993</v>
      </c>
      <c r="M71" s="306">
        <f ca="1">((D71*J71)+(E71*J71))*'User Inputs'!$D$7/100</f>
        <v>0</v>
      </c>
    </row>
    <row r="72" spans="1:13">
      <c r="A72" s="309" t="str">
        <f>'Exit Prices'!A71</f>
        <v>Eastoft (Keadby)</v>
      </c>
      <c r="B72" s="280" t="str">
        <f>VLOOKUP(A72,'Locations &amp; Types'!E:I,4,FALSE)</f>
        <v>POWER STATION</v>
      </c>
      <c r="C72" s="291">
        <f ca="1">VLOOKUP(A72,'Exit Prices'!$A:$C,3,FALSE)</f>
        <v>36060000</v>
      </c>
      <c r="D72" s="291">
        <f ca="1">VLOOKUP(A72,'Exit Anticipated Rev. Recovery'!$F$1:$Y$231,2,FALSE)+VLOOKUP(A72,'Exit Anticipated Rev. Recovery'!$F$1:$Y$231,5,FALSE)+VLOOKUP(A72,'Exit Anticipated Rev. Recovery'!$F$1:$Y$231,8,FALSE)+VLOOKUP(A72,'Exit Anticipated Rev. Recovery'!$F$1:$Y$231,11,FALSE)+VLOOKUP(A72,'Exit Anticipated Rev. Recovery'!$F$1:$Y$231,14,FALSE)</f>
        <v>17888448.13601087</v>
      </c>
      <c r="E72" s="291">
        <f ca="1">VLOOKUP(A72,'Exit Anticipated Rev. Recovery'!$F$1:$Y$231,17,FALSE)</f>
        <v>18171551.863989126</v>
      </c>
      <c r="F72" s="291">
        <f t="shared" ca="1" si="3"/>
        <v>36060000</v>
      </c>
      <c r="G72" s="283">
        <f ca="1">VLOOKUP($A72, 'Exit Prices'!$A$3:$Q$231, 8, 0)</f>
        <v>7.2344179438402385</v>
      </c>
      <c r="H72" s="283">
        <f ca="1">VLOOKUP($A72, 'Exit Prices'!$A$3:$Q$231, 12, 0)</f>
        <v>1.9820323133808871E-2</v>
      </c>
      <c r="I72" s="283">
        <f ca="1">VLOOKUP($A72, 'Exit Prices'!$A$3:$Q$231,17, 0)</f>
        <v>1.7838290820427986E-2</v>
      </c>
      <c r="J72" s="297">
        <f ca="1">'Exit Anticipated Rev. Recovery'!$C$14</f>
        <v>0</v>
      </c>
      <c r="K72" s="307">
        <f ca="1">VLOOKUP(A72,'Exit Anticipated Rev. Recovery'!F:Y,20,FALSE)</f>
        <v>2475535.9748717132</v>
      </c>
      <c r="L72" s="306">
        <f ca="1">((D72*H72)+(E72*I72))*'User Inputs'!$D$7/100</f>
        <v>2477270.509676523</v>
      </c>
      <c r="M72" s="306">
        <f ca="1">((D72*J72)+(E72*J72))*'User Inputs'!$D$7/100</f>
        <v>0</v>
      </c>
    </row>
    <row r="73" spans="1:13">
      <c r="A73" s="309" t="str">
        <f>'Exit Prices'!A72</f>
        <v>Easton Grey</v>
      </c>
      <c r="B73" s="280" t="str">
        <f>VLOOKUP(A73,'Locations &amp; Types'!E:I,4,FALSE)</f>
        <v>GDN (SW)</v>
      </c>
      <c r="C73" s="291">
        <f ca="1">VLOOKUP(A73,'Exit Prices'!$A:$C,3,FALSE)</f>
        <v>27391725</v>
      </c>
      <c r="D73" s="291">
        <f ca="1">VLOOKUP(A73,'Exit Anticipated Rev. Recovery'!$F$1:$Y$231,2,FALSE)+VLOOKUP(A73,'Exit Anticipated Rev. Recovery'!$F$1:$Y$231,5,FALSE)+VLOOKUP(A73,'Exit Anticipated Rev. Recovery'!$F$1:$Y$231,8,FALSE)+VLOOKUP(A73,'Exit Anticipated Rev. Recovery'!$F$1:$Y$231,11,FALSE)+VLOOKUP(A73,'Exit Anticipated Rev. Recovery'!$F$1:$Y$231,14,FALSE)</f>
        <v>26705931.065845542</v>
      </c>
      <c r="E73" s="291">
        <f ca="1">VLOOKUP(A73,'Exit Anticipated Rev. Recovery'!$F$1:$Y$231,17,FALSE)</f>
        <v>685793.93415445869</v>
      </c>
      <c r="F73" s="291">
        <f t="shared" ca="1" si="3"/>
        <v>27391725</v>
      </c>
      <c r="G73" s="283">
        <f ca="1">VLOOKUP($A73, 'Exit Prices'!$A$3:$Q$231, 8, 0)</f>
        <v>7.2344179438402385</v>
      </c>
      <c r="H73" s="283">
        <f ca="1">VLOOKUP($A73, 'Exit Prices'!$A$3:$Q$231, 12, 0)</f>
        <v>1.9820323133808871E-2</v>
      </c>
      <c r="I73" s="283">
        <f ca="1">VLOOKUP($A73, 'Exit Prices'!$A$3:$Q$231,17, 0)</f>
        <v>1.7838290820427986E-2</v>
      </c>
      <c r="J73" s="297">
        <f ca="1">'Exit Anticipated Rev. Recovery'!$C$14</f>
        <v>0</v>
      </c>
      <c r="K73" s="307">
        <f ca="1">VLOOKUP(A73,'Exit Anticipated Rev. Recovery'!F:Y,20,FALSE)</f>
        <v>1974845.7248250179</v>
      </c>
      <c r="L73" s="306">
        <f ca="1">((D73*H73)+(E73*I73))*'User Inputs'!$D$7/100</f>
        <v>1976670.5485843485</v>
      </c>
      <c r="M73" s="306">
        <f ca="1">((D73*J73)+(E73*J73))*'User Inputs'!$D$7/100</f>
        <v>0</v>
      </c>
    </row>
    <row r="74" spans="1:13">
      <c r="A74" s="309" t="str">
        <f>'Exit Prices'!A73</f>
        <v>Ecclestone</v>
      </c>
      <c r="B74" s="280" t="str">
        <f>VLOOKUP(A74,'Locations &amp; Types'!E:I,4,FALSE)</f>
        <v>GDN (NW)</v>
      </c>
      <c r="C74" s="291">
        <f ca="1">VLOOKUP(A74,'Exit Prices'!$A:$C,3,FALSE)</f>
        <v>16370887</v>
      </c>
      <c r="D74" s="291">
        <f ca="1">VLOOKUP(A74,'Exit Anticipated Rev. Recovery'!$F$1:$Y$231,2,FALSE)+VLOOKUP(A74,'Exit Anticipated Rev. Recovery'!$F$1:$Y$231,5,FALSE)+VLOOKUP(A74,'Exit Anticipated Rev. Recovery'!$F$1:$Y$231,8,FALSE)+VLOOKUP(A74,'Exit Anticipated Rev. Recovery'!$F$1:$Y$231,11,FALSE)+VLOOKUP(A74,'Exit Anticipated Rev. Recovery'!$F$1:$Y$231,14,FALSE)</f>
        <v>15961016.68327741</v>
      </c>
      <c r="E74" s="291">
        <f ca="1">VLOOKUP(A74,'Exit Anticipated Rev. Recovery'!$F$1:$Y$231,17,FALSE)</f>
        <v>409870.31672258989</v>
      </c>
      <c r="F74" s="291">
        <f t="shared" ca="1" si="3"/>
        <v>16370887</v>
      </c>
      <c r="G74" s="283">
        <f ca="1">VLOOKUP($A74, 'Exit Prices'!$A$3:$Q$231, 8, 0)</f>
        <v>7.2344179438402385</v>
      </c>
      <c r="H74" s="283">
        <f ca="1">VLOOKUP($A74, 'Exit Prices'!$A$3:$Q$231, 12, 0)</f>
        <v>1.9820323133808871E-2</v>
      </c>
      <c r="I74" s="283">
        <f ca="1">VLOOKUP($A74, 'Exit Prices'!$A$3:$Q$231,17, 0)</f>
        <v>1.7838290820427986E-2</v>
      </c>
      <c r="J74" s="297">
        <f ca="1">'Exit Anticipated Rev. Recovery'!$C$14</f>
        <v>0</v>
      </c>
      <c r="K74" s="307">
        <f ca="1">VLOOKUP(A74,'Exit Anticipated Rev. Recovery'!F:Y,20,FALSE)</f>
        <v>1180282.5927736736</v>
      </c>
      <c r="L74" s="306">
        <f ca="1">((D74*H74)+(E74*I74))*'User Inputs'!$D$7/100</f>
        <v>1181373.2135198633</v>
      </c>
      <c r="M74" s="306">
        <f ca="1">((D74*J74)+(E74*J74))*'User Inputs'!$D$7/100</f>
        <v>0</v>
      </c>
    </row>
    <row r="75" spans="1:13">
      <c r="A75" s="309" t="str">
        <f>'Exit Prices'!A74</f>
        <v>Elton</v>
      </c>
      <c r="B75" s="280" t="str">
        <f>VLOOKUP(A75,'Locations &amp; Types'!E:I,4,FALSE)</f>
        <v>GDN (NO)</v>
      </c>
      <c r="C75" s="291">
        <f ca="1">VLOOKUP(A75,'Exit Prices'!$A:$C,3,FALSE)</f>
        <v>56000000</v>
      </c>
      <c r="D75" s="291">
        <f ca="1">VLOOKUP(A75,'Exit Anticipated Rev. Recovery'!$F$1:$Y$231,2,FALSE)+VLOOKUP(A75,'Exit Anticipated Rev. Recovery'!$F$1:$Y$231,5,FALSE)+VLOOKUP(A75,'Exit Anticipated Rev. Recovery'!$F$1:$Y$231,8,FALSE)+VLOOKUP(A75,'Exit Anticipated Rev. Recovery'!$F$1:$Y$231,11,FALSE)+VLOOKUP(A75,'Exit Anticipated Rev. Recovery'!$F$1:$Y$231,14,FALSE)</f>
        <v>54597953.932705969</v>
      </c>
      <c r="E75" s="291">
        <f ca="1">VLOOKUP(A75,'Exit Anticipated Rev. Recovery'!$F$1:$Y$231,17,FALSE)</f>
        <v>1402046.0672940346</v>
      </c>
      <c r="F75" s="291">
        <f t="shared" ca="1" si="3"/>
        <v>56000000</v>
      </c>
      <c r="G75" s="283">
        <f ca="1">VLOOKUP($A75, 'Exit Prices'!$A$3:$Q$231, 8, 0)</f>
        <v>7.2344179438402385</v>
      </c>
      <c r="H75" s="283">
        <f ca="1">VLOOKUP($A75, 'Exit Prices'!$A$3:$Q$231, 12, 0)</f>
        <v>1.9820323133808871E-2</v>
      </c>
      <c r="I75" s="283">
        <f ca="1">VLOOKUP($A75, 'Exit Prices'!$A$3:$Q$231,17, 0)</f>
        <v>1.7838290820427986E-2</v>
      </c>
      <c r="J75" s="297">
        <f ca="1">'Exit Anticipated Rev. Recovery'!$C$14</f>
        <v>0</v>
      </c>
      <c r="K75" s="307">
        <f ca="1">VLOOKUP(A75,'Exit Anticipated Rev. Recovery'!F:Y,20,FALSE)</f>
        <v>4037400.3678191495</v>
      </c>
      <c r="L75" s="306">
        <f ca="1">((D75*H75)+(E75*I75))*'User Inputs'!$D$7/100</f>
        <v>4041131.0613232111</v>
      </c>
      <c r="M75" s="306">
        <f ca="1">((D75*J75)+(E75*J75))*'User Inputs'!$D$7/100</f>
        <v>0</v>
      </c>
    </row>
    <row r="76" spans="1:13">
      <c r="A76" s="309" t="str">
        <f>'Exit Prices'!A75</f>
        <v>Enron Billingham</v>
      </c>
      <c r="B76" s="280" t="str">
        <f>VLOOKUP(A76,'Locations &amp; Types'!E:I,4,FALSE)</f>
        <v>POWER STATION</v>
      </c>
      <c r="C76" s="291">
        <f ca="1">VLOOKUP(A76,'Exit Prices'!$A:$C,3,FALSE)</f>
        <v>0</v>
      </c>
      <c r="D76" s="291">
        <f ca="1">VLOOKUP(A76,'Exit Anticipated Rev. Recovery'!$F$1:$Y$231,2,FALSE)+VLOOKUP(A76,'Exit Anticipated Rev. Recovery'!$F$1:$Y$231,5,FALSE)+VLOOKUP(A76,'Exit Anticipated Rev. Recovery'!$F$1:$Y$231,8,FALSE)+VLOOKUP(A76,'Exit Anticipated Rev. Recovery'!$F$1:$Y$231,11,FALSE)+VLOOKUP(A76,'Exit Anticipated Rev. Recovery'!$F$1:$Y$231,14,FALSE)</f>
        <v>0</v>
      </c>
      <c r="E76" s="291">
        <f ca="1">VLOOKUP(A76,'Exit Anticipated Rev. Recovery'!$F$1:$Y$231,17,FALSE)</f>
        <v>0</v>
      </c>
      <c r="F76" s="291">
        <f t="shared" ca="1" si="3"/>
        <v>0</v>
      </c>
      <c r="G76" s="283">
        <f ca="1">VLOOKUP($A76, 'Exit Prices'!$A$3:$Q$231, 8, 0)</f>
        <v>7.2344179438402385</v>
      </c>
      <c r="H76" s="283">
        <f ca="1">VLOOKUP($A76, 'Exit Prices'!$A$3:$Q$231, 12, 0)</f>
        <v>1.9820323133808871E-2</v>
      </c>
      <c r="I76" s="283">
        <f ca="1">VLOOKUP($A76, 'Exit Prices'!$A$3:$Q$231,17, 0)</f>
        <v>1.7838290820427986E-2</v>
      </c>
      <c r="J76" s="297">
        <f ca="1">'Exit Anticipated Rev. Recovery'!$C$14</f>
        <v>0</v>
      </c>
      <c r="K76" s="307">
        <f ca="1">VLOOKUP(A76,'Exit Anticipated Rev. Recovery'!F:Y,20,FALSE)</f>
        <v>0</v>
      </c>
      <c r="L76" s="306">
        <f ca="1">((D76*H76)+(E76*I76))*'User Inputs'!$D$7/100</f>
        <v>0</v>
      </c>
      <c r="M76" s="306">
        <f ca="1">((D76*J76)+(E76*J76))*'User Inputs'!$D$7/100</f>
        <v>0</v>
      </c>
    </row>
    <row r="77" spans="1:13">
      <c r="A77" s="309" t="str">
        <f>'Exit Prices'!A76</f>
        <v>Epping Green (Enfield Energy, aka Brimsdown)</v>
      </c>
      <c r="B77" s="280" t="str">
        <f>VLOOKUP(A77,'Locations &amp; Types'!E:I,4,FALSE)</f>
        <v>POWER STATION</v>
      </c>
      <c r="C77" s="291">
        <f ca="1">VLOOKUP(A77,'Exit Prices'!$A:$C,3,FALSE)</f>
        <v>12313242.342465753</v>
      </c>
      <c r="D77" s="291">
        <f ca="1">VLOOKUP(A77,'Exit Anticipated Rev. Recovery'!$F$1:$Y$231,2,FALSE)+VLOOKUP(A77,'Exit Anticipated Rev. Recovery'!$F$1:$Y$231,5,FALSE)+VLOOKUP(A77,'Exit Anticipated Rev. Recovery'!$F$1:$Y$231,8,FALSE)+VLOOKUP(A77,'Exit Anticipated Rev. Recovery'!$F$1:$Y$231,11,FALSE)+VLOOKUP(A77,'Exit Anticipated Rev. Recovery'!$F$1:$Y$231,14,FALSE)</f>
        <v>6108286.1073025959</v>
      </c>
      <c r="E77" s="291">
        <f ca="1">VLOOKUP(A77,'Exit Anticipated Rev. Recovery'!$F$1:$Y$231,17,FALSE)</f>
        <v>6204956.2351631559</v>
      </c>
      <c r="F77" s="291">
        <f t="shared" ca="1" si="3"/>
        <v>12313242.342465751</v>
      </c>
      <c r="G77" s="283">
        <f ca="1">VLOOKUP($A77, 'Exit Prices'!$A$3:$Q$231, 8, 0)</f>
        <v>7.2344179438402385</v>
      </c>
      <c r="H77" s="283">
        <f ca="1">VLOOKUP($A77, 'Exit Prices'!$A$3:$Q$231, 12, 0)</f>
        <v>1.9820323133808871E-2</v>
      </c>
      <c r="I77" s="283">
        <f ca="1">VLOOKUP($A77, 'Exit Prices'!$A$3:$Q$231,17, 0)</f>
        <v>1.7838290820427986E-2</v>
      </c>
      <c r="J77" s="297">
        <f ca="1">'Exit Anticipated Rev. Recovery'!$C$14</f>
        <v>0</v>
      </c>
      <c r="K77" s="307">
        <f ca="1">VLOOKUP(A77,'Exit Anticipated Rev. Recovery'!F:Y,20,FALSE)</f>
        <v>845309.88314164209</v>
      </c>
      <c r="L77" s="306">
        <f ca="1">((D77*H77)+(E77*I77))*'User Inputs'!$D$7/100</f>
        <v>845902.16676346865</v>
      </c>
      <c r="M77" s="306">
        <f ca="1">((D77*J77)+(E77*J77))*'User Inputs'!$D$7/100</f>
        <v>0</v>
      </c>
    </row>
    <row r="78" spans="1:13">
      <c r="A78" s="309" t="str">
        <f>'Exit Prices'!A77</f>
        <v>Evesham</v>
      </c>
      <c r="B78" s="280" t="str">
        <f>VLOOKUP(A78,'Locations &amp; Types'!E:I,4,FALSE)</f>
        <v>GDN (SW)</v>
      </c>
      <c r="C78" s="291">
        <f ca="1">VLOOKUP(A78,'Exit Prices'!$A:$C,3,FALSE)</f>
        <v>6523465</v>
      </c>
      <c r="D78" s="291">
        <f ca="1">VLOOKUP(A78,'Exit Anticipated Rev. Recovery'!$F$1:$Y$231,2,FALSE)+VLOOKUP(A78,'Exit Anticipated Rev. Recovery'!$F$1:$Y$231,5,FALSE)+VLOOKUP(A78,'Exit Anticipated Rev. Recovery'!$F$1:$Y$231,8,FALSE)+VLOOKUP(A78,'Exit Anticipated Rev. Recovery'!$F$1:$Y$231,11,FALSE)+VLOOKUP(A78,'Exit Anticipated Rev. Recovery'!$F$1:$Y$231,14,FALSE)</f>
        <v>6360140.0277074948</v>
      </c>
      <c r="E78" s="291">
        <f ca="1">VLOOKUP(A78,'Exit Anticipated Rev. Recovery'!$F$1:$Y$231,17,FALSE)</f>
        <v>163324.97229250497</v>
      </c>
      <c r="F78" s="291">
        <f t="shared" ca="1" si="3"/>
        <v>6523465</v>
      </c>
      <c r="G78" s="283">
        <f ca="1">VLOOKUP($A78, 'Exit Prices'!$A$3:$Q$231, 8, 0)</f>
        <v>7.2344179438402385</v>
      </c>
      <c r="H78" s="283">
        <f ca="1">VLOOKUP($A78, 'Exit Prices'!$A$3:$Q$231, 12, 0)</f>
        <v>1.9820323133808871E-2</v>
      </c>
      <c r="I78" s="283">
        <f ca="1">VLOOKUP($A78, 'Exit Prices'!$A$3:$Q$231,17, 0)</f>
        <v>1.7838290820427986E-2</v>
      </c>
      <c r="J78" s="297">
        <f ca="1">'Exit Anticipated Rev. Recovery'!$C$14</f>
        <v>0</v>
      </c>
      <c r="K78" s="307">
        <f ca="1">VLOOKUP(A78,'Exit Anticipated Rev. Recovery'!F:Y,20,FALSE)</f>
        <v>470318.57125813112</v>
      </c>
      <c r="L78" s="306">
        <f ca="1">((D78*H78)+(E78*I78))*'User Inputs'!$D$7/100</f>
        <v>470753.16140990739</v>
      </c>
      <c r="M78" s="306">
        <f ca="1">((D78*J78)+(E78*J78))*'User Inputs'!$D$7/100</f>
        <v>0</v>
      </c>
    </row>
    <row r="79" spans="1:13">
      <c r="A79" s="309" t="str">
        <f>'Exit Prices'!A78</f>
        <v>Farningham</v>
      </c>
      <c r="B79" s="280" t="str">
        <f>VLOOKUP(A79,'Locations &amp; Types'!E:I,4,FALSE)</f>
        <v>GDN (SE)</v>
      </c>
      <c r="C79" s="291">
        <f ca="1">VLOOKUP(A79,'Exit Prices'!$A:$C,3,FALSE)</f>
        <v>91587931</v>
      </c>
      <c r="D79" s="291">
        <f ca="1">VLOOKUP(A79,'Exit Anticipated Rev. Recovery'!$F$1:$Y$231,2,FALSE)+VLOOKUP(A79,'Exit Anticipated Rev. Recovery'!$F$1:$Y$231,5,FALSE)+VLOOKUP(A79,'Exit Anticipated Rev. Recovery'!$F$1:$Y$231,8,FALSE)+VLOOKUP(A79,'Exit Anticipated Rev. Recovery'!$F$1:$Y$231,11,FALSE)+VLOOKUP(A79,'Exit Anticipated Rev. Recovery'!$F$1:$Y$231,14,FALSE)</f>
        <v>89294886.384461656</v>
      </c>
      <c r="E79" s="291">
        <f ca="1">VLOOKUP(A79,'Exit Anticipated Rev. Recovery'!$F$1:$Y$231,17,FALSE)</f>
        <v>2293044.6155383461</v>
      </c>
      <c r="F79" s="291">
        <f t="shared" ca="1" si="3"/>
        <v>91587931</v>
      </c>
      <c r="G79" s="283">
        <f ca="1">VLOOKUP($A79, 'Exit Prices'!$A$3:$Q$231, 8, 0)</f>
        <v>7.2344179438402385</v>
      </c>
      <c r="H79" s="283">
        <f ca="1">VLOOKUP($A79, 'Exit Prices'!$A$3:$Q$231, 12, 0)</f>
        <v>1.9820323133808871E-2</v>
      </c>
      <c r="I79" s="283">
        <f ca="1">VLOOKUP($A79, 'Exit Prices'!$A$3:$Q$231,17, 0)</f>
        <v>1.7838290820427986E-2</v>
      </c>
      <c r="J79" s="297">
        <f ca="1">'Exit Anticipated Rev. Recovery'!$C$14</f>
        <v>0</v>
      </c>
      <c r="K79" s="307">
        <f ca="1">VLOOKUP(A79,'Exit Anticipated Rev. Recovery'!F:Y,20,FALSE)</f>
        <v>6603163.326914194</v>
      </c>
      <c r="L79" s="306">
        <f ca="1">((D79*H79)+(E79*I79))*'User Inputs'!$D$7/100</f>
        <v>6609264.8715433385</v>
      </c>
      <c r="M79" s="306">
        <f ca="1">((D79*J79)+(E79*J79))*'User Inputs'!$D$7/100</f>
        <v>0</v>
      </c>
    </row>
    <row r="80" spans="1:13">
      <c r="A80" s="309" t="str">
        <f>'Exit Prices'!A79</f>
        <v>Farningham B</v>
      </c>
      <c r="B80" s="280" t="str">
        <f>VLOOKUP(A80,'Locations &amp; Types'!E:I,4,FALSE)</f>
        <v>GDN (SE)</v>
      </c>
      <c r="C80" s="291">
        <f ca="1">VLOOKUP(A80,'Exit Prices'!$A:$C,3,FALSE)</f>
        <v>98294599</v>
      </c>
      <c r="D80" s="291">
        <f ca="1">VLOOKUP(A80,'Exit Anticipated Rev. Recovery'!$F$1:$Y$231,2,FALSE)+VLOOKUP(A80,'Exit Anticipated Rev. Recovery'!$F$1:$Y$231,5,FALSE)+VLOOKUP(A80,'Exit Anticipated Rev. Recovery'!$F$1:$Y$231,8,FALSE)+VLOOKUP(A80,'Exit Anticipated Rev. Recovery'!$F$1:$Y$231,11,FALSE)+VLOOKUP(A80,'Exit Anticipated Rev. Recovery'!$F$1:$Y$231,14,FALSE)</f>
        <v>95833642.643496543</v>
      </c>
      <c r="E80" s="291">
        <f ca="1">VLOOKUP(A80,'Exit Anticipated Rev. Recovery'!$F$1:$Y$231,17,FALSE)</f>
        <v>2460956.3565034666</v>
      </c>
      <c r="F80" s="291">
        <f t="shared" ca="1" si="3"/>
        <v>98294599.000000015</v>
      </c>
      <c r="G80" s="283">
        <f ca="1">VLOOKUP($A80, 'Exit Prices'!$A$3:$Q$231, 8, 0)</f>
        <v>7.2344179438402385</v>
      </c>
      <c r="H80" s="283">
        <f ca="1">VLOOKUP($A80, 'Exit Prices'!$A$3:$Q$231, 12, 0)</f>
        <v>1.9820323133808871E-2</v>
      </c>
      <c r="I80" s="283">
        <f ca="1">VLOOKUP($A80, 'Exit Prices'!$A$3:$Q$231,17, 0)</f>
        <v>1.7838290820427986E-2</v>
      </c>
      <c r="J80" s="297">
        <f ca="1">'Exit Anticipated Rev. Recovery'!$C$14</f>
        <v>0</v>
      </c>
      <c r="K80" s="307">
        <f ca="1">VLOOKUP(A80,'Exit Anticipated Rev. Recovery'!F:Y,20,FALSE)</f>
        <v>7086690.1813792102</v>
      </c>
      <c r="L80" s="306">
        <f ca="1">((D80*H80)+(E80*I80))*'User Inputs'!$D$7/100</f>
        <v>7093238.5210573114</v>
      </c>
      <c r="M80" s="306">
        <f ca="1">((D80*J80)+(E80*J80))*'User Inputs'!$D$7/100</f>
        <v>0</v>
      </c>
    </row>
    <row r="81" spans="1:13">
      <c r="A81" s="309" t="str">
        <f>'Exit Prices'!A80</f>
        <v>Ferny Knoll (AM Paper)</v>
      </c>
      <c r="B81" s="280" t="str">
        <f>VLOOKUP(A81,'Locations &amp; Types'!E:I,4,FALSE)</f>
        <v>INDUSTRIAL</v>
      </c>
      <c r="C81" s="291">
        <f ca="1">VLOOKUP(A81,'Exit Prices'!$A:$C,3,FALSE)</f>
        <v>0</v>
      </c>
      <c r="D81" s="291">
        <f ca="1">VLOOKUP(A81,'Exit Anticipated Rev. Recovery'!$F$1:$Y$231,2,FALSE)+VLOOKUP(A81,'Exit Anticipated Rev. Recovery'!$F$1:$Y$231,5,FALSE)+VLOOKUP(A81,'Exit Anticipated Rev. Recovery'!$F$1:$Y$231,8,FALSE)+VLOOKUP(A81,'Exit Anticipated Rev. Recovery'!$F$1:$Y$231,11,FALSE)+VLOOKUP(A81,'Exit Anticipated Rev. Recovery'!$F$1:$Y$231,14,FALSE)</f>
        <v>0</v>
      </c>
      <c r="E81" s="291">
        <f ca="1">VLOOKUP(A81,'Exit Anticipated Rev. Recovery'!$F$1:$Y$231,17,FALSE)</f>
        <v>0</v>
      </c>
      <c r="F81" s="291">
        <f t="shared" ca="1" si="3"/>
        <v>0</v>
      </c>
      <c r="G81" s="283">
        <f ca="1">VLOOKUP($A81, 'Exit Prices'!$A$3:$Q$231, 8, 0)</f>
        <v>7.2344179438402385</v>
      </c>
      <c r="H81" s="283">
        <f ca="1">VLOOKUP($A81, 'Exit Prices'!$A$3:$Q$231, 12, 0)</f>
        <v>1.9820323133808871E-2</v>
      </c>
      <c r="I81" s="283">
        <f ca="1">VLOOKUP($A81, 'Exit Prices'!$A$3:$Q$231,17, 0)</f>
        <v>1.7838290820427986E-2</v>
      </c>
      <c r="J81" s="297">
        <f ca="1">'Exit Anticipated Rev. Recovery'!$C$14</f>
        <v>0</v>
      </c>
      <c r="K81" s="307">
        <f ca="1">VLOOKUP(A81,'Exit Anticipated Rev. Recovery'!F:Y,20,FALSE)</f>
        <v>0</v>
      </c>
      <c r="L81" s="306">
        <f ca="1">((D81*H81)+(E81*I81))*'User Inputs'!$D$7/100</f>
        <v>0</v>
      </c>
      <c r="M81" s="306">
        <f ca="1">((D81*J81)+(E81*J81))*'User Inputs'!$D$7/100</f>
        <v>0</v>
      </c>
    </row>
    <row r="82" spans="1:13">
      <c r="A82" s="309" t="str">
        <f>'Exit Prices'!A81</f>
        <v>Fiddington</v>
      </c>
      <c r="B82" s="280" t="str">
        <f>VLOOKUP(A82,'Locations &amp; Types'!E:I,4,FALSE)</f>
        <v>GDN (SW)</v>
      </c>
      <c r="C82" s="291">
        <f ca="1">VLOOKUP(A82,'Exit Prices'!$A:$C,3,FALSE)</f>
        <v>21741989</v>
      </c>
      <c r="D82" s="291">
        <f ca="1">VLOOKUP(A82,'Exit Anticipated Rev. Recovery'!$F$1:$Y$231,2,FALSE)+VLOOKUP(A82,'Exit Anticipated Rev. Recovery'!$F$1:$Y$231,5,FALSE)+VLOOKUP(A82,'Exit Anticipated Rev. Recovery'!$F$1:$Y$231,8,FALSE)+VLOOKUP(A82,'Exit Anticipated Rev. Recovery'!$F$1:$Y$231,11,FALSE)+VLOOKUP(A82,'Exit Anticipated Rev. Recovery'!$F$1:$Y$231,14,FALSE)</f>
        <v>21197644.889775001</v>
      </c>
      <c r="E82" s="291">
        <f ca="1">VLOOKUP(A82,'Exit Anticipated Rev. Recovery'!$F$1:$Y$231,17,FALSE)</f>
        <v>544344.11022500286</v>
      </c>
      <c r="F82" s="291">
        <f t="shared" ca="1" si="3"/>
        <v>21741989.000000004</v>
      </c>
      <c r="G82" s="283">
        <f ca="1">VLOOKUP($A82, 'Exit Prices'!$A$3:$Q$231, 8, 0)</f>
        <v>7.2344179438402385</v>
      </c>
      <c r="H82" s="283">
        <f ca="1">VLOOKUP($A82, 'Exit Prices'!$A$3:$Q$231, 12, 0)</f>
        <v>1.9820323133808871E-2</v>
      </c>
      <c r="I82" s="283">
        <f ca="1">VLOOKUP($A82, 'Exit Prices'!$A$3:$Q$231,17, 0)</f>
        <v>1.7838290820427986E-2</v>
      </c>
      <c r="J82" s="297">
        <f ca="1">'Exit Anticipated Rev. Recovery'!$C$14</f>
        <v>0</v>
      </c>
      <c r="K82" s="307">
        <f ca="1">VLOOKUP(A82,'Exit Anticipated Rev. Recovery'!F:Y,20,FALSE)</f>
        <v>1567519.8997449984</v>
      </c>
      <c r="L82" s="306">
        <f ca="1">((D82*H82)+(E82*I82))*'User Inputs'!$D$7/100</f>
        <v>1568968.3407651356</v>
      </c>
      <c r="M82" s="306">
        <f ca="1">((D82*J82)+(E82*J82))*'User Inputs'!$D$7/100</f>
        <v>0</v>
      </c>
    </row>
    <row r="83" spans="1:13">
      <c r="A83" s="309" t="str">
        <f>'Exit Prices'!A82</f>
        <v>Ganstead</v>
      </c>
      <c r="B83" s="280" t="str">
        <f>VLOOKUP(A83,'Locations &amp; Types'!E:I,4,FALSE)</f>
        <v>GDN (NE)</v>
      </c>
      <c r="C83" s="291">
        <f ca="1">VLOOKUP(A83,'Exit Prices'!$A:$C,3,FALSE)</f>
        <v>16610330</v>
      </c>
      <c r="D83" s="291">
        <f ca="1">VLOOKUP(A83,'Exit Anticipated Rev. Recovery'!$F$1:$Y$231,2,FALSE)+VLOOKUP(A83,'Exit Anticipated Rev. Recovery'!$F$1:$Y$231,5,FALSE)+VLOOKUP(A83,'Exit Anticipated Rev. Recovery'!$F$1:$Y$231,8,FALSE)+VLOOKUP(A83,'Exit Anticipated Rev. Recovery'!$F$1:$Y$231,11,FALSE)+VLOOKUP(A83,'Exit Anticipated Rev. Recovery'!$F$1:$Y$231,14,FALSE)</f>
        <v>16194464.859768642</v>
      </c>
      <c r="E83" s="291">
        <f ca="1">VLOOKUP(A83,'Exit Anticipated Rev. Recovery'!$F$1:$Y$231,17,FALSE)</f>
        <v>415865.14023135928</v>
      </c>
      <c r="F83" s="291">
        <f t="shared" ca="1" si="3"/>
        <v>16610330.000000002</v>
      </c>
      <c r="G83" s="283">
        <f ca="1">VLOOKUP($A83, 'Exit Prices'!$A$3:$Q$231, 8, 0)</f>
        <v>7.2344179438402385</v>
      </c>
      <c r="H83" s="283">
        <f ca="1">VLOOKUP($A83, 'Exit Prices'!$A$3:$Q$231, 12, 0)</f>
        <v>1.9820323133808871E-2</v>
      </c>
      <c r="I83" s="283">
        <f ca="1">VLOOKUP($A83, 'Exit Prices'!$A$3:$Q$231,17, 0)</f>
        <v>1.7838290820427986E-2</v>
      </c>
      <c r="J83" s="297">
        <f ca="1">'Exit Anticipated Rev. Recovery'!$C$14</f>
        <v>0</v>
      </c>
      <c r="K83" s="307">
        <f ca="1">VLOOKUP(A83,'Exit Anticipated Rev. Recovery'!F:Y,20,FALSE)</f>
        <v>1197545.5794928116</v>
      </c>
      <c r="L83" s="306">
        <f ca="1">((D83*H83)+(E83*I83))*'User Inputs'!$D$7/100</f>
        <v>1198652.1518183709</v>
      </c>
      <c r="M83" s="306">
        <f ca="1">((D83*J83)+(E83*J83))*'User Inputs'!$D$7/100</f>
        <v>0</v>
      </c>
    </row>
    <row r="84" spans="1:13">
      <c r="A84" s="309" t="str">
        <f>'Exit Prices'!A83</f>
        <v>Garton Max Refill (Aldbrough)</v>
      </c>
      <c r="B84" s="280" t="str">
        <f>VLOOKUP(A84,'Locations &amp; Types'!E:I,4,FALSE)</f>
        <v>STORAGE SITE</v>
      </c>
      <c r="C84" s="291">
        <f ca="1">VLOOKUP(A84,'Exit Prices'!$A:$C,3,FALSE)</f>
        <v>326003150.68493152</v>
      </c>
      <c r="D84" s="291">
        <f ca="1">VLOOKUP(A84,'Exit Anticipated Rev. Recovery'!$F$1:$Y$231,2,FALSE)+VLOOKUP(A84,'Exit Anticipated Rev. Recovery'!$F$1:$Y$231,5,FALSE)+VLOOKUP(A84,'Exit Anticipated Rev. Recovery'!$F$1:$Y$231,8,FALSE)+VLOOKUP(A84,'Exit Anticipated Rev. Recovery'!$F$1:$Y$231,11,FALSE)+VLOOKUP(A84,'Exit Anticipated Rev. Recovery'!$F$1:$Y$231,14,FALSE)</f>
        <v>90694756.235671699</v>
      </c>
      <c r="E84" s="291">
        <f ca="1">VLOOKUP(A84,'Exit Anticipated Rev. Recovery'!$F$1:$Y$231,17,FALSE)</f>
        <v>235308394.44925988</v>
      </c>
      <c r="F84" s="291">
        <f t="shared" ca="1" si="3"/>
        <v>326003150.68493158</v>
      </c>
      <c r="G84" s="283">
        <f ca="1">VLOOKUP($A84, 'Exit Prices'!$A$3:$Q$231, 8, 0)</f>
        <v>7.2344179438402385</v>
      </c>
      <c r="H84" s="283">
        <f ca="1">VLOOKUP($A84, 'Exit Prices'!$A$3:$Q$231, 12, 0)</f>
        <v>9.9101615669044355E-3</v>
      </c>
      <c r="I84" s="283">
        <f ca="1">VLOOKUP($A84, 'Exit Prices'!$A$3:$Q$231,17, 0)</f>
        <v>8.9191454102139928E-3</v>
      </c>
      <c r="J84" s="297">
        <f ca="1">'Exit Anticipated Rev. Recovery'!$C$14</f>
        <v>0</v>
      </c>
      <c r="K84" s="307">
        <f ca="1">VLOOKUP(A84,'Exit Anticipated Rev. Recovery'!F:Y,20,FALSE)</f>
        <v>10922799.694718625</v>
      </c>
      <c r="L84" s="306">
        <f ca="1">((D84*H84)+(E84*I84))*'User Inputs'!$D$7/100</f>
        <v>10941055.579747632</v>
      </c>
      <c r="M84" s="306">
        <f ca="1">((D84*J84)+(E84*J84))*'User Inputs'!$D$7/100</f>
        <v>0</v>
      </c>
    </row>
    <row r="85" spans="1:13">
      <c r="A85" s="309" t="str">
        <f>'Exit Prices'!A84</f>
        <v>Gilwern</v>
      </c>
      <c r="B85" s="280" t="str">
        <f>VLOOKUP(A85,'Locations &amp; Types'!E:I,4,FALSE)</f>
        <v>GDN (WS)</v>
      </c>
      <c r="C85" s="291">
        <f ca="1">VLOOKUP(A85,'Exit Prices'!$A:$C,3,FALSE)</f>
        <v>75404154</v>
      </c>
      <c r="D85" s="291">
        <f ca="1">VLOOKUP(A85,'Exit Anticipated Rev. Recovery'!$F$1:$Y$231,2,FALSE)+VLOOKUP(A85,'Exit Anticipated Rev. Recovery'!$F$1:$Y$231,5,FALSE)+VLOOKUP(A85,'Exit Anticipated Rev. Recovery'!$F$1:$Y$231,8,FALSE)+VLOOKUP(A85,'Exit Anticipated Rev. Recovery'!$F$1:$Y$231,11,FALSE)+VLOOKUP(A85,'Exit Anticipated Rev. Recovery'!$F$1:$Y$231,14,FALSE)</f>
        <v>73516295.114761889</v>
      </c>
      <c r="E85" s="291">
        <f ca="1">VLOOKUP(A85,'Exit Anticipated Rev. Recovery'!$F$1:$Y$231,17,FALSE)</f>
        <v>1887858.8852381026</v>
      </c>
      <c r="F85" s="291">
        <f t="shared" ca="1" si="3"/>
        <v>75404153.999999985</v>
      </c>
      <c r="G85" s="283">
        <f ca="1">VLOOKUP($A85, 'Exit Prices'!$A$3:$Q$231, 8, 0)</f>
        <v>7.2344179438402385</v>
      </c>
      <c r="H85" s="283">
        <f ca="1">VLOOKUP($A85, 'Exit Prices'!$A$3:$Q$231, 12, 0)</f>
        <v>1.9820323133808871E-2</v>
      </c>
      <c r="I85" s="283">
        <f ca="1">VLOOKUP($A85, 'Exit Prices'!$A$3:$Q$231,17, 0)</f>
        <v>1.7838290820427986E-2</v>
      </c>
      <c r="J85" s="297">
        <f ca="1">'Exit Anticipated Rev. Recovery'!$C$14</f>
        <v>0</v>
      </c>
      <c r="K85" s="307">
        <f ca="1">VLOOKUP(A85,'Exit Anticipated Rev. Recovery'!F:Y,20,FALSE)</f>
        <v>5436370.6981194951</v>
      </c>
      <c r="L85" s="306">
        <f ca="1">((D85*H85)+(E85*I85))*'User Inputs'!$D$7/100</f>
        <v>5441394.0871821214</v>
      </c>
      <c r="M85" s="306">
        <f ca="1">((D85*J85)+(E85*J85))*'User Inputs'!$D$7/100</f>
        <v>0</v>
      </c>
    </row>
    <row r="86" spans="1:13">
      <c r="A86" s="309" t="str">
        <f>'Exit Prices'!A85</f>
        <v>Glenmavis</v>
      </c>
      <c r="B86" s="280" t="str">
        <f>VLOOKUP(A86,'Locations &amp; Types'!E:I,4,FALSE)</f>
        <v>GDN (SC)</v>
      </c>
      <c r="C86" s="291">
        <f ca="1">VLOOKUP(A86,'Exit Prices'!$A:$C,3,FALSE)</f>
        <v>128262344</v>
      </c>
      <c r="D86" s="291">
        <f ca="1">VLOOKUP(A86,'Exit Anticipated Rev. Recovery'!$F$1:$Y$231,2,FALSE)+VLOOKUP(A86,'Exit Anticipated Rev. Recovery'!$F$1:$Y$231,5,FALSE)+VLOOKUP(A86,'Exit Anticipated Rev. Recovery'!$F$1:$Y$231,8,FALSE)+VLOOKUP(A86,'Exit Anticipated Rev. Recovery'!$F$1:$Y$231,11,FALSE)+VLOOKUP(A86,'Exit Anticipated Rev. Recovery'!$F$1:$Y$231,14,FALSE)</f>
        <v>125051099.08951582</v>
      </c>
      <c r="E86" s="291">
        <f ca="1">VLOOKUP(A86,'Exit Anticipated Rev. Recovery'!$F$1:$Y$231,17,FALSE)</f>
        <v>3211244.9104841892</v>
      </c>
      <c r="F86" s="291">
        <f t="shared" ca="1" si="3"/>
        <v>128262344.00000001</v>
      </c>
      <c r="G86" s="283">
        <f ca="1">VLOOKUP($A86, 'Exit Prices'!$A$3:$Q$231, 8, 0)</f>
        <v>7.2344179438402385</v>
      </c>
      <c r="H86" s="283">
        <f ca="1">VLOOKUP($A86, 'Exit Prices'!$A$3:$Q$231, 12, 0)</f>
        <v>1.9820323133808871E-2</v>
      </c>
      <c r="I86" s="283">
        <f ca="1">VLOOKUP($A86, 'Exit Prices'!$A$3:$Q$231,17, 0)</f>
        <v>1.7838290820427986E-2</v>
      </c>
      <c r="J86" s="297">
        <f ca="1">'Exit Anticipated Rev. Recovery'!$C$14</f>
        <v>0</v>
      </c>
      <c r="K86" s="307">
        <f ca="1">VLOOKUP(A86,'Exit Anticipated Rev. Recovery'!F:Y,20,FALSE)</f>
        <v>9247257.765052611</v>
      </c>
      <c r="L86" s="306">
        <f ca="1">((D86*H86)+(E86*I86))*'User Inputs'!$D$7/100</f>
        <v>9255802.541723622</v>
      </c>
      <c r="M86" s="306">
        <f ca="1">((D86*J86)+(E86*J86))*'User Inputs'!$D$7/100</f>
        <v>0</v>
      </c>
    </row>
    <row r="87" spans="1:13">
      <c r="A87" s="309" t="str">
        <f>'Exit Prices'!A86</f>
        <v>Glenmavis Max Refill</v>
      </c>
      <c r="B87" s="280" t="str">
        <f>VLOOKUP(A87,'Locations &amp; Types'!E:I,4,FALSE)</f>
        <v>STORAGE SITE</v>
      </c>
      <c r="C87" s="291">
        <f ca="1">VLOOKUP(A87,'Exit Prices'!$A:$C,3,FALSE)</f>
        <v>128720</v>
      </c>
      <c r="D87" s="291">
        <f ca="1">VLOOKUP(A87,'Exit Anticipated Rev. Recovery'!$F$1:$Y$231,2,FALSE)+VLOOKUP(A87,'Exit Anticipated Rev. Recovery'!$F$1:$Y$231,5,FALSE)+VLOOKUP(A87,'Exit Anticipated Rev. Recovery'!$F$1:$Y$231,8,FALSE)+VLOOKUP(A87,'Exit Anticipated Rev. Recovery'!$F$1:$Y$231,11,FALSE)+VLOOKUP(A87,'Exit Anticipated Rev. Recovery'!$F$1:$Y$231,14,FALSE)</f>
        <v>35810.172380629287</v>
      </c>
      <c r="E87" s="291">
        <f ca="1">VLOOKUP(A87,'Exit Anticipated Rev. Recovery'!$F$1:$Y$231,17,FALSE)</f>
        <v>92909.827619370742</v>
      </c>
      <c r="F87" s="291">
        <f t="shared" ca="1" si="3"/>
        <v>128720.00000000003</v>
      </c>
      <c r="G87" s="283">
        <f ca="1">VLOOKUP($A87, 'Exit Prices'!$A$3:$Q$231, 8, 0)</f>
        <v>7.2344179438402385</v>
      </c>
      <c r="H87" s="283">
        <f ca="1">VLOOKUP($A87, 'Exit Prices'!$A$3:$Q$231, 12, 0)</f>
        <v>9.9101615669044355E-3</v>
      </c>
      <c r="I87" s="283">
        <f ca="1">VLOOKUP($A87, 'Exit Prices'!$A$3:$Q$231,17, 0)</f>
        <v>8.9191454102139928E-3</v>
      </c>
      <c r="J87" s="297">
        <f ca="1">'Exit Anticipated Rev. Recovery'!$C$14</f>
        <v>0</v>
      </c>
      <c r="K87" s="307">
        <f ca="1">VLOOKUP(A87,'Exit Anticipated Rev. Recovery'!F:Y,20,FALSE)</f>
        <v>4312.788921672126</v>
      </c>
      <c r="L87" s="306">
        <f ca="1">((D87*H87)+(E87*I87))*'User Inputs'!$D$7/100</f>
        <v>4319.9971266112379</v>
      </c>
      <c r="M87" s="306">
        <f ca="1">((D87*J87)+(E87*J87))*'User Inputs'!$D$7/100</f>
        <v>0</v>
      </c>
    </row>
    <row r="88" spans="1:13">
      <c r="A88" s="309" t="str">
        <f>'Exit Prices'!A87</f>
        <v>Goole (Guardian Glass)</v>
      </c>
      <c r="B88" s="280" t="str">
        <f>VLOOKUP(A88,'Locations &amp; Types'!E:I,4,FALSE)</f>
        <v>INDUSTRIAL</v>
      </c>
      <c r="C88" s="291">
        <f ca="1">VLOOKUP(A88,'Exit Prices'!$A:$C,3,FALSE)</f>
        <v>1700273.9726027397</v>
      </c>
      <c r="D88" s="291">
        <f ca="1">VLOOKUP(A88,'Exit Anticipated Rev. Recovery'!$F$1:$Y$231,2,FALSE)+VLOOKUP(A88,'Exit Anticipated Rev. Recovery'!$F$1:$Y$231,5,FALSE)+VLOOKUP(A88,'Exit Anticipated Rev. Recovery'!$F$1:$Y$231,8,FALSE)+VLOOKUP(A88,'Exit Anticipated Rev. Recovery'!$F$1:$Y$231,11,FALSE)+VLOOKUP(A88,'Exit Anticipated Rev. Recovery'!$F$1:$Y$231,14,FALSE)</f>
        <v>1286556.6407158629</v>
      </c>
      <c r="E88" s="291">
        <f ca="1">VLOOKUP(A88,'Exit Anticipated Rev. Recovery'!$F$1:$Y$231,17,FALSE)</f>
        <v>413717.33188687725</v>
      </c>
      <c r="F88" s="291">
        <f t="shared" ca="1" si="3"/>
        <v>1700273.9726027402</v>
      </c>
      <c r="G88" s="283">
        <f ca="1">VLOOKUP($A88, 'Exit Prices'!$A$3:$Q$231, 8, 0)</f>
        <v>7.2344179438402385</v>
      </c>
      <c r="H88" s="283">
        <f ca="1">VLOOKUP($A88, 'Exit Prices'!$A$3:$Q$231, 12, 0)</f>
        <v>1.9820323133808871E-2</v>
      </c>
      <c r="I88" s="283">
        <f ca="1">VLOOKUP($A88, 'Exit Prices'!$A$3:$Q$231,17, 0)</f>
        <v>1.7838290820427986E-2</v>
      </c>
      <c r="J88" s="297">
        <f ca="1">'Exit Anticipated Rev. Recovery'!$C$14</f>
        <v>0</v>
      </c>
      <c r="K88" s="307">
        <f ca="1">VLOOKUP(A88,'Exit Anticipated Rev. Recovery'!F:Y,20,FALSE)</f>
        <v>119895.93167938598</v>
      </c>
      <c r="L88" s="306">
        <f ca="1">((D88*H88)+(E88*I88))*'User Inputs'!$D$7/100</f>
        <v>120011.92127893773</v>
      </c>
      <c r="M88" s="306">
        <f ca="1">((D88*J88)+(E88*J88))*'User Inputs'!$D$7/100</f>
        <v>0</v>
      </c>
    </row>
    <row r="89" spans="1:13">
      <c r="A89" s="309" t="str">
        <f>'Exit Prices'!A88</f>
        <v>Gosberton</v>
      </c>
      <c r="B89" s="280" t="str">
        <f>VLOOKUP(A89,'Locations &amp; Types'!E:I,4,FALSE)</f>
        <v>GDN (EM)</v>
      </c>
      <c r="C89" s="291">
        <f ca="1">VLOOKUP(A89,'Exit Prices'!$A:$C,3,FALSE)</f>
        <v>12321120</v>
      </c>
      <c r="D89" s="291">
        <f ca="1">VLOOKUP(A89,'Exit Anticipated Rev. Recovery'!$F$1:$Y$231,2,FALSE)+VLOOKUP(A89,'Exit Anticipated Rev. Recovery'!$F$1:$Y$231,5,FALSE)+VLOOKUP(A89,'Exit Anticipated Rev. Recovery'!$F$1:$Y$231,8,FALSE)+VLOOKUP(A89,'Exit Anticipated Rev. Recovery'!$F$1:$Y$231,11,FALSE)+VLOOKUP(A89,'Exit Anticipated Rev. Recovery'!$F$1:$Y$231,14,FALSE)</f>
        <v>12012641.824273968</v>
      </c>
      <c r="E89" s="291">
        <f ca="1">VLOOKUP(A89,'Exit Anticipated Rev. Recovery'!$F$1:$Y$231,17,FALSE)</f>
        <v>308478.17572603351</v>
      </c>
      <c r="F89" s="291">
        <f t="shared" ca="1" si="3"/>
        <v>12321120.000000002</v>
      </c>
      <c r="G89" s="283">
        <f ca="1">VLOOKUP($A89, 'Exit Prices'!$A$3:$Q$231, 8, 0)</f>
        <v>7.2344179438402385</v>
      </c>
      <c r="H89" s="283">
        <f ca="1">VLOOKUP($A89, 'Exit Prices'!$A$3:$Q$231, 12, 0)</f>
        <v>1.9820323133808871E-2</v>
      </c>
      <c r="I89" s="283">
        <f ca="1">VLOOKUP($A89, 'Exit Prices'!$A$3:$Q$231,17, 0)</f>
        <v>1.7838290820427986E-2</v>
      </c>
      <c r="J89" s="297">
        <f ca="1">'Exit Anticipated Rev. Recovery'!$C$14</f>
        <v>0</v>
      </c>
      <c r="K89" s="307">
        <f ca="1">VLOOKUP(A89,'Exit Anticipated Rev. Recovery'!F:Y,20,FALSE)</f>
        <v>888308.82892756921</v>
      </c>
      <c r="L89" s="306">
        <f ca="1">((D89*H89)+(E89*I89))*'User Inputs'!$D$7/100</f>
        <v>889129.65611233294</v>
      </c>
      <c r="M89" s="306">
        <f ca="1">((D89*J89)+(E89*J89))*'User Inputs'!$D$7/100</f>
        <v>0</v>
      </c>
    </row>
    <row r="90" spans="1:13">
      <c r="A90" s="309" t="str">
        <f>'Exit Prices'!A89</f>
        <v>Gowkhall (Longannet)</v>
      </c>
      <c r="B90" s="280" t="str">
        <f>VLOOKUP(A90,'Locations &amp; Types'!E:I,4,FALSE)</f>
        <v>POWER STATION</v>
      </c>
      <c r="C90" s="291">
        <f ca="1">VLOOKUP(A90,'Exit Prices'!$A:$C,3,FALSE)</f>
        <v>43320000</v>
      </c>
      <c r="D90" s="291">
        <f ca="1">VLOOKUP(A90,'Exit Anticipated Rev. Recovery'!$F$1:$Y$231,2,FALSE)+VLOOKUP(A90,'Exit Anticipated Rev. Recovery'!$F$1:$Y$231,5,FALSE)+VLOOKUP(A90,'Exit Anticipated Rev. Recovery'!$F$1:$Y$231,8,FALSE)+VLOOKUP(A90,'Exit Anticipated Rev. Recovery'!$F$1:$Y$231,11,FALSE)+VLOOKUP(A90,'Exit Anticipated Rev. Recovery'!$F$1:$Y$231,14,FALSE)</f>
        <v>21489949.341430694</v>
      </c>
      <c r="E90" s="291">
        <f ca="1">VLOOKUP(A90,'Exit Anticipated Rev. Recovery'!$F$1:$Y$231,17,FALSE)</f>
        <v>21830050.658569299</v>
      </c>
      <c r="F90" s="291">
        <f t="shared" ca="1" si="3"/>
        <v>43319999.999999993</v>
      </c>
      <c r="G90" s="283">
        <f ca="1">VLOOKUP($A90, 'Exit Prices'!$A$3:$Q$231, 8, 0)</f>
        <v>7.2344179438402385</v>
      </c>
      <c r="H90" s="283">
        <f ca="1">VLOOKUP($A90, 'Exit Prices'!$A$3:$Q$231, 12, 0)</f>
        <v>1.9820323133808871E-2</v>
      </c>
      <c r="I90" s="283">
        <f ca="1">VLOOKUP($A90, 'Exit Prices'!$A$3:$Q$231,17, 0)</f>
        <v>1.7838290820427986E-2</v>
      </c>
      <c r="J90" s="297">
        <f ca="1">'Exit Anticipated Rev. Recovery'!$C$14</f>
        <v>0</v>
      </c>
      <c r="K90" s="307">
        <f ca="1">VLOOKUP(A90,'Exit Anticipated Rev. Recovery'!F:Y,20,FALSE)</f>
        <v>2973938.3924415587</v>
      </c>
      <c r="L90" s="306">
        <f ca="1">((D90*H90)+(E90*I90))*'User Inputs'!$D$7/100</f>
        <v>2976022.1430722959</v>
      </c>
      <c r="M90" s="306">
        <f ca="1">((D90*J90)+(E90*J90))*'User Inputs'!$D$7/100</f>
        <v>0</v>
      </c>
    </row>
    <row r="91" spans="1:13">
      <c r="A91" s="309" t="str">
        <f>'Exit Prices'!A90</f>
        <v>Grain Power Station</v>
      </c>
      <c r="B91" s="280" t="str">
        <f>VLOOKUP(A91,'Locations &amp; Types'!E:I,4,FALSE)</f>
        <v>POWER STATION</v>
      </c>
      <c r="C91" s="291">
        <f ca="1">VLOOKUP(A91,'Exit Prices'!$A:$C,3,FALSE)</f>
        <v>42000640.991780818</v>
      </c>
      <c r="D91" s="291">
        <f ca="1">VLOOKUP(A91,'Exit Anticipated Rev. Recovery'!$F$1:$Y$231,2,FALSE)+VLOOKUP(A91,'Exit Anticipated Rev. Recovery'!$F$1:$Y$231,5,FALSE)+VLOOKUP(A91,'Exit Anticipated Rev. Recovery'!$F$1:$Y$231,8,FALSE)+VLOOKUP(A91,'Exit Anticipated Rev. Recovery'!$F$1:$Y$231,11,FALSE)+VLOOKUP(A91,'Exit Anticipated Rev. Recovery'!$F$1:$Y$231,14,FALSE)</f>
        <v>20835448.920152057</v>
      </c>
      <c r="E91" s="291">
        <f ca="1">VLOOKUP(A91,'Exit Anticipated Rev. Recovery'!$F$1:$Y$231,17,FALSE)</f>
        <v>21165192.071628753</v>
      </c>
      <c r="F91" s="291">
        <f t="shared" ca="1" si="3"/>
        <v>42000640.99178081</v>
      </c>
      <c r="G91" s="283">
        <f ca="1">VLOOKUP($A91, 'Exit Prices'!$A$3:$Q$231, 8, 0)</f>
        <v>7.2344179438402385</v>
      </c>
      <c r="H91" s="283">
        <f ca="1">VLOOKUP($A91, 'Exit Prices'!$A$3:$Q$231, 12, 0)</f>
        <v>1.9820323133808871E-2</v>
      </c>
      <c r="I91" s="283">
        <f ca="1">VLOOKUP($A91, 'Exit Prices'!$A$3:$Q$231,17, 0)</f>
        <v>1.7838290820427986E-2</v>
      </c>
      <c r="J91" s="297">
        <f ca="1">'Exit Anticipated Rev. Recovery'!$C$14</f>
        <v>0</v>
      </c>
      <c r="K91" s="307">
        <f ca="1">VLOOKUP(A91,'Exit Anticipated Rev. Recovery'!F:Y,20,FALSE)</f>
        <v>2883363.7754527163</v>
      </c>
      <c r="L91" s="306">
        <f ca="1">((D91*H91)+(E91*I91))*'User Inputs'!$D$7/100</f>
        <v>2885384.0631294935</v>
      </c>
      <c r="M91" s="306">
        <f ca="1">((D91*J91)+(E91*J91))*'User Inputs'!$D$7/100</f>
        <v>0</v>
      </c>
    </row>
    <row r="92" spans="1:13">
      <c r="A92" s="309" t="str">
        <f>'Exit Prices'!A91</f>
        <v>Great Wilbraham</v>
      </c>
      <c r="B92" s="280" t="str">
        <f>VLOOKUP(A92,'Locations &amp; Types'!E:I,4,FALSE)</f>
        <v>GDN (EA)</v>
      </c>
      <c r="C92" s="291">
        <f ca="1">VLOOKUP(A92,'Exit Prices'!$A:$C,3,FALSE)</f>
        <v>23677521</v>
      </c>
      <c r="D92" s="291">
        <f ca="1">VLOOKUP(A92,'Exit Anticipated Rev. Recovery'!$F$1:$Y$231,2,FALSE)+VLOOKUP(A92,'Exit Anticipated Rev. Recovery'!$F$1:$Y$231,5,FALSE)+VLOOKUP(A92,'Exit Anticipated Rev. Recovery'!$F$1:$Y$231,8,FALSE)+VLOOKUP(A92,'Exit Anticipated Rev. Recovery'!$F$1:$Y$231,11,FALSE)+VLOOKUP(A92,'Exit Anticipated Rev. Recovery'!$F$1:$Y$231,14,FALSE)</f>
        <v>23084717.871404964</v>
      </c>
      <c r="E92" s="291">
        <f ca="1">VLOOKUP(A92,'Exit Anticipated Rev. Recovery'!$F$1:$Y$231,17,FALSE)</f>
        <v>592803.12859503413</v>
      </c>
      <c r="F92" s="291">
        <f t="shared" ca="1" si="3"/>
        <v>23677521</v>
      </c>
      <c r="G92" s="283">
        <f ca="1">VLOOKUP($A92, 'Exit Prices'!$A$3:$Q$231, 8, 0)</f>
        <v>7.2344179438402385</v>
      </c>
      <c r="H92" s="283">
        <f ca="1">VLOOKUP($A92, 'Exit Prices'!$A$3:$Q$231, 12, 0)</f>
        <v>1.9820323133808871E-2</v>
      </c>
      <c r="I92" s="283">
        <f ca="1">VLOOKUP($A92, 'Exit Prices'!$A$3:$Q$231,17, 0)</f>
        <v>1.7838290820427986E-2</v>
      </c>
      <c r="J92" s="297">
        <f ca="1">'Exit Anticipated Rev. Recovery'!$C$14</f>
        <v>0</v>
      </c>
      <c r="K92" s="307">
        <f ca="1">VLOOKUP(A92,'Exit Anticipated Rev. Recovery'!F:Y,20,FALSE)</f>
        <v>1707064.8570436721</v>
      </c>
      <c r="L92" s="306">
        <f ca="1">((D92*H92)+(E92*I92))*'User Inputs'!$D$7/100</f>
        <v>1708642.2422898677</v>
      </c>
      <c r="M92" s="306">
        <f ca="1">((D92*J92)+(E92*J92))*'User Inputs'!$D$7/100</f>
        <v>0</v>
      </c>
    </row>
    <row r="93" spans="1:13">
      <c r="A93" s="309" t="str">
        <f>'Exit Prices'!A92</f>
        <v>Guyzance</v>
      </c>
      <c r="B93" s="280" t="str">
        <f>VLOOKUP(A93,'Locations &amp; Types'!E:I,4,FALSE)</f>
        <v>GDN (NO)</v>
      </c>
      <c r="C93" s="291">
        <f ca="1">VLOOKUP(A93,'Exit Prices'!$A:$C,3,FALSE)</f>
        <v>1806988</v>
      </c>
      <c r="D93" s="291">
        <f ca="1">VLOOKUP(A93,'Exit Anticipated Rev. Recovery'!$F$1:$Y$231,2,FALSE)+VLOOKUP(A93,'Exit Anticipated Rev. Recovery'!$F$1:$Y$231,5,FALSE)+VLOOKUP(A93,'Exit Anticipated Rev. Recovery'!$F$1:$Y$231,8,FALSE)+VLOOKUP(A93,'Exit Anticipated Rev. Recovery'!$F$1:$Y$231,11,FALSE)+VLOOKUP(A93,'Exit Anticipated Rev. Recovery'!$F$1:$Y$231,14,FALSE)</f>
        <v>1761747.2782312944</v>
      </c>
      <c r="E93" s="291">
        <f ca="1">VLOOKUP(A93,'Exit Anticipated Rev. Recovery'!$F$1:$Y$231,17,FALSE)</f>
        <v>45240.721768705582</v>
      </c>
      <c r="F93" s="291">
        <f t="shared" ca="1" si="3"/>
        <v>1806988</v>
      </c>
      <c r="G93" s="283">
        <f ca="1">VLOOKUP($A93, 'Exit Prices'!$A$3:$Q$231, 8, 0)</f>
        <v>7.2344179438402385</v>
      </c>
      <c r="H93" s="283">
        <f ca="1">VLOOKUP($A93, 'Exit Prices'!$A$3:$Q$231, 12, 0)</f>
        <v>1.9820323133808871E-2</v>
      </c>
      <c r="I93" s="283">
        <f ca="1">VLOOKUP($A93, 'Exit Prices'!$A$3:$Q$231,17, 0)</f>
        <v>1.7838290820427986E-2</v>
      </c>
      <c r="J93" s="297">
        <f ca="1">'Exit Anticipated Rev. Recovery'!$C$14</f>
        <v>0</v>
      </c>
      <c r="K93" s="307">
        <f ca="1">VLOOKUP(A93,'Exit Anticipated Rev. Recovery'!F:Y,20,FALSE)</f>
        <v>130277.39314008549</v>
      </c>
      <c r="L93" s="306">
        <f ca="1">((D93*H93)+(E93*I93))*'User Inputs'!$D$7/100</f>
        <v>130397.77382568402</v>
      </c>
      <c r="M93" s="306">
        <f ca="1">((D93*J93)+(E93*J93))*'User Inputs'!$D$7/100</f>
        <v>0</v>
      </c>
    </row>
    <row r="94" spans="1:13">
      <c r="A94" s="309" t="str">
        <f>'Exit Prices'!A93</f>
        <v>Hardwick</v>
      </c>
      <c r="B94" s="280" t="str">
        <f>VLOOKUP(A94,'Locations &amp; Types'!E:I,4,FALSE)</f>
        <v>GDN (SO)</v>
      </c>
      <c r="C94" s="291">
        <f ca="1">VLOOKUP(A94,'Exit Prices'!$A:$C,3,FALSE)</f>
        <v>106654165</v>
      </c>
      <c r="D94" s="291">
        <f ca="1">VLOOKUP(A94,'Exit Anticipated Rev. Recovery'!$F$1:$Y$231,2,FALSE)+VLOOKUP(A94,'Exit Anticipated Rev. Recovery'!$F$1:$Y$231,5,FALSE)+VLOOKUP(A94,'Exit Anticipated Rev. Recovery'!$F$1:$Y$231,8,FALSE)+VLOOKUP(A94,'Exit Anticipated Rev. Recovery'!$F$1:$Y$231,11,FALSE)+VLOOKUP(A94,'Exit Anticipated Rev. Recovery'!$F$1:$Y$231,14,FALSE)</f>
        <v>103983914.0607361</v>
      </c>
      <c r="E94" s="291">
        <f ca="1">VLOOKUP(A94,'Exit Anticipated Rev. Recovery'!$F$1:$Y$231,17,FALSE)</f>
        <v>2670250.9392639119</v>
      </c>
      <c r="F94" s="291">
        <f t="shared" ca="1" si="3"/>
        <v>106654165.00000001</v>
      </c>
      <c r="G94" s="283">
        <f ca="1">VLOOKUP($A94, 'Exit Prices'!$A$3:$Q$231, 8, 0)</f>
        <v>7.2344179438402385</v>
      </c>
      <c r="H94" s="283">
        <f ca="1">VLOOKUP($A94, 'Exit Prices'!$A$3:$Q$231, 12, 0)</f>
        <v>1.9820323133808871E-2</v>
      </c>
      <c r="I94" s="283">
        <f ca="1">VLOOKUP($A94, 'Exit Prices'!$A$3:$Q$231,17, 0)</f>
        <v>1.7838290820427986E-2</v>
      </c>
      <c r="J94" s="297">
        <f ca="1">'Exit Anticipated Rev. Recovery'!$C$14</f>
        <v>0</v>
      </c>
      <c r="K94" s="307">
        <f ca="1">VLOOKUP(A94,'Exit Anticipated Rev. Recovery'!F:Y,20,FALSE)</f>
        <v>7689385.0892936476</v>
      </c>
      <c r="L94" s="306">
        <f ca="1">((D94*H94)+(E94*I94))*'User Inputs'!$D$7/100</f>
        <v>7696490.3393034097</v>
      </c>
      <c r="M94" s="306">
        <f ca="1">((D94*J94)+(E94*J94))*'User Inputs'!$D$7/100</f>
        <v>0</v>
      </c>
    </row>
    <row r="95" spans="1:13">
      <c r="A95" s="309" t="str">
        <f>'Exit Prices'!A94</f>
        <v>Harwarden (Shotton, aka Shotton Paper)</v>
      </c>
      <c r="B95" s="280" t="str">
        <f>VLOOKUP(A95,'Locations &amp; Types'!E:I,4,FALSE)</f>
        <v>INDUSTRIAL</v>
      </c>
      <c r="C95" s="291">
        <f ca="1">VLOOKUP(A95,'Exit Prices'!$A:$C,3,FALSE)</f>
        <v>0</v>
      </c>
      <c r="D95" s="291">
        <f ca="1">VLOOKUP(A95,'Exit Anticipated Rev. Recovery'!$F$1:$Y$231,2,FALSE)+VLOOKUP(A95,'Exit Anticipated Rev. Recovery'!$F$1:$Y$231,5,FALSE)+VLOOKUP(A95,'Exit Anticipated Rev. Recovery'!$F$1:$Y$231,8,FALSE)+VLOOKUP(A95,'Exit Anticipated Rev. Recovery'!$F$1:$Y$231,11,FALSE)+VLOOKUP(A95,'Exit Anticipated Rev. Recovery'!$F$1:$Y$231,14,FALSE)</f>
        <v>0</v>
      </c>
      <c r="E95" s="291">
        <f ca="1">VLOOKUP(A95,'Exit Anticipated Rev. Recovery'!$F$1:$Y$231,17,FALSE)</f>
        <v>0</v>
      </c>
      <c r="F95" s="291">
        <f t="shared" ca="1" si="3"/>
        <v>0</v>
      </c>
      <c r="G95" s="283">
        <f ca="1">VLOOKUP($A95, 'Exit Prices'!$A$3:$Q$231, 8, 0)</f>
        <v>7.2344179438402385</v>
      </c>
      <c r="H95" s="283">
        <f ca="1">VLOOKUP($A95, 'Exit Prices'!$A$3:$Q$231, 12, 0)</f>
        <v>1.9820323133808871E-2</v>
      </c>
      <c r="I95" s="283">
        <f ca="1">VLOOKUP($A95, 'Exit Prices'!$A$3:$Q$231,17, 0)</f>
        <v>1.7838290820427986E-2</v>
      </c>
      <c r="J95" s="297">
        <f ca="1">'Exit Anticipated Rev. Recovery'!$C$14</f>
        <v>0</v>
      </c>
      <c r="K95" s="307">
        <f ca="1">VLOOKUP(A95,'Exit Anticipated Rev. Recovery'!F:Y,20,FALSE)</f>
        <v>0</v>
      </c>
      <c r="L95" s="306">
        <f ca="1">((D95*H95)+(E95*I95))*'User Inputs'!$D$7/100</f>
        <v>0</v>
      </c>
      <c r="M95" s="306">
        <f ca="1">((D95*J95)+(E95*J95))*'User Inputs'!$D$7/100</f>
        <v>0</v>
      </c>
    </row>
    <row r="96" spans="1:13">
      <c r="A96" s="309" t="str">
        <f>'Exit Prices'!A95</f>
        <v>Hatfield Moor Max Refill</v>
      </c>
      <c r="B96" s="280" t="str">
        <f>VLOOKUP(A96,'Locations &amp; Types'!E:I,4,FALSE)</f>
        <v>STORAGE SITE</v>
      </c>
      <c r="C96" s="291">
        <f ca="1">VLOOKUP(A96,'Exit Prices'!$A:$C,3,FALSE)</f>
        <v>30210000</v>
      </c>
      <c r="D96" s="291">
        <f ca="1">VLOOKUP(A96,'Exit Anticipated Rev. Recovery'!$F$1:$Y$231,2,FALSE)+VLOOKUP(A96,'Exit Anticipated Rev. Recovery'!$F$1:$Y$231,5,FALSE)+VLOOKUP(A96,'Exit Anticipated Rev. Recovery'!$F$1:$Y$231,8,FALSE)+VLOOKUP(A96,'Exit Anticipated Rev. Recovery'!$F$1:$Y$231,11,FALSE)+VLOOKUP(A96,'Exit Anticipated Rev. Recovery'!$F$1:$Y$231,14,FALSE)</f>
        <v>8404484.9877160564</v>
      </c>
      <c r="E96" s="291">
        <f ca="1">VLOOKUP(A96,'Exit Anticipated Rev. Recovery'!$F$1:$Y$231,17,FALSE)</f>
        <v>21805515.012283951</v>
      </c>
      <c r="F96" s="291">
        <f t="shared" ca="1" si="3"/>
        <v>30210000.000000007</v>
      </c>
      <c r="G96" s="283">
        <f ca="1">VLOOKUP($A96, 'Exit Prices'!$A$3:$Q$231, 8, 0)</f>
        <v>7.2344179438402385</v>
      </c>
      <c r="H96" s="283">
        <f ca="1">VLOOKUP($A96, 'Exit Prices'!$A$3:$Q$231, 12, 0)</f>
        <v>9.9101615669044355E-3</v>
      </c>
      <c r="I96" s="283">
        <f ca="1">VLOOKUP($A96, 'Exit Prices'!$A$3:$Q$231,17, 0)</f>
        <v>8.9191454102139928E-3</v>
      </c>
      <c r="J96" s="297">
        <f ca="1">'Exit Anticipated Rev. Recovery'!$C$14</f>
        <v>0</v>
      </c>
      <c r="K96" s="307">
        <f ca="1">VLOOKUP(A96,'Exit Anticipated Rev. Recovery'!F:Y,20,FALSE)</f>
        <v>1012191.992881564</v>
      </c>
      <c r="L96" s="306">
        <f ca="1">((D96*H96)+(E96*I96))*'User Inputs'!$D$7/100</f>
        <v>1013883.7258772961</v>
      </c>
      <c r="M96" s="306">
        <f ca="1">((D96*J96)+(E96*J96))*'User Inputs'!$D$7/100</f>
        <v>0</v>
      </c>
    </row>
    <row r="97" spans="1:13">
      <c r="A97" s="309" t="str">
        <f>'Exit Prices'!A96</f>
        <v>Hatfield Power Station</v>
      </c>
      <c r="B97" s="280" t="str">
        <f>VLOOKUP(A97,'Locations &amp; Types'!E:I,4,FALSE)</f>
        <v>POWER STATION</v>
      </c>
      <c r="C97" s="291">
        <f ca="1">VLOOKUP(A97,'Exit Prices'!$A:$C,3,FALSE)</f>
        <v>0</v>
      </c>
      <c r="D97" s="291">
        <f ca="1">VLOOKUP(A97,'Exit Anticipated Rev. Recovery'!$F$1:$Y$231,2,FALSE)+VLOOKUP(A97,'Exit Anticipated Rev. Recovery'!$F$1:$Y$231,5,FALSE)+VLOOKUP(A97,'Exit Anticipated Rev. Recovery'!$F$1:$Y$231,8,FALSE)+VLOOKUP(A97,'Exit Anticipated Rev. Recovery'!$F$1:$Y$231,11,FALSE)+VLOOKUP(A97,'Exit Anticipated Rev. Recovery'!$F$1:$Y$231,14,FALSE)</f>
        <v>0</v>
      </c>
      <c r="E97" s="291">
        <f ca="1">VLOOKUP(A97,'Exit Anticipated Rev. Recovery'!$F$1:$Y$231,17,FALSE)</f>
        <v>0</v>
      </c>
      <c r="F97" s="291">
        <f t="shared" ca="1" si="3"/>
        <v>0</v>
      </c>
      <c r="G97" s="283">
        <f ca="1">VLOOKUP($A97, 'Exit Prices'!$A$3:$Q$231, 8, 0)</f>
        <v>7.2344179438402385</v>
      </c>
      <c r="H97" s="283">
        <f ca="1">VLOOKUP($A97, 'Exit Prices'!$A$3:$Q$231, 12, 0)</f>
        <v>1.9820323133808871E-2</v>
      </c>
      <c r="I97" s="283">
        <f ca="1">VLOOKUP($A97, 'Exit Prices'!$A$3:$Q$231,17, 0)</f>
        <v>1.7838290820427986E-2</v>
      </c>
      <c r="J97" s="297">
        <f ca="1">'Exit Anticipated Rev. Recovery'!$C$14</f>
        <v>0</v>
      </c>
      <c r="K97" s="307">
        <f ca="1">VLOOKUP(A97,'Exit Anticipated Rev. Recovery'!F:Y,20,FALSE)</f>
        <v>0</v>
      </c>
      <c r="L97" s="306">
        <f ca="1">((D97*H97)+(E97*I97))*'User Inputs'!$D$7/100</f>
        <v>0</v>
      </c>
      <c r="M97" s="306">
        <f ca="1">((D97*J97)+(E97*J97))*'User Inputs'!$D$7/100</f>
        <v>0</v>
      </c>
    </row>
    <row r="98" spans="1:13">
      <c r="A98" s="309" t="str">
        <f>'Exit Prices'!A97</f>
        <v>Hill Top Farm (Hole House Farm)</v>
      </c>
      <c r="B98" s="280" t="str">
        <f>VLOOKUP(A98,'Locations &amp; Types'!E:I,4,FALSE)</f>
        <v>STORAGE SITE</v>
      </c>
      <c r="C98" s="291">
        <f ca="1">VLOOKUP(A98,'Exit Prices'!$A:$C,3,FALSE)</f>
        <v>6017436.6849315045</v>
      </c>
      <c r="D98" s="291">
        <f ca="1">VLOOKUP(A98,'Exit Anticipated Rev. Recovery'!$F$1:$Y$231,2,FALSE)+VLOOKUP(A98,'Exit Anticipated Rev. Recovery'!$F$1:$Y$231,5,FALSE)+VLOOKUP(A98,'Exit Anticipated Rev. Recovery'!$F$1:$Y$231,8,FALSE)+VLOOKUP(A98,'Exit Anticipated Rev. Recovery'!$F$1:$Y$231,11,FALSE)+VLOOKUP(A98,'Exit Anticipated Rev. Recovery'!$F$1:$Y$231,14,FALSE)</f>
        <v>1674063.4320767529</v>
      </c>
      <c r="E98" s="291">
        <f ca="1">VLOOKUP(A98,'Exit Anticipated Rev. Recovery'!$F$1:$Y$231,17,FALSE)</f>
        <v>4343373.2528547533</v>
      </c>
      <c r="F98" s="291">
        <f t="shared" ca="1" si="3"/>
        <v>6017436.6849315064</v>
      </c>
      <c r="G98" s="283">
        <f ca="1">VLOOKUP($A98, 'Exit Prices'!$A$3:$Q$231, 8, 0)</f>
        <v>7.2344179438402385</v>
      </c>
      <c r="H98" s="283">
        <f ca="1">VLOOKUP($A98, 'Exit Prices'!$A$3:$Q$231, 12, 0)</f>
        <v>9.9101615669044355E-3</v>
      </c>
      <c r="I98" s="283">
        <f ca="1">VLOOKUP($A98, 'Exit Prices'!$A$3:$Q$231,17, 0)</f>
        <v>8.9191454102139928E-3</v>
      </c>
      <c r="J98" s="297">
        <f ca="1">'Exit Anticipated Rev. Recovery'!$C$14</f>
        <v>0</v>
      </c>
      <c r="K98" s="307">
        <f ca="1">VLOOKUP(A98,'Exit Anticipated Rev. Recovery'!F:Y,20,FALSE)</f>
        <v>201615.39987287164</v>
      </c>
      <c r="L98" s="306">
        <f ca="1">((D98*H98)+(E98*I98))*'User Inputs'!$D$7/100</f>
        <v>201952.37094833094</v>
      </c>
      <c r="M98" s="306">
        <f ca="1">((D98*J98)+(E98*J98))*'User Inputs'!$D$7/100</f>
        <v>0</v>
      </c>
    </row>
    <row r="99" spans="1:13">
      <c r="A99" s="309" t="str">
        <f>'Exit Prices'!A98</f>
        <v>Hole House Max Refill</v>
      </c>
      <c r="B99" s="280" t="str">
        <f>VLOOKUP(A99,'Locations &amp; Types'!E:I,4,FALSE)</f>
        <v>STORAGE SITE</v>
      </c>
      <c r="C99" s="291">
        <f ca="1">VLOOKUP(A99,'Exit Prices'!$A:$C,3,FALSE)</f>
        <v>584777.4794520546</v>
      </c>
      <c r="D99" s="291">
        <f ca="1">VLOOKUP(A99,'Exit Anticipated Rev. Recovery'!$F$1:$Y$231,2,FALSE)+VLOOKUP(A99,'Exit Anticipated Rev. Recovery'!$F$1:$Y$231,5,FALSE)+VLOOKUP(A99,'Exit Anticipated Rev. Recovery'!$F$1:$Y$231,8,FALSE)+VLOOKUP(A99,'Exit Anticipated Rev. Recovery'!$F$1:$Y$231,11,FALSE)+VLOOKUP(A99,'Exit Anticipated Rev. Recovery'!$F$1:$Y$231,14,FALSE)</f>
        <v>162686.31404201349</v>
      </c>
      <c r="E99" s="291">
        <f ca="1">VLOOKUP(A99,'Exit Anticipated Rev. Recovery'!$F$1:$Y$231,17,FALSE)</f>
        <v>422091.16541004129</v>
      </c>
      <c r="F99" s="291">
        <f t="shared" ca="1" si="3"/>
        <v>584777.47945205471</v>
      </c>
      <c r="G99" s="283">
        <f ca="1">VLOOKUP($A99, 'Exit Prices'!$A$3:$Q$231, 8, 0)</f>
        <v>7.2344179438402385</v>
      </c>
      <c r="H99" s="283">
        <f ca="1">VLOOKUP($A99, 'Exit Prices'!$A$3:$Q$231, 12, 0)</f>
        <v>9.9101615669044355E-3</v>
      </c>
      <c r="I99" s="283">
        <f ca="1">VLOOKUP($A99, 'Exit Prices'!$A$3:$Q$231,17, 0)</f>
        <v>8.9191454102139928E-3</v>
      </c>
      <c r="J99" s="297">
        <f ca="1">'Exit Anticipated Rev. Recovery'!$C$14</f>
        <v>0</v>
      </c>
      <c r="K99" s="307">
        <f ca="1">VLOOKUP(A99,'Exit Anticipated Rev. Recovery'!F:Y,20,FALSE)</f>
        <v>19593.084485893181</v>
      </c>
      <c r="L99" s="306">
        <f ca="1">((D99*H99)+(E99*I99))*'User Inputs'!$D$7/100</f>
        <v>19625.831502018638</v>
      </c>
      <c r="M99" s="306">
        <f ca="1">((D99*J99)+(E99*J99))*'User Inputs'!$D$7/100</f>
        <v>0</v>
      </c>
    </row>
    <row r="100" spans="1:13">
      <c r="A100" s="309" t="str">
        <f>'Exit Prices'!A99</f>
        <v>Holford</v>
      </c>
      <c r="B100" s="280" t="str">
        <f>VLOOKUP(A100,'Locations &amp; Types'!E:I,4,FALSE)</f>
        <v>STORAGE SITE</v>
      </c>
      <c r="C100" s="291">
        <f ca="1">VLOOKUP(A100,'Exit Prices'!$A:$C,3,FALSE)</f>
        <v>31829848.328767125</v>
      </c>
      <c r="D100" s="291">
        <f ca="1">VLOOKUP(A100,'Exit Anticipated Rev. Recovery'!$F$1:$Y$231,2,FALSE)+VLOOKUP(A100,'Exit Anticipated Rev. Recovery'!$F$1:$Y$231,5,FALSE)+VLOOKUP(A100,'Exit Anticipated Rev. Recovery'!$F$1:$Y$231,8,FALSE)+VLOOKUP(A100,'Exit Anticipated Rev. Recovery'!$F$1:$Y$231,11,FALSE)+VLOOKUP(A100,'Exit Anticipated Rev. Recovery'!$F$1:$Y$231,14,FALSE)</f>
        <v>8855130.1701556556</v>
      </c>
      <c r="E100" s="291">
        <f ca="1">VLOOKUP(A100,'Exit Anticipated Rev. Recovery'!$F$1:$Y$231,17,FALSE)</f>
        <v>22974718.15861148</v>
      </c>
      <c r="F100" s="291">
        <f t="shared" ca="1" si="3"/>
        <v>31829848.328767136</v>
      </c>
      <c r="G100" s="283">
        <f ca="1">VLOOKUP($A100, 'Exit Prices'!$A$3:$Q$231, 8, 0)</f>
        <v>7.2344179438402385</v>
      </c>
      <c r="H100" s="283">
        <f ca="1">VLOOKUP($A100, 'Exit Prices'!$A$3:$Q$231, 12, 0)</f>
        <v>9.9101615669044355E-3</v>
      </c>
      <c r="I100" s="283">
        <f ca="1">VLOOKUP($A100, 'Exit Prices'!$A$3:$Q$231,17, 0)</f>
        <v>8.9191454102139928E-3</v>
      </c>
      <c r="J100" s="297">
        <f ca="1">'Exit Anticipated Rev. Recovery'!$C$14</f>
        <v>0</v>
      </c>
      <c r="K100" s="307">
        <f ca="1">VLOOKUP(A100,'Exit Anticipated Rev. Recovery'!F:Y,20,FALSE)</f>
        <v>1066465.3297918807</v>
      </c>
      <c r="L100" s="306">
        <f ca="1">((D100*H100)+(E100*I100))*'User Inputs'!$D$7/100</f>
        <v>1068247.7728460655</v>
      </c>
      <c r="M100" s="306">
        <f ca="1">((D100*J100)+(E100*J100))*'User Inputs'!$D$7/100</f>
        <v>0</v>
      </c>
    </row>
    <row r="101" spans="1:13">
      <c r="A101" s="309" t="str">
        <f>'Exit Prices'!A100</f>
        <v>Hollingsgreen (Hays Chemicals)</v>
      </c>
      <c r="B101" s="280" t="str">
        <f>VLOOKUP(A101,'Locations &amp; Types'!E:I,4,FALSE)</f>
        <v>INDUSTRIAL</v>
      </c>
      <c r="C101" s="291">
        <f ca="1">VLOOKUP(A101,'Exit Prices'!$A:$C,3,FALSE)</f>
        <v>454343.19515068491</v>
      </c>
      <c r="D101" s="291">
        <f ca="1">VLOOKUP(A101,'Exit Anticipated Rev. Recovery'!$F$1:$Y$231,2,FALSE)+VLOOKUP(A101,'Exit Anticipated Rev. Recovery'!$F$1:$Y$231,5,FALSE)+VLOOKUP(A101,'Exit Anticipated Rev. Recovery'!$F$1:$Y$231,8,FALSE)+VLOOKUP(A101,'Exit Anticipated Rev. Recovery'!$F$1:$Y$231,11,FALSE)+VLOOKUP(A101,'Exit Anticipated Rev. Recovery'!$F$1:$Y$231,14,FALSE)</f>
        <v>343790.62686608051</v>
      </c>
      <c r="E101" s="291">
        <f ca="1">VLOOKUP(A101,'Exit Anticipated Rev. Recovery'!$F$1:$Y$231,17,FALSE)</f>
        <v>110552.56828460451</v>
      </c>
      <c r="F101" s="291">
        <f t="shared" ca="1" si="3"/>
        <v>454343.19515068503</v>
      </c>
      <c r="G101" s="283">
        <f ca="1">VLOOKUP($A101, 'Exit Prices'!$A$3:$Q$231, 8, 0)</f>
        <v>7.2344179438402385</v>
      </c>
      <c r="H101" s="283">
        <f ca="1">VLOOKUP($A101, 'Exit Prices'!$A$3:$Q$231, 12, 0)</f>
        <v>1.9820323133808871E-2</v>
      </c>
      <c r="I101" s="283">
        <f ca="1">VLOOKUP($A101, 'Exit Prices'!$A$3:$Q$231,17, 0)</f>
        <v>1.7838290820427986E-2</v>
      </c>
      <c r="J101" s="297">
        <f ca="1">'Exit Anticipated Rev. Recovery'!$C$14</f>
        <v>0</v>
      </c>
      <c r="K101" s="307">
        <f ca="1">VLOOKUP(A101,'Exit Anticipated Rev. Recovery'!F:Y,20,FALSE)</f>
        <v>32038.30768602137</v>
      </c>
      <c r="L101" s="306">
        <f ca="1">((D101*H101)+(E101*I101))*'User Inputs'!$D$7/100</f>
        <v>32069.302152862459</v>
      </c>
      <c r="M101" s="306">
        <f ca="1">((D101*J101)+(E101*J101))*'User Inputs'!$D$7/100</f>
        <v>0</v>
      </c>
    </row>
    <row r="102" spans="1:13">
      <c r="A102" s="309" t="str">
        <f>'Exit Prices'!A101</f>
        <v>Holmes Chapel</v>
      </c>
      <c r="B102" s="280" t="str">
        <f>VLOOKUP(A102,'Locations &amp; Types'!E:I,4,FALSE)</f>
        <v>GDN (NW)</v>
      </c>
      <c r="C102" s="291">
        <f ca="1">VLOOKUP(A102,'Exit Prices'!$A:$C,3,FALSE)</f>
        <v>21678773</v>
      </c>
      <c r="D102" s="291">
        <f ca="1">VLOOKUP(A102,'Exit Anticipated Rev. Recovery'!$F$1:$Y$231,2,FALSE)+VLOOKUP(A102,'Exit Anticipated Rev. Recovery'!$F$1:$Y$231,5,FALSE)+VLOOKUP(A102,'Exit Anticipated Rev. Recovery'!$F$1:$Y$231,8,FALSE)+VLOOKUP(A102,'Exit Anticipated Rev. Recovery'!$F$1:$Y$231,11,FALSE)+VLOOKUP(A102,'Exit Anticipated Rev. Recovery'!$F$1:$Y$231,14,FALSE)</f>
        <v>21136011.599492677</v>
      </c>
      <c r="E102" s="291">
        <f ca="1">VLOOKUP(A102,'Exit Anticipated Rev. Recovery'!$F$1:$Y$231,17,FALSE)</f>
        <v>542761.40050732321</v>
      </c>
      <c r="F102" s="291">
        <f t="shared" ca="1" si="3"/>
        <v>21678773</v>
      </c>
      <c r="G102" s="283">
        <f ca="1">VLOOKUP($A102, 'Exit Prices'!$A$3:$Q$231, 8, 0)</f>
        <v>7.2344179438402385</v>
      </c>
      <c r="H102" s="283">
        <f ca="1">VLOOKUP($A102, 'Exit Prices'!$A$3:$Q$231, 12, 0)</f>
        <v>1.9820323133808871E-2</v>
      </c>
      <c r="I102" s="283">
        <f ca="1">VLOOKUP($A102, 'Exit Prices'!$A$3:$Q$231,17, 0)</f>
        <v>1.7838290820427986E-2</v>
      </c>
      <c r="J102" s="297">
        <f ca="1">'Exit Anticipated Rev. Recovery'!$C$14</f>
        <v>0</v>
      </c>
      <c r="K102" s="307">
        <f ca="1">VLOOKUP(A102,'Exit Anticipated Rev. Recovery'!F:Y,20,FALSE)</f>
        <v>1562962.2515012112</v>
      </c>
      <c r="L102" s="306">
        <f ca="1">((D102*H102)+(E102*I102))*'User Inputs'!$D$7/100</f>
        <v>1564406.4811013385</v>
      </c>
      <c r="M102" s="306">
        <f ca="1">((D102*J102)+(E102*J102))*'User Inputs'!$D$7/100</f>
        <v>0</v>
      </c>
    </row>
    <row r="103" spans="1:13">
      <c r="A103" s="309" t="str">
        <f>'Exit Prices'!A102</f>
        <v>Horndon</v>
      </c>
      <c r="B103" s="280" t="str">
        <f>VLOOKUP(A103,'Locations &amp; Types'!E:I,4,FALSE)</f>
        <v>GDN (NT)</v>
      </c>
      <c r="C103" s="291">
        <f ca="1">VLOOKUP(A103,'Exit Prices'!$A:$C,3,FALSE)</f>
        <v>33307669</v>
      </c>
      <c r="D103" s="291">
        <f ca="1">VLOOKUP(A103,'Exit Anticipated Rev. Recovery'!$F$1:$Y$231,2,FALSE)+VLOOKUP(A103,'Exit Anticipated Rev. Recovery'!$F$1:$Y$231,5,FALSE)+VLOOKUP(A103,'Exit Anticipated Rev. Recovery'!$F$1:$Y$231,8,FALSE)+VLOOKUP(A103,'Exit Anticipated Rev. Recovery'!$F$1:$Y$231,11,FALSE)+VLOOKUP(A103,'Exit Anticipated Rev. Recovery'!$F$1:$Y$231,14,FALSE)</f>
        <v>32473760.315496761</v>
      </c>
      <c r="E103" s="291">
        <f ca="1">VLOOKUP(A103,'Exit Anticipated Rev. Recovery'!$F$1:$Y$231,17,FALSE)</f>
        <v>833908.68450323981</v>
      </c>
      <c r="F103" s="291">
        <f t="shared" ca="1" si="3"/>
        <v>33307669</v>
      </c>
      <c r="G103" s="283">
        <f ca="1">VLOOKUP($A103, 'Exit Prices'!$A$3:$Q$231, 8, 0)</f>
        <v>7.2344179438402385</v>
      </c>
      <c r="H103" s="283">
        <f ca="1">VLOOKUP($A103, 'Exit Prices'!$A$3:$Q$231, 12, 0)</f>
        <v>1.9820323133808871E-2</v>
      </c>
      <c r="I103" s="283">
        <f ca="1">VLOOKUP($A103, 'Exit Prices'!$A$3:$Q$231,17, 0)</f>
        <v>1.7838290820427986E-2</v>
      </c>
      <c r="J103" s="297">
        <f ca="1">'Exit Anticipated Rev. Recovery'!$C$14</f>
        <v>0</v>
      </c>
      <c r="K103" s="307">
        <f ca="1">VLOOKUP(A103,'Exit Anticipated Rev. Recovery'!F:Y,20,FALSE)</f>
        <v>2401364.1977106868</v>
      </c>
      <c r="L103" s="306">
        <f ca="1">((D103*H103)+(E103*I103))*'User Inputs'!$D$7/100</f>
        <v>2403583.1388602178</v>
      </c>
      <c r="M103" s="306">
        <f ca="1">((D103*J103)+(E103*J103))*'User Inputs'!$D$7/100</f>
        <v>0</v>
      </c>
    </row>
    <row r="104" spans="1:13">
      <c r="A104" s="309" t="str">
        <f>'Exit Prices'!A103</f>
        <v>Hornsea Max Refill</v>
      </c>
      <c r="B104" s="280" t="str">
        <f>VLOOKUP(A104,'Locations &amp; Types'!E:I,4,FALSE)</f>
        <v>STORAGE SITE</v>
      </c>
      <c r="C104" s="291">
        <f ca="1">VLOOKUP(A104,'Exit Prices'!$A:$C,3,FALSE)</f>
        <v>41511502.97260274</v>
      </c>
      <c r="D104" s="291">
        <f ca="1">VLOOKUP(A104,'Exit Anticipated Rev. Recovery'!$F$1:$Y$231,2,FALSE)+VLOOKUP(A104,'Exit Anticipated Rev. Recovery'!$F$1:$Y$231,5,FALSE)+VLOOKUP(A104,'Exit Anticipated Rev. Recovery'!$F$1:$Y$231,8,FALSE)+VLOOKUP(A104,'Exit Anticipated Rev. Recovery'!$F$1:$Y$231,11,FALSE)+VLOOKUP(A104,'Exit Anticipated Rev. Recovery'!$F$1:$Y$231,14,FALSE)</f>
        <v>11548586.678277729</v>
      </c>
      <c r="E104" s="291">
        <f ca="1">VLOOKUP(A104,'Exit Anticipated Rev. Recovery'!$F$1:$Y$231,17,FALSE)</f>
        <v>29962916.294325024</v>
      </c>
      <c r="F104" s="291">
        <f t="shared" ca="1" si="3"/>
        <v>41511502.972602755</v>
      </c>
      <c r="G104" s="283">
        <f ca="1">VLOOKUP($A104, 'Exit Prices'!$A$3:$Q$231, 8, 0)</f>
        <v>7.2344179438402385</v>
      </c>
      <c r="H104" s="283">
        <f ca="1">VLOOKUP($A104, 'Exit Prices'!$A$3:$Q$231, 12, 0)</f>
        <v>9.9101615669044355E-3</v>
      </c>
      <c r="I104" s="283">
        <f ca="1">VLOOKUP($A104, 'Exit Prices'!$A$3:$Q$231,17, 0)</f>
        <v>8.9191454102139928E-3</v>
      </c>
      <c r="J104" s="297">
        <f ca="1">'Exit Anticipated Rev. Recovery'!$C$14</f>
        <v>0</v>
      </c>
      <c r="K104" s="307">
        <f ca="1">VLOOKUP(A104,'Exit Anticipated Rev. Recovery'!F:Y,20,FALSE)</f>
        <v>1390851.0731991967</v>
      </c>
      <c r="L104" s="306">
        <f ca="1">((D104*H104)+(E104*I104))*'User Inputs'!$D$7/100</f>
        <v>1393175.6802591498</v>
      </c>
      <c r="M104" s="306">
        <f ca="1">((D104*J104)+(E104*J104))*'User Inputs'!$D$7/100</f>
        <v>0</v>
      </c>
    </row>
    <row r="105" spans="1:13">
      <c r="A105" s="309" t="str">
        <f>'Exit Prices'!A104</f>
        <v>Humbleton</v>
      </c>
      <c r="B105" s="280" t="str">
        <f>VLOOKUP(A105,'Locations &amp; Types'!E:I,4,FALSE)</f>
        <v>GDN (NO)</v>
      </c>
      <c r="C105" s="291">
        <f ca="1">VLOOKUP(A105,'Exit Prices'!$A:$C,3,FALSE)</f>
        <v>148471</v>
      </c>
      <c r="D105" s="291">
        <f ca="1">VLOOKUP(A105,'Exit Anticipated Rev. Recovery'!$F$1:$Y$231,2,FALSE)+VLOOKUP(A105,'Exit Anticipated Rev. Recovery'!$F$1:$Y$231,5,FALSE)+VLOOKUP(A105,'Exit Anticipated Rev. Recovery'!$F$1:$Y$231,8,FALSE)+VLOOKUP(A105,'Exit Anticipated Rev. Recovery'!$F$1:$Y$231,11,FALSE)+VLOOKUP(A105,'Exit Anticipated Rev. Recovery'!$F$1:$Y$231,14,FALSE)</f>
        <v>144753.8003275498</v>
      </c>
      <c r="E105" s="291">
        <f ca="1">VLOOKUP(A105,'Exit Anticipated Rev. Recovery'!$F$1:$Y$231,17,FALSE)</f>
        <v>3717.1996724502246</v>
      </c>
      <c r="F105" s="291">
        <f t="shared" ca="1" si="3"/>
        <v>148471.00000000003</v>
      </c>
      <c r="G105" s="283">
        <f ca="1">VLOOKUP($A105, 'Exit Prices'!$A$3:$Q$231, 8, 0)</f>
        <v>7.2344179438402385</v>
      </c>
      <c r="H105" s="283">
        <f ca="1">VLOOKUP($A105, 'Exit Prices'!$A$3:$Q$231, 12, 0)</f>
        <v>1.9820323133808871E-2</v>
      </c>
      <c r="I105" s="283">
        <f ca="1">VLOOKUP($A105, 'Exit Prices'!$A$3:$Q$231,17, 0)</f>
        <v>1.7838290820427986E-2</v>
      </c>
      <c r="J105" s="297">
        <f ca="1">'Exit Anticipated Rev. Recovery'!$C$14</f>
        <v>0</v>
      </c>
      <c r="K105" s="307">
        <f ca="1">VLOOKUP(A105,'Exit Anticipated Rev. Recovery'!F:Y,20,FALSE)</f>
        <v>10704.229821615661</v>
      </c>
      <c r="L105" s="306">
        <f ca="1">((D105*H105)+(E105*I105))*'User Inputs'!$D$7/100</f>
        <v>10714.120889387832</v>
      </c>
      <c r="M105" s="306">
        <f ca="1">((D105*J105)+(E105*J105))*'User Inputs'!$D$7/100</f>
        <v>0</v>
      </c>
    </row>
    <row r="106" spans="1:13">
      <c r="A106" s="309" t="str">
        <f>'Exit Prices'!A105</f>
        <v>Hume</v>
      </c>
      <c r="B106" s="280" t="str">
        <f>VLOOKUP(A106,'Locations &amp; Types'!E:I,4,FALSE)</f>
        <v>GDN (SC)</v>
      </c>
      <c r="C106" s="291">
        <f ca="1">VLOOKUP(A106,'Exit Prices'!$A:$C,3,FALSE)</f>
        <v>1684385</v>
      </c>
      <c r="D106" s="291">
        <f ca="1">VLOOKUP(A106,'Exit Anticipated Rev. Recovery'!$F$1:$Y$231,2,FALSE)+VLOOKUP(A106,'Exit Anticipated Rev. Recovery'!$F$1:$Y$231,5,FALSE)+VLOOKUP(A106,'Exit Anticipated Rev. Recovery'!$F$1:$Y$231,8,FALSE)+VLOOKUP(A106,'Exit Anticipated Rev. Recovery'!$F$1:$Y$231,11,FALSE)+VLOOKUP(A106,'Exit Anticipated Rev. Recovery'!$F$1:$Y$231,14,FALSE)</f>
        <v>1642213.8327668025</v>
      </c>
      <c r="E106" s="291">
        <f ca="1">VLOOKUP(A106,'Exit Anticipated Rev. Recovery'!$F$1:$Y$231,17,FALSE)</f>
        <v>42171.167233197542</v>
      </c>
      <c r="F106" s="291">
        <f t="shared" ca="1" si="3"/>
        <v>1684385</v>
      </c>
      <c r="G106" s="283">
        <f ca="1">VLOOKUP($A106, 'Exit Prices'!$A$3:$Q$231, 8, 0)</f>
        <v>7.2344179438402385</v>
      </c>
      <c r="H106" s="283">
        <f ca="1">VLOOKUP($A106, 'Exit Prices'!$A$3:$Q$231, 12, 0)</f>
        <v>1.9820323133808871E-2</v>
      </c>
      <c r="I106" s="283">
        <f ca="1">VLOOKUP($A106, 'Exit Prices'!$A$3:$Q$231,17, 0)</f>
        <v>1.7838290820427986E-2</v>
      </c>
      <c r="J106" s="297">
        <f ca="1">'Exit Anticipated Rev. Recovery'!$C$14</f>
        <v>0</v>
      </c>
      <c r="K106" s="307">
        <f ca="1">VLOOKUP(A106,'Exit Anticipated Rev. Recovery'!F:Y,20,FALSE)</f>
        <v>121438.15390266174</v>
      </c>
      <c r="L106" s="306">
        <f ca="1">((D106*H106)+(E106*I106))*'User Inputs'!$D$7/100</f>
        <v>121550.36683440887</v>
      </c>
      <c r="M106" s="306">
        <f ca="1">((D106*J106)+(E106*J106))*'User Inputs'!$D$7/100</f>
        <v>0</v>
      </c>
    </row>
    <row r="107" spans="1:13">
      <c r="A107" s="309" t="str">
        <f>'Exit Prices'!A106</f>
        <v>Ilchester</v>
      </c>
      <c r="B107" s="280" t="str">
        <f>VLOOKUP(A107,'Locations &amp; Types'!E:I,4,FALSE)</f>
        <v>GDN (SW)</v>
      </c>
      <c r="C107" s="291">
        <f ca="1">VLOOKUP(A107,'Exit Prices'!$A:$C,3,FALSE)</f>
        <v>32494518</v>
      </c>
      <c r="D107" s="291">
        <f ca="1">VLOOKUP(A107,'Exit Anticipated Rev. Recovery'!$F$1:$Y$231,2,FALSE)+VLOOKUP(A107,'Exit Anticipated Rev. Recovery'!$F$1:$Y$231,5,FALSE)+VLOOKUP(A107,'Exit Anticipated Rev. Recovery'!$F$1:$Y$231,8,FALSE)+VLOOKUP(A107,'Exit Anticipated Rev. Recovery'!$F$1:$Y$231,11,FALSE)+VLOOKUP(A107,'Exit Anticipated Rev. Recovery'!$F$1:$Y$231,14,FALSE)</f>
        <v>31680967.800526515</v>
      </c>
      <c r="E107" s="291">
        <f ca="1">VLOOKUP(A107,'Exit Anticipated Rev. Recovery'!$F$1:$Y$231,17,FALSE)</f>
        <v>813550.19947348593</v>
      </c>
      <c r="F107" s="291">
        <f t="shared" ca="1" si="3"/>
        <v>32494518</v>
      </c>
      <c r="G107" s="283">
        <f ca="1">VLOOKUP($A107, 'Exit Prices'!$A$3:$Q$231, 8, 0)</f>
        <v>7.2344179438402385</v>
      </c>
      <c r="H107" s="283">
        <f ca="1">VLOOKUP($A107, 'Exit Prices'!$A$3:$Q$231, 12, 0)</f>
        <v>1.9820323133808871E-2</v>
      </c>
      <c r="I107" s="283">
        <f ca="1">VLOOKUP($A107, 'Exit Prices'!$A$3:$Q$231,17, 0)</f>
        <v>1.7838290820427986E-2</v>
      </c>
      <c r="J107" s="297">
        <f ca="1">'Exit Anticipated Rev. Recovery'!$C$14</f>
        <v>0</v>
      </c>
      <c r="K107" s="307">
        <f ca="1">VLOOKUP(A107,'Exit Anticipated Rev. Recovery'!F:Y,20,FALSE)</f>
        <v>2342738.9093804634</v>
      </c>
      <c r="L107" s="306">
        <f ca="1">((D107*H107)+(E107*I107))*'User Inputs'!$D$7/100</f>
        <v>2344903.6787951104</v>
      </c>
      <c r="M107" s="306">
        <f ca="1">((D107*J107)+(E107*J107))*'User Inputs'!$D$7/100</f>
        <v>0</v>
      </c>
    </row>
    <row r="108" spans="1:13">
      <c r="A108" s="309" t="str">
        <f>'Exit Prices'!A107</f>
        <v>Ipsden</v>
      </c>
      <c r="B108" s="280" t="str">
        <f>VLOOKUP(A108,'Locations &amp; Types'!E:I,4,FALSE)</f>
        <v>GDN (SO)</v>
      </c>
      <c r="C108" s="291">
        <f ca="1">VLOOKUP(A108,'Exit Prices'!$A:$C,3,FALSE)</f>
        <v>8915734</v>
      </c>
      <c r="D108" s="291">
        <f ca="1">VLOOKUP(A108,'Exit Anticipated Rev. Recovery'!$F$1:$Y$231,2,FALSE)+VLOOKUP(A108,'Exit Anticipated Rev. Recovery'!$F$1:$Y$231,5,FALSE)+VLOOKUP(A108,'Exit Anticipated Rev. Recovery'!$F$1:$Y$231,8,FALSE)+VLOOKUP(A108,'Exit Anticipated Rev. Recovery'!$F$1:$Y$231,11,FALSE)+VLOOKUP(A108,'Exit Anticipated Rev. Recovery'!$F$1:$Y$231,14,FALSE)</f>
        <v>8692514.8965760767</v>
      </c>
      <c r="E108" s="291">
        <f ca="1">VLOOKUP(A108,'Exit Anticipated Rev. Recovery'!$F$1:$Y$231,17,FALSE)</f>
        <v>223219.1034239234</v>
      </c>
      <c r="F108" s="291">
        <f t="shared" ca="1" si="3"/>
        <v>8915734</v>
      </c>
      <c r="G108" s="283">
        <f ca="1">VLOOKUP($A108, 'Exit Prices'!$A$3:$Q$231, 8, 0)</f>
        <v>7.2344179438402385</v>
      </c>
      <c r="H108" s="283">
        <f ca="1">VLOOKUP($A108, 'Exit Prices'!$A$3:$Q$231, 12, 0)</f>
        <v>1.9820323133808871E-2</v>
      </c>
      <c r="I108" s="283">
        <f ca="1">VLOOKUP($A108, 'Exit Prices'!$A$3:$Q$231,17, 0)</f>
        <v>1.7838290820427986E-2</v>
      </c>
      <c r="J108" s="297">
        <f ca="1">'Exit Anticipated Rev. Recovery'!$C$14</f>
        <v>0</v>
      </c>
      <c r="K108" s="307">
        <f ca="1">VLOOKUP(A108,'Exit Anticipated Rev. Recovery'!F:Y,20,FALSE)</f>
        <v>642792.6380531732</v>
      </c>
      <c r="L108" s="306">
        <f ca="1">((D108*H108)+(E108*I108))*'User Inputs'!$D$7/100</f>
        <v>643386.60003384715</v>
      </c>
      <c r="M108" s="306">
        <f ca="1">((D108*J108)+(E108*J108))*'User Inputs'!$D$7/100</f>
        <v>0</v>
      </c>
    </row>
    <row r="109" spans="1:13">
      <c r="A109" s="309" t="str">
        <f>'Exit Prices'!A108</f>
        <v>Ipsden 2</v>
      </c>
      <c r="B109" s="280" t="str">
        <f>VLOOKUP(A109,'Locations &amp; Types'!E:I,4,FALSE)</f>
        <v>GDN (SO)</v>
      </c>
      <c r="C109" s="291">
        <f ca="1">VLOOKUP(A109,'Exit Prices'!$A:$C,3,FALSE)</f>
        <v>12083873</v>
      </c>
      <c r="D109" s="291">
        <f ca="1">VLOOKUP(A109,'Exit Anticipated Rev. Recovery'!$F$1:$Y$231,2,FALSE)+VLOOKUP(A109,'Exit Anticipated Rev. Recovery'!$F$1:$Y$231,5,FALSE)+VLOOKUP(A109,'Exit Anticipated Rev. Recovery'!$F$1:$Y$231,8,FALSE)+VLOOKUP(A109,'Exit Anticipated Rev. Recovery'!$F$1:$Y$231,11,FALSE)+VLOOKUP(A109,'Exit Anticipated Rev. Recovery'!$F$1:$Y$231,14,FALSE)</f>
        <v>11781334.667547667</v>
      </c>
      <c r="E109" s="291">
        <f ca="1">VLOOKUP(A109,'Exit Anticipated Rev. Recovery'!$F$1:$Y$231,17,FALSE)</f>
        <v>302538.33245233155</v>
      </c>
      <c r="F109" s="291">
        <f t="shared" ca="1" si="3"/>
        <v>12083872.999999998</v>
      </c>
      <c r="G109" s="283">
        <f ca="1">VLOOKUP($A109, 'Exit Prices'!$A$3:$Q$231, 8, 0)</f>
        <v>7.2344179438402385</v>
      </c>
      <c r="H109" s="283">
        <f ca="1">VLOOKUP($A109, 'Exit Prices'!$A$3:$Q$231, 12, 0)</f>
        <v>1.9820323133808871E-2</v>
      </c>
      <c r="I109" s="283">
        <f ca="1">VLOOKUP($A109, 'Exit Prices'!$A$3:$Q$231,17, 0)</f>
        <v>1.7838290820427986E-2</v>
      </c>
      <c r="J109" s="297">
        <f ca="1">'Exit Anticipated Rev. Recovery'!$C$14</f>
        <v>0</v>
      </c>
      <c r="K109" s="307">
        <f ca="1">VLOOKUP(A109,'Exit Anticipated Rev. Recovery'!F:Y,20,FALSE)</f>
        <v>871204.16597999784</v>
      </c>
      <c r="L109" s="306">
        <f ca="1">((D109*H109)+(E109*I109))*'User Inputs'!$D$7/100</f>
        <v>872009.18788187299</v>
      </c>
      <c r="M109" s="306">
        <f ca="1">((D109*J109)+(E109*J109))*'User Inputs'!$D$7/100</f>
        <v>0</v>
      </c>
    </row>
    <row r="110" spans="1:13">
      <c r="A110" s="309" t="str">
        <f>'Exit Prices'!A109</f>
        <v>Keld</v>
      </c>
      <c r="B110" s="280" t="str">
        <f>VLOOKUP(A110,'Locations &amp; Types'!E:I,4,FALSE)</f>
        <v>GDN (NO)</v>
      </c>
      <c r="C110" s="291">
        <f ca="1">VLOOKUP(A110,'Exit Prices'!$A:$C,3,FALSE)</f>
        <v>1156178</v>
      </c>
      <c r="D110" s="291">
        <f ca="1">VLOOKUP(A110,'Exit Anticipated Rev. Recovery'!$F$1:$Y$231,2,FALSE)+VLOOKUP(A110,'Exit Anticipated Rev. Recovery'!$F$1:$Y$231,5,FALSE)+VLOOKUP(A110,'Exit Anticipated Rev. Recovery'!$F$1:$Y$231,8,FALSE)+VLOOKUP(A110,'Exit Anticipated Rev. Recovery'!$F$1:$Y$231,11,FALSE)+VLOOKUP(A110,'Exit Anticipated Rev. Recovery'!$F$1:$Y$231,14,FALSE)</f>
        <v>1127231.3068215738</v>
      </c>
      <c r="E110" s="291">
        <f ca="1">VLOOKUP(A110,'Exit Anticipated Rev. Recovery'!$F$1:$Y$231,17,FALSE)</f>
        <v>28946.693178426471</v>
      </c>
      <c r="F110" s="291">
        <f t="shared" ca="1" si="3"/>
        <v>1156178.0000000002</v>
      </c>
      <c r="G110" s="283">
        <f ca="1">VLOOKUP($A110, 'Exit Prices'!$A$3:$Q$231, 8, 0)</f>
        <v>7.2344179438402385</v>
      </c>
      <c r="H110" s="283">
        <f ca="1">VLOOKUP($A110, 'Exit Prices'!$A$3:$Q$231, 12, 0)</f>
        <v>1.9820323133808871E-2</v>
      </c>
      <c r="I110" s="283">
        <f ca="1">VLOOKUP($A110, 'Exit Prices'!$A$3:$Q$231,17, 0)</f>
        <v>1.7838290820427986E-2</v>
      </c>
      <c r="J110" s="297">
        <f ca="1">'Exit Anticipated Rev. Recovery'!$C$14</f>
        <v>0</v>
      </c>
      <c r="K110" s="307">
        <f ca="1">VLOOKUP(A110,'Exit Anticipated Rev. Recovery'!F:Y,20,FALSE)</f>
        <v>83356.312186864438</v>
      </c>
      <c r="L110" s="306">
        <f ca="1">((D110*H110)+(E110*I110))*'User Inputs'!$D$7/100</f>
        <v>83433.336218188357</v>
      </c>
      <c r="M110" s="306">
        <f ca="1">((D110*J110)+(E110*J110))*'User Inputs'!$D$7/100</f>
        <v>0</v>
      </c>
    </row>
    <row r="111" spans="1:13">
      <c r="A111" s="309" t="str">
        <f>'Exit Prices'!A110</f>
        <v>Kenn</v>
      </c>
      <c r="B111" s="280" t="str">
        <f>VLOOKUP(A111,'Locations &amp; Types'!E:I,4,FALSE)</f>
        <v>GDN (SW)</v>
      </c>
      <c r="C111" s="291">
        <f ca="1">VLOOKUP(A111,'Exit Prices'!$A:$C,3,FALSE)</f>
        <v>14000883</v>
      </c>
      <c r="D111" s="291">
        <f ca="1">VLOOKUP(A111,'Exit Anticipated Rev. Recovery'!$F$1:$Y$231,2,FALSE)+VLOOKUP(A111,'Exit Anticipated Rev. Recovery'!$F$1:$Y$231,5,FALSE)+VLOOKUP(A111,'Exit Anticipated Rev. Recovery'!$F$1:$Y$231,8,FALSE)+VLOOKUP(A111,'Exit Anticipated Rev. Recovery'!$F$1:$Y$231,11,FALSE)+VLOOKUP(A111,'Exit Anticipated Rev. Recovery'!$F$1:$Y$231,14,FALSE)</f>
        <v>13650349.375914395</v>
      </c>
      <c r="E111" s="291">
        <f ca="1">VLOOKUP(A111,'Exit Anticipated Rev. Recovery'!$F$1:$Y$231,17,FALSE)</f>
        <v>350533.62408560544</v>
      </c>
      <c r="F111" s="291">
        <f t="shared" ca="1" si="3"/>
        <v>14000883</v>
      </c>
      <c r="G111" s="283">
        <f ca="1">VLOOKUP($A111, 'Exit Prices'!$A$3:$Q$231, 8, 0)</f>
        <v>7.2344179438402385</v>
      </c>
      <c r="H111" s="283">
        <f ca="1">VLOOKUP($A111, 'Exit Prices'!$A$3:$Q$231, 12, 0)</f>
        <v>1.9820323133808871E-2</v>
      </c>
      <c r="I111" s="283">
        <f ca="1">VLOOKUP($A111, 'Exit Prices'!$A$3:$Q$231,17, 0)</f>
        <v>1.7838290820427986E-2</v>
      </c>
      <c r="J111" s="297">
        <f ca="1">'Exit Anticipated Rev. Recovery'!$C$14</f>
        <v>0</v>
      </c>
      <c r="K111" s="307">
        <f ca="1">VLOOKUP(A111,'Exit Anticipated Rev. Recovery'!F:Y,20,FALSE)</f>
        <v>1009413.7531070156</v>
      </c>
      <c r="L111" s="306">
        <f ca="1">((D111*H111)+(E111*I111))*'User Inputs'!$D$7/100</f>
        <v>1010346.4853080731</v>
      </c>
      <c r="M111" s="306">
        <f ca="1">((D111*J111)+(E111*J111))*'User Inputs'!$D$7/100</f>
        <v>0</v>
      </c>
    </row>
    <row r="112" spans="1:13">
      <c r="A112" s="309" t="str">
        <f>'Exit Prices'!A111</f>
        <v>Kinknockie</v>
      </c>
      <c r="B112" s="280" t="str">
        <f>VLOOKUP(A112,'Locations &amp; Types'!E:I,4,FALSE)</f>
        <v>GDN (SC)</v>
      </c>
      <c r="C112" s="291">
        <f ca="1">VLOOKUP(A112,'Exit Prices'!$A:$C,3,FALSE)</f>
        <v>3068392</v>
      </c>
      <c r="D112" s="291">
        <f ca="1">VLOOKUP(A112,'Exit Anticipated Rev. Recovery'!$F$1:$Y$231,2,FALSE)+VLOOKUP(A112,'Exit Anticipated Rev. Recovery'!$F$1:$Y$231,5,FALSE)+VLOOKUP(A112,'Exit Anticipated Rev. Recovery'!$F$1:$Y$231,8,FALSE)+VLOOKUP(A112,'Exit Anticipated Rev. Recovery'!$F$1:$Y$231,11,FALSE)+VLOOKUP(A112,'Exit Anticipated Rev. Recovery'!$F$1:$Y$231,14,FALSE)</f>
        <v>2991570.0904193483</v>
      </c>
      <c r="E112" s="291">
        <f ca="1">VLOOKUP(A112,'Exit Anticipated Rev. Recovery'!$F$1:$Y$231,17,FALSE)</f>
        <v>76821.90958065138</v>
      </c>
      <c r="F112" s="291">
        <f t="shared" ca="1" si="3"/>
        <v>3068391.9999999995</v>
      </c>
      <c r="G112" s="283">
        <f ca="1">VLOOKUP($A112, 'Exit Prices'!$A$3:$Q$231, 8, 0)</f>
        <v>7.2344179438402385</v>
      </c>
      <c r="H112" s="283">
        <f ca="1">VLOOKUP($A112, 'Exit Prices'!$A$3:$Q$231, 12, 0)</f>
        <v>1.9820323133808871E-2</v>
      </c>
      <c r="I112" s="283">
        <f ca="1">VLOOKUP($A112, 'Exit Prices'!$A$3:$Q$231,17, 0)</f>
        <v>1.7838290820427986E-2</v>
      </c>
      <c r="J112" s="297">
        <f ca="1">'Exit Anticipated Rev. Recovery'!$C$14</f>
        <v>0</v>
      </c>
      <c r="K112" s="307">
        <f ca="1">VLOOKUP(A112,'Exit Anticipated Rev. Recovery'!F:Y,20,FALSE)</f>
        <v>221220.12481095237</v>
      </c>
      <c r="L112" s="306">
        <f ca="1">((D112*H112)+(E112*I112))*'User Inputs'!$D$7/100</f>
        <v>221424.53963420796</v>
      </c>
      <c r="M112" s="306">
        <f ca="1">((D112*J112)+(E112*J112))*'User Inputs'!$D$7/100</f>
        <v>0</v>
      </c>
    </row>
    <row r="113" spans="1:13">
      <c r="A113" s="309" t="str">
        <f>'Exit Prices'!A112</f>
        <v>Kirkstead</v>
      </c>
      <c r="B113" s="280" t="str">
        <f>VLOOKUP(A113,'Locations &amp; Types'!E:I,4,FALSE)</f>
        <v>GDN (EM)</v>
      </c>
      <c r="C113" s="291">
        <f ca="1">VLOOKUP(A113,'Exit Prices'!$A:$C,3,FALSE)</f>
        <v>858703</v>
      </c>
      <c r="D113" s="291">
        <f ca="1">VLOOKUP(A113,'Exit Anticipated Rev. Recovery'!$F$1:$Y$231,2,FALSE)+VLOOKUP(A113,'Exit Anticipated Rev. Recovery'!$F$1:$Y$231,5,FALSE)+VLOOKUP(A113,'Exit Anticipated Rev. Recovery'!$F$1:$Y$231,8,FALSE)+VLOOKUP(A113,'Exit Anticipated Rev. Recovery'!$F$1:$Y$231,11,FALSE)+VLOOKUP(A113,'Exit Anticipated Rev. Recovery'!$F$1:$Y$231,14,FALSE)</f>
        <v>837204.05064065033</v>
      </c>
      <c r="E113" s="291">
        <f ca="1">VLOOKUP(A113,'Exit Anticipated Rev. Recovery'!$F$1:$Y$231,17,FALSE)</f>
        <v>21498.949359349808</v>
      </c>
      <c r="F113" s="291">
        <f t="shared" ca="1" si="3"/>
        <v>858703.00000000012</v>
      </c>
      <c r="G113" s="283">
        <f ca="1">VLOOKUP($A113, 'Exit Prices'!$A$3:$Q$231, 8, 0)</f>
        <v>7.2344179438402385</v>
      </c>
      <c r="H113" s="283">
        <f ca="1">VLOOKUP($A113, 'Exit Prices'!$A$3:$Q$231, 12, 0)</f>
        <v>1.9820323133808871E-2</v>
      </c>
      <c r="I113" s="283">
        <f ca="1">VLOOKUP($A113, 'Exit Prices'!$A$3:$Q$231,17, 0)</f>
        <v>1.7838290820427986E-2</v>
      </c>
      <c r="J113" s="297">
        <f ca="1">'Exit Anticipated Rev. Recovery'!$C$14</f>
        <v>0</v>
      </c>
      <c r="K113" s="307">
        <f ca="1">VLOOKUP(A113,'Exit Anticipated Rev. Recovery'!F:Y,20,FALSE)</f>
        <v>61909.425143703702</v>
      </c>
      <c r="L113" s="306">
        <f ca="1">((D113*H113)+(E113*I113))*'User Inputs'!$D$7/100</f>
        <v>61966.631531275452</v>
      </c>
      <c r="M113" s="306">
        <f ca="1">((D113*J113)+(E113*J113))*'User Inputs'!$D$7/100</f>
        <v>0</v>
      </c>
    </row>
    <row r="114" spans="1:13">
      <c r="A114" s="309" t="str">
        <f>'Exit Prices'!A113</f>
        <v>Langage Power Station</v>
      </c>
      <c r="B114" s="280" t="str">
        <f>VLOOKUP(A114,'Locations &amp; Types'!E:I,4,FALSE)</f>
        <v>POWER STATION</v>
      </c>
      <c r="C114" s="291">
        <f ca="1">VLOOKUP(A114,'Exit Prices'!$A:$C,3,FALSE)</f>
        <v>31700000</v>
      </c>
      <c r="D114" s="291">
        <f ca="1">VLOOKUP(A114,'Exit Anticipated Rev. Recovery'!$F$1:$Y$231,2,FALSE)+VLOOKUP(A114,'Exit Anticipated Rev. Recovery'!$F$1:$Y$231,5,FALSE)+VLOOKUP(A114,'Exit Anticipated Rev. Recovery'!$F$1:$Y$231,8,FALSE)+VLOOKUP(A114,'Exit Anticipated Rev. Recovery'!$F$1:$Y$231,11,FALSE)+VLOOKUP(A114,'Exit Anticipated Rev. Recovery'!$F$1:$Y$231,14,FALSE)</f>
        <v>15725563.114574168</v>
      </c>
      <c r="E114" s="291">
        <f ca="1">VLOOKUP(A114,'Exit Anticipated Rev. Recovery'!$F$1:$Y$231,17,FALSE)</f>
        <v>15974436.885425828</v>
      </c>
      <c r="F114" s="291">
        <f t="shared" ca="1" si="3"/>
        <v>31699999.999999996</v>
      </c>
      <c r="G114" s="283">
        <f ca="1">VLOOKUP($A114, 'Exit Prices'!$A$3:$Q$231, 8, 0)</f>
        <v>7.2344179438402385</v>
      </c>
      <c r="H114" s="283">
        <f ca="1">VLOOKUP($A114, 'Exit Prices'!$A$3:$Q$231, 12, 0)</f>
        <v>1.9820323133808871E-2</v>
      </c>
      <c r="I114" s="283">
        <f ca="1">VLOOKUP($A114, 'Exit Prices'!$A$3:$Q$231,17, 0)</f>
        <v>1.7838290820427986E-2</v>
      </c>
      <c r="J114" s="297">
        <f ca="1">'Exit Anticipated Rev. Recovery'!$C$14</f>
        <v>0</v>
      </c>
      <c r="K114" s="307">
        <f ca="1">VLOOKUP(A114,'Exit Anticipated Rev. Recovery'!F:Y,20,FALSE)</f>
        <v>2176219.922446847</v>
      </c>
      <c r="L114" s="306">
        <f ca="1">((D114*H114)+(E114*I114))*'User Inputs'!$D$7/100</f>
        <v>2177744.7353506871</v>
      </c>
      <c r="M114" s="306">
        <f ca="1">((D114*J114)+(E114*J114))*'User Inputs'!$D$7/100</f>
        <v>0</v>
      </c>
    </row>
    <row r="115" spans="1:13">
      <c r="A115" s="309" t="str">
        <f>'Exit Prices'!A114</f>
        <v>Langholm</v>
      </c>
      <c r="B115" s="280" t="str">
        <f>VLOOKUP(A115,'Locations &amp; Types'!E:I,4,FALSE)</f>
        <v>GDN (SC)</v>
      </c>
      <c r="C115" s="291">
        <f ca="1">VLOOKUP(A115,'Exit Prices'!$A:$C,3,FALSE)</f>
        <v>155319</v>
      </c>
      <c r="D115" s="291">
        <f ca="1">VLOOKUP(A115,'Exit Anticipated Rev. Recovery'!$F$1:$Y$231,2,FALSE)+VLOOKUP(A115,'Exit Anticipated Rev. Recovery'!$F$1:$Y$231,5,FALSE)+VLOOKUP(A115,'Exit Anticipated Rev. Recovery'!$F$1:$Y$231,8,FALSE)+VLOOKUP(A115,'Exit Anticipated Rev. Recovery'!$F$1:$Y$231,11,FALSE)+VLOOKUP(A115,'Exit Anticipated Rev. Recovery'!$F$1:$Y$231,14,FALSE)</f>
        <v>151430.35012274925</v>
      </c>
      <c r="E115" s="291">
        <f ca="1">VLOOKUP(A115,'Exit Anticipated Rev. Recovery'!$F$1:$Y$231,17,FALSE)</f>
        <v>3888.649877250753</v>
      </c>
      <c r="F115" s="291">
        <f t="shared" ca="1" si="3"/>
        <v>155319</v>
      </c>
      <c r="G115" s="283">
        <f ca="1">VLOOKUP($A115, 'Exit Prices'!$A$3:$Q$231, 8, 0)</f>
        <v>7.2344179438402385</v>
      </c>
      <c r="H115" s="283">
        <f ca="1">VLOOKUP($A115, 'Exit Prices'!$A$3:$Q$231, 12, 0)</f>
        <v>1.9820323133808871E-2</v>
      </c>
      <c r="I115" s="283">
        <f ca="1">VLOOKUP($A115, 'Exit Prices'!$A$3:$Q$231,17, 0)</f>
        <v>1.7838290820427986E-2</v>
      </c>
      <c r="J115" s="297">
        <f ca="1">'Exit Anticipated Rev. Recovery'!$C$14</f>
        <v>0</v>
      </c>
      <c r="K115" s="307">
        <f ca="1">VLOOKUP(A115,'Exit Anticipated Rev. Recovery'!F:Y,20,FALSE)</f>
        <v>11197.946209451829</v>
      </c>
      <c r="L115" s="306">
        <f ca="1">((D115*H115)+(E115*I115))*'User Inputs'!$D$7/100</f>
        <v>11208.293487743924</v>
      </c>
      <c r="M115" s="306">
        <f ca="1">((D115*J115)+(E115*J115))*'User Inputs'!$D$7/100</f>
        <v>0</v>
      </c>
    </row>
    <row r="116" spans="1:13">
      <c r="A116" s="309" t="str">
        <f>'Exit Prices'!A115</f>
        <v>Lauderhill</v>
      </c>
      <c r="B116" s="280" t="str">
        <f>VLOOKUP(A116,'Locations &amp; Types'!E:I,4,FALSE)</f>
        <v>GDN (SC)</v>
      </c>
      <c r="C116" s="291">
        <f ca="1">VLOOKUP(A116,'Exit Prices'!$A:$C,3,FALSE)</f>
        <v>0</v>
      </c>
      <c r="D116" s="291">
        <f ca="1">VLOOKUP(A116,'Exit Anticipated Rev. Recovery'!$F$1:$Y$231,2,FALSE)+VLOOKUP(A116,'Exit Anticipated Rev. Recovery'!$F$1:$Y$231,5,FALSE)+VLOOKUP(A116,'Exit Anticipated Rev. Recovery'!$F$1:$Y$231,8,FALSE)+VLOOKUP(A116,'Exit Anticipated Rev. Recovery'!$F$1:$Y$231,11,FALSE)+VLOOKUP(A116,'Exit Anticipated Rev. Recovery'!$F$1:$Y$231,14,FALSE)</f>
        <v>0</v>
      </c>
      <c r="E116" s="291">
        <f ca="1">VLOOKUP(A116,'Exit Anticipated Rev. Recovery'!$F$1:$Y$231,17,FALSE)</f>
        <v>0</v>
      </c>
      <c r="F116" s="291">
        <f t="shared" ca="1" si="3"/>
        <v>0</v>
      </c>
      <c r="G116" s="283">
        <f ca="1">VLOOKUP($A116, 'Exit Prices'!$A$3:$Q$231, 8, 0)</f>
        <v>7.2344179438402385</v>
      </c>
      <c r="H116" s="283">
        <f ca="1">VLOOKUP($A116, 'Exit Prices'!$A$3:$Q$231, 12, 0)</f>
        <v>1.9820323133808871E-2</v>
      </c>
      <c r="I116" s="283">
        <f ca="1">VLOOKUP($A116, 'Exit Prices'!$A$3:$Q$231,17, 0)</f>
        <v>1.7838290820427986E-2</v>
      </c>
      <c r="J116" s="297">
        <f ca="1">'Exit Anticipated Rev. Recovery'!$C$14</f>
        <v>0</v>
      </c>
      <c r="K116" s="307">
        <f ca="1">VLOOKUP(A116,'Exit Anticipated Rev. Recovery'!F:Y,20,FALSE)</f>
        <v>0</v>
      </c>
      <c r="L116" s="306">
        <f ca="1">((D116*H116)+(E116*I116))*'User Inputs'!$D$7/100</f>
        <v>0</v>
      </c>
      <c r="M116" s="306">
        <f ca="1">((D116*J116)+(E116*J116))*'User Inputs'!$D$7/100</f>
        <v>0</v>
      </c>
    </row>
    <row r="117" spans="1:13">
      <c r="A117" s="309" t="str">
        <f>'Exit Prices'!A116</f>
        <v>Leamington</v>
      </c>
      <c r="B117" s="280" t="str">
        <f>VLOOKUP(A117,'Locations &amp; Types'!E:I,4,FALSE)</f>
        <v>GDN (WM)</v>
      </c>
      <c r="C117" s="291">
        <f ca="1">VLOOKUP(A117,'Exit Prices'!$A:$C,3,FALSE)</f>
        <v>3634748</v>
      </c>
      <c r="D117" s="291">
        <f ca="1">VLOOKUP(A117,'Exit Anticipated Rev. Recovery'!$F$1:$Y$231,2,FALSE)+VLOOKUP(A117,'Exit Anticipated Rev. Recovery'!$F$1:$Y$231,5,FALSE)+VLOOKUP(A117,'Exit Anticipated Rev. Recovery'!$F$1:$Y$231,8,FALSE)+VLOOKUP(A117,'Exit Anticipated Rev. Recovery'!$F$1:$Y$231,11,FALSE)+VLOOKUP(A117,'Exit Anticipated Rev. Recovery'!$F$1:$Y$231,14,FALSE)</f>
        <v>3543746.4975177706</v>
      </c>
      <c r="E117" s="291">
        <f ca="1">VLOOKUP(A117,'Exit Anticipated Rev. Recovery'!$F$1:$Y$231,17,FALSE)</f>
        <v>91001.502482229596</v>
      </c>
      <c r="F117" s="291">
        <f t="shared" ca="1" si="3"/>
        <v>3634748</v>
      </c>
      <c r="G117" s="283">
        <f ca="1">VLOOKUP($A117, 'Exit Prices'!$A$3:$Q$231, 8, 0)</f>
        <v>7.2344179438402385</v>
      </c>
      <c r="H117" s="283">
        <f ca="1">VLOOKUP($A117, 'Exit Prices'!$A$3:$Q$231, 12, 0)</f>
        <v>1.9820323133808871E-2</v>
      </c>
      <c r="I117" s="283">
        <f ca="1">VLOOKUP($A117, 'Exit Prices'!$A$3:$Q$231,17, 0)</f>
        <v>1.7838290820427986E-2</v>
      </c>
      <c r="J117" s="297">
        <f ca="1">'Exit Anticipated Rev. Recovery'!$C$14</f>
        <v>0</v>
      </c>
      <c r="K117" s="307">
        <f ca="1">VLOOKUP(A117,'Exit Anticipated Rev. Recovery'!F:Y,20,FALSE)</f>
        <v>262052.37343089134</v>
      </c>
      <c r="L117" s="306">
        <f ca="1">((D117*H117)+(E117*I117))*'User Inputs'!$D$7/100</f>
        <v>262294.51862290036</v>
      </c>
      <c r="M117" s="306">
        <f ca="1">((D117*J117)+(E117*J117))*'User Inputs'!$D$7/100</f>
        <v>0</v>
      </c>
    </row>
    <row r="118" spans="1:13">
      <c r="A118" s="309" t="str">
        <f>'Exit Prices'!A117</f>
        <v>Little Burdon</v>
      </c>
      <c r="B118" s="280" t="str">
        <f>VLOOKUP(A118,'Locations &amp; Types'!E:I,4,FALSE)</f>
        <v>GDN (NO)</v>
      </c>
      <c r="C118" s="291">
        <f ca="1">VLOOKUP(A118,'Exit Prices'!$A:$C,3,FALSE)</f>
        <v>14089321</v>
      </c>
      <c r="D118" s="291">
        <f ca="1">VLOOKUP(A118,'Exit Anticipated Rev. Recovery'!$F$1:$Y$231,2,FALSE)+VLOOKUP(A118,'Exit Anticipated Rev. Recovery'!$F$1:$Y$231,5,FALSE)+VLOOKUP(A118,'Exit Anticipated Rev. Recovery'!$F$1:$Y$231,8,FALSE)+VLOOKUP(A118,'Exit Anticipated Rev. Recovery'!$F$1:$Y$231,11,FALSE)+VLOOKUP(A118,'Exit Anticipated Rev. Recovery'!$F$1:$Y$231,14,FALSE)</f>
        <v>13736573.194662619</v>
      </c>
      <c r="E118" s="291">
        <f ca="1">VLOOKUP(A118,'Exit Anticipated Rev. Recovery'!$F$1:$Y$231,17,FALSE)</f>
        <v>352747.80533737951</v>
      </c>
      <c r="F118" s="291">
        <f t="shared" ca="1" si="3"/>
        <v>14089320.999999998</v>
      </c>
      <c r="G118" s="283">
        <f ca="1">VLOOKUP($A118, 'Exit Prices'!$A$3:$Q$231, 8, 0)</f>
        <v>7.2344179438402385</v>
      </c>
      <c r="H118" s="283">
        <f ca="1">VLOOKUP($A118, 'Exit Prices'!$A$3:$Q$231, 12, 0)</f>
        <v>1.9820323133808871E-2</v>
      </c>
      <c r="I118" s="283">
        <f ca="1">VLOOKUP($A118, 'Exit Prices'!$A$3:$Q$231,17, 0)</f>
        <v>1.7838290820427986E-2</v>
      </c>
      <c r="J118" s="297">
        <f ca="1">'Exit Anticipated Rev. Recovery'!$C$14</f>
        <v>0</v>
      </c>
      <c r="K118" s="307">
        <f ca="1">VLOOKUP(A118,'Exit Anticipated Rev. Recovery'!F:Y,20,FALSE)</f>
        <v>1015789.8176378938</v>
      </c>
      <c r="L118" s="306">
        <f ca="1">((D118*H118)+(E118*I118))*'User Inputs'!$D$7/100</f>
        <v>1016728.441536668</v>
      </c>
      <c r="M118" s="306">
        <f ca="1">((D118*J118)+(E118*J118))*'User Inputs'!$D$7/100</f>
        <v>0</v>
      </c>
    </row>
    <row r="119" spans="1:13">
      <c r="A119" s="309" t="str">
        <f>'Exit Prices'!A118</f>
        <v>Littleton Drew</v>
      </c>
      <c r="B119" s="280" t="str">
        <f>VLOOKUP(A119,'Locations &amp; Types'!E:I,4,FALSE)</f>
        <v>GDN (SW)</v>
      </c>
      <c r="C119" s="291">
        <f ca="1">VLOOKUP(A119,'Exit Prices'!$A:$C,3,FALSE)</f>
        <v>2299463</v>
      </c>
      <c r="D119" s="291">
        <f ca="1">VLOOKUP(A119,'Exit Anticipated Rev. Recovery'!$F$1:$Y$231,2,FALSE)+VLOOKUP(A119,'Exit Anticipated Rev. Recovery'!$F$1:$Y$231,5,FALSE)+VLOOKUP(A119,'Exit Anticipated Rev. Recovery'!$F$1:$Y$231,8,FALSE)+VLOOKUP(A119,'Exit Anticipated Rev. Recovery'!$F$1:$Y$231,11,FALSE)+VLOOKUP(A119,'Exit Anticipated Rev. Recovery'!$F$1:$Y$231,14,FALSE)</f>
        <v>2241892.4097136045</v>
      </c>
      <c r="E119" s="291">
        <f ca="1">VLOOKUP(A119,'Exit Anticipated Rev. Recovery'!$F$1:$Y$231,17,FALSE)</f>
        <v>57570.590286395403</v>
      </c>
      <c r="F119" s="291">
        <f t="shared" ca="1" si="3"/>
        <v>2299463</v>
      </c>
      <c r="G119" s="283">
        <f ca="1">VLOOKUP($A119, 'Exit Prices'!$A$3:$Q$231, 8, 0)</f>
        <v>7.2344179438402385</v>
      </c>
      <c r="H119" s="283">
        <f ca="1">VLOOKUP($A119, 'Exit Prices'!$A$3:$Q$231, 12, 0)</f>
        <v>1.9820323133808871E-2</v>
      </c>
      <c r="I119" s="283">
        <f ca="1">VLOOKUP($A119, 'Exit Prices'!$A$3:$Q$231,17, 0)</f>
        <v>1.7838290820427986E-2</v>
      </c>
      <c r="J119" s="297">
        <f ca="1">'Exit Anticipated Rev. Recovery'!$C$14</f>
        <v>0</v>
      </c>
      <c r="K119" s="307">
        <f ca="1">VLOOKUP(A119,'Exit Anticipated Rev. Recovery'!F:Y,20,FALSE)</f>
        <v>165783.08503547363</v>
      </c>
      <c r="L119" s="306">
        <f ca="1">((D119*H119)+(E119*I119))*'User Inputs'!$D$7/100</f>
        <v>165936.27417256168</v>
      </c>
      <c r="M119" s="306">
        <f ca="1">((D119*J119)+(E119*J119))*'User Inputs'!$D$7/100</f>
        <v>0</v>
      </c>
    </row>
    <row r="120" spans="1:13">
      <c r="A120" s="309" t="str">
        <f>'Exit Prices'!A119</f>
        <v>Lockerbie</v>
      </c>
      <c r="B120" s="280" t="str">
        <f>VLOOKUP(A120,'Locations &amp; Types'!E:I,4,FALSE)</f>
        <v>GDN (SC)</v>
      </c>
      <c r="C120" s="291">
        <f ca="1">VLOOKUP(A120,'Exit Prices'!$A:$C,3,FALSE)</f>
        <v>6757111</v>
      </c>
      <c r="D120" s="291">
        <f ca="1">VLOOKUP(A120,'Exit Anticipated Rev. Recovery'!$F$1:$Y$231,2,FALSE)+VLOOKUP(A120,'Exit Anticipated Rev. Recovery'!$F$1:$Y$231,5,FALSE)+VLOOKUP(A120,'Exit Anticipated Rev. Recovery'!$F$1:$Y$231,8,FALSE)+VLOOKUP(A120,'Exit Anticipated Rev. Recovery'!$F$1:$Y$231,11,FALSE)+VLOOKUP(A120,'Exit Anticipated Rev. Recovery'!$F$1:$Y$231,14,FALSE)</f>
        <v>6587936.341003228</v>
      </c>
      <c r="E120" s="291">
        <f ca="1">VLOOKUP(A120,'Exit Anticipated Rev. Recovery'!$F$1:$Y$231,17,FALSE)</f>
        <v>169174.65899677252</v>
      </c>
      <c r="F120" s="291">
        <f t="shared" ca="1" si="3"/>
        <v>6757111.0000000009</v>
      </c>
      <c r="G120" s="283">
        <f ca="1">VLOOKUP($A120, 'Exit Prices'!$A$3:$Q$231, 8, 0)</f>
        <v>7.2344179438402385</v>
      </c>
      <c r="H120" s="283">
        <f ca="1">VLOOKUP($A120, 'Exit Prices'!$A$3:$Q$231, 12, 0)</f>
        <v>1.9820323133808871E-2</v>
      </c>
      <c r="I120" s="283">
        <f ca="1">VLOOKUP($A120, 'Exit Prices'!$A$3:$Q$231,17, 0)</f>
        <v>1.7838290820427986E-2</v>
      </c>
      <c r="J120" s="297">
        <f ca="1">'Exit Anticipated Rev. Recovery'!$C$14</f>
        <v>0</v>
      </c>
      <c r="K120" s="307">
        <f ca="1">VLOOKUP(A120,'Exit Anticipated Rev. Recovery'!F:Y,20,FALSE)</f>
        <v>487163.61494276457</v>
      </c>
      <c r="L120" s="306">
        <f ca="1">((D120*H120)+(E120*I120))*'User Inputs'!$D$7/100</f>
        <v>487613.77048051322</v>
      </c>
      <c r="M120" s="306">
        <f ca="1">((D120*J120)+(E120*J120))*'User Inputs'!$D$7/100</f>
        <v>0</v>
      </c>
    </row>
    <row r="121" spans="1:13">
      <c r="A121" s="309" t="str">
        <f>'Exit Prices'!A120</f>
        <v>Lower Quinton</v>
      </c>
      <c r="B121" s="280" t="str">
        <f>VLOOKUP(A121,'Locations &amp; Types'!E:I,4,FALSE)</f>
        <v>GDN (WM)</v>
      </c>
      <c r="C121" s="291">
        <f ca="1">VLOOKUP(A121,'Exit Prices'!$A:$C,3,FALSE)</f>
        <v>29910000</v>
      </c>
      <c r="D121" s="291">
        <f ca="1">VLOOKUP(A121,'Exit Anticipated Rev. Recovery'!$F$1:$Y$231,2,FALSE)+VLOOKUP(A121,'Exit Anticipated Rev. Recovery'!$F$1:$Y$231,5,FALSE)+VLOOKUP(A121,'Exit Anticipated Rev. Recovery'!$F$1:$Y$231,8,FALSE)+VLOOKUP(A121,'Exit Anticipated Rev. Recovery'!$F$1:$Y$231,11,FALSE)+VLOOKUP(A121,'Exit Anticipated Rev. Recovery'!$F$1:$Y$231,14,FALSE)</f>
        <v>29161157.180843491</v>
      </c>
      <c r="E121" s="291">
        <f ca="1">VLOOKUP(A121,'Exit Anticipated Rev. Recovery'!$F$1:$Y$231,17,FALSE)</f>
        <v>748842.81915651029</v>
      </c>
      <c r="F121" s="291">
        <f t="shared" ca="1" si="3"/>
        <v>29910000</v>
      </c>
      <c r="G121" s="283">
        <f ca="1">VLOOKUP($A121, 'Exit Prices'!$A$3:$Q$231, 8, 0)</f>
        <v>7.2344179438402385</v>
      </c>
      <c r="H121" s="283">
        <f ca="1">VLOOKUP($A121, 'Exit Prices'!$A$3:$Q$231, 12, 0)</f>
        <v>1.9820323133808871E-2</v>
      </c>
      <c r="I121" s="283">
        <f ca="1">VLOOKUP($A121, 'Exit Prices'!$A$3:$Q$231,17, 0)</f>
        <v>1.7838290820427986E-2</v>
      </c>
      <c r="J121" s="297">
        <f ca="1">'Exit Anticipated Rev. Recovery'!$C$14</f>
        <v>0</v>
      </c>
      <c r="K121" s="307">
        <f ca="1">VLOOKUP(A121,'Exit Anticipated Rev. Recovery'!F:Y,20,FALSE)</f>
        <v>2156404.3750262633</v>
      </c>
      <c r="L121" s="306">
        <f ca="1">((D121*H121)+(E121*I121))*'User Inputs'!$D$7/100</f>
        <v>2158396.9650745937</v>
      </c>
      <c r="M121" s="306">
        <f ca="1">((D121*J121)+(E121*J121))*'User Inputs'!$D$7/100</f>
        <v>0</v>
      </c>
    </row>
    <row r="122" spans="1:13">
      <c r="A122" s="309" t="str">
        <f>'Exit Prices'!A121</f>
        <v>Lupton</v>
      </c>
      <c r="B122" s="280" t="str">
        <f>VLOOKUP(A122,'Locations &amp; Types'!E:I,4,FALSE)</f>
        <v>GDN (NW)</v>
      </c>
      <c r="C122" s="291">
        <f ca="1">VLOOKUP(A122,'Exit Prices'!$A:$C,3,FALSE)</f>
        <v>19815980</v>
      </c>
      <c r="D122" s="291">
        <f ca="1">VLOOKUP(A122,'Exit Anticipated Rev. Recovery'!$F$1:$Y$231,2,FALSE)+VLOOKUP(A122,'Exit Anticipated Rev. Recovery'!$F$1:$Y$231,5,FALSE)+VLOOKUP(A122,'Exit Anticipated Rev. Recovery'!$F$1:$Y$231,8,FALSE)+VLOOKUP(A122,'Exit Anticipated Rev. Recovery'!$F$1:$Y$231,11,FALSE)+VLOOKUP(A122,'Exit Anticipated Rev. Recovery'!$F$1:$Y$231,14,FALSE)</f>
        <v>19319856.485203978</v>
      </c>
      <c r="E122" s="291">
        <f ca="1">VLOOKUP(A122,'Exit Anticipated Rev. Recovery'!$F$1:$Y$231,17,FALSE)</f>
        <v>496123.51479602215</v>
      </c>
      <c r="F122" s="291">
        <f t="shared" ca="1" si="3"/>
        <v>19815980</v>
      </c>
      <c r="G122" s="283">
        <f ca="1">VLOOKUP($A122, 'Exit Prices'!$A$3:$Q$231, 8, 0)</f>
        <v>7.2344179438402385</v>
      </c>
      <c r="H122" s="283">
        <f ca="1">VLOOKUP($A122, 'Exit Prices'!$A$3:$Q$231, 12, 0)</f>
        <v>1.9820323133808871E-2</v>
      </c>
      <c r="I122" s="283">
        <f ca="1">VLOOKUP($A122, 'Exit Prices'!$A$3:$Q$231,17, 0)</f>
        <v>1.7838290820427986E-2</v>
      </c>
      <c r="J122" s="297">
        <f ca="1">'Exit Anticipated Rev. Recovery'!$C$14</f>
        <v>0</v>
      </c>
      <c r="K122" s="307">
        <f ca="1">VLOOKUP(A122,'Exit Anticipated Rev. Recovery'!F:Y,20,FALSE)</f>
        <v>1428661.5167981589</v>
      </c>
      <c r="L122" s="306">
        <f ca="1">((D122*H122)+(E122*I122))*'User Inputs'!$D$7/100</f>
        <v>1429981.6480099917</v>
      </c>
      <c r="M122" s="306">
        <f ca="1">((D122*J122)+(E122*J122))*'User Inputs'!$D$7/100</f>
        <v>0</v>
      </c>
    </row>
    <row r="123" spans="1:13">
      <c r="A123" s="309" t="str">
        <f>'Exit Prices'!A122</f>
        <v>Luxborough Lane</v>
      </c>
      <c r="B123" s="280" t="str">
        <f>VLOOKUP(A123,'Locations &amp; Types'!E:I,4,FALSE)</f>
        <v>GDN (NT)</v>
      </c>
      <c r="C123" s="291">
        <f ca="1">VLOOKUP(A123,'Exit Prices'!$A:$C,3,FALSE)</f>
        <v>76147689</v>
      </c>
      <c r="D123" s="291">
        <f ca="1">VLOOKUP(A123,'Exit Anticipated Rev. Recovery'!$F$1:$Y$231,2,FALSE)+VLOOKUP(A123,'Exit Anticipated Rev. Recovery'!$F$1:$Y$231,5,FALSE)+VLOOKUP(A123,'Exit Anticipated Rev. Recovery'!$F$1:$Y$231,8,FALSE)+VLOOKUP(A123,'Exit Anticipated Rev. Recovery'!$F$1:$Y$231,11,FALSE)+VLOOKUP(A123,'Exit Anticipated Rev. Recovery'!$F$1:$Y$231,14,FALSE)</f>
        <v>74241214.573286086</v>
      </c>
      <c r="E123" s="291">
        <f ca="1">VLOOKUP(A123,'Exit Anticipated Rev. Recovery'!$F$1:$Y$231,17,FALSE)</f>
        <v>1906474.4267139146</v>
      </c>
      <c r="F123" s="291">
        <f t="shared" ca="1" si="3"/>
        <v>76147689</v>
      </c>
      <c r="G123" s="283">
        <f ca="1">VLOOKUP($A123, 'Exit Prices'!$A$3:$Q$231, 8, 0)</f>
        <v>7.2344179438402385</v>
      </c>
      <c r="H123" s="283">
        <f ca="1">VLOOKUP($A123, 'Exit Prices'!$A$3:$Q$231, 12, 0)</f>
        <v>1.9820323133808871E-2</v>
      </c>
      <c r="I123" s="283">
        <f ca="1">VLOOKUP($A123, 'Exit Prices'!$A$3:$Q$231,17, 0)</f>
        <v>1.7838290820427986E-2</v>
      </c>
      <c r="J123" s="297">
        <f ca="1">'Exit Anticipated Rev. Recovery'!$C$14</f>
        <v>0</v>
      </c>
      <c r="K123" s="307">
        <f ca="1">VLOOKUP(A123,'Exit Anticipated Rev. Recovery'!F:Y,20,FALSE)</f>
        <v>5489976.9210210387</v>
      </c>
      <c r="L123" s="306">
        <f ca="1">((D123*H123)+(E123*I123))*'User Inputs'!$D$7/100</f>
        <v>5495049.8440335663</v>
      </c>
      <c r="M123" s="306">
        <f ca="1">((D123*J123)+(E123*J123))*'User Inputs'!$D$7/100</f>
        <v>0</v>
      </c>
    </row>
    <row r="124" spans="1:13">
      <c r="A124" s="309" t="str">
        <f>'Exit Prices'!A123</f>
        <v>Lyneham (Choakford)</v>
      </c>
      <c r="B124" s="280" t="str">
        <f>VLOOKUP(A124,'Locations &amp; Types'!E:I,4,FALSE)</f>
        <v>GDN (SW)</v>
      </c>
      <c r="C124" s="291">
        <f ca="1">VLOOKUP(A124,'Exit Prices'!$A:$C,3,FALSE)</f>
        <v>45817300</v>
      </c>
      <c r="D124" s="291">
        <f ca="1">VLOOKUP(A124,'Exit Anticipated Rev. Recovery'!$F$1:$Y$231,2,FALSE)+VLOOKUP(A124,'Exit Anticipated Rev. Recovery'!$F$1:$Y$231,5,FALSE)+VLOOKUP(A124,'Exit Anticipated Rev. Recovery'!$F$1:$Y$231,8,FALSE)+VLOOKUP(A124,'Exit Anticipated Rev. Recovery'!$F$1:$Y$231,11,FALSE)+VLOOKUP(A124,'Exit Anticipated Rev. Recovery'!$F$1:$Y$231,14,FALSE)</f>
        <v>44670193.477160163</v>
      </c>
      <c r="E124" s="291">
        <f ca="1">VLOOKUP(A124,'Exit Anticipated Rev. Recovery'!$F$1:$Y$231,17,FALSE)</f>
        <v>1147106.5228398386</v>
      </c>
      <c r="F124" s="291">
        <f t="shared" ca="1" si="3"/>
        <v>45817300</v>
      </c>
      <c r="G124" s="283">
        <f ca="1">VLOOKUP($A124, 'Exit Prices'!$A$3:$Q$231, 8, 0)</f>
        <v>7.2344179438402385</v>
      </c>
      <c r="H124" s="283">
        <f ca="1">VLOOKUP($A124, 'Exit Prices'!$A$3:$Q$231, 12, 0)</f>
        <v>1.9820323133808871E-2</v>
      </c>
      <c r="I124" s="283">
        <f ca="1">VLOOKUP($A124, 'Exit Prices'!$A$3:$Q$231,17, 0)</f>
        <v>1.7838290820427986E-2</v>
      </c>
      <c r="J124" s="297">
        <f ca="1">'Exit Anticipated Rev. Recovery'!$C$14</f>
        <v>0</v>
      </c>
      <c r="K124" s="307">
        <f ca="1">VLOOKUP(A124,'Exit Anticipated Rev. Recovery'!F:Y,20,FALSE)</f>
        <v>3303263.9977228623</v>
      </c>
      <c r="L124" s="306">
        <f ca="1">((D124*H124)+(E124*I124))*'User Inputs'!$D$7/100</f>
        <v>3306316.3245707853</v>
      </c>
      <c r="M124" s="306">
        <f ca="1">((D124*J124)+(E124*J124))*'User Inputs'!$D$7/100</f>
        <v>0</v>
      </c>
    </row>
    <row r="125" spans="1:13">
      <c r="A125" s="309" t="str">
        <f>'Exit Prices'!A124</f>
        <v>Maelor</v>
      </c>
      <c r="B125" s="280" t="str">
        <f>VLOOKUP(A125,'Locations &amp; Types'!E:I,4,FALSE)</f>
        <v>GDN (WN)</v>
      </c>
      <c r="C125" s="291">
        <f ca="1">VLOOKUP(A125,'Exit Prices'!$A:$C,3,FALSE)</f>
        <v>49258990</v>
      </c>
      <c r="D125" s="291">
        <f ca="1">VLOOKUP(A125,'Exit Anticipated Rev. Recovery'!$F$1:$Y$231,2,FALSE)+VLOOKUP(A125,'Exit Anticipated Rev. Recovery'!$F$1:$Y$231,5,FALSE)+VLOOKUP(A125,'Exit Anticipated Rev. Recovery'!$F$1:$Y$231,8,FALSE)+VLOOKUP(A125,'Exit Anticipated Rev. Recovery'!$F$1:$Y$231,11,FALSE)+VLOOKUP(A125,'Exit Anticipated Rev. Recovery'!$F$1:$Y$231,14,FALSE)</f>
        <v>48025715.478421859</v>
      </c>
      <c r="E125" s="291">
        <f ca="1">VLOOKUP(A125,'Exit Anticipated Rev. Recovery'!$F$1:$Y$231,17,FALSE)</f>
        <v>1233274.5215781459</v>
      </c>
      <c r="F125" s="291">
        <f t="shared" ca="1" si="3"/>
        <v>49258990.000000007</v>
      </c>
      <c r="G125" s="283">
        <f ca="1">VLOOKUP($A125, 'Exit Prices'!$A$3:$Q$231, 8, 0)</f>
        <v>7.2344179438402385</v>
      </c>
      <c r="H125" s="283">
        <f ca="1">VLOOKUP($A125, 'Exit Prices'!$A$3:$Q$231, 12, 0)</f>
        <v>1.9820323133808871E-2</v>
      </c>
      <c r="I125" s="283">
        <f ca="1">VLOOKUP($A125, 'Exit Prices'!$A$3:$Q$231,17, 0)</f>
        <v>1.7838290820427986E-2</v>
      </c>
      <c r="J125" s="297">
        <f ca="1">'Exit Anticipated Rev. Recovery'!$C$14</f>
        <v>0</v>
      </c>
      <c r="K125" s="307">
        <f ca="1">VLOOKUP(A125,'Exit Anticipated Rev. Recovery'!F:Y,20,FALSE)</f>
        <v>3551397.5775785674</v>
      </c>
      <c r="L125" s="306">
        <f ca="1">((D125*H125)+(E125*I125))*'User Inputs'!$D$7/100</f>
        <v>3554679.1881858832</v>
      </c>
      <c r="M125" s="306">
        <f ca="1">((D125*J125)+(E125*J125))*'User Inputs'!$D$7/100</f>
        <v>0</v>
      </c>
    </row>
    <row r="126" spans="1:13">
      <c r="A126" s="309" t="str">
        <f>'Exit Prices'!A125</f>
        <v>Malpas</v>
      </c>
      <c r="B126" s="280" t="str">
        <f>VLOOKUP(A126,'Locations &amp; Types'!E:I,4,FALSE)</f>
        <v>GDN (NW)</v>
      </c>
      <c r="C126" s="291">
        <f ca="1">VLOOKUP(A126,'Exit Prices'!$A:$C,3,FALSE)</f>
        <v>685222</v>
      </c>
      <c r="D126" s="291">
        <f ca="1">VLOOKUP(A126,'Exit Anticipated Rev. Recovery'!$F$1:$Y$231,2,FALSE)+VLOOKUP(A126,'Exit Anticipated Rev. Recovery'!$F$1:$Y$231,5,FALSE)+VLOOKUP(A126,'Exit Anticipated Rev. Recovery'!$F$1:$Y$231,8,FALSE)+VLOOKUP(A126,'Exit Anticipated Rev. Recovery'!$F$1:$Y$231,11,FALSE)+VLOOKUP(A126,'Exit Anticipated Rev. Recovery'!$F$1:$Y$231,14,FALSE)</f>
        <v>668066.41410136875</v>
      </c>
      <c r="E126" s="291">
        <f ca="1">VLOOKUP(A126,'Exit Anticipated Rev. Recovery'!$F$1:$Y$231,17,FALSE)</f>
        <v>17155.5858986313</v>
      </c>
      <c r="F126" s="291">
        <f t="shared" ca="1" si="3"/>
        <v>685222</v>
      </c>
      <c r="G126" s="283">
        <f ca="1">VLOOKUP($A126, 'Exit Prices'!$A$3:$Q$231, 8, 0)</f>
        <v>7.2344179438402385</v>
      </c>
      <c r="H126" s="283">
        <f ca="1">VLOOKUP($A126, 'Exit Prices'!$A$3:$Q$231, 12, 0)</f>
        <v>1.9820323133808871E-2</v>
      </c>
      <c r="I126" s="283">
        <f ca="1">VLOOKUP($A126, 'Exit Prices'!$A$3:$Q$231,17, 0)</f>
        <v>1.7838290820427986E-2</v>
      </c>
      <c r="J126" s="297">
        <f ca="1">'Exit Anticipated Rev. Recovery'!$C$14</f>
        <v>0</v>
      </c>
      <c r="K126" s="307">
        <f ca="1">VLOOKUP(A126,'Exit Anticipated Rev. Recovery'!F:Y,20,FALSE)</f>
        <v>49402.063479245946</v>
      </c>
      <c r="L126" s="306">
        <f ca="1">((D126*H126)+(E126*I126))*'User Inputs'!$D$7/100</f>
        <v>49447.71264467881</v>
      </c>
      <c r="M126" s="306">
        <f ca="1">((D126*J126)+(E126*J126))*'User Inputs'!$D$7/100</f>
        <v>0</v>
      </c>
    </row>
    <row r="127" spans="1:13">
      <c r="A127" s="309" t="str">
        <f>'Exit Prices'!A126</f>
        <v>Mappowder</v>
      </c>
      <c r="B127" s="280" t="str">
        <f>VLOOKUP(A127,'Locations &amp; Types'!E:I,4,FALSE)</f>
        <v>GDN (SO)</v>
      </c>
      <c r="C127" s="291">
        <f ca="1">VLOOKUP(A127,'Exit Prices'!$A:$C,3,FALSE)</f>
        <v>38538881</v>
      </c>
      <c r="D127" s="291">
        <f ca="1">VLOOKUP(A127,'Exit Anticipated Rev. Recovery'!$F$1:$Y$231,2,FALSE)+VLOOKUP(A127,'Exit Anticipated Rev. Recovery'!$F$1:$Y$231,5,FALSE)+VLOOKUP(A127,'Exit Anticipated Rev. Recovery'!$F$1:$Y$231,8,FALSE)+VLOOKUP(A127,'Exit Anticipated Rev. Recovery'!$F$1:$Y$231,11,FALSE)+VLOOKUP(A127,'Exit Anticipated Rev. Recovery'!$F$1:$Y$231,14,FALSE)</f>
        <v>37574000.883143529</v>
      </c>
      <c r="E127" s="291">
        <f ca="1">VLOOKUP(A127,'Exit Anticipated Rev. Recovery'!$F$1:$Y$231,17,FALSE)</f>
        <v>964880.11685647827</v>
      </c>
      <c r="F127" s="291">
        <f t="shared" ca="1" si="3"/>
        <v>38538881.000000007</v>
      </c>
      <c r="G127" s="283">
        <f ca="1">VLOOKUP($A127, 'Exit Prices'!$A$3:$Q$231, 8, 0)</f>
        <v>7.2344179438402385</v>
      </c>
      <c r="H127" s="283">
        <f ca="1">VLOOKUP($A127, 'Exit Prices'!$A$3:$Q$231, 12, 0)</f>
        <v>1.9820323133808871E-2</v>
      </c>
      <c r="I127" s="283">
        <f ca="1">VLOOKUP($A127, 'Exit Prices'!$A$3:$Q$231,17, 0)</f>
        <v>1.7838290820427986E-2</v>
      </c>
      <c r="J127" s="297">
        <f ca="1">'Exit Anticipated Rev. Recovery'!$C$14</f>
        <v>0</v>
      </c>
      <c r="K127" s="307">
        <f ca="1">VLOOKUP(A127,'Exit Anticipated Rev. Recovery'!F:Y,20,FALSE)</f>
        <v>2778515.9343703296</v>
      </c>
      <c r="L127" s="306">
        <f ca="1">((D127*H127)+(E127*I127))*'User Inputs'!$D$7/100</f>
        <v>2781083.3763881959</v>
      </c>
      <c r="M127" s="306">
        <f ca="1">((D127*J127)+(E127*J127))*'User Inputs'!$D$7/100</f>
        <v>0</v>
      </c>
    </row>
    <row r="128" spans="1:13">
      <c r="A128" s="309" t="str">
        <f>'Exit Prices'!A127</f>
        <v>Marchwood Power Station</v>
      </c>
      <c r="B128" s="280" t="str">
        <f>VLOOKUP(A128,'Locations &amp; Types'!E:I,4,FALSE)</f>
        <v>POWER STATION</v>
      </c>
      <c r="C128" s="291">
        <f ca="1">VLOOKUP(A128,'Exit Prices'!$A:$C,3,FALSE)</f>
        <v>39840000</v>
      </c>
      <c r="D128" s="291">
        <f ca="1">VLOOKUP(A128,'Exit Anticipated Rev. Recovery'!$F$1:$Y$231,2,FALSE)+VLOOKUP(A128,'Exit Anticipated Rev. Recovery'!$F$1:$Y$231,5,FALSE)+VLOOKUP(A128,'Exit Anticipated Rev. Recovery'!$F$1:$Y$231,8,FALSE)+VLOOKUP(A128,'Exit Anticipated Rev. Recovery'!$F$1:$Y$231,11,FALSE)+VLOOKUP(A128,'Exit Anticipated Rev. Recovery'!$F$1:$Y$231,14,FALSE)</f>
        <v>19763609.920650944</v>
      </c>
      <c r="E128" s="291">
        <f ca="1">VLOOKUP(A128,'Exit Anticipated Rev. Recovery'!$F$1:$Y$231,17,FALSE)</f>
        <v>20076390.079349052</v>
      </c>
      <c r="F128" s="291">
        <f t="shared" ca="1" si="3"/>
        <v>39840000</v>
      </c>
      <c r="G128" s="283">
        <f ca="1">VLOOKUP($A128, 'Exit Prices'!$A$3:$Q$231, 8, 0)</f>
        <v>7.2344179438402385</v>
      </c>
      <c r="H128" s="283">
        <f ca="1">VLOOKUP($A128, 'Exit Prices'!$A$3:$Q$231, 12, 0)</f>
        <v>1.9820323133808871E-2</v>
      </c>
      <c r="I128" s="283">
        <f ca="1">VLOOKUP($A128, 'Exit Prices'!$A$3:$Q$231,17, 0)</f>
        <v>1.7838290820427986E-2</v>
      </c>
      <c r="J128" s="297">
        <f ca="1">'Exit Anticipated Rev. Recovery'!$C$14</f>
        <v>0</v>
      </c>
      <c r="K128" s="307">
        <f ca="1">VLOOKUP(A128,'Exit Anticipated Rev. Recovery'!F:Y,20,FALSE)</f>
        <v>2735034.7542675831</v>
      </c>
      <c r="L128" s="306">
        <f ca="1">((D128*H128)+(E128*I128))*'User Inputs'!$D$7/100</f>
        <v>2736951.1121883718</v>
      </c>
      <c r="M128" s="306">
        <f ca="1">((D128*J128)+(E128*J128))*'User Inputs'!$D$7/100</f>
        <v>0</v>
      </c>
    </row>
    <row r="129" spans="1:13">
      <c r="A129" s="309" t="str">
        <f>'Exit Prices'!A128</f>
        <v>Market Harborough</v>
      </c>
      <c r="B129" s="280" t="str">
        <f>VLOOKUP(A129,'Locations &amp; Types'!E:I,4,FALSE)</f>
        <v>GDN (EM)</v>
      </c>
      <c r="C129" s="291">
        <f ca="1">VLOOKUP(A129,'Exit Prices'!$A:$C,3,FALSE)</f>
        <v>6965982</v>
      </c>
      <c r="D129" s="291">
        <f ca="1">VLOOKUP(A129,'Exit Anticipated Rev. Recovery'!$F$1:$Y$231,2,FALSE)+VLOOKUP(A129,'Exit Anticipated Rev. Recovery'!$F$1:$Y$231,5,FALSE)+VLOOKUP(A129,'Exit Anticipated Rev. Recovery'!$F$1:$Y$231,8,FALSE)+VLOOKUP(A129,'Exit Anticipated Rev. Recovery'!$F$1:$Y$231,11,FALSE)+VLOOKUP(A129,'Exit Anticipated Rev. Recovery'!$F$1:$Y$231,14,FALSE)</f>
        <v>6791577.9345010528</v>
      </c>
      <c r="E129" s="291">
        <f ca="1">VLOOKUP(A129,'Exit Anticipated Rev. Recovery'!$F$1:$Y$231,17,FALSE)</f>
        <v>174404.06549894702</v>
      </c>
      <c r="F129" s="291">
        <f t="shared" ca="1" si="3"/>
        <v>6965982</v>
      </c>
      <c r="G129" s="283">
        <f ca="1">VLOOKUP($A129, 'Exit Prices'!$A$3:$Q$231, 8, 0)</f>
        <v>7.2344179438402385</v>
      </c>
      <c r="H129" s="283">
        <f ca="1">VLOOKUP($A129, 'Exit Prices'!$A$3:$Q$231, 12, 0)</f>
        <v>1.9820323133808871E-2</v>
      </c>
      <c r="I129" s="283">
        <f ca="1">VLOOKUP($A129, 'Exit Prices'!$A$3:$Q$231,17, 0)</f>
        <v>1.7838290820427986E-2</v>
      </c>
      <c r="J129" s="297">
        <f ca="1">'Exit Anticipated Rev. Recovery'!$C$14</f>
        <v>0</v>
      </c>
      <c r="K129" s="307">
        <f ca="1">VLOOKUP(A129,'Exit Anticipated Rev. Recovery'!F:Y,20,FALSE)</f>
        <v>502222.46944681375</v>
      </c>
      <c r="L129" s="306">
        <f ca="1">((D129*H129)+(E129*I129))*'User Inputs'!$D$7/100</f>
        <v>502686.53987175686</v>
      </c>
      <c r="M129" s="306">
        <f ca="1">((D129*J129)+(E129*J129))*'User Inputs'!$D$7/100</f>
        <v>0</v>
      </c>
    </row>
    <row r="130" spans="1:13">
      <c r="A130" s="309" t="str">
        <f>'Exit Prices'!A129</f>
        <v>Matching Green</v>
      </c>
      <c r="B130" s="280" t="str">
        <f>VLOOKUP(A130,'Locations &amp; Types'!E:I,4,FALSE)</f>
        <v>GDN (EA)</v>
      </c>
      <c r="C130" s="291">
        <f ca="1">VLOOKUP(A130,'Exit Prices'!$A:$C,3,FALSE)</f>
        <v>50470504</v>
      </c>
      <c r="D130" s="291">
        <f ca="1">VLOOKUP(A130,'Exit Anticipated Rev. Recovery'!$F$1:$Y$231,2,FALSE)+VLOOKUP(A130,'Exit Anticipated Rev. Recovery'!$F$1:$Y$231,5,FALSE)+VLOOKUP(A130,'Exit Anticipated Rev. Recovery'!$F$1:$Y$231,8,FALSE)+VLOOKUP(A130,'Exit Anticipated Rev. Recovery'!$F$1:$Y$231,11,FALSE)+VLOOKUP(A130,'Exit Anticipated Rev. Recovery'!$F$1:$Y$231,14,FALSE)</f>
        <v>49206897.363436647</v>
      </c>
      <c r="E130" s="291">
        <f ca="1">VLOOKUP(A130,'Exit Anticipated Rev. Recovery'!$F$1:$Y$231,17,FALSE)</f>
        <v>1263606.6365633542</v>
      </c>
      <c r="F130" s="291">
        <f t="shared" ca="1" si="3"/>
        <v>50470504</v>
      </c>
      <c r="G130" s="283">
        <f ca="1">VLOOKUP($A130, 'Exit Prices'!$A$3:$Q$231, 8, 0)</f>
        <v>7.2344179438402385</v>
      </c>
      <c r="H130" s="283">
        <f ca="1">VLOOKUP($A130, 'Exit Prices'!$A$3:$Q$231, 12, 0)</f>
        <v>1.9820323133808871E-2</v>
      </c>
      <c r="I130" s="283">
        <f ca="1">VLOOKUP($A130, 'Exit Prices'!$A$3:$Q$231,17, 0)</f>
        <v>1.7838290820427986E-2</v>
      </c>
      <c r="J130" s="297">
        <f ca="1">'Exit Anticipated Rev. Recovery'!$C$14</f>
        <v>0</v>
      </c>
      <c r="K130" s="307">
        <f ca="1">VLOOKUP(A130,'Exit Anticipated Rev. Recovery'!F:Y,20,FALSE)</f>
        <v>3638743.4181003184</v>
      </c>
      <c r="L130" s="306">
        <f ca="1">((D130*H130)+(E130*I130))*'User Inputs'!$D$7/100</f>
        <v>3642105.7391970959</v>
      </c>
      <c r="M130" s="306">
        <f ca="1">((D130*J130)+(E130*J130))*'User Inputs'!$D$7/100</f>
        <v>0</v>
      </c>
    </row>
    <row r="131" spans="1:13">
      <c r="A131" s="309" t="str">
        <f>'Exit Prices'!A130</f>
        <v>Medway (aka Isle of Grain Power Station, NOT Grain Power)</v>
      </c>
      <c r="B131" s="280" t="str">
        <f>VLOOKUP(A131,'Locations &amp; Types'!E:I,4,FALSE)</f>
        <v>POWER STATION</v>
      </c>
      <c r="C131" s="291">
        <f ca="1">VLOOKUP(A131,'Exit Prices'!$A:$C,3,FALSE)</f>
        <v>32771084</v>
      </c>
      <c r="D131" s="291">
        <f ca="1">VLOOKUP(A131,'Exit Anticipated Rev. Recovery'!$F$1:$Y$231,2,FALSE)+VLOOKUP(A131,'Exit Anticipated Rev. Recovery'!$F$1:$Y$231,5,FALSE)+VLOOKUP(A131,'Exit Anticipated Rev. Recovery'!$F$1:$Y$231,8,FALSE)+VLOOKUP(A131,'Exit Anticipated Rev. Recovery'!$F$1:$Y$231,11,FALSE)+VLOOKUP(A131,'Exit Anticipated Rev. Recovery'!$F$1:$Y$231,14,FALSE)</f>
        <v>16256900.623817405</v>
      </c>
      <c r="E131" s="291">
        <f ca="1">VLOOKUP(A131,'Exit Anticipated Rev. Recovery'!$F$1:$Y$231,17,FALSE)</f>
        <v>16514183.376182592</v>
      </c>
      <c r="F131" s="291">
        <f t="shared" ca="1" si="3"/>
        <v>32771083.999999996</v>
      </c>
      <c r="G131" s="283">
        <f ca="1">VLOOKUP($A131, 'Exit Prices'!$A$3:$Q$231, 8, 0)</f>
        <v>7.2344179438402385</v>
      </c>
      <c r="H131" s="283">
        <f ca="1">VLOOKUP($A131, 'Exit Prices'!$A$3:$Q$231, 12, 0)</f>
        <v>1.9820323133808871E-2</v>
      </c>
      <c r="I131" s="283">
        <f ca="1">VLOOKUP($A131, 'Exit Prices'!$A$3:$Q$231,17, 0)</f>
        <v>1.7838290820427986E-2</v>
      </c>
      <c r="J131" s="297">
        <f ca="1">'Exit Anticipated Rev. Recovery'!$C$14</f>
        <v>0</v>
      </c>
      <c r="K131" s="307">
        <f ca="1">VLOOKUP(A131,'Exit Anticipated Rev. Recovery'!F:Y,20,FALSE)</f>
        <v>2249750.3432485526</v>
      </c>
      <c r="L131" s="306">
        <f ca="1">((D131*H131)+(E131*I131))*'User Inputs'!$D$7/100</f>
        <v>2251326.6767424336</v>
      </c>
      <c r="M131" s="306">
        <f ca="1">((D131*J131)+(E131*J131))*'User Inputs'!$D$7/100</f>
        <v>0</v>
      </c>
    </row>
    <row r="132" spans="1:13">
      <c r="A132" s="309" t="str">
        <f>'Exit Prices'!A131</f>
        <v>Melkinthorpe</v>
      </c>
      <c r="B132" s="280" t="str">
        <f>VLOOKUP(A132,'Locations &amp; Types'!E:I,4,FALSE)</f>
        <v>GDN (NO)</v>
      </c>
      <c r="C132" s="291">
        <f ca="1">VLOOKUP(A132,'Exit Prices'!$A:$C,3,FALSE)</f>
        <v>949364</v>
      </c>
      <c r="D132" s="291">
        <f ca="1">VLOOKUP(A132,'Exit Anticipated Rev. Recovery'!$F$1:$Y$231,2,FALSE)+VLOOKUP(A132,'Exit Anticipated Rev. Recovery'!$F$1:$Y$231,5,FALSE)+VLOOKUP(A132,'Exit Anticipated Rev. Recovery'!$F$1:$Y$231,8,FALSE)+VLOOKUP(A132,'Exit Anticipated Rev. Recovery'!$F$1:$Y$231,11,FALSE)+VLOOKUP(A132,'Exit Anticipated Rev. Recovery'!$F$1:$Y$231,14,FALSE)</f>
        <v>925595.21316731186</v>
      </c>
      <c r="E132" s="291">
        <f ca="1">VLOOKUP(A132,'Exit Anticipated Rev. Recovery'!$F$1:$Y$231,17,FALSE)</f>
        <v>23768.7868326881</v>
      </c>
      <c r="F132" s="291">
        <f t="shared" ref="F132:F195" ca="1" si="4">D132+E132</f>
        <v>949364</v>
      </c>
      <c r="G132" s="283">
        <f ca="1">VLOOKUP($A132, 'Exit Prices'!$A$3:$Q$231, 8, 0)</f>
        <v>7.2344179438402385</v>
      </c>
      <c r="H132" s="283">
        <f ca="1">VLOOKUP($A132, 'Exit Prices'!$A$3:$Q$231, 12, 0)</f>
        <v>1.9820323133808871E-2</v>
      </c>
      <c r="I132" s="283">
        <f ca="1">VLOOKUP($A132, 'Exit Prices'!$A$3:$Q$231,17, 0)</f>
        <v>1.7838290820427986E-2</v>
      </c>
      <c r="J132" s="297">
        <f ca="1">'Exit Anticipated Rev. Recovery'!$C$14</f>
        <v>0</v>
      </c>
      <c r="K132" s="307">
        <f ca="1">VLOOKUP(A132,'Exit Anticipated Rev. Recovery'!F:Y,20,FALSE)</f>
        <v>68445.760049897464</v>
      </c>
      <c r="L132" s="306">
        <f ca="1">((D132*H132)+(E132*I132))*'User Inputs'!$D$7/100</f>
        <v>68509.006230393716</v>
      </c>
      <c r="M132" s="306">
        <f ca="1">((D132*J132)+(E132*J132))*'User Inputs'!$D$7/100</f>
        <v>0</v>
      </c>
    </row>
    <row r="133" spans="1:13">
      <c r="A133" s="309" t="str">
        <f>'Exit Prices'!A132</f>
        <v>Mickle Trafford</v>
      </c>
      <c r="B133" s="280" t="str">
        <f>VLOOKUP(A133,'Locations &amp; Types'!E:I,4,FALSE)</f>
        <v>GDN (NW)</v>
      </c>
      <c r="C133" s="291">
        <f ca="1">VLOOKUP(A133,'Exit Prices'!$A:$C,3,FALSE)</f>
        <v>29209411</v>
      </c>
      <c r="D133" s="291">
        <f ca="1">VLOOKUP(A133,'Exit Anticipated Rev. Recovery'!$F$1:$Y$231,2,FALSE)+VLOOKUP(A133,'Exit Anticipated Rev. Recovery'!$F$1:$Y$231,5,FALSE)+VLOOKUP(A133,'Exit Anticipated Rev. Recovery'!$F$1:$Y$231,8,FALSE)+VLOOKUP(A133,'Exit Anticipated Rev. Recovery'!$F$1:$Y$231,11,FALSE)+VLOOKUP(A133,'Exit Anticipated Rev. Recovery'!$F$1:$Y$231,14,FALSE)</f>
        <v>28478108.503204912</v>
      </c>
      <c r="E133" s="291">
        <f ca="1">VLOOKUP(A133,'Exit Anticipated Rev. Recovery'!$F$1:$Y$231,17,FALSE)</f>
        <v>731302.49679509131</v>
      </c>
      <c r="F133" s="291">
        <f t="shared" ca="1" si="4"/>
        <v>29209411.000000004</v>
      </c>
      <c r="G133" s="283">
        <f ca="1">VLOOKUP($A133, 'Exit Prices'!$A$3:$Q$231, 8, 0)</f>
        <v>7.2344179438402385</v>
      </c>
      <c r="H133" s="283">
        <f ca="1">VLOOKUP($A133, 'Exit Prices'!$A$3:$Q$231, 12, 0)</f>
        <v>1.9820323133808871E-2</v>
      </c>
      <c r="I133" s="283">
        <f ca="1">VLOOKUP($A133, 'Exit Prices'!$A$3:$Q$231,17, 0)</f>
        <v>1.7838290820427986E-2</v>
      </c>
      <c r="J133" s="297">
        <f ca="1">'Exit Anticipated Rev. Recovery'!$C$14</f>
        <v>0</v>
      </c>
      <c r="K133" s="307">
        <f ca="1">VLOOKUP(A133,'Exit Anticipated Rev. Recovery'!F:Y,20,FALSE)</f>
        <v>2105894.4056282267</v>
      </c>
      <c r="L133" s="306">
        <f ca="1">((D133*H133)+(E133*I133))*'User Inputs'!$D$7/100</f>
        <v>2107840.3227688554</v>
      </c>
      <c r="M133" s="306">
        <f ca="1">((D133*J133)+(E133*J133))*'User Inputs'!$D$7/100</f>
        <v>0</v>
      </c>
    </row>
    <row r="134" spans="1:13">
      <c r="A134" s="309" t="str">
        <f>'Exit Prices'!A133</f>
        <v>Middle Stoke (Damhead Creek, aka Kingsnorth Power Station)</v>
      </c>
      <c r="B134" s="280" t="str">
        <f>VLOOKUP(A134,'Locations &amp; Types'!E:I,4,FALSE)</f>
        <v>POWER STATION</v>
      </c>
      <c r="C134" s="291">
        <f ca="1">VLOOKUP(A134,'Exit Prices'!$A:$C,3,FALSE)</f>
        <v>95336184</v>
      </c>
      <c r="D134" s="291">
        <f ca="1">VLOOKUP(A134,'Exit Anticipated Rev. Recovery'!$F$1:$Y$231,2,FALSE)+VLOOKUP(A134,'Exit Anticipated Rev. Recovery'!$F$1:$Y$231,5,FALSE)+VLOOKUP(A134,'Exit Anticipated Rev. Recovery'!$F$1:$Y$231,8,FALSE)+VLOOKUP(A134,'Exit Anticipated Rev. Recovery'!$F$1:$Y$231,11,FALSE)+VLOOKUP(A134,'Exit Anticipated Rev. Recovery'!$F$1:$Y$231,14,FALSE)</f>
        <v>47293854.21434246</v>
      </c>
      <c r="E134" s="291">
        <f ca="1">VLOOKUP(A134,'Exit Anticipated Rev. Recovery'!$F$1:$Y$231,17,FALSE)</f>
        <v>48042329.785657518</v>
      </c>
      <c r="F134" s="291">
        <f t="shared" ca="1" si="4"/>
        <v>95336183.99999997</v>
      </c>
      <c r="G134" s="283">
        <f ca="1">VLOOKUP($A134, 'Exit Prices'!$A$3:$Q$231, 8, 0)</f>
        <v>7.2344179438402385</v>
      </c>
      <c r="H134" s="283">
        <f ca="1">VLOOKUP($A134, 'Exit Prices'!$A$3:$Q$231, 12, 0)</f>
        <v>1.9820323133808871E-2</v>
      </c>
      <c r="I134" s="283">
        <f ca="1">VLOOKUP($A134, 'Exit Prices'!$A$3:$Q$231,17, 0)</f>
        <v>1.7838290820427986E-2</v>
      </c>
      <c r="J134" s="297">
        <f ca="1">'Exit Anticipated Rev. Recovery'!$C$14</f>
        <v>0</v>
      </c>
      <c r="K134" s="307">
        <f ca="1">VLOOKUP(A134,'Exit Anticipated Rev. Recovery'!F:Y,20,FALSE)</f>
        <v>6544873.9101217128</v>
      </c>
      <c r="L134" s="306">
        <f ca="1">((D134*H134)+(E134*I134))*'User Inputs'!$D$7/100</f>
        <v>6549459.7096032929</v>
      </c>
      <c r="M134" s="306">
        <f ca="1">((D134*J134)+(E134*J134))*'User Inputs'!$D$7/100</f>
        <v>0</v>
      </c>
    </row>
    <row r="135" spans="1:13">
      <c r="A135" s="309" t="str">
        <f>'Exit Prices'!A134</f>
        <v>Milwich</v>
      </c>
      <c r="B135" s="280" t="str">
        <f>VLOOKUP(A135,'Locations &amp; Types'!E:I,4,FALSE)</f>
        <v>GDN (WM)</v>
      </c>
      <c r="C135" s="291">
        <f ca="1">VLOOKUP(A135,'Exit Prices'!$A:$C,3,FALSE)</f>
        <v>18949988</v>
      </c>
      <c r="D135" s="291">
        <f ca="1">VLOOKUP(A135,'Exit Anticipated Rev. Recovery'!$F$1:$Y$231,2,FALSE)+VLOOKUP(A135,'Exit Anticipated Rev. Recovery'!$F$1:$Y$231,5,FALSE)+VLOOKUP(A135,'Exit Anticipated Rev. Recovery'!$F$1:$Y$231,8,FALSE)+VLOOKUP(A135,'Exit Anticipated Rev. Recovery'!$F$1:$Y$231,11,FALSE)+VLOOKUP(A135,'Exit Anticipated Rev. Recovery'!$F$1:$Y$231,14,FALSE)</f>
        <v>18475545.925880909</v>
      </c>
      <c r="E135" s="291">
        <f ca="1">VLOOKUP(A135,'Exit Anticipated Rev. Recovery'!$F$1:$Y$231,17,FALSE)</f>
        <v>474442.07411909191</v>
      </c>
      <c r="F135" s="291">
        <f t="shared" ca="1" si="4"/>
        <v>18949988</v>
      </c>
      <c r="G135" s="283">
        <f ca="1">VLOOKUP($A135, 'Exit Prices'!$A$3:$Q$231, 8, 0)</f>
        <v>7.2344179438402385</v>
      </c>
      <c r="H135" s="283">
        <f ca="1">VLOOKUP($A135, 'Exit Prices'!$A$3:$Q$231, 12, 0)</f>
        <v>1.9820323133808871E-2</v>
      </c>
      <c r="I135" s="283">
        <f ca="1">VLOOKUP($A135, 'Exit Prices'!$A$3:$Q$231,17, 0)</f>
        <v>1.7838290820427986E-2</v>
      </c>
      <c r="J135" s="297">
        <f ca="1">'Exit Anticipated Rev. Recovery'!$C$14</f>
        <v>0</v>
      </c>
      <c r="K135" s="307">
        <f ca="1">VLOOKUP(A135,'Exit Anticipated Rev. Recovery'!F:Y,20,FALSE)</f>
        <v>1366226.5807387226</v>
      </c>
      <c r="L135" s="306">
        <f ca="1">((D135*H135)+(E135*I135))*'User Inputs'!$D$7/100</f>
        <v>1367489.0199732517</v>
      </c>
      <c r="M135" s="306">
        <f ca="1">((D135*J135)+(E135*J135))*'User Inputs'!$D$7/100</f>
        <v>0</v>
      </c>
    </row>
    <row r="136" spans="1:13">
      <c r="A136" s="309" t="str">
        <f>'Exit Prices'!A135</f>
        <v>Moffat (Irish Interconnector)</v>
      </c>
      <c r="B136" s="280" t="str">
        <f>VLOOKUP(A136,'Locations &amp; Types'!E:I,4,FALSE)</f>
        <v>INTERCONNECTOR</v>
      </c>
      <c r="C136" s="291">
        <f ca="1">VLOOKUP(A136,'Exit Prices'!$A:$C,3,FALSE)</f>
        <v>243649428.46575344</v>
      </c>
      <c r="D136" s="291">
        <f ca="1">VLOOKUP(A136,'Exit Anticipated Rev. Recovery'!$F$1:$Y$231,2,FALSE)+VLOOKUP(A136,'Exit Anticipated Rev. Recovery'!$F$1:$Y$231,5,FALSE)+VLOOKUP(A136,'Exit Anticipated Rev. Recovery'!$F$1:$Y$231,8,FALSE)+VLOOKUP(A136,'Exit Anticipated Rev. Recovery'!$F$1:$Y$231,11,FALSE)+VLOOKUP(A136,'Exit Anticipated Rev. Recovery'!$F$1:$Y$231,14,FALSE)</f>
        <v>119295611.25984082</v>
      </c>
      <c r="E136" s="291">
        <f ca="1">VLOOKUP(A136,'Exit Anticipated Rev. Recovery'!$F$1:$Y$231,17,FALSE)</f>
        <v>124353817.20591259</v>
      </c>
      <c r="F136" s="291">
        <f t="shared" ca="1" si="4"/>
        <v>243649428.46575341</v>
      </c>
      <c r="G136" s="283">
        <f ca="1">VLOOKUP($A136, 'Exit Prices'!$A$3:$Q$231, 8, 0)</f>
        <v>7.2344179438402385</v>
      </c>
      <c r="H136" s="283">
        <f ca="1">VLOOKUP($A136, 'Exit Prices'!$A$3:$Q$231, 12, 0)</f>
        <v>1.9820323133808871E-2</v>
      </c>
      <c r="I136" s="283">
        <f ca="1">VLOOKUP($A136, 'Exit Prices'!$A$3:$Q$231,17, 0)</f>
        <v>1.7838290820427986E-2</v>
      </c>
      <c r="J136" s="297">
        <f ca="1">'Exit Anticipated Rev. Recovery'!$C$14</f>
        <v>0</v>
      </c>
      <c r="K136" s="307">
        <f ca="1">VLOOKUP(A136,'Exit Anticipated Rev. Recovery'!F:Y,20,FALSE)</f>
        <v>16726990.486411165</v>
      </c>
      <c r="L136" s="306">
        <f ca="1">((D136*H136)+(E136*I136))*'User Inputs'!$D$7/100</f>
        <v>16726990.486411164</v>
      </c>
      <c r="M136" s="306">
        <f ca="1">((D136*J136)+(E136*J136))*'User Inputs'!$D$7/100</f>
        <v>0</v>
      </c>
    </row>
    <row r="137" spans="1:13">
      <c r="A137" s="309" t="str">
        <f>'Exit Prices'!A136</f>
        <v>Netherhowcleugh</v>
      </c>
      <c r="B137" s="280" t="str">
        <f>VLOOKUP(A137,'Locations &amp; Types'!E:I,4,FALSE)</f>
        <v>GDN (SC)</v>
      </c>
      <c r="C137" s="291">
        <f ca="1">VLOOKUP(A137,'Exit Prices'!$A:$C,3,FALSE)</f>
        <v>322112</v>
      </c>
      <c r="D137" s="291">
        <f ca="1">VLOOKUP(A137,'Exit Anticipated Rev. Recovery'!$F$1:$Y$231,2,FALSE)+VLOOKUP(A137,'Exit Anticipated Rev. Recovery'!$F$1:$Y$231,5,FALSE)+VLOOKUP(A137,'Exit Anticipated Rev. Recovery'!$F$1:$Y$231,8,FALSE)+VLOOKUP(A137,'Exit Anticipated Rev. Recovery'!$F$1:$Y$231,11,FALSE)+VLOOKUP(A137,'Exit Anticipated Rev. Recovery'!$F$1:$Y$231,14,FALSE)</f>
        <v>314047.43102092476</v>
      </c>
      <c r="E137" s="291">
        <f ca="1">VLOOKUP(A137,'Exit Anticipated Rev. Recovery'!$F$1:$Y$231,17,FALSE)</f>
        <v>8064.5689790752867</v>
      </c>
      <c r="F137" s="291">
        <f t="shared" ca="1" si="4"/>
        <v>322112.00000000006</v>
      </c>
      <c r="G137" s="283">
        <f ca="1">VLOOKUP($A137, 'Exit Prices'!$A$3:$Q$231, 8, 0)</f>
        <v>7.2344179438402385</v>
      </c>
      <c r="H137" s="283">
        <f ca="1">VLOOKUP($A137, 'Exit Prices'!$A$3:$Q$231, 12, 0)</f>
        <v>1.9820323133808871E-2</v>
      </c>
      <c r="I137" s="283">
        <f ca="1">VLOOKUP($A137, 'Exit Prices'!$A$3:$Q$231,17, 0)</f>
        <v>1.7838290820427986E-2</v>
      </c>
      <c r="J137" s="297">
        <f ca="1">'Exit Anticipated Rev. Recovery'!$C$14</f>
        <v>0</v>
      </c>
      <c r="K137" s="307">
        <f ca="1">VLOOKUP(A137,'Exit Anticipated Rev. Recovery'!F:Y,20,FALSE)</f>
        <v>23223.12691569575</v>
      </c>
      <c r="L137" s="306">
        <f ca="1">((D137*H137)+(E137*I137))*'User Inputs'!$D$7/100</f>
        <v>23244.585864731111</v>
      </c>
      <c r="M137" s="306">
        <f ca="1">((D137*J137)+(E137*J137))*'User Inputs'!$D$7/100</f>
        <v>0</v>
      </c>
    </row>
    <row r="138" spans="1:13">
      <c r="A138" s="309" t="str">
        <f>'Exit Prices'!A137</f>
        <v>Pannal</v>
      </c>
      <c r="B138" s="280" t="str">
        <f>VLOOKUP(A138,'Locations &amp; Types'!E:I,4,FALSE)</f>
        <v>GDN (NE)</v>
      </c>
      <c r="C138" s="291">
        <f ca="1">VLOOKUP(A138,'Exit Prices'!$A:$C,3,FALSE)</f>
        <v>120179959</v>
      </c>
      <c r="D138" s="291">
        <f ca="1">VLOOKUP(A138,'Exit Anticipated Rev. Recovery'!$F$1:$Y$231,2,FALSE)+VLOOKUP(A138,'Exit Anticipated Rev. Recovery'!$F$1:$Y$231,5,FALSE)+VLOOKUP(A138,'Exit Anticipated Rev. Recovery'!$F$1:$Y$231,8,FALSE)+VLOOKUP(A138,'Exit Anticipated Rev. Recovery'!$F$1:$Y$231,11,FALSE)+VLOOKUP(A138,'Exit Anticipated Rev. Recovery'!$F$1:$Y$231,14,FALSE)</f>
        <v>117171069.01993737</v>
      </c>
      <c r="E138" s="291">
        <f ca="1">VLOOKUP(A138,'Exit Anticipated Rev. Recovery'!$F$1:$Y$231,17,FALSE)</f>
        <v>3008889.9800626487</v>
      </c>
      <c r="F138" s="291">
        <f t="shared" ca="1" si="4"/>
        <v>120179959.00000001</v>
      </c>
      <c r="G138" s="283">
        <f ca="1">VLOOKUP($A138, 'Exit Prices'!$A$3:$Q$231, 8, 0)</f>
        <v>7.2344179438402385</v>
      </c>
      <c r="H138" s="283">
        <f ca="1">VLOOKUP($A138, 'Exit Prices'!$A$3:$Q$231, 12, 0)</f>
        <v>1.9820323133808871E-2</v>
      </c>
      <c r="I138" s="283">
        <f ca="1">VLOOKUP($A138, 'Exit Prices'!$A$3:$Q$231,17, 0)</f>
        <v>1.7838290820427986E-2</v>
      </c>
      <c r="J138" s="297">
        <f ca="1">'Exit Anticipated Rev. Recovery'!$C$14</f>
        <v>0</v>
      </c>
      <c r="K138" s="307">
        <f ca="1">VLOOKUP(A138,'Exit Anticipated Rev. Recovery'!F:Y,20,FALSE)</f>
        <v>8664546.6191266123</v>
      </c>
      <c r="L138" s="306">
        <f ca="1">((D138*H138)+(E138*I138))*'User Inputs'!$D$7/100</f>
        <v>8672552.9511330351</v>
      </c>
      <c r="M138" s="306">
        <f ca="1">((D138*J138)+(E138*J138))*'User Inputs'!$D$7/100</f>
        <v>0</v>
      </c>
    </row>
    <row r="139" spans="1:13">
      <c r="A139" s="309" t="str">
        <f>'Exit Prices'!A138</f>
        <v>Partington</v>
      </c>
      <c r="B139" s="280" t="str">
        <f>VLOOKUP(A139,'Locations &amp; Types'!E:I,4,FALSE)</f>
        <v>GDN (NW)</v>
      </c>
      <c r="C139" s="291">
        <f ca="1">VLOOKUP(A139,'Exit Prices'!$A:$C,3,FALSE)</f>
        <v>39994219</v>
      </c>
      <c r="D139" s="291">
        <f ca="1">VLOOKUP(A139,'Exit Anticipated Rev. Recovery'!$F$1:$Y$231,2,FALSE)+VLOOKUP(A139,'Exit Anticipated Rev. Recovery'!$F$1:$Y$231,5,FALSE)+VLOOKUP(A139,'Exit Anticipated Rev. Recovery'!$F$1:$Y$231,8,FALSE)+VLOOKUP(A139,'Exit Anticipated Rev. Recovery'!$F$1:$Y$231,11,FALSE)+VLOOKUP(A139,'Exit Anticipated Rev. Recovery'!$F$1:$Y$231,14,FALSE)</f>
        <v>38992902.25958132</v>
      </c>
      <c r="E139" s="291">
        <f ca="1">VLOOKUP(A139,'Exit Anticipated Rev. Recovery'!$F$1:$Y$231,17,FALSE)</f>
        <v>1001316.7404186849</v>
      </c>
      <c r="F139" s="291">
        <f t="shared" ca="1" si="4"/>
        <v>39994219.000000007</v>
      </c>
      <c r="G139" s="283">
        <f ca="1">VLOOKUP($A139, 'Exit Prices'!$A$3:$Q$231, 8, 0)</f>
        <v>7.2344179438402385</v>
      </c>
      <c r="H139" s="283">
        <f ca="1">VLOOKUP($A139, 'Exit Prices'!$A$3:$Q$231, 12, 0)</f>
        <v>1.9820323133808871E-2</v>
      </c>
      <c r="I139" s="283">
        <f ca="1">VLOOKUP($A139, 'Exit Prices'!$A$3:$Q$231,17, 0)</f>
        <v>1.7838290820427986E-2</v>
      </c>
      <c r="J139" s="297">
        <f ca="1">'Exit Anticipated Rev. Recovery'!$C$14</f>
        <v>0</v>
      </c>
      <c r="K139" s="307">
        <f ca="1">VLOOKUP(A139,'Exit Anticipated Rev. Recovery'!F:Y,20,FALSE)</f>
        <v>2883440.6160935643</v>
      </c>
      <c r="L139" s="306">
        <f ca="1">((D139*H139)+(E139*I139))*'User Inputs'!$D$7/100</f>
        <v>2886105.0120404093</v>
      </c>
      <c r="M139" s="306">
        <f ca="1">((D139*J139)+(E139*J139))*'User Inputs'!$D$7/100</f>
        <v>0</v>
      </c>
    </row>
    <row r="140" spans="1:13">
      <c r="A140" s="309" t="str">
        <f>'Exit Prices'!A139</f>
        <v>Partington Max Refill</v>
      </c>
      <c r="B140" s="280" t="str">
        <f>VLOOKUP(A140,'Locations &amp; Types'!E:I,4,FALSE)</f>
        <v>STORAGE SITE</v>
      </c>
      <c r="C140" s="291">
        <f ca="1">VLOOKUP(A140,'Exit Prices'!$A:$C,3,FALSE)</f>
        <v>0</v>
      </c>
      <c r="D140" s="291">
        <f ca="1">VLOOKUP(A140,'Exit Anticipated Rev. Recovery'!$F$1:$Y$231,2,FALSE)+VLOOKUP(A140,'Exit Anticipated Rev. Recovery'!$F$1:$Y$231,5,FALSE)+VLOOKUP(A140,'Exit Anticipated Rev. Recovery'!$F$1:$Y$231,8,FALSE)+VLOOKUP(A140,'Exit Anticipated Rev. Recovery'!$F$1:$Y$231,11,FALSE)+VLOOKUP(A140,'Exit Anticipated Rev. Recovery'!$F$1:$Y$231,14,FALSE)</f>
        <v>0</v>
      </c>
      <c r="E140" s="291">
        <f ca="1">VLOOKUP(A140,'Exit Anticipated Rev. Recovery'!$F$1:$Y$231,17,FALSE)</f>
        <v>0</v>
      </c>
      <c r="F140" s="291">
        <f t="shared" ca="1" si="4"/>
        <v>0</v>
      </c>
      <c r="G140" s="283">
        <f ca="1">VLOOKUP($A140, 'Exit Prices'!$A$3:$Q$231, 8, 0)</f>
        <v>7.2344179438402385</v>
      </c>
      <c r="H140" s="283">
        <f ca="1">VLOOKUP($A140, 'Exit Prices'!$A$3:$Q$231, 12, 0)</f>
        <v>9.9101615669044355E-3</v>
      </c>
      <c r="I140" s="283">
        <f ca="1">VLOOKUP($A140, 'Exit Prices'!$A$3:$Q$231,17, 0)</f>
        <v>8.9191454102139928E-3</v>
      </c>
      <c r="J140" s="297">
        <f ca="1">'Exit Anticipated Rev. Recovery'!$C$14</f>
        <v>0</v>
      </c>
      <c r="K140" s="307">
        <f ca="1">VLOOKUP(A140,'Exit Anticipated Rev. Recovery'!F:Y,20,FALSE)</f>
        <v>0</v>
      </c>
      <c r="L140" s="306">
        <f ca="1">((D140*H140)+(E140*I140))*'User Inputs'!$D$7/100</f>
        <v>0</v>
      </c>
      <c r="M140" s="306">
        <f ca="1">((D140*J140)+(E140*J140))*'User Inputs'!$D$7/100</f>
        <v>0</v>
      </c>
    </row>
    <row r="141" spans="1:13">
      <c r="A141" s="309" t="str">
        <f>'Exit Prices'!A140</f>
        <v>Paull</v>
      </c>
      <c r="B141" s="280" t="str">
        <f>VLOOKUP(A141,'Locations &amp; Types'!E:I,4,FALSE)</f>
        <v>GDN (NE)</v>
      </c>
      <c r="C141" s="291">
        <f ca="1">VLOOKUP(A141,'Exit Prices'!$A:$C,3,FALSE)</f>
        <v>46858561</v>
      </c>
      <c r="D141" s="291">
        <f ca="1">VLOOKUP(A141,'Exit Anticipated Rev. Recovery'!$F$1:$Y$231,2,FALSE)+VLOOKUP(A141,'Exit Anticipated Rev. Recovery'!$F$1:$Y$231,5,FALSE)+VLOOKUP(A141,'Exit Anticipated Rev. Recovery'!$F$1:$Y$231,8,FALSE)+VLOOKUP(A141,'Exit Anticipated Rev. Recovery'!$F$1:$Y$231,11,FALSE)+VLOOKUP(A141,'Exit Anticipated Rev. Recovery'!$F$1:$Y$231,14,FALSE)</f>
        <v>45685384.907694504</v>
      </c>
      <c r="E141" s="291">
        <f ca="1">VLOOKUP(A141,'Exit Anticipated Rev. Recovery'!$F$1:$Y$231,17,FALSE)</f>
        <v>1173176.0923054933</v>
      </c>
      <c r="F141" s="291">
        <f t="shared" ca="1" si="4"/>
        <v>46858561</v>
      </c>
      <c r="G141" s="283">
        <f ca="1">VLOOKUP($A141, 'Exit Prices'!$A$3:$Q$231, 8, 0)</f>
        <v>7.2344179438402385</v>
      </c>
      <c r="H141" s="283">
        <f ca="1">VLOOKUP($A141, 'Exit Prices'!$A$3:$Q$231, 12, 0)</f>
        <v>1.9820323133808871E-2</v>
      </c>
      <c r="I141" s="283">
        <f ca="1">VLOOKUP($A141, 'Exit Prices'!$A$3:$Q$231,17, 0)</f>
        <v>1.7838290820427986E-2</v>
      </c>
      <c r="J141" s="297">
        <f ca="1">'Exit Anticipated Rev. Recovery'!$C$14</f>
        <v>0</v>
      </c>
      <c r="K141" s="307">
        <f ca="1">VLOOKUP(A141,'Exit Anticipated Rev. Recovery'!F:Y,20,FALSE)</f>
        <v>3378335.2038727859</v>
      </c>
      <c r="L141" s="306">
        <f ca="1">((D141*H141)+(E141*I141))*'User Inputs'!$D$7/100</f>
        <v>3381456.899035864</v>
      </c>
      <c r="M141" s="306">
        <f ca="1">((D141*J141)+(E141*J141))*'User Inputs'!$D$7/100</f>
        <v>0</v>
      </c>
    </row>
    <row r="142" spans="1:13">
      <c r="A142" s="309" t="str">
        <f>'Exit Prices'!A141</f>
        <v>Pembroke Power Station</v>
      </c>
      <c r="B142" s="280" t="str">
        <f>VLOOKUP(A142,'Locations &amp; Types'!E:I,4,FALSE)</f>
        <v>POWER STATION</v>
      </c>
      <c r="C142" s="291">
        <f ca="1">VLOOKUP(A142,'Exit Prices'!$A:$C,3,FALSE)</f>
        <v>121200000</v>
      </c>
      <c r="D142" s="291">
        <f ca="1">VLOOKUP(A142,'Exit Anticipated Rev. Recovery'!$F$1:$Y$231,2,FALSE)+VLOOKUP(A142,'Exit Anticipated Rev. Recovery'!$F$1:$Y$231,5,FALSE)+VLOOKUP(A142,'Exit Anticipated Rev. Recovery'!$F$1:$Y$231,8,FALSE)+VLOOKUP(A142,'Exit Anticipated Rev. Recovery'!$F$1:$Y$231,11,FALSE)+VLOOKUP(A142,'Exit Anticipated Rev. Recovery'!$F$1:$Y$231,14,FALSE)</f>
        <v>60124234.999570638</v>
      </c>
      <c r="E142" s="291">
        <f ca="1">VLOOKUP(A142,'Exit Anticipated Rev. Recovery'!$F$1:$Y$231,17,FALSE)</f>
        <v>61075765.000429347</v>
      </c>
      <c r="F142" s="291">
        <f t="shared" ca="1" si="4"/>
        <v>121199999.99999999</v>
      </c>
      <c r="G142" s="283">
        <f ca="1">VLOOKUP($A142, 'Exit Prices'!$A$3:$Q$231, 8, 0)</f>
        <v>7.2344179438402385</v>
      </c>
      <c r="H142" s="283">
        <f ca="1">VLOOKUP($A142, 'Exit Prices'!$A$3:$Q$231, 12, 0)</f>
        <v>1.9820323133808871E-2</v>
      </c>
      <c r="I142" s="283">
        <f ca="1">VLOOKUP($A142, 'Exit Prices'!$A$3:$Q$231,17, 0)</f>
        <v>1.7838290820427986E-2</v>
      </c>
      <c r="J142" s="297">
        <f ca="1">'Exit Anticipated Rev. Recovery'!$C$14</f>
        <v>0</v>
      </c>
      <c r="K142" s="307">
        <f ca="1">VLOOKUP(A142,'Exit Anticipated Rev. Recovery'!F:Y,20,FALSE)</f>
        <v>8320437.0536453575</v>
      </c>
      <c r="L142" s="306">
        <f ca="1">((D142*H142)+(E142*I142))*'User Inputs'!$D$7/100</f>
        <v>8326266.9376814924</v>
      </c>
      <c r="M142" s="306">
        <f ca="1">((D142*J142)+(E142*J142))*'User Inputs'!$D$7/100</f>
        <v>0</v>
      </c>
    </row>
    <row r="143" spans="1:13">
      <c r="A143" s="309" t="str">
        <f>'Exit Prices'!A142</f>
        <v>Peterborough (Peterborough Power Station)</v>
      </c>
      <c r="B143" s="280" t="str">
        <f>VLOOKUP(A143,'Locations &amp; Types'!E:I,4,FALSE)</f>
        <v>POWER STATION</v>
      </c>
      <c r="C143" s="291">
        <f ca="1">VLOOKUP(A143,'Exit Prices'!$A:$C,3,FALSE)</f>
        <v>2805479.4520547944</v>
      </c>
      <c r="D143" s="291">
        <f ca="1">VLOOKUP(A143,'Exit Anticipated Rev. Recovery'!$F$1:$Y$231,2,FALSE)+VLOOKUP(A143,'Exit Anticipated Rev. Recovery'!$F$1:$Y$231,5,FALSE)+VLOOKUP(A143,'Exit Anticipated Rev. Recovery'!$F$1:$Y$231,8,FALSE)+VLOOKUP(A143,'Exit Anticipated Rev. Recovery'!$F$1:$Y$231,11,FALSE)+VLOOKUP(A143,'Exit Anticipated Rev. Recovery'!$F$1:$Y$231,14,FALSE)</f>
        <v>1391726.9460545308</v>
      </c>
      <c r="E143" s="291">
        <f ca="1">VLOOKUP(A143,'Exit Anticipated Rev. Recovery'!$F$1:$Y$231,17,FALSE)</f>
        <v>1413752.5060002634</v>
      </c>
      <c r="F143" s="291">
        <f t="shared" ca="1" si="4"/>
        <v>2805479.4520547939</v>
      </c>
      <c r="G143" s="283">
        <f ca="1">VLOOKUP($A143, 'Exit Prices'!$A$3:$Q$231, 8, 0)</f>
        <v>7.2344179438402385</v>
      </c>
      <c r="H143" s="283">
        <f ca="1">VLOOKUP($A143, 'Exit Prices'!$A$3:$Q$231, 12, 0)</f>
        <v>1.9820323133808871E-2</v>
      </c>
      <c r="I143" s="283">
        <f ca="1">VLOOKUP($A143, 'Exit Prices'!$A$3:$Q$231,17, 0)</f>
        <v>1.7838290820427986E-2</v>
      </c>
      <c r="J143" s="297">
        <f ca="1">'Exit Anticipated Rev. Recovery'!$C$14</f>
        <v>0</v>
      </c>
      <c r="K143" s="307">
        <f ca="1">VLOOKUP(A143,'Exit Anticipated Rev. Recovery'!F:Y,20,FALSE)</f>
        <v>192597.48503397184</v>
      </c>
      <c r="L143" s="306">
        <f ca="1">((D143*H143)+(E143*I143))*'User Inputs'!$D$7/100</f>
        <v>192732.43239264539</v>
      </c>
      <c r="M143" s="306">
        <f ca="1">((D143*J143)+(E143*J143))*'User Inputs'!$D$7/100</f>
        <v>0</v>
      </c>
    </row>
    <row r="144" spans="1:13">
      <c r="A144" s="309" t="str">
        <f>'Exit Prices'!A143</f>
        <v>Peterborough Eye (Tee)</v>
      </c>
      <c r="B144" s="280" t="str">
        <f>VLOOKUP(A144,'Locations &amp; Types'!E:I,4,FALSE)</f>
        <v>GDN (EA)</v>
      </c>
      <c r="C144" s="291">
        <f ca="1">VLOOKUP(A144,'Exit Prices'!$A:$C,3,FALSE)</f>
        <v>20325523</v>
      </c>
      <c r="D144" s="291">
        <f ca="1">VLOOKUP(A144,'Exit Anticipated Rev. Recovery'!$F$1:$Y$231,2,FALSE)+VLOOKUP(A144,'Exit Anticipated Rev. Recovery'!$F$1:$Y$231,5,FALSE)+VLOOKUP(A144,'Exit Anticipated Rev. Recovery'!$F$1:$Y$231,8,FALSE)+VLOOKUP(A144,'Exit Anticipated Rev. Recovery'!$F$1:$Y$231,11,FALSE)+VLOOKUP(A144,'Exit Anticipated Rev. Recovery'!$F$1:$Y$231,14,FALSE)</f>
        <v>19816642.293074209</v>
      </c>
      <c r="E144" s="291">
        <f ca="1">VLOOKUP(A144,'Exit Anticipated Rev. Recovery'!$F$1:$Y$231,17,FALSE)</f>
        <v>508880.70692579367</v>
      </c>
      <c r="F144" s="291">
        <f t="shared" ca="1" si="4"/>
        <v>20325523.000000004</v>
      </c>
      <c r="G144" s="283">
        <f ca="1">VLOOKUP($A144, 'Exit Prices'!$A$3:$Q$231, 8, 0)</f>
        <v>7.2344179438402385</v>
      </c>
      <c r="H144" s="283">
        <f ca="1">VLOOKUP($A144, 'Exit Prices'!$A$3:$Q$231, 12, 0)</f>
        <v>1.9820323133808871E-2</v>
      </c>
      <c r="I144" s="283">
        <f ca="1">VLOOKUP($A144, 'Exit Prices'!$A$3:$Q$231,17, 0)</f>
        <v>1.7838290820427986E-2</v>
      </c>
      <c r="J144" s="297">
        <f ca="1">'Exit Anticipated Rev. Recovery'!$C$14</f>
        <v>0</v>
      </c>
      <c r="K144" s="307">
        <f ca="1">VLOOKUP(A144,'Exit Anticipated Rev. Recovery'!F:Y,20,FALSE)</f>
        <v>1465397.7506485106</v>
      </c>
      <c r="L144" s="306">
        <f ca="1">((D144*H144)+(E144*I144))*'User Inputs'!$D$7/100</f>
        <v>1466751.8273739167</v>
      </c>
      <c r="M144" s="306">
        <f ca="1">((D144*J144)+(E144*J144))*'User Inputs'!$D$7/100</f>
        <v>0</v>
      </c>
    </row>
    <row r="145" spans="1:13">
      <c r="A145" s="309" t="str">
        <f>'Exit Prices'!A144</f>
        <v>Peters Green</v>
      </c>
      <c r="B145" s="280" t="str">
        <f>VLOOKUP(A145,'Locations &amp; Types'!E:I,4,FALSE)</f>
        <v>GDN (NT)</v>
      </c>
      <c r="C145" s="291">
        <f ca="1">VLOOKUP(A145,'Exit Prices'!$A:$C,3,FALSE)</f>
        <v>111963144</v>
      </c>
      <c r="D145" s="291">
        <f ca="1">VLOOKUP(A145,'Exit Anticipated Rev. Recovery'!$F$1:$Y$231,2,FALSE)+VLOOKUP(A145,'Exit Anticipated Rev. Recovery'!$F$1:$Y$231,5,FALSE)+VLOOKUP(A145,'Exit Anticipated Rev. Recovery'!$F$1:$Y$231,8,FALSE)+VLOOKUP(A145,'Exit Anticipated Rev. Recovery'!$F$1:$Y$231,11,FALSE)+VLOOKUP(A145,'Exit Anticipated Rev. Recovery'!$F$1:$Y$231,14,FALSE)</f>
        <v>109159974.61201651</v>
      </c>
      <c r="E145" s="291">
        <f ca="1">VLOOKUP(A145,'Exit Anticipated Rev. Recovery'!$F$1:$Y$231,17,FALSE)</f>
        <v>2803169.3879834944</v>
      </c>
      <c r="F145" s="291">
        <f t="shared" ca="1" si="4"/>
        <v>111963144.00000001</v>
      </c>
      <c r="G145" s="283">
        <f ca="1">VLOOKUP($A145, 'Exit Prices'!$A$3:$Q$231, 8, 0)</f>
        <v>7.2344179438402385</v>
      </c>
      <c r="H145" s="283">
        <f ca="1">VLOOKUP($A145, 'Exit Prices'!$A$3:$Q$231, 12, 0)</f>
        <v>1.9820323133808871E-2</v>
      </c>
      <c r="I145" s="283">
        <f ca="1">VLOOKUP($A145, 'Exit Prices'!$A$3:$Q$231,17, 0)</f>
        <v>1.7838290820427986E-2</v>
      </c>
      <c r="J145" s="297">
        <f ca="1">'Exit Anticipated Rev. Recovery'!$C$14</f>
        <v>0</v>
      </c>
      <c r="K145" s="307">
        <f ca="1">VLOOKUP(A145,'Exit Anticipated Rev. Recovery'!F:Y,20,FALSE)</f>
        <v>8072143.5494247917</v>
      </c>
      <c r="L145" s="306">
        <f ca="1">((D145*H145)+(E145*I145))*'User Inputs'!$D$7/100</f>
        <v>8079602.4811036345</v>
      </c>
      <c r="M145" s="306">
        <f ca="1">((D145*J145)+(E145*J145))*'User Inputs'!$D$7/100</f>
        <v>0</v>
      </c>
    </row>
    <row r="146" spans="1:13">
      <c r="A146" s="309" t="str">
        <f>'Exit Prices'!A145</f>
        <v>Peters Green South Mimms</v>
      </c>
      <c r="B146" s="280" t="str">
        <f>VLOOKUP(A146,'Locations &amp; Types'!E:I,4,FALSE)</f>
        <v>GDN (NT)</v>
      </c>
      <c r="C146" s="291">
        <f ca="1">VLOOKUP(A146,'Exit Prices'!$A:$C,3,FALSE)</f>
        <v>164876045</v>
      </c>
      <c r="D146" s="291">
        <f ca="1">VLOOKUP(A146,'Exit Anticipated Rev. Recovery'!$F$1:$Y$231,2,FALSE)+VLOOKUP(A146,'Exit Anticipated Rev. Recovery'!$F$1:$Y$231,5,FALSE)+VLOOKUP(A146,'Exit Anticipated Rev. Recovery'!$F$1:$Y$231,8,FALSE)+VLOOKUP(A146,'Exit Anticipated Rev. Recovery'!$F$1:$Y$231,11,FALSE)+VLOOKUP(A146,'Exit Anticipated Rev. Recovery'!$F$1:$Y$231,14,FALSE)</f>
        <v>160748119.81279922</v>
      </c>
      <c r="E146" s="291">
        <f ca="1">VLOOKUP(A146,'Exit Anticipated Rev. Recovery'!$F$1:$Y$231,17,FALSE)</f>
        <v>4127925.1872007907</v>
      </c>
      <c r="F146" s="291">
        <f t="shared" ca="1" si="4"/>
        <v>164876045</v>
      </c>
      <c r="G146" s="283">
        <f ca="1">VLOOKUP($A146, 'Exit Prices'!$A$3:$Q$231, 8, 0)</f>
        <v>7.2344179438402385</v>
      </c>
      <c r="H146" s="283">
        <f ca="1">VLOOKUP($A146, 'Exit Prices'!$A$3:$Q$231, 12, 0)</f>
        <v>1.9820323133808871E-2</v>
      </c>
      <c r="I146" s="283">
        <f ca="1">VLOOKUP($A146, 'Exit Prices'!$A$3:$Q$231,17, 0)</f>
        <v>1.7838290820427986E-2</v>
      </c>
      <c r="J146" s="297">
        <f ca="1">'Exit Anticipated Rev. Recovery'!$C$14</f>
        <v>0</v>
      </c>
      <c r="K146" s="307">
        <f ca="1">VLOOKUP(A146,'Exit Anticipated Rev. Recovery'!F:Y,20,FALSE)</f>
        <v>11886975.08442083</v>
      </c>
      <c r="L146" s="306">
        <f ca="1">((D146*H146)+(E146*I146))*'User Inputs'!$D$7/100</f>
        <v>11897959.048528992</v>
      </c>
      <c r="M146" s="306">
        <f ca="1">((D146*J146)+(E146*J146))*'User Inputs'!$D$7/100</f>
        <v>0</v>
      </c>
    </row>
    <row r="147" spans="1:13">
      <c r="A147" s="309" t="str">
        <f>'Exit Prices'!A146</f>
        <v>Phillips Petroleum, Teesside</v>
      </c>
      <c r="B147" s="280" t="str">
        <f>VLOOKUP(A147,'Locations &amp; Types'!E:I,4,FALSE)</f>
        <v>INDUSTRIAL</v>
      </c>
      <c r="C147" s="291">
        <f ca="1">VLOOKUP(A147,'Exit Prices'!$A:$C,3,FALSE)</f>
        <v>3690000</v>
      </c>
      <c r="D147" s="291">
        <f ca="1">VLOOKUP(A147,'Exit Anticipated Rev. Recovery'!$F$1:$Y$231,2,FALSE)+VLOOKUP(A147,'Exit Anticipated Rev. Recovery'!$F$1:$Y$231,5,FALSE)+VLOOKUP(A147,'Exit Anticipated Rev. Recovery'!$F$1:$Y$231,8,FALSE)+VLOOKUP(A147,'Exit Anticipated Rev. Recovery'!$F$1:$Y$231,11,FALSE)+VLOOKUP(A147,'Exit Anticipated Rev. Recovery'!$F$1:$Y$231,14,FALSE)</f>
        <v>2792134.7269548178</v>
      </c>
      <c r="E147" s="291">
        <f ca="1">VLOOKUP(A147,'Exit Anticipated Rev. Recovery'!$F$1:$Y$231,17,FALSE)</f>
        <v>897865.27304518328</v>
      </c>
      <c r="F147" s="291">
        <f t="shared" ca="1" si="4"/>
        <v>3690000.0000000009</v>
      </c>
      <c r="G147" s="283">
        <f ca="1">VLOOKUP($A147, 'Exit Prices'!$A$3:$Q$231, 8, 0)</f>
        <v>7.2344179438402385</v>
      </c>
      <c r="H147" s="283">
        <f ca="1">VLOOKUP($A147, 'Exit Prices'!$A$3:$Q$231, 12, 0)</f>
        <v>1.9820323133808871E-2</v>
      </c>
      <c r="I147" s="283">
        <f ca="1">VLOOKUP($A147, 'Exit Prices'!$A$3:$Q$231,17, 0)</f>
        <v>1.7838290820427986E-2</v>
      </c>
      <c r="J147" s="297">
        <f ca="1">'Exit Anticipated Rev. Recovery'!$C$14</f>
        <v>0</v>
      </c>
      <c r="K147" s="307">
        <f ca="1">VLOOKUP(A147,'Exit Anticipated Rev. Recovery'!F:Y,20,FALSE)</f>
        <v>260202.7643931373</v>
      </c>
      <c r="L147" s="306">
        <f ca="1">((D147*H147)+(E147*I147))*'User Inputs'!$D$7/100</f>
        <v>260454.4894852358</v>
      </c>
      <c r="M147" s="306">
        <f ca="1">((D147*J147)+(E147*J147))*'User Inputs'!$D$7/100</f>
        <v>0</v>
      </c>
    </row>
    <row r="148" spans="1:13">
      <c r="A148" s="309" t="str">
        <f>'Exit Prices'!A147</f>
        <v>Pickering</v>
      </c>
      <c r="B148" s="280" t="str">
        <f>VLOOKUP(A148,'Locations &amp; Types'!E:I,4,FALSE)</f>
        <v>GDN (NE)</v>
      </c>
      <c r="C148" s="291">
        <f ca="1">VLOOKUP(A148,'Exit Prices'!$A:$C,3,FALSE)</f>
        <v>8332710</v>
      </c>
      <c r="D148" s="291">
        <f ca="1">VLOOKUP(A148,'Exit Anticipated Rev. Recovery'!$F$1:$Y$231,2,FALSE)+VLOOKUP(A148,'Exit Anticipated Rev. Recovery'!$F$1:$Y$231,5,FALSE)+VLOOKUP(A148,'Exit Anticipated Rev. Recovery'!$F$1:$Y$231,8,FALSE)+VLOOKUP(A148,'Exit Anticipated Rev. Recovery'!$F$1:$Y$231,11,FALSE)+VLOOKUP(A148,'Exit Anticipated Rev. Recovery'!$F$1:$Y$231,14,FALSE)</f>
        <v>8124087.7984749703</v>
      </c>
      <c r="E148" s="291">
        <f ca="1">VLOOKUP(A148,'Exit Anticipated Rev. Recovery'!$F$1:$Y$231,17,FALSE)</f>
        <v>208622.2015250299</v>
      </c>
      <c r="F148" s="291">
        <f t="shared" ca="1" si="4"/>
        <v>8332710</v>
      </c>
      <c r="G148" s="283">
        <f ca="1">VLOOKUP($A148, 'Exit Prices'!$A$3:$Q$231, 8, 0)</f>
        <v>7.2344179438402385</v>
      </c>
      <c r="H148" s="283">
        <f ca="1">VLOOKUP($A148, 'Exit Prices'!$A$3:$Q$231, 12, 0)</f>
        <v>1.9820323133808871E-2</v>
      </c>
      <c r="I148" s="283">
        <f ca="1">VLOOKUP($A148, 'Exit Prices'!$A$3:$Q$231,17, 0)</f>
        <v>1.7838290820427986E-2</v>
      </c>
      <c r="J148" s="297">
        <f ca="1">'Exit Anticipated Rev. Recovery'!$C$14</f>
        <v>0</v>
      </c>
      <c r="K148" s="307">
        <f ca="1">VLOOKUP(A148,'Exit Anticipated Rev. Recovery'!F:Y,20,FALSE)</f>
        <v>600758.68605232681</v>
      </c>
      <c r="L148" s="306">
        <f ca="1">((D148*H148)+(E148*I148))*'User Inputs'!$D$7/100</f>
        <v>601313.80724997388</v>
      </c>
      <c r="M148" s="306">
        <f ca="1">((D148*J148)+(E148*J148))*'User Inputs'!$D$7/100</f>
        <v>0</v>
      </c>
    </row>
    <row r="149" spans="1:13">
      <c r="A149" s="309" t="str">
        <f>'Exit Prices'!A148</f>
        <v>Pickmere (Winnington Power, aka Brunner Mond)</v>
      </c>
      <c r="B149" s="280" t="str">
        <f>VLOOKUP(A149,'Locations &amp; Types'!E:I,4,FALSE)</f>
        <v>INDUSTRIAL</v>
      </c>
      <c r="C149" s="291">
        <f ca="1">VLOOKUP(A149,'Exit Prices'!$A:$C,3,FALSE)</f>
        <v>8000000</v>
      </c>
      <c r="D149" s="291">
        <f ca="1">VLOOKUP(A149,'Exit Anticipated Rev. Recovery'!$F$1:$Y$231,2,FALSE)+VLOOKUP(A149,'Exit Anticipated Rev. Recovery'!$F$1:$Y$231,5,FALSE)+VLOOKUP(A149,'Exit Anticipated Rev. Recovery'!$F$1:$Y$231,8,FALSE)+VLOOKUP(A149,'Exit Anticipated Rev. Recovery'!$F$1:$Y$231,11,FALSE)+VLOOKUP(A149,'Exit Anticipated Rev. Recovery'!$F$1:$Y$231,14,FALSE)</f>
        <v>6053408.6221242668</v>
      </c>
      <c r="E149" s="291">
        <f ca="1">VLOOKUP(A149,'Exit Anticipated Rev. Recovery'!$F$1:$Y$231,17,FALSE)</f>
        <v>1946591.377875736</v>
      </c>
      <c r="F149" s="291">
        <f t="shared" ca="1" si="4"/>
        <v>8000000.0000000028</v>
      </c>
      <c r="G149" s="283">
        <f ca="1">VLOOKUP($A149, 'Exit Prices'!$A$3:$Q$231, 8, 0)</f>
        <v>7.2344179438402385</v>
      </c>
      <c r="H149" s="283">
        <f ca="1">VLOOKUP($A149, 'Exit Prices'!$A$3:$Q$231, 12, 0)</f>
        <v>1.9820323133808871E-2</v>
      </c>
      <c r="I149" s="283">
        <f ca="1">VLOOKUP($A149, 'Exit Prices'!$A$3:$Q$231,17, 0)</f>
        <v>1.7838290820427986E-2</v>
      </c>
      <c r="J149" s="297">
        <f ca="1">'Exit Anticipated Rev. Recovery'!$C$14</f>
        <v>0</v>
      </c>
      <c r="K149" s="307">
        <f ca="1">VLOOKUP(A149,'Exit Anticipated Rev. Recovery'!F:Y,20,FALSE)</f>
        <v>564125.23445666628</v>
      </c>
      <c r="L149" s="306">
        <f ca="1">((D149*H149)+(E149*I149))*'User Inputs'!$D$7/100</f>
        <v>564670.97991379024</v>
      </c>
      <c r="M149" s="306">
        <f ca="1">((D149*J149)+(E149*J149))*'User Inputs'!$D$7/100</f>
        <v>0</v>
      </c>
    </row>
    <row r="150" spans="1:13">
      <c r="A150" s="309" t="str">
        <f>'Exit Prices'!A149</f>
        <v>Pitcairngreen</v>
      </c>
      <c r="B150" s="280" t="str">
        <f>VLOOKUP(A150,'Locations &amp; Types'!E:I,4,FALSE)</f>
        <v>GDN (SC)</v>
      </c>
      <c r="C150" s="291">
        <f ca="1">VLOOKUP(A150,'Exit Prices'!$A:$C,3,FALSE)</f>
        <v>1915791</v>
      </c>
      <c r="D150" s="291">
        <f ca="1">VLOOKUP(A150,'Exit Anticipated Rev. Recovery'!$F$1:$Y$231,2,FALSE)+VLOOKUP(A150,'Exit Anticipated Rev. Recovery'!$F$1:$Y$231,5,FALSE)+VLOOKUP(A150,'Exit Anticipated Rev. Recovery'!$F$1:$Y$231,8,FALSE)+VLOOKUP(A150,'Exit Anticipated Rev. Recovery'!$F$1:$Y$231,11,FALSE)+VLOOKUP(A150,'Exit Anticipated Rev. Recovery'!$F$1:$Y$231,14,FALSE)</f>
        <v>1867826.2279052266</v>
      </c>
      <c r="E150" s="291">
        <f ca="1">VLOOKUP(A150,'Exit Anticipated Rev. Recovery'!$F$1:$Y$231,17,FALSE)</f>
        <v>47964.772094773318</v>
      </c>
      <c r="F150" s="291">
        <f t="shared" ca="1" si="4"/>
        <v>1915791</v>
      </c>
      <c r="G150" s="283">
        <f ca="1">VLOOKUP($A150, 'Exit Prices'!$A$3:$Q$231, 8, 0)</f>
        <v>7.2344179438402385</v>
      </c>
      <c r="H150" s="283">
        <f ca="1">VLOOKUP($A150, 'Exit Prices'!$A$3:$Q$231, 12, 0)</f>
        <v>1.9820323133808871E-2</v>
      </c>
      <c r="I150" s="283">
        <f ca="1">VLOOKUP($A150, 'Exit Prices'!$A$3:$Q$231,17, 0)</f>
        <v>1.7838290820427986E-2</v>
      </c>
      <c r="J150" s="297">
        <f ca="1">'Exit Anticipated Rev. Recovery'!$C$14</f>
        <v>0</v>
      </c>
      <c r="K150" s="307">
        <f ca="1">VLOOKUP(A150,'Exit Anticipated Rev. Recovery'!F:Y,20,FALSE)</f>
        <v>138121.70157258242</v>
      </c>
      <c r="L150" s="306">
        <f ca="1">((D150*H150)+(E150*I150))*'User Inputs'!$D$7/100</f>
        <v>138249.33066256167</v>
      </c>
      <c r="M150" s="306">
        <f ca="1">((D150*J150)+(E150*J150))*'User Inputs'!$D$7/100</f>
        <v>0</v>
      </c>
    </row>
    <row r="151" spans="1:13">
      <c r="A151" s="309" t="str">
        <f>'Exit Prices'!A150</f>
        <v>Pucklechurch</v>
      </c>
      <c r="B151" s="280" t="str">
        <f>VLOOKUP(A151,'Locations &amp; Types'!E:I,4,FALSE)</f>
        <v>GDN (SW)</v>
      </c>
      <c r="C151" s="291">
        <f ca="1">VLOOKUP(A151,'Exit Prices'!$A:$C,3,FALSE)</f>
        <v>25023750</v>
      </c>
      <c r="D151" s="291">
        <f ca="1">VLOOKUP(A151,'Exit Anticipated Rev. Recovery'!$F$1:$Y$231,2,FALSE)+VLOOKUP(A151,'Exit Anticipated Rev. Recovery'!$F$1:$Y$231,5,FALSE)+VLOOKUP(A151,'Exit Anticipated Rev. Recovery'!$F$1:$Y$231,8,FALSE)+VLOOKUP(A151,'Exit Anticipated Rev. Recovery'!$F$1:$Y$231,11,FALSE)+VLOOKUP(A151,'Exit Anticipated Rev. Recovery'!$F$1:$Y$231,14,FALSE)</f>
        <v>24397241.959349129</v>
      </c>
      <c r="E151" s="291">
        <f ca="1">VLOOKUP(A151,'Exit Anticipated Rev. Recovery'!$F$1:$Y$231,17,FALSE)</f>
        <v>626508.0406508767</v>
      </c>
      <c r="F151" s="291">
        <f t="shared" ca="1" si="4"/>
        <v>25023750.000000007</v>
      </c>
      <c r="G151" s="283">
        <f ca="1">VLOOKUP($A151, 'Exit Prices'!$A$3:$Q$231, 8, 0)</f>
        <v>7.2344179438402385</v>
      </c>
      <c r="H151" s="283">
        <f ca="1">VLOOKUP($A151, 'Exit Prices'!$A$3:$Q$231, 12, 0)</f>
        <v>1.9820323133808871E-2</v>
      </c>
      <c r="I151" s="283">
        <f ca="1">VLOOKUP($A151, 'Exit Prices'!$A$3:$Q$231,17, 0)</f>
        <v>1.7838290820427986E-2</v>
      </c>
      <c r="J151" s="297">
        <f ca="1">'Exit Anticipated Rev. Recovery'!$C$14</f>
        <v>0</v>
      </c>
      <c r="K151" s="307">
        <f ca="1">VLOOKUP(A151,'Exit Anticipated Rev. Recovery'!F:Y,20,FALSE)</f>
        <v>1804123.1688252583</v>
      </c>
      <c r="L151" s="306">
        <f ca="1">((D151*H151)+(E151*I151))*'User Inputs'!$D$7/100</f>
        <v>1805790.2392104771</v>
      </c>
      <c r="M151" s="306">
        <f ca="1">((D151*J151)+(E151*J151))*'User Inputs'!$D$7/100</f>
        <v>0</v>
      </c>
    </row>
    <row r="152" spans="1:13">
      <c r="A152" s="309" t="str">
        <f>'Exit Prices'!A151</f>
        <v>Rawcliffe</v>
      </c>
      <c r="B152" s="280" t="str">
        <f>VLOOKUP(A152,'Locations &amp; Types'!E:I,4,FALSE)</f>
        <v>GDN (NE)</v>
      </c>
      <c r="C152" s="291">
        <f ca="1">VLOOKUP(A152,'Exit Prices'!$A:$C,3,FALSE)</f>
        <v>5080452</v>
      </c>
      <c r="D152" s="291">
        <f ca="1">VLOOKUP(A152,'Exit Anticipated Rev. Recovery'!$F$1:$Y$231,2,FALSE)+VLOOKUP(A152,'Exit Anticipated Rev. Recovery'!$F$1:$Y$231,5,FALSE)+VLOOKUP(A152,'Exit Anticipated Rev. Recovery'!$F$1:$Y$231,8,FALSE)+VLOOKUP(A152,'Exit Anticipated Rev. Recovery'!$F$1:$Y$231,11,FALSE)+VLOOKUP(A152,'Exit Anticipated Rev. Recovery'!$F$1:$Y$231,14,FALSE)</f>
        <v>4953255.0759522123</v>
      </c>
      <c r="E152" s="291">
        <f ca="1">VLOOKUP(A152,'Exit Anticipated Rev. Recovery'!$F$1:$Y$231,17,FALSE)</f>
        <v>127196.92404778772</v>
      </c>
      <c r="F152" s="291">
        <f t="shared" ca="1" si="4"/>
        <v>5080452</v>
      </c>
      <c r="G152" s="283">
        <f ca="1">VLOOKUP($A152, 'Exit Prices'!$A$3:$Q$231, 8, 0)</f>
        <v>7.2344179438402385</v>
      </c>
      <c r="H152" s="283">
        <f ca="1">VLOOKUP($A152, 'Exit Prices'!$A$3:$Q$231, 12, 0)</f>
        <v>1.9820323133808871E-2</v>
      </c>
      <c r="I152" s="283">
        <f ca="1">VLOOKUP($A152, 'Exit Prices'!$A$3:$Q$231,17, 0)</f>
        <v>1.7838290820427986E-2</v>
      </c>
      <c r="J152" s="297">
        <f ca="1">'Exit Anticipated Rev. Recovery'!$C$14</f>
        <v>0</v>
      </c>
      <c r="K152" s="307">
        <f ca="1">VLOOKUP(A152,'Exit Anticipated Rev. Recovery'!F:Y,20,FALSE)</f>
        <v>366282.47809799161</v>
      </c>
      <c r="L152" s="306">
        <f ca="1">((D152*H152)+(E152*I152))*'User Inputs'!$D$7/100</f>
        <v>366620.93540645763</v>
      </c>
      <c r="M152" s="306">
        <f ca="1">((D152*J152)+(E152*J152))*'User Inputs'!$D$7/100</f>
        <v>0</v>
      </c>
    </row>
    <row r="153" spans="1:13">
      <c r="A153" s="309" t="str">
        <f>'Exit Prices'!A152</f>
        <v>Glasgoforest</v>
      </c>
      <c r="B153" s="280" t="str">
        <f>VLOOKUP(A153,'Locations &amp; Types'!E:I,4,FALSE)</f>
        <v>INDUSTRIAL</v>
      </c>
      <c r="C153" s="291">
        <f ca="1">VLOOKUP(A153,'Exit Prices'!$A:$C,3,FALSE)</f>
        <v>0</v>
      </c>
      <c r="D153" s="291">
        <f ca="1">VLOOKUP(A153,'Exit Anticipated Rev. Recovery'!$F$1:$Y$231,2,FALSE)+VLOOKUP(A153,'Exit Anticipated Rev. Recovery'!$F$1:$Y$231,5,FALSE)+VLOOKUP(A153,'Exit Anticipated Rev. Recovery'!$F$1:$Y$231,8,FALSE)+VLOOKUP(A153,'Exit Anticipated Rev. Recovery'!$F$1:$Y$231,11,FALSE)+VLOOKUP(A153,'Exit Anticipated Rev. Recovery'!$F$1:$Y$231,14,FALSE)</f>
        <v>0</v>
      </c>
      <c r="E153" s="291">
        <f ca="1">VLOOKUP(A153,'Exit Anticipated Rev. Recovery'!$F$1:$Y$231,17,FALSE)</f>
        <v>0</v>
      </c>
      <c r="F153" s="291">
        <f t="shared" ca="1" si="4"/>
        <v>0</v>
      </c>
      <c r="G153" s="283">
        <f ca="1">VLOOKUP($A153, 'Exit Prices'!$A$3:$Q$231, 8, 0)</f>
        <v>7.2344179438402385</v>
      </c>
      <c r="H153" s="283">
        <f ca="1">VLOOKUP($A153, 'Exit Prices'!$A$3:$Q$231, 12, 0)</f>
        <v>1.9820323133808871E-2</v>
      </c>
      <c r="I153" s="283">
        <f ca="1">VLOOKUP($A153, 'Exit Prices'!$A$3:$Q$231,17, 0)</f>
        <v>1.7838290820427986E-2</v>
      </c>
      <c r="J153" s="297">
        <f ca="1">'Exit Anticipated Rev. Recovery'!$C$14</f>
        <v>0</v>
      </c>
      <c r="K153" s="307">
        <f ca="1">VLOOKUP(A153,'Exit Anticipated Rev. Recovery'!F:Y,20,FALSE)</f>
        <v>0</v>
      </c>
      <c r="L153" s="306">
        <f ca="1">((D153*H153)+(E153*I153))*'User Inputs'!$D$7/100</f>
        <v>0</v>
      </c>
      <c r="M153" s="306">
        <f ca="1">((D153*J153)+(E153*J153))*'User Inputs'!$D$7/100</f>
        <v>0</v>
      </c>
    </row>
    <row r="154" spans="1:13">
      <c r="A154" s="309" t="str">
        <f>'Exit Prices'!A153</f>
        <v>Roosecote Power Station (Barrow)</v>
      </c>
      <c r="B154" s="280" t="str">
        <f>VLOOKUP(A154,'Locations &amp; Types'!E:I,4,FALSE)</f>
        <v>POWER STATION</v>
      </c>
      <c r="C154" s="291">
        <f ca="1">VLOOKUP(A154,'Exit Prices'!$A:$C,3,FALSE)</f>
        <v>0</v>
      </c>
      <c r="D154" s="291">
        <f ca="1">VLOOKUP(A154,'Exit Anticipated Rev. Recovery'!$F$1:$Y$231,2,FALSE)+VLOOKUP(A154,'Exit Anticipated Rev. Recovery'!$F$1:$Y$231,5,FALSE)+VLOOKUP(A154,'Exit Anticipated Rev. Recovery'!$F$1:$Y$231,8,FALSE)+VLOOKUP(A154,'Exit Anticipated Rev. Recovery'!$F$1:$Y$231,11,FALSE)+VLOOKUP(A154,'Exit Anticipated Rev. Recovery'!$F$1:$Y$231,14,FALSE)</f>
        <v>0</v>
      </c>
      <c r="E154" s="291">
        <f ca="1">VLOOKUP(A154,'Exit Anticipated Rev. Recovery'!$F$1:$Y$231,17,FALSE)</f>
        <v>0</v>
      </c>
      <c r="F154" s="291">
        <f t="shared" ca="1" si="4"/>
        <v>0</v>
      </c>
      <c r="G154" s="283">
        <f ca="1">VLOOKUP($A154, 'Exit Prices'!$A$3:$Q$231, 8, 0)</f>
        <v>7.2344179438402385</v>
      </c>
      <c r="H154" s="283">
        <f ca="1">VLOOKUP($A154, 'Exit Prices'!$A$3:$Q$231, 12, 0)</f>
        <v>1.9820323133808871E-2</v>
      </c>
      <c r="I154" s="283">
        <f ca="1">VLOOKUP($A154, 'Exit Prices'!$A$3:$Q$231,17, 0)</f>
        <v>1.7838290820427986E-2</v>
      </c>
      <c r="J154" s="297">
        <f ca="1">'Exit Anticipated Rev. Recovery'!$C$14</f>
        <v>0</v>
      </c>
      <c r="K154" s="307">
        <f ca="1">VLOOKUP(A154,'Exit Anticipated Rev. Recovery'!F:Y,20,FALSE)</f>
        <v>0</v>
      </c>
      <c r="L154" s="306">
        <f ca="1">((D154*H154)+(E154*I154))*'User Inputs'!$D$7/100</f>
        <v>0</v>
      </c>
      <c r="M154" s="306">
        <f ca="1">((D154*J154)+(E154*J154))*'User Inputs'!$D$7/100</f>
        <v>0</v>
      </c>
    </row>
    <row r="155" spans="1:13">
      <c r="A155" s="309" t="str">
        <f>'Exit Prices'!A154</f>
        <v>Rosehill (Saltend Power Station)</v>
      </c>
      <c r="B155" s="280" t="str">
        <f>VLOOKUP(A155,'Locations &amp; Types'!E:I,4,FALSE)</f>
        <v>POWER STATION</v>
      </c>
      <c r="C155" s="291">
        <f ca="1">VLOOKUP(A155,'Exit Prices'!$A:$C,3,FALSE)</f>
        <v>57830000</v>
      </c>
      <c r="D155" s="291">
        <f ca="1">VLOOKUP(A155,'Exit Anticipated Rev. Recovery'!$F$1:$Y$231,2,FALSE)+VLOOKUP(A155,'Exit Anticipated Rev. Recovery'!$F$1:$Y$231,5,FALSE)+VLOOKUP(A155,'Exit Anticipated Rev. Recovery'!$F$1:$Y$231,8,FALSE)+VLOOKUP(A155,'Exit Anticipated Rev. Recovery'!$F$1:$Y$231,11,FALSE)+VLOOKUP(A155,'Exit Anticipated Rev. Recovery'!$F$1:$Y$231,14,FALSE)</f>
        <v>28687991.006808333</v>
      </c>
      <c r="E155" s="291">
        <f ca="1">VLOOKUP(A155,'Exit Anticipated Rev. Recovery'!$F$1:$Y$231,17,FALSE)</f>
        <v>29142008.993191656</v>
      </c>
      <c r="F155" s="291">
        <f t="shared" ca="1" si="4"/>
        <v>57829999.999999985</v>
      </c>
      <c r="G155" s="283">
        <f ca="1">VLOOKUP($A155, 'Exit Prices'!$A$3:$Q$231, 8, 0)</f>
        <v>7.2344179438402385</v>
      </c>
      <c r="H155" s="283">
        <f ca="1">VLOOKUP($A155, 'Exit Prices'!$A$3:$Q$231, 12, 0)</f>
        <v>1.9820323133808871E-2</v>
      </c>
      <c r="I155" s="283">
        <f ca="1">VLOOKUP($A155, 'Exit Prices'!$A$3:$Q$231,17, 0)</f>
        <v>1.7838290820427986E-2</v>
      </c>
      <c r="J155" s="297">
        <f ca="1">'Exit Anticipated Rev. Recovery'!$C$14</f>
        <v>0</v>
      </c>
      <c r="K155" s="307">
        <f ca="1">VLOOKUP(A155,'Exit Anticipated Rev. Recovery'!F:Y,20,FALSE)</f>
        <v>3970056.7228738535</v>
      </c>
      <c r="L155" s="306">
        <f ca="1">((D155*H155)+(E155*I155))*'User Inputs'!$D$7/100</f>
        <v>3972838.4241429097</v>
      </c>
      <c r="M155" s="306">
        <f ca="1">((D155*J155)+(E155*J155))*'User Inputs'!$D$7/100</f>
        <v>0</v>
      </c>
    </row>
    <row r="156" spans="1:13">
      <c r="A156" s="309" t="str">
        <f>'Exit Prices'!A155</f>
        <v>Ross (SW)</v>
      </c>
      <c r="B156" s="280" t="str">
        <f>VLOOKUP(A156,'Locations &amp; Types'!E:I,4,FALSE)</f>
        <v>GDN (SW)</v>
      </c>
      <c r="C156" s="291">
        <f ca="1">VLOOKUP(A156,'Exit Prices'!$A:$C,3,FALSE)</f>
        <v>4023357</v>
      </c>
      <c r="D156" s="291">
        <f ca="1">VLOOKUP(A156,'Exit Anticipated Rev. Recovery'!$F$1:$Y$231,2,FALSE)+VLOOKUP(A156,'Exit Anticipated Rev. Recovery'!$F$1:$Y$231,5,FALSE)+VLOOKUP(A156,'Exit Anticipated Rev. Recovery'!$F$1:$Y$231,8,FALSE)+VLOOKUP(A156,'Exit Anticipated Rev. Recovery'!$F$1:$Y$231,11,FALSE)+VLOOKUP(A156,'Exit Anticipated Rev. Recovery'!$F$1:$Y$231,14,FALSE)</f>
        <v>3922626.0739433942</v>
      </c>
      <c r="E156" s="291">
        <f ca="1">VLOOKUP(A156,'Exit Anticipated Rev. Recovery'!$F$1:$Y$231,17,FALSE)</f>
        <v>100730.92605660581</v>
      </c>
      <c r="F156" s="291">
        <f t="shared" ca="1" si="4"/>
        <v>4023357</v>
      </c>
      <c r="G156" s="283">
        <f ca="1">VLOOKUP($A156, 'Exit Prices'!$A$3:$Q$231, 8, 0)</f>
        <v>7.2344179438402385</v>
      </c>
      <c r="H156" s="283">
        <f ca="1">VLOOKUP($A156, 'Exit Prices'!$A$3:$Q$231, 12, 0)</f>
        <v>1.9820323133808871E-2</v>
      </c>
      <c r="I156" s="283">
        <f ca="1">VLOOKUP($A156, 'Exit Prices'!$A$3:$Q$231,17, 0)</f>
        <v>1.7838290820427986E-2</v>
      </c>
      <c r="J156" s="297">
        <f ca="1">'Exit Anticipated Rev. Recovery'!$C$14</f>
        <v>0</v>
      </c>
      <c r="K156" s="307">
        <f ca="1">VLOOKUP(A156,'Exit Anticipated Rev. Recovery'!F:Y,20,FALSE)</f>
        <v>290069.69699406688</v>
      </c>
      <c r="L156" s="306">
        <f ca="1">((D156*H156)+(E156*I156))*'User Inputs'!$D$7/100</f>
        <v>290337.73113378877</v>
      </c>
      <c r="M156" s="306">
        <f ca="1">((D156*J156)+(E156*J156))*'User Inputs'!$D$7/100</f>
        <v>0</v>
      </c>
    </row>
    <row r="157" spans="1:13">
      <c r="A157" s="309" t="str">
        <f>'Exit Prices'!A156</f>
        <v>Ross (WM)</v>
      </c>
      <c r="B157" s="280" t="str">
        <f>VLOOKUP(A157,'Locations &amp; Types'!E:I,4,FALSE)</f>
        <v>GDN (WM)</v>
      </c>
      <c r="C157" s="291">
        <f ca="1">VLOOKUP(A157,'Exit Prices'!$A:$C,3,FALSE)</f>
        <v>9937704</v>
      </c>
      <c r="D157" s="291">
        <f ca="1">VLOOKUP(A157,'Exit Anticipated Rev. Recovery'!$F$1:$Y$231,2,FALSE)+VLOOKUP(A157,'Exit Anticipated Rev. Recovery'!$F$1:$Y$231,5,FALSE)+VLOOKUP(A157,'Exit Anticipated Rev. Recovery'!$F$1:$Y$231,8,FALSE)+VLOOKUP(A157,'Exit Anticipated Rev. Recovery'!$F$1:$Y$231,11,FALSE)+VLOOKUP(A157,'Exit Anticipated Rev. Recovery'!$F$1:$Y$231,14,FALSE)</f>
        <v>9688898.3069440685</v>
      </c>
      <c r="E157" s="291">
        <f ca="1">VLOOKUP(A157,'Exit Anticipated Rev. Recovery'!$F$1:$Y$231,17,FALSE)</f>
        <v>248805.69305593206</v>
      </c>
      <c r="F157" s="291">
        <f t="shared" ca="1" si="4"/>
        <v>9937704</v>
      </c>
      <c r="G157" s="283">
        <f ca="1">VLOOKUP($A157, 'Exit Prices'!$A$3:$Q$231, 8, 0)</f>
        <v>7.2344179438402385</v>
      </c>
      <c r="H157" s="283">
        <f ca="1">VLOOKUP($A157, 'Exit Prices'!$A$3:$Q$231, 12, 0)</f>
        <v>1.9820323133808871E-2</v>
      </c>
      <c r="I157" s="283">
        <f ca="1">VLOOKUP($A157, 'Exit Prices'!$A$3:$Q$231,17, 0)</f>
        <v>1.7838290820427986E-2</v>
      </c>
      <c r="J157" s="297">
        <f ca="1">'Exit Anticipated Rev. Recovery'!$C$14</f>
        <v>0</v>
      </c>
      <c r="K157" s="307">
        <f ca="1">VLOOKUP(A157,'Exit Anticipated Rev. Recovery'!F:Y,20,FALSE)</f>
        <v>716473.03187281836</v>
      </c>
      <c r="L157" s="306">
        <f ca="1">((D157*H157)+(E157*I157))*'User Inputs'!$D$7/100</f>
        <v>717135.07701135578</v>
      </c>
      <c r="M157" s="306">
        <f ca="1">((D157*J157)+(E157*J157))*'User Inputs'!$D$7/100</f>
        <v>0</v>
      </c>
    </row>
    <row r="158" spans="1:13">
      <c r="A158" s="309" t="str">
        <f>'Exit Prices'!A157</f>
        <v>Roudham Heath</v>
      </c>
      <c r="B158" s="280" t="str">
        <f>VLOOKUP(A158,'Locations &amp; Types'!E:I,4,FALSE)</f>
        <v>GDN (EA)</v>
      </c>
      <c r="C158" s="291">
        <f ca="1">VLOOKUP(A158,'Exit Prices'!$A:$C,3,FALSE)</f>
        <v>20129094</v>
      </c>
      <c r="D158" s="291">
        <f ca="1">VLOOKUP(A158,'Exit Anticipated Rev. Recovery'!$F$1:$Y$231,2,FALSE)+VLOOKUP(A158,'Exit Anticipated Rev. Recovery'!$F$1:$Y$231,5,FALSE)+VLOOKUP(A158,'Exit Anticipated Rev. Recovery'!$F$1:$Y$231,8,FALSE)+VLOOKUP(A158,'Exit Anticipated Rev. Recovery'!$F$1:$Y$231,11,FALSE)+VLOOKUP(A158,'Exit Anticipated Rev. Recovery'!$F$1:$Y$231,14,FALSE)</f>
        <v>19625131.194984075</v>
      </c>
      <c r="E158" s="291">
        <f ca="1">VLOOKUP(A158,'Exit Anticipated Rev. Recovery'!$F$1:$Y$231,17,FALSE)</f>
        <v>503962.80501592765</v>
      </c>
      <c r="F158" s="291">
        <f t="shared" ca="1" si="4"/>
        <v>20129094.000000004</v>
      </c>
      <c r="G158" s="283">
        <f ca="1">VLOOKUP($A158, 'Exit Prices'!$A$3:$Q$231, 8, 0)</f>
        <v>7.2344179438402385</v>
      </c>
      <c r="H158" s="283">
        <f ca="1">VLOOKUP($A158, 'Exit Prices'!$A$3:$Q$231, 12, 0)</f>
        <v>1.9820323133808871E-2</v>
      </c>
      <c r="I158" s="283">
        <f ca="1">VLOOKUP($A158, 'Exit Prices'!$A$3:$Q$231,17, 0)</f>
        <v>1.7838290820427986E-2</v>
      </c>
      <c r="J158" s="297">
        <f ca="1">'Exit Anticipated Rev. Recovery'!$C$14</f>
        <v>0</v>
      </c>
      <c r="K158" s="307">
        <f ca="1">VLOOKUP(A158,'Exit Anticipated Rev. Recovery'!F:Y,20,FALSE)</f>
        <v>1451235.9199904685</v>
      </c>
      <c r="L158" s="306">
        <f ca="1">((D158*H158)+(E158*I158))*'User Inputs'!$D$7/100</f>
        <v>1452576.9107088337</v>
      </c>
      <c r="M158" s="306">
        <f ca="1">((D158*J158)+(E158*J158))*'User Inputs'!$D$7/100</f>
        <v>0</v>
      </c>
    </row>
    <row r="159" spans="1:13">
      <c r="A159" s="309" t="str">
        <f>'Exit Prices'!A158</f>
        <v>Royston</v>
      </c>
      <c r="B159" s="280" t="str">
        <f>VLOOKUP(A159,'Locations &amp; Types'!E:I,4,FALSE)</f>
        <v>GDN (EA)</v>
      </c>
      <c r="C159" s="291">
        <f ca="1">VLOOKUP(A159,'Exit Prices'!$A:$C,3,FALSE)</f>
        <v>2367780</v>
      </c>
      <c r="D159" s="291">
        <f ca="1">VLOOKUP(A159,'Exit Anticipated Rev. Recovery'!$F$1:$Y$231,2,FALSE)+VLOOKUP(A159,'Exit Anticipated Rev. Recovery'!$F$1:$Y$231,5,FALSE)+VLOOKUP(A159,'Exit Anticipated Rev. Recovery'!$F$1:$Y$231,8,FALSE)+VLOOKUP(A159,'Exit Anticipated Rev. Recovery'!$F$1:$Y$231,11,FALSE)+VLOOKUP(A159,'Exit Anticipated Rev. Recovery'!$F$1:$Y$231,14,FALSE)</f>
        <v>2308498.9886211166</v>
      </c>
      <c r="E159" s="291">
        <f ca="1">VLOOKUP(A159,'Exit Anticipated Rev. Recovery'!$F$1:$Y$231,17,FALSE)</f>
        <v>59281.011378883377</v>
      </c>
      <c r="F159" s="291">
        <f t="shared" ca="1" si="4"/>
        <v>2367780</v>
      </c>
      <c r="G159" s="283">
        <f ca="1">VLOOKUP($A159, 'Exit Prices'!$A$3:$Q$231, 8, 0)</f>
        <v>7.2344179438402385</v>
      </c>
      <c r="H159" s="283">
        <f ca="1">VLOOKUP($A159, 'Exit Prices'!$A$3:$Q$231, 12, 0)</f>
        <v>1.9820323133808871E-2</v>
      </c>
      <c r="I159" s="283">
        <f ca="1">VLOOKUP($A159, 'Exit Prices'!$A$3:$Q$231,17, 0)</f>
        <v>1.7838290820427986E-2</v>
      </c>
      <c r="J159" s="297">
        <f ca="1">'Exit Anticipated Rev. Recovery'!$C$14</f>
        <v>0</v>
      </c>
      <c r="K159" s="307">
        <f ca="1">VLOOKUP(A159,'Exit Anticipated Rev. Recovery'!F:Y,20,FALSE)</f>
        <v>170708.4971949076</v>
      </c>
      <c r="L159" s="306">
        <f ca="1">((D159*H159)+(E159*I159))*'User Inputs'!$D$7/100</f>
        <v>170866.23757821199</v>
      </c>
      <c r="M159" s="306">
        <f ca="1">((D159*J159)+(E159*J159))*'User Inputs'!$D$7/100</f>
        <v>0</v>
      </c>
    </row>
    <row r="160" spans="1:13">
      <c r="A160" s="309" t="str">
        <f>'Exit Prices'!A159</f>
        <v>Rugby</v>
      </c>
      <c r="B160" s="280" t="str">
        <f>VLOOKUP(A160,'Locations &amp; Types'!E:I,4,FALSE)</f>
        <v>GDN (WM)</v>
      </c>
      <c r="C160" s="291">
        <f ca="1">VLOOKUP(A160,'Exit Prices'!$A:$C,3,FALSE)</f>
        <v>60380901</v>
      </c>
      <c r="D160" s="291">
        <f ca="1">VLOOKUP(A160,'Exit Anticipated Rev. Recovery'!$F$1:$Y$231,2,FALSE)+VLOOKUP(A160,'Exit Anticipated Rev. Recovery'!$F$1:$Y$231,5,FALSE)+VLOOKUP(A160,'Exit Anticipated Rev. Recovery'!$F$1:$Y$231,8,FALSE)+VLOOKUP(A160,'Exit Anticipated Rev. Recovery'!$F$1:$Y$231,11,FALSE)+VLOOKUP(A160,'Exit Anticipated Rev. Recovery'!$F$1:$Y$231,14,FALSE)</f>
        <v>58869172.343094282</v>
      </c>
      <c r="E160" s="291">
        <f ca="1">VLOOKUP(A160,'Exit Anticipated Rev. Recovery'!$F$1:$Y$231,17,FALSE)</f>
        <v>1511728.6569057221</v>
      </c>
      <c r="F160" s="291">
        <f t="shared" ca="1" si="4"/>
        <v>60380901.000000007</v>
      </c>
      <c r="G160" s="283">
        <f ca="1">VLOOKUP($A160, 'Exit Prices'!$A$3:$Q$231, 8, 0)</f>
        <v>7.2344179438402385</v>
      </c>
      <c r="H160" s="283">
        <f ca="1">VLOOKUP($A160, 'Exit Prices'!$A$3:$Q$231, 12, 0)</f>
        <v>1.9820323133808871E-2</v>
      </c>
      <c r="I160" s="283">
        <f ca="1">VLOOKUP($A160, 'Exit Prices'!$A$3:$Q$231,17, 0)</f>
        <v>1.7838290820427986E-2</v>
      </c>
      <c r="J160" s="297">
        <f ca="1">'Exit Anticipated Rev. Recovery'!$C$14</f>
        <v>0</v>
      </c>
      <c r="K160" s="307">
        <f ca="1">VLOOKUP(A160,'Exit Anticipated Rev. Recovery'!F:Y,20,FALSE)</f>
        <v>4353247.7126187794</v>
      </c>
      <c r="L160" s="306">
        <f ca="1">((D160*H160)+(E160*I160))*'User Inputs'!$D$7/100</f>
        <v>4357270.2596746739</v>
      </c>
      <c r="M160" s="306">
        <f ca="1">((D160*J160)+(E160*J160))*'User Inputs'!$D$7/100</f>
        <v>0</v>
      </c>
    </row>
    <row r="161" spans="1:13">
      <c r="A161" s="309" t="str">
        <f>'Exit Prices'!A160</f>
        <v>Ryehouse</v>
      </c>
      <c r="B161" s="280" t="str">
        <f>VLOOKUP(A161,'Locations &amp; Types'!E:I,4,FALSE)</f>
        <v>POWER STATION</v>
      </c>
      <c r="C161" s="291">
        <f ca="1">VLOOKUP(A161,'Exit Prices'!$A:$C,3,FALSE)</f>
        <v>38660000</v>
      </c>
      <c r="D161" s="291">
        <f ca="1">VLOOKUP(A161,'Exit Anticipated Rev. Recovery'!$F$1:$Y$231,2,FALSE)+VLOOKUP(A161,'Exit Anticipated Rev. Recovery'!$F$1:$Y$231,5,FALSE)+VLOOKUP(A161,'Exit Anticipated Rev. Recovery'!$F$1:$Y$231,8,FALSE)+VLOOKUP(A161,'Exit Anticipated Rev. Recovery'!$F$1:$Y$231,11,FALSE)+VLOOKUP(A161,'Exit Anticipated Rev. Recovery'!$F$1:$Y$231,14,FALSE)</f>
        <v>19178241.956133667</v>
      </c>
      <c r="E161" s="291">
        <f ca="1">VLOOKUP(A161,'Exit Anticipated Rev. Recovery'!$F$1:$Y$231,17,FALSE)</f>
        <v>19481758.043866325</v>
      </c>
      <c r="F161" s="291">
        <f t="shared" ca="1" si="4"/>
        <v>38659999.999999993</v>
      </c>
      <c r="G161" s="283">
        <f ca="1">VLOOKUP($A161, 'Exit Prices'!$A$3:$Q$231, 8, 0)</f>
        <v>7.2344179438402385</v>
      </c>
      <c r="H161" s="283">
        <f ca="1">VLOOKUP($A161, 'Exit Prices'!$A$3:$Q$231, 12, 0)</f>
        <v>1.9820323133808871E-2</v>
      </c>
      <c r="I161" s="283">
        <f ca="1">VLOOKUP($A161, 'Exit Prices'!$A$3:$Q$231,17, 0)</f>
        <v>1.7838290820427986E-2</v>
      </c>
      <c r="J161" s="297">
        <f ca="1">'Exit Anticipated Rev. Recovery'!$C$14</f>
        <v>0</v>
      </c>
      <c r="K161" s="307">
        <f ca="1">VLOOKUP(A161,'Exit Anticipated Rev. Recovery'!F:Y,20,FALSE)</f>
        <v>2654027.198794798</v>
      </c>
      <c r="L161" s="306">
        <f ca="1">((D161*H161)+(E161*I161))*'User Inputs'!$D$7/100</f>
        <v>2655886.7971185353</v>
      </c>
      <c r="M161" s="306">
        <f ca="1">((D161*J161)+(E161*J161))*'User Inputs'!$D$7/100</f>
        <v>0</v>
      </c>
    </row>
    <row r="162" spans="1:13">
      <c r="A162" s="309" t="str">
        <f>'Exit Prices'!A161</f>
        <v>Saddle Bow (Kings Lynn)</v>
      </c>
      <c r="B162" s="280" t="str">
        <f>VLOOKUP(A162,'Locations &amp; Types'!E:I,4,FALSE)</f>
        <v>POWER STATION</v>
      </c>
      <c r="C162" s="291">
        <f ca="1">VLOOKUP(A162,'Exit Prices'!$A:$C,3,FALSE)</f>
        <v>17980000</v>
      </c>
      <c r="D162" s="291">
        <f ca="1">VLOOKUP(A162,'Exit Anticipated Rev. Recovery'!$F$1:$Y$231,2,FALSE)+VLOOKUP(A162,'Exit Anticipated Rev. Recovery'!$F$1:$Y$231,5,FALSE)+VLOOKUP(A162,'Exit Anticipated Rev. Recovery'!$F$1:$Y$231,8,FALSE)+VLOOKUP(A162,'Exit Anticipated Rev. Recovery'!$F$1:$Y$231,11,FALSE)+VLOOKUP(A162,'Exit Anticipated Rev. Recovery'!$F$1:$Y$231,14,FALSE)</f>
        <v>8919420.3406953812</v>
      </c>
      <c r="E162" s="291">
        <f ca="1">VLOOKUP(A162,'Exit Anticipated Rev. Recovery'!$F$1:$Y$231,17,FALSE)</f>
        <v>9060579.659304617</v>
      </c>
      <c r="F162" s="291">
        <f t="shared" ca="1" si="4"/>
        <v>17980000</v>
      </c>
      <c r="G162" s="283">
        <f ca="1">VLOOKUP($A162, 'Exit Prices'!$A$3:$Q$231, 8, 0)</f>
        <v>7.2344179438402385</v>
      </c>
      <c r="H162" s="283">
        <f ca="1">VLOOKUP($A162, 'Exit Prices'!$A$3:$Q$231, 12, 0)</f>
        <v>1.9820323133808871E-2</v>
      </c>
      <c r="I162" s="283">
        <f ca="1">VLOOKUP($A162, 'Exit Prices'!$A$3:$Q$231,17, 0)</f>
        <v>1.7838290820427986E-2</v>
      </c>
      <c r="J162" s="297">
        <f ca="1">'Exit Anticipated Rev. Recovery'!$C$14</f>
        <v>0</v>
      </c>
      <c r="K162" s="307">
        <f ca="1">VLOOKUP(A162,'Exit Anticipated Rev. Recovery'!F:Y,20,FALSE)</f>
        <v>1234335.4638988741</v>
      </c>
      <c r="L162" s="306">
        <f ca="1">((D162*H162)+(E162*I162))*'User Inputs'!$D$7/100</f>
        <v>1235200.3262336075</v>
      </c>
      <c r="M162" s="306">
        <f ca="1">((D162*J162)+(E162*J162))*'User Inputs'!$D$7/100</f>
        <v>0</v>
      </c>
    </row>
    <row r="163" spans="1:13">
      <c r="A163" s="309" t="str">
        <f>'Exit Prices'!A162</f>
        <v>Saltend BPHP (BP Saltend HP)</v>
      </c>
      <c r="B163" s="280" t="str">
        <f>VLOOKUP(A163,'Locations &amp; Types'!E:I,4,FALSE)</f>
        <v>INDUSTRIAL</v>
      </c>
      <c r="C163" s="291">
        <f ca="1">VLOOKUP(A163,'Exit Prices'!$A:$C,3,FALSE)</f>
        <v>9055895</v>
      </c>
      <c r="D163" s="291">
        <f ca="1">VLOOKUP(A163,'Exit Anticipated Rev. Recovery'!$F$1:$Y$231,2,FALSE)+VLOOKUP(A163,'Exit Anticipated Rev. Recovery'!$F$1:$Y$231,5,FALSE)+VLOOKUP(A163,'Exit Anticipated Rev. Recovery'!$F$1:$Y$231,8,FALSE)+VLOOKUP(A163,'Exit Anticipated Rev. Recovery'!$F$1:$Y$231,11,FALSE)+VLOOKUP(A163,'Exit Anticipated Rev. Recovery'!$F$1:$Y$231,14,FALSE)</f>
        <v>6852379.109256505</v>
      </c>
      <c r="E163" s="291">
        <f ca="1">VLOOKUP(A163,'Exit Anticipated Rev. Recovery'!$F$1:$Y$231,17,FALSE)</f>
        <v>2203515.8907434987</v>
      </c>
      <c r="F163" s="291">
        <f t="shared" ca="1" si="4"/>
        <v>9055895.0000000037</v>
      </c>
      <c r="G163" s="283">
        <f ca="1">VLOOKUP($A163, 'Exit Prices'!$A$3:$Q$231, 8, 0)</f>
        <v>7.2344179438402385</v>
      </c>
      <c r="H163" s="283">
        <f ca="1">VLOOKUP($A163, 'Exit Prices'!$A$3:$Q$231, 12, 0)</f>
        <v>1.9820323133808871E-2</v>
      </c>
      <c r="I163" s="283">
        <f ca="1">VLOOKUP($A163, 'Exit Prices'!$A$3:$Q$231,17, 0)</f>
        <v>1.7838290820427986E-2</v>
      </c>
      <c r="J163" s="297">
        <f ca="1">'Exit Anticipated Rev. Recovery'!$C$14</f>
        <v>0</v>
      </c>
      <c r="K163" s="307">
        <f ca="1">VLOOKUP(A163,'Exit Anticipated Rev. Recovery'!F:Y,20,FALSE)</f>
        <v>638582.36126124393</v>
      </c>
      <c r="L163" s="306">
        <f ca="1">((D163*H163)+(E163*I163))*'User Inputs'!$D$7/100</f>
        <v>639200.13795579935</v>
      </c>
      <c r="M163" s="306">
        <f ca="1">((D163*J163)+(E163*J163))*'User Inputs'!$D$7/100</f>
        <v>0</v>
      </c>
    </row>
    <row r="164" spans="1:13">
      <c r="A164" s="309" t="str">
        <f>'Exit Prices'!A163</f>
        <v>Saltfleetby Storage (Theddlethorpe)</v>
      </c>
      <c r="B164" s="280" t="str">
        <f>VLOOKUP(A164,'Locations &amp; Types'!E:I,4,FALSE)</f>
        <v>STORAGE SITE</v>
      </c>
      <c r="C164" s="291">
        <f ca="1">VLOOKUP(A164,'Exit Prices'!$A:$C,3,FALSE)</f>
        <v>0</v>
      </c>
      <c r="D164" s="291">
        <f ca="1">VLOOKUP(A164,'Exit Anticipated Rev. Recovery'!$F$1:$Y$231,2,FALSE)+VLOOKUP(A164,'Exit Anticipated Rev. Recovery'!$F$1:$Y$231,5,FALSE)+VLOOKUP(A164,'Exit Anticipated Rev. Recovery'!$F$1:$Y$231,8,FALSE)+VLOOKUP(A164,'Exit Anticipated Rev. Recovery'!$F$1:$Y$231,11,FALSE)+VLOOKUP(A164,'Exit Anticipated Rev. Recovery'!$F$1:$Y$231,14,FALSE)</f>
        <v>0</v>
      </c>
      <c r="E164" s="291">
        <f ca="1">VLOOKUP(A164,'Exit Anticipated Rev. Recovery'!$F$1:$Y$231,17,FALSE)</f>
        <v>0</v>
      </c>
      <c r="F164" s="291">
        <f t="shared" ca="1" si="4"/>
        <v>0</v>
      </c>
      <c r="G164" s="283">
        <f ca="1">VLOOKUP($A164, 'Exit Prices'!$A$3:$Q$231, 8, 0)</f>
        <v>7.2344179438402385</v>
      </c>
      <c r="H164" s="283">
        <f ca="1">VLOOKUP($A164, 'Exit Prices'!$A$3:$Q$231, 12, 0)</f>
        <v>9.9101615669044355E-3</v>
      </c>
      <c r="I164" s="283">
        <f ca="1">VLOOKUP($A164, 'Exit Prices'!$A$3:$Q$231,17, 0)</f>
        <v>8.9191454102139928E-3</v>
      </c>
      <c r="J164" s="297">
        <f ca="1">'Exit Anticipated Rev. Recovery'!$C$14</f>
        <v>0</v>
      </c>
      <c r="K164" s="307">
        <f ca="1">VLOOKUP(A164,'Exit Anticipated Rev. Recovery'!F:Y,20,FALSE)</f>
        <v>0</v>
      </c>
      <c r="L164" s="306">
        <f ca="1">((D164*H164)+(E164*I164))*'User Inputs'!$D$7/100</f>
        <v>0</v>
      </c>
      <c r="M164" s="306">
        <f ca="1">((D164*J164)+(E164*J164))*'User Inputs'!$D$7/100</f>
        <v>0</v>
      </c>
    </row>
    <row r="165" spans="1:13">
      <c r="A165" s="309" t="str">
        <f>'Exit Prices'!A164</f>
        <v>Saltwick Pressure Controlled</v>
      </c>
      <c r="B165" s="280" t="str">
        <f>VLOOKUP(A165,'Locations &amp; Types'!E:I,4,FALSE)</f>
        <v>GDN (NO)</v>
      </c>
      <c r="C165" s="291">
        <f ca="1">VLOOKUP(A165,'Exit Prices'!$A:$C,3,FALSE)</f>
        <v>0</v>
      </c>
      <c r="D165" s="291">
        <f ca="1">VLOOKUP(A165,'Exit Anticipated Rev. Recovery'!$F$1:$Y$231,2,FALSE)+VLOOKUP(A165,'Exit Anticipated Rev. Recovery'!$F$1:$Y$231,5,FALSE)+VLOOKUP(A165,'Exit Anticipated Rev. Recovery'!$F$1:$Y$231,8,FALSE)+VLOOKUP(A165,'Exit Anticipated Rev. Recovery'!$F$1:$Y$231,11,FALSE)+VLOOKUP(A165,'Exit Anticipated Rev. Recovery'!$F$1:$Y$231,14,FALSE)</f>
        <v>0</v>
      </c>
      <c r="E165" s="291">
        <f ca="1">VLOOKUP(A165,'Exit Anticipated Rev. Recovery'!$F$1:$Y$231,17,FALSE)</f>
        <v>0</v>
      </c>
      <c r="F165" s="291">
        <f t="shared" ca="1" si="4"/>
        <v>0</v>
      </c>
      <c r="G165" s="283">
        <f ca="1">VLOOKUP($A165, 'Exit Prices'!$A$3:$Q$231, 8, 0)</f>
        <v>7.2344179438402385</v>
      </c>
      <c r="H165" s="283">
        <f ca="1">VLOOKUP($A165, 'Exit Prices'!$A$3:$Q$231, 12, 0)</f>
        <v>1.9820323133808871E-2</v>
      </c>
      <c r="I165" s="283">
        <f ca="1">VLOOKUP($A165, 'Exit Prices'!$A$3:$Q$231,17, 0)</f>
        <v>1.7838290820427986E-2</v>
      </c>
      <c r="J165" s="297">
        <f ca="1">'Exit Anticipated Rev. Recovery'!$C$14</f>
        <v>0</v>
      </c>
      <c r="K165" s="307">
        <f ca="1">VLOOKUP(A165,'Exit Anticipated Rev. Recovery'!F:Y,20,FALSE)</f>
        <v>0</v>
      </c>
      <c r="L165" s="306">
        <f ca="1">((D165*H165)+(E165*I165))*'User Inputs'!$D$7/100</f>
        <v>0</v>
      </c>
      <c r="M165" s="306">
        <f ca="1">((D165*J165)+(E165*J165))*'User Inputs'!$D$7/100</f>
        <v>0</v>
      </c>
    </row>
    <row r="166" spans="1:13">
      <c r="A166" s="309" t="str">
        <f>'Exit Prices'!A165</f>
        <v>Saltwick Volumetric Controlled</v>
      </c>
      <c r="B166" s="280" t="str">
        <f>VLOOKUP(A166,'Locations &amp; Types'!E:I,4,FALSE)</f>
        <v>GDN (NO)</v>
      </c>
      <c r="C166" s="291">
        <f ca="1">VLOOKUP(A166,'Exit Prices'!$A:$C,3,FALSE)</f>
        <v>39506950</v>
      </c>
      <c r="D166" s="291">
        <f ca="1">VLOOKUP(A166,'Exit Anticipated Rev. Recovery'!$F$1:$Y$231,2,FALSE)+VLOOKUP(A166,'Exit Anticipated Rev. Recovery'!$F$1:$Y$231,5,FALSE)+VLOOKUP(A166,'Exit Anticipated Rev. Recovery'!$F$1:$Y$231,8,FALSE)+VLOOKUP(A166,'Exit Anticipated Rev. Recovery'!$F$1:$Y$231,11,FALSE)+VLOOKUP(A166,'Exit Anticipated Rev. Recovery'!$F$1:$Y$231,14,FALSE)</f>
        <v>38517832.787887827</v>
      </c>
      <c r="E166" s="291">
        <f ca="1">VLOOKUP(A166,'Exit Anticipated Rev. Recovery'!$F$1:$Y$231,17,FALSE)</f>
        <v>989117.21211217949</v>
      </c>
      <c r="F166" s="291">
        <f t="shared" ca="1" si="4"/>
        <v>39506950.000000007</v>
      </c>
      <c r="G166" s="283">
        <f ca="1">VLOOKUP($A166, 'Exit Prices'!$A$3:$Q$231, 8, 0)</f>
        <v>7.2344179438402385</v>
      </c>
      <c r="H166" s="283">
        <f ca="1">VLOOKUP($A166, 'Exit Prices'!$A$3:$Q$231, 12, 0)</f>
        <v>1.9820323133808871E-2</v>
      </c>
      <c r="I166" s="283">
        <f ca="1">VLOOKUP($A166, 'Exit Prices'!$A$3:$Q$231,17, 0)</f>
        <v>1.7838290820427986E-2</v>
      </c>
      <c r="J166" s="297">
        <f ca="1">'Exit Anticipated Rev. Recovery'!$C$14</f>
        <v>0</v>
      </c>
      <c r="K166" s="307">
        <f ca="1">VLOOKUP(A166,'Exit Anticipated Rev. Recovery'!F:Y,20,FALSE)</f>
        <v>2848310.2582395133</v>
      </c>
      <c r="L166" s="306">
        <f ca="1">((D166*H166)+(E166*I166))*'User Inputs'!$D$7/100</f>
        <v>2850942.1925561256</v>
      </c>
      <c r="M166" s="306">
        <f ca="1">((D166*J166)+(E166*J166))*'User Inputs'!$D$7/100</f>
        <v>0</v>
      </c>
    </row>
    <row r="167" spans="1:13">
      <c r="A167" s="309" t="str">
        <f>'Exit Prices'!A166</f>
        <v>Samlesbury</v>
      </c>
      <c r="B167" s="280" t="str">
        <f>VLOOKUP(A167,'Locations &amp; Types'!E:I,4,FALSE)</f>
        <v>GDN (NW)</v>
      </c>
      <c r="C167" s="291">
        <f ca="1">VLOOKUP(A167,'Exit Prices'!$A:$C,3,FALSE)</f>
        <v>99858652</v>
      </c>
      <c r="D167" s="291">
        <f ca="1">VLOOKUP(A167,'Exit Anticipated Rev. Recovery'!$F$1:$Y$231,2,FALSE)+VLOOKUP(A167,'Exit Anticipated Rev. Recovery'!$F$1:$Y$231,5,FALSE)+VLOOKUP(A167,'Exit Anticipated Rev. Recovery'!$F$1:$Y$231,8,FALSE)+VLOOKUP(A167,'Exit Anticipated Rev. Recovery'!$F$1:$Y$231,11,FALSE)+VLOOKUP(A167,'Exit Anticipated Rev. Recovery'!$F$1:$Y$231,14,FALSE)</f>
        <v>97358537.172823504</v>
      </c>
      <c r="E167" s="291">
        <f ca="1">VLOOKUP(A167,'Exit Anticipated Rev. Recovery'!$F$1:$Y$231,17,FALSE)</f>
        <v>2500114.8271764927</v>
      </c>
      <c r="F167" s="291">
        <f t="shared" ca="1" si="4"/>
        <v>99858652</v>
      </c>
      <c r="G167" s="283">
        <f ca="1">VLOOKUP($A167, 'Exit Prices'!$A$3:$Q$231, 8, 0)</f>
        <v>7.2344179438402385</v>
      </c>
      <c r="H167" s="283">
        <f ca="1">VLOOKUP($A167, 'Exit Prices'!$A$3:$Q$231, 12, 0)</f>
        <v>1.9820323133808871E-2</v>
      </c>
      <c r="I167" s="283">
        <f ca="1">VLOOKUP($A167, 'Exit Prices'!$A$3:$Q$231,17, 0)</f>
        <v>1.7838290820427986E-2</v>
      </c>
      <c r="J167" s="297">
        <f ca="1">'Exit Anticipated Rev. Recovery'!$C$14</f>
        <v>0</v>
      </c>
      <c r="K167" s="307">
        <f ca="1">VLOOKUP(A167,'Exit Anticipated Rev. Recovery'!F:Y,20,FALSE)</f>
        <v>7199452.8270486491</v>
      </c>
      <c r="L167" s="306">
        <f ca="1">((D167*H167)+(E167*I167))*'User Inputs'!$D$7/100</f>
        <v>7206105.3631975921</v>
      </c>
      <c r="M167" s="306">
        <f ca="1">((D167*J167)+(E167*J167))*'User Inputs'!$D$7/100</f>
        <v>0</v>
      </c>
    </row>
    <row r="168" spans="1:13">
      <c r="A168" s="309" t="str">
        <f>'Exit Prices'!A167</f>
        <v>Sandy Lane (Blackburn CHP, aka Sappi Paper Mill)</v>
      </c>
      <c r="B168" s="280" t="str">
        <f>VLOOKUP(A168,'Locations &amp; Types'!E:I,4,FALSE)</f>
        <v>INDUSTRIAL</v>
      </c>
      <c r="C168" s="291">
        <f ca="1">VLOOKUP(A168,'Exit Prices'!$A:$C,3,FALSE)</f>
        <v>3433103</v>
      </c>
      <c r="D168" s="291">
        <f ca="1">VLOOKUP(A168,'Exit Anticipated Rev. Recovery'!$F$1:$Y$231,2,FALSE)+VLOOKUP(A168,'Exit Anticipated Rev. Recovery'!$F$1:$Y$231,5,FALSE)+VLOOKUP(A168,'Exit Anticipated Rev. Recovery'!$F$1:$Y$231,8,FALSE)+VLOOKUP(A168,'Exit Anticipated Rev. Recovery'!$F$1:$Y$231,11,FALSE)+VLOOKUP(A168,'Exit Anticipated Rev. Recovery'!$F$1:$Y$231,14,FALSE)</f>
        <v>2597746.9126050859</v>
      </c>
      <c r="E168" s="291">
        <f ca="1">VLOOKUP(A168,'Exit Anticipated Rev. Recovery'!$F$1:$Y$231,17,FALSE)</f>
        <v>835356.0873949154</v>
      </c>
      <c r="F168" s="291">
        <f t="shared" ca="1" si="4"/>
        <v>3433103.0000000014</v>
      </c>
      <c r="G168" s="283">
        <f ca="1">VLOOKUP($A168, 'Exit Prices'!$A$3:$Q$231, 8, 0)</f>
        <v>7.2344179438402385</v>
      </c>
      <c r="H168" s="283">
        <f ca="1">VLOOKUP($A168, 'Exit Prices'!$A$3:$Q$231, 12, 0)</f>
        <v>1.9820323133808871E-2</v>
      </c>
      <c r="I168" s="283">
        <f ca="1">VLOOKUP($A168, 'Exit Prices'!$A$3:$Q$231,17, 0)</f>
        <v>1.7838290820427986E-2</v>
      </c>
      <c r="J168" s="297">
        <f ca="1">'Exit Anticipated Rev. Recovery'!$C$14</f>
        <v>0</v>
      </c>
      <c r="K168" s="307">
        <f ca="1">VLOOKUP(A168,'Exit Anticipated Rev. Recovery'!F:Y,20,FALSE)</f>
        <v>242087.5043486105</v>
      </c>
      <c r="L168" s="306">
        <f ca="1">((D168*H168)+(E168*I168))*'User Inputs'!$D$7/100</f>
        <v>242321.70439437169</v>
      </c>
      <c r="M168" s="306">
        <f ca="1">((D168*J168)+(E168*J168))*'User Inputs'!$D$7/100</f>
        <v>0</v>
      </c>
    </row>
    <row r="169" spans="1:13">
      <c r="A169" s="309" t="str">
        <f>'Exit Prices'!A168</f>
        <v>Seabank (DN)</v>
      </c>
      <c r="B169" s="280" t="str">
        <f>VLOOKUP(A169,'Locations &amp; Types'!E:I,4,FALSE)</f>
        <v>GDN (SW)</v>
      </c>
      <c r="C169" s="291">
        <f ca="1">VLOOKUP(A169,'Exit Prices'!$A:$C,3,FALSE)</f>
        <v>53316903</v>
      </c>
      <c r="D169" s="291">
        <f ca="1">VLOOKUP(A169,'Exit Anticipated Rev. Recovery'!$F$1:$Y$231,2,FALSE)+VLOOKUP(A169,'Exit Anticipated Rev. Recovery'!$F$1:$Y$231,5,FALSE)+VLOOKUP(A169,'Exit Anticipated Rev. Recovery'!$F$1:$Y$231,8,FALSE)+VLOOKUP(A169,'Exit Anticipated Rev. Recovery'!$F$1:$Y$231,11,FALSE)+VLOOKUP(A169,'Exit Anticipated Rev. Recovery'!$F$1:$Y$231,14,FALSE)</f>
        <v>51982032.389795579</v>
      </c>
      <c r="E169" s="291">
        <f ca="1">VLOOKUP(A169,'Exit Anticipated Rev. Recovery'!$F$1:$Y$231,17,FALSE)</f>
        <v>1334870.6102044198</v>
      </c>
      <c r="F169" s="291">
        <f t="shared" ca="1" si="4"/>
        <v>53316903</v>
      </c>
      <c r="G169" s="283">
        <f ca="1">VLOOKUP($A169, 'Exit Prices'!$A$3:$Q$231, 8, 0)</f>
        <v>7.2344179438402385</v>
      </c>
      <c r="H169" s="283">
        <f ca="1">VLOOKUP($A169, 'Exit Prices'!$A$3:$Q$231, 12, 0)</f>
        <v>1.9820323133808871E-2</v>
      </c>
      <c r="I169" s="283">
        <f ca="1">VLOOKUP($A169, 'Exit Prices'!$A$3:$Q$231,17, 0)</f>
        <v>1.7838290820427986E-2</v>
      </c>
      <c r="J169" s="297">
        <f ca="1">'Exit Anticipated Rev. Recovery'!$C$14</f>
        <v>0</v>
      </c>
      <c r="K169" s="307">
        <f ca="1">VLOOKUP(A169,'Exit Anticipated Rev. Recovery'!F:Y,20,FALSE)</f>
        <v>3843958.63898532</v>
      </c>
      <c r="L169" s="306">
        <f ca="1">((D169*H169)+(E169*I169))*'User Inputs'!$D$7/100</f>
        <v>3847510.5858367262</v>
      </c>
      <c r="M169" s="306">
        <f ca="1">((D169*J169)+(E169*J169))*'User Inputs'!$D$7/100</f>
        <v>0</v>
      </c>
    </row>
    <row r="170" spans="1:13">
      <c r="A170" s="309" t="str">
        <f>'Exit Prices'!A169</f>
        <v>Seabank (Seabank Power Station phase II)</v>
      </c>
      <c r="B170" s="280" t="str">
        <f>VLOOKUP(A170,'Locations &amp; Types'!E:I,4,FALSE)</f>
        <v>POWER STATION</v>
      </c>
      <c r="C170" s="291">
        <f ca="1">VLOOKUP(A170,'Exit Prices'!$A:$C,3,FALSE)</f>
        <v>18316938</v>
      </c>
      <c r="D170" s="291">
        <f ca="1">VLOOKUP(A170,'Exit Anticipated Rev. Recovery'!$F$1:$Y$231,2,FALSE)+VLOOKUP(A170,'Exit Anticipated Rev. Recovery'!$F$1:$Y$231,5,FALSE)+VLOOKUP(A170,'Exit Anticipated Rev. Recovery'!$F$1:$Y$231,8,FALSE)+VLOOKUP(A170,'Exit Anticipated Rev. Recovery'!$F$1:$Y$231,11,FALSE)+VLOOKUP(A170,'Exit Anticipated Rev. Recovery'!$F$1:$Y$231,14,FALSE)</f>
        <v>9086566.7061432805</v>
      </c>
      <c r="E170" s="291">
        <f ca="1">VLOOKUP(A170,'Exit Anticipated Rev. Recovery'!$F$1:$Y$231,17,FALSE)</f>
        <v>9230371.2938567176</v>
      </c>
      <c r="F170" s="291">
        <f t="shared" ca="1" si="4"/>
        <v>18316938</v>
      </c>
      <c r="G170" s="283">
        <f ca="1">VLOOKUP($A170, 'Exit Prices'!$A$3:$Q$231, 8, 0)</f>
        <v>7.2344179438402385</v>
      </c>
      <c r="H170" s="283">
        <f ca="1">VLOOKUP($A170, 'Exit Prices'!$A$3:$Q$231, 12, 0)</f>
        <v>1.9820323133808871E-2</v>
      </c>
      <c r="I170" s="283">
        <f ca="1">VLOOKUP($A170, 'Exit Prices'!$A$3:$Q$231,17, 0)</f>
        <v>1.7838290820427986E-2</v>
      </c>
      <c r="J170" s="297">
        <f ca="1">'Exit Anticipated Rev. Recovery'!$C$14</f>
        <v>0</v>
      </c>
      <c r="K170" s="307">
        <f ca="1">VLOOKUP(A170,'Exit Anticipated Rev. Recovery'!F:Y,20,FALSE)</f>
        <v>1257466.4162089496</v>
      </c>
      <c r="L170" s="306">
        <f ca="1">((D170*H170)+(E170*I170))*'User Inputs'!$D$7/100</f>
        <v>1258347.4857175061</v>
      </c>
      <c r="M170" s="306">
        <f ca="1">((D170*J170)+(E170*J170))*'User Inputs'!$D$7/100</f>
        <v>0</v>
      </c>
    </row>
    <row r="171" spans="1:13">
      <c r="A171" s="309" t="str">
        <f>'Exit Prices'!A170</f>
        <v>Seal Sands TGPP</v>
      </c>
      <c r="B171" s="280" t="str">
        <f>VLOOKUP(A171,'Locations &amp; Types'!E:I,4,FALSE)</f>
        <v>INDUSTRIAL</v>
      </c>
      <c r="C171" s="291">
        <f ca="1">VLOOKUP(A171,'Exit Prices'!$A:$C,3,FALSE)</f>
        <v>49277.068991780834</v>
      </c>
      <c r="D171" s="291">
        <f ca="1">VLOOKUP(A171,'Exit Anticipated Rev. Recovery'!$F$1:$Y$231,2,FALSE)+VLOOKUP(A171,'Exit Anticipated Rev. Recovery'!$F$1:$Y$231,5,FALSE)+VLOOKUP(A171,'Exit Anticipated Rev. Recovery'!$F$1:$Y$231,8,FALSE)+VLOOKUP(A171,'Exit Anticipated Rev. Recovery'!$F$1:$Y$231,11,FALSE)+VLOOKUP(A171,'Exit Anticipated Rev. Recovery'!$F$1:$Y$231,14,FALSE)</f>
        <v>37286.779288482299</v>
      </c>
      <c r="E171" s="291">
        <f ca="1">VLOOKUP(A171,'Exit Anticipated Rev. Recovery'!$F$1:$Y$231,17,FALSE)</f>
        <v>11990.289703298544</v>
      </c>
      <c r="F171" s="291">
        <f t="shared" ca="1" si="4"/>
        <v>49277.068991780841</v>
      </c>
      <c r="G171" s="283">
        <f ca="1">VLOOKUP($A171, 'Exit Prices'!$A$3:$Q$231, 8, 0)</f>
        <v>7.2344179438402385</v>
      </c>
      <c r="H171" s="283">
        <f ca="1">VLOOKUP($A171, 'Exit Prices'!$A$3:$Q$231, 12, 0)</f>
        <v>1.9820323133808871E-2</v>
      </c>
      <c r="I171" s="283">
        <f ca="1">VLOOKUP($A171, 'Exit Prices'!$A$3:$Q$231,17, 0)</f>
        <v>1.7838290820427986E-2</v>
      </c>
      <c r="J171" s="297">
        <f ca="1">'Exit Anticipated Rev. Recovery'!$C$14</f>
        <v>0</v>
      </c>
      <c r="K171" s="307">
        <f ca="1">VLOOKUP(A171,'Exit Anticipated Rev. Recovery'!F:Y,20,FALSE)</f>
        <v>3474.8047622907097</v>
      </c>
      <c r="L171" s="306">
        <f ca="1">((D171*H171)+(E171*I171))*'User Inputs'!$D$7/100</f>
        <v>3478.166354358541</v>
      </c>
      <c r="M171" s="306">
        <f ca="1">((D171*J171)+(E171*J171))*'User Inputs'!$D$7/100</f>
        <v>0</v>
      </c>
    </row>
    <row r="172" spans="1:13">
      <c r="A172" s="309" t="str">
        <f>'Exit Prices'!A171</f>
        <v>Sellafield Power Station</v>
      </c>
      <c r="B172" s="280" t="str">
        <f>VLOOKUP(A172,'Locations &amp; Types'!E:I,4,FALSE)</f>
        <v>POWER STATION</v>
      </c>
      <c r="C172" s="291">
        <f ca="1">VLOOKUP(A172,'Exit Prices'!$A:$C,3,FALSE)</f>
        <v>12349999</v>
      </c>
      <c r="D172" s="291">
        <f ca="1">VLOOKUP(A172,'Exit Anticipated Rev. Recovery'!$F$1:$Y$231,2,FALSE)+VLOOKUP(A172,'Exit Anticipated Rev. Recovery'!$F$1:$Y$231,5,FALSE)+VLOOKUP(A172,'Exit Anticipated Rev. Recovery'!$F$1:$Y$231,8,FALSE)+VLOOKUP(A172,'Exit Anticipated Rev. Recovery'!$F$1:$Y$231,11,FALSE)+VLOOKUP(A172,'Exit Anticipated Rev. Recovery'!$F$1:$Y$231,14,FALSE)</f>
        <v>6126520.1495087659</v>
      </c>
      <c r="E172" s="291">
        <f ca="1">VLOOKUP(A172,'Exit Anticipated Rev. Recovery'!$F$1:$Y$231,17,FALSE)</f>
        <v>6223478.8504912332</v>
      </c>
      <c r="F172" s="291">
        <f t="shared" ca="1" si="4"/>
        <v>12349999</v>
      </c>
      <c r="G172" s="283">
        <f ca="1">VLOOKUP($A172, 'Exit Prices'!$A$3:$Q$231, 8, 0)</f>
        <v>7.2344179438402385</v>
      </c>
      <c r="H172" s="283">
        <f ca="1">VLOOKUP($A172, 'Exit Prices'!$A$3:$Q$231, 12, 0)</f>
        <v>1.9820323133808871E-2</v>
      </c>
      <c r="I172" s="283">
        <f ca="1">VLOOKUP($A172, 'Exit Prices'!$A$3:$Q$231,17, 0)</f>
        <v>1.7838290820427986E-2</v>
      </c>
      <c r="J172" s="297">
        <f ca="1">'Exit Anticipated Rev. Recovery'!$C$14</f>
        <v>0</v>
      </c>
      <c r="K172" s="307">
        <f ca="1">VLOOKUP(A172,'Exit Anticipated Rev. Recovery'!F:Y,20,FALSE)</f>
        <v>847833.24498418416</v>
      </c>
      <c r="L172" s="306">
        <f ca="1">((D172*H172)+(E172*I172))*'User Inputs'!$D$7/100</f>
        <v>848427.29665098595</v>
      </c>
      <c r="M172" s="306">
        <f ca="1">((D172*J172)+(E172*J172))*'User Inputs'!$D$7/100</f>
        <v>0</v>
      </c>
    </row>
    <row r="173" spans="1:13">
      <c r="A173" s="309" t="str">
        <f>'Exit Prices'!A172</f>
        <v>Shellstar (aka Kemira, not Kemira CHP)</v>
      </c>
      <c r="B173" s="280" t="str">
        <f>VLOOKUP(A173,'Locations &amp; Types'!E:I,4,FALSE)</f>
        <v>INDUSTRIAL</v>
      </c>
      <c r="C173" s="291">
        <f ca="1">VLOOKUP(A173,'Exit Prices'!$A:$C,3,FALSE)</f>
        <v>11732444</v>
      </c>
      <c r="D173" s="291">
        <f ca="1">VLOOKUP(A173,'Exit Anticipated Rev. Recovery'!$F$1:$Y$231,2,FALSE)+VLOOKUP(A173,'Exit Anticipated Rev. Recovery'!$F$1:$Y$231,5,FALSE)+VLOOKUP(A173,'Exit Anticipated Rev. Recovery'!$F$1:$Y$231,8,FALSE)+VLOOKUP(A173,'Exit Anticipated Rev. Recovery'!$F$1:$Y$231,11,FALSE)+VLOOKUP(A173,'Exit Anticipated Rev. Recovery'!$F$1:$Y$231,14,FALSE)</f>
        <v>8877659.7085237652</v>
      </c>
      <c r="E173" s="291">
        <f ca="1">VLOOKUP(A173,'Exit Anticipated Rev. Recovery'!$F$1:$Y$231,17,FALSE)</f>
        <v>2854784.291476239</v>
      </c>
      <c r="F173" s="291">
        <f t="shared" ca="1" si="4"/>
        <v>11732444.000000004</v>
      </c>
      <c r="G173" s="283">
        <f ca="1">VLOOKUP($A173, 'Exit Prices'!$A$3:$Q$231, 8, 0)</f>
        <v>7.2344179438402385</v>
      </c>
      <c r="H173" s="283">
        <f ca="1">VLOOKUP($A173, 'Exit Prices'!$A$3:$Q$231, 12, 0)</f>
        <v>1.9820323133808871E-2</v>
      </c>
      <c r="I173" s="283">
        <f ca="1">VLOOKUP($A173, 'Exit Prices'!$A$3:$Q$231,17, 0)</f>
        <v>1.7838290820427986E-2</v>
      </c>
      <c r="J173" s="297">
        <f ca="1">'Exit Anticipated Rev. Recovery'!$C$14</f>
        <v>0</v>
      </c>
      <c r="K173" s="307">
        <f ca="1">VLOOKUP(A173,'Exit Anticipated Rev. Recovery'!F:Y,20,FALSE)</f>
        <v>827320.96528121328</v>
      </c>
      <c r="L173" s="306">
        <f ca="1">((D173*H173)+(E173*I173))*'User Inputs'!$D$7/100</f>
        <v>828121.33128295885</v>
      </c>
      <c r="M173" s="306">
        <f ca="1">((D173*J173)+(E173*J173))*'User Inputs'!$D$7/100</f>
        <v>0</v>
      </c>
    </row>
    <row r="174" spans="1:13">
      <c r="A174" s="309" t="str">
        <f>'Exit Prices'!A173</f>
        <v>Shorne</v>
      </c>
      <c r="B174" s="280" t="str">
        <f>VLOOKUP(A174,'Locations &amp; Types'!E:I,4,FALSE)</f>
        <v>GDN (SE)</v>
      </c>
      <c r="C174" s="291">
        <f ca="1">VLOOKUP(A174,'Exit Prices'!$A:$C,3,FALSE)</f>
        <v>29781236</v>
      </c>
      <c r="D174" s="291">
        <f ca="1">VLOOKUP(A174,'Exit Anticipated Rev. Recovery'!$F$1:$Y$231,2,FALSE)+VLOOKUP(A174,'Exit Anticipated Rev. Recovery'!$F$1:$Y$231,5,FALSE)+VLOOKUP(A174,'Exit Anticipated Rev. Recovery'!$F$1:$Y$231,8,FALSE)+VLOOKUP(A174,'Exit Anticipated Rev. Recovery'!$F$1:$Y$231,11,FALSE)+VLOOKUP(A174,'Exit Anticipated Rev. Recovery'!$F$1:$Y$231,14,FALSE)</f>
        <v>29035616.985482935</v>
      </c>
      <c r="E174" s="291">
        <f ca="1">VLOOKUP(A174,'Exit Anticipated Rev. Recovery'!$F$1:$Y$231,17,FALSE)</f>
        <v>745619.01451706293</v>
      </c>
      <c r="F174" s="291">
        <f t="shared" ca="1" si="4"/>
        <v>29781235.999999996</v>
      </c>
      <c r="G174" s="283">
        <f ca="1">VLOOKUP($A174, 'Exit Prices'!$A$3:$Q$231, 8, 0)</f>
        <v>7.2344179438402385</v>
      </c>
      <c r="H174" s="283">
        <f ca="1">VLOOKUP($A174, 'Exit Prices'!$A$3:$Q$231, 12, 0)</f>
        <v>1.9820323133808871E-2</v>
      </c>
      <c r="I174" s="283">
        <f ca="1">VLOOKUP($A174, 'Exit Prices'!$A$3:$Q$231,17, 0)</f>
        <v>1.7838290820427986E-2</v>
      </c>
      <c r="J174" s="297">
        <f ca="1">'Exit Anticipated Rev. Recovery'!$C$14</f>
        <v>0</v>
      </c>
      <c r="K174" s="307">
        <f ca="1">VLOOKUP(A174,'Exit Anticipated Rev. Recovery'!F:Y,20,FALSE)</f>
        <v>2147120.9496519445</v>
      </c>
      <c r="L174" s="306">
        <f ca="1">((D174*H174)+(E174*I174))*'User Inputs'!$D$7/100</f>
        <v>2149104.9615035178</v>
      </c>
      <c r="M174" s="306">
        <f ca="1">((D174*J174)+(E174*J174))*'User Inputs'!$D$7/100</f>
        <v>0</v>
      </c>
    </row>
    <row r="175" spans="1:13">
      <c r="A175" s="309" t="str">
        <f>'Exit Prices'!A174</f>
        <v>Shotwick (Bridgewater Paper)</v>
      </c>
      <c r="B175" s="280" t="str">
        <f>VLOOKUP(A175,'Locations &amp; Types'!E:I,4,FALSE)</f>
        <v>INDUSTRIAL</v>
      </c>
      <c r="C175" s="291">
        <f ca="1">VLOOKUP(A175,'Exit Prices'!$A:$C,3,FALSE)</f>
        <v>247671.23287671234</v>
      </c>
      <c r="D175" s="291">
        <f ca="1">VLOOKUP(A175,'Exit Anticipated Rev. Recovery'!$F$1:$Y$231,2,FALSE)+VLOOKUP(A175,'Exit Anticipated Rev. Recovery'!$F$1:$Y$231,5,FALSE)+VLOOKUP(A175,'Exit Anticipated Rev. Recovery'!$F$1:$Y$231,8,FALSE)+VLOOKUP(A175,'Exit Anticipated Rev. Recovery'!$F$1:$Y$231,11,FALSE)+VLOOKUP(A175,'Exit Anticipated Rev. Recovery'!$F$1:$Y$231,14,FALSE)</f>
        <v>187406.89706850468</v>
      </c>
      <c r="E175" s="291">
        <f ca="1">VLOOKUP(A175,'Exit Anticipated Rev. Recovery'!$F$1:$Y$231,17,FALSE)</f>
        <v>60264.335808207717</v>
      </c>
      <c r="F175" s="291">
        <f t="shared" ca="1" si="4"/>
        <v>247671.2328767124</v>
      </c>
      <c r="G175" s="283">
        <f ca="1">VLOOKUP($A175, 'Exit Prices'!$A$3:$Q$231, 8, 0)</f>
        <v>7.2344179438402385</v>
      </c>
      <c r="H175" s="283">
        <f ca="1">VLOOKUP($A175, 'Exit Prices'!$A$3:$Q$231, 12, 0)</f>
        <v>1.9820323133808871E-2</v>
      </c>
      <c r="I175" s="283">
        <f ca="1">VLOOKUP($A175, 'Exit Prices'!$A$3:$Q$231,17, 0)</f>
        <v>1.7838290820427986E-2</v>
      </c>
      <c r="J175" s="297">
        <f ca="1">'Exit Anticipated Rev. Recovery'!$C$14</f>
        <v>0</v>
      </c>
      <c r="K175" s="307">
        <f ca="1">VLOOKUP(A175,'Exit Anticipated Rev. Recovery'!F:Y,20,FALSE)</f>
        <v>17464.699039343366</v>
      </c>
      <c r="L175" s="306">
        <f ca="1">((D175*H175)+(E175*I175))*'User Inputs'!$D$7/100</f>
        <v>17481.594720618712</v>
      </c>
      <c r="M175" s="306">
        <f ca="1">((D175*J175)+(E175*J175))*'User Inputs'!$D$7/100</f>
        <v>0</v>
      </c>
    </row>
    <row r="176" spans="1:13">
      <c r="A176" s="309" t="str">
        <f>'Exit Prices'!A175</f>
        <v>Shustoke</v>
      </c>
      <c r="B176" s="280" t="str">
        <f>VLOOKUP(A176,'Locations &amp; Types'!E:I,4,FALSE)</f>
        <v>GDN (WM)</v>
      </c>
      <c r="C176" s="291">
        <f ca="1">VLOOKUP(A176,'Exit Prices'!$A:$C,3,FALSE)</f>
        <v>100000</v>
      </c>
      <c r="D176" s="291">
        <f ca="1">VLOOKUP(A176,'Exit Anticipated Rev. Recovery'!$F$1:$Y$231,2,FALSE)+VLOOKUP(A176,'Exit Anticipated Rev. Recovery'!$F$1:$Y$231,5,FALSE)+VLOOKUP(A176,'Exit Anticipated Rev. Recovery'!$F$1:$Y$231,8,FALSE)+VLOOKUP(A176,'Exit Anticipated Rev. Recovery'!$F$1:$Y$231,11,FALSE)+VLOOKUP(A176,'Exit Anticipated Rev. Recovery'!$F$1:$Y$231,14,FALSE)</f>
        <v>97496.346308403532</v>
      </c>
      <c r="E176" s="291">
        <f ca="1">VLOOKUP(A176,'Exit Anticipated Rev. Recovery'!$F$1:$Y$231,17,FALSE)</f>
        <v>2503.6536915964903</v>
      </c>
      <c r="F176" s="291">
        <f t="shared" ca="1" si="4"/>
        <v>100000.00000000003</v>
      </c>
      <c r="G176" s="283">
        <f ca="1">VLOOKUP($A176, 'Exit Prices'!$A$3:$Q$231, 8, 0)</f>
        <v>7.2344179438402385</v>
      </c>
      <c r="H176" s="283">
        <f ca="1">VLOOKUP($A176, 'Exit Prices'!$A$3:$Q$231, 12, 0)</f>
        <v>1.9820323133808871E-2</v>
      </c>
      <c r="I176" s="283">
        <f ca="1">VLOOKUP($A176, 'Exit Prices'!$A$3:$Q$231,17, 0)</f>
        <v>1.7838290820427986E-2</v>
      </c>
      <c r="J176" s="297">
        <f ca="1">'Exit Anticipated Rev. Recovery'!$C$14</f>
        <v>0</v>
      </c>
      <c r="K176" s="307">
        <f ca="1">VLOOKUP(A176,'Exit Anticipated Rev. Recovery'!F:Y,20,FALSE)</f>
        <v>7209.6435139627674</v>
      </c>
      <c r="L176" s="306">
        <f ca="1">((D176*H176)+(E176*I176))*'User Inputs'!$D$7/100</f>
        <v>7216.3054666485914</v>
      </c>
      <c r="M176" s="306">
        <f ca="1">((D176*J176)+(E176*J176))*'User Inputs'!$D$7/100</f>
        <v>0</v>
      </c>
    </row>
    <row r="177" spans="1:13">
      <c r="A177" s="309" t="str">
        <f>'Exit Prices'!A176</f>
        <v>Silk Willoughby</v>
      </c>
      <c r="B177" s="280" t="str">
        <f>VLOOKUP(A177,'Locations &amp; Types'!E:I,4,FALSE)</f>
        <v>GDN (EM)</v>
      </c>
      <c r="C177" s="291">
        <f ca="1">VLOOKUP(A177,'Exit Prices'!$A:$C,3,FALSE)</f>
        <v>2203090</v>
      </c>
      <c r="D177" s="291">
        <f ca="1">VLOOKUP(A177,'Exit Anticipated Rev. Recovery'!$F$1:$Y$231,2,FALSE)+VLOOKUP(A177,'Exit Anticipated Rev. Recovery'!$F$1:$Y$231,5,FALSE)+VLOOKUP(A177,'Exit Anticipated Rev. Recovery'!$F$1:$Y$231,8,FALSE)+VLOOKUP(A177,'Exit Anticipated Rev. Recovery'!$F$1:$Y$231,11,FALSE)+VLOOKUP(A177,'Exit Anticipated Rev. Recovery'!$F$1:$Y$231,14,FALSE)</f>
        <v>2147932.2558858069</v>
      </c>
      <c r="E177" s="291">
        <f ca="1">VLOOKUP(A177,'Exit Anticipated Rev. Recovery'!$F$1:$Y$231,17,FALSE)</f>
        <v>55157.744114193112</v>
      </c>
      <c r="F177" s="291">
        <f t="shared" ca="1" si="4"/>
        <v>2203090</v>
      </c>
      <c r="G177" s="283">
        <f ca="1">VLOOKUP($A177, 'Exit Prices'!$A$3:$Q$231, 8, 0)</f>
        <v>7.2344179438402385</v>
      </c>
      <c r="H177" s="283">
        <f ca="1">VLOOKUP($A177, 'Exit Prices'!$A$3:$Q$231, 12, 0)</f>
        <v>1.9820323133808871E-2</v>
      </c>
      <c r="I177" s="283">
        <f ca="1">VLOOKUP($A177, 'Exit Prices'!$A$3:$Q$231,17, 0)</f>
        <v>1.7838290820427986E-2</v>
      </c>
      <c r="J177" s="297">
        <f ca="1">'Exit Anticipated Rev. Recovery'!$C$14</f>
        <v>0</v>
      </c>
      <c r="K177" s="307">
        <f ca="1">VLOOKUP(A177,'Exit Anticipated Rev. Recovery'!F:Y,20,FALSE)</f>
        <v>158834.93529176229</v>
      </c>
      <c r="L177" s="306">
        <f ca="1">((D177*H177)+(E177*I177))*'User Inputs'!$D$7/100</f>
        <v>158981.70410518843</v>
      </c>
      <c r="M177" s="306">
        <f ca="1">((D177*J177)+(E177*J177))*'User Inputs'!$D$7/100</f>
        <v>0</v>
      </c>
    </row>
    <row r="178" spans="1:13">
      <c r="A178" s="309" t="str">
        <f>'Exit Prices'!A177</f>
        <v>Soutra</v>
      </c>
      <c r="B178" s="280" t="str">
        <f>VLOOKUP(A178,'Locations &amp; Types'!E:I,4,FALSE)</f>
        <v>GDN (SC)</v>
      </c>
      <c r="C178" s="291">
        <f ca="1">VLOOKUP(A178,'Exit Prices'!$A:$C,3,FALSE)</f>
        <v>10726995</v>
      </c>
      <c r="D178" s="291">
        <f ca="1">VLOOKUP(A178,'Exit Anticipated Rev. Recovery'!$F$1:$Y$231,2,FALSE)+VLOOKUP(A178,'Exit Anticipated Rev. Recovery'!$F$1:$Y$231,5,FALSE)+VLOOKUP(A178,'Exit Anticipated Rev. Recovery'!$F$1:$Y$231,8,FALSE)+VLOOKUP(A178,'Exit Anticipated Rev. Recovery'!$F$1:$Y$231,11,FALSE)+VLOOKUP(A178,'Exit Anticipated Rev. Recovery'!$F$1:$Y$231,14,FALSE)</f>
        <v>10458428.193685129</v>
      </c>
      <c r="E178" s="291">
        <f ca="1">VLOOKUP(A178,'Exit Anticipated Rev. Recovery'!$F$1:$Y$231,17,FALSE)</f>
        <v>268566.80631487095</v>
      </c>
      <c r="F178" s="291">
        <f t="shared" ca="1" si="4"/>
        <v>10726995</v>
      </c>
      <c r="G178" s="283">
        <f ca="1">VLOOKUP($A178, 'Exit Prices'!$A$3:$Q$231, 8, 0)</f>
        <v>7.2344179438402385</v>
      </c>
      <c r="H178" s="283">
        <f ca="1">VLOOKUP($A178, 'Exit Prices'!$A$3:$Q$231, 12, 0)</f>
        <v>1.9820323133808871E-2</v>
      </c>
      <c r="I178" s="283">
        <f ca="1">VLOOKUP($A178, 'Exit Prices'!$A$3:$Q$231,17, 0)</f>
        <v>1.7838290820427986E-2</v>
      </c>
      <c r="J178" s="297">
        <f ca="1">'Exit Anticipated Rev. Recovery'!$C$14</f>
        <v>0</v>
      </c>
      <c r="K178" s="307">
        <f ca="1">VLOOKUP(A178,'Exit Anticipated Rev. Recovery'!F:Y,20,FALSE)</f>
        <v>773378.09926061018</v>
      </c>
      <c r="L178" s="306">
        <f ca="1">((D178*H178)+(E178*I178))*'User Inputs'!$D$7/100</f>
        <v>774092.72659212083</v>
      </c>
      <c r="M178" s="306">
        <f ca="1">((D178*J178)+(E178*J178))*'User Inputs'!$D$7/100</f>
        <v>0</v>
      </c>
    </row>
    <row r="179" spans="1:13">
      <c r="A179" s="309" t="str">
        <f>'Exit Prices'!A178</f>
        <v>Spalding 2 (South Holland) Power Station</v>
      </c>
      <c r="B179" s="280" t="str">
        <f>VLOOKUP(A179,'Locations &amp; Types'!E:I,4,FALSE)</f>
        <v>POWER STATION</v>
      </c>
      <c r="C179" s="291">
        <f ca="1">VLOOKUP(A179,'Exit Prices'!$A:$C,3,FALSE)</f>
        <v>178806.35616438361</v>
      </c>
      <c r="D179" s="291">
        <f ca="1">VLOOKUP(A179,'Exit Anticipated Rev. Recovery'!$F$1:$Y$231,2,FALSE)+VLOOKUP(A179,'Exit Anticipated Rev. Recovery'!$F$1:$Y$231,5,FALSE)+VLOOKUP(A179,'Exit Anticipated Rev. Recovery'!$F$1:$Y$231,8,FALSE)+VLOOKUP(A179,'Exit Anticipated Rev. Recovery'!$F$1:$Y$231,11,FALSE)+VLOOKUP(A179,'Exit Anticipated Rev. Recovery'!$F$1:$Y$231,14,FALSE)</f>
        <v>88701.281992114891</v>
      </c>
      <c r="E179" s="291">
        <f ca="1">VLOOKUP(A179,'Exit Anticipated Rev. Recovery'!$F$1:$Y$231,17,FALSE)</f>
        <v>90105.07417226868</v>
      </c>
      <c r="F179" s="291">
        <f t="shared" ca="1" si="4"/>
        <v>178806.35616438359</v>
      </c>
      <c r="G179" s="283">
        <f ca="1">VLOOKUP($A179, 'Exit Prices'!$A$3:$Q$231, 8, 0)</f>
        <v>7.2344179438402385</v>
      </c>
      <c r="H179" s="283">
        <f ca="1">VLOOKUP($A179, 'Exit Prices'!$A$3:$Q$231, 12, 0)</f>
        <v>1.9820323133808871E-2</v>
      </c>
      <c r="I179" s="283">
        <f ca="1">VLOOKUP($A179, 'Exit Prices'!$A$3:$Q$231,17, 0)</f>
        <v>1.7838290820427986E-2</v>
      </c>
      <c r="J179" s="297">
        <f ca="1">'Exit Anticipated Rev. Recovery'!$C$14</f>
        <v>0</v>
      </c>
      <c r="K179" s="307">
        <f ca="1">VLOOKUP(A179,'Exit Anticipated Rev. Recovery'!F:Y,20,FALSE)</f>
        <v>12275.140521926125</v>
      </c>
      <c r="L179" s="306">
        <f ca="1">((D179*H179)+(E179*I179))*'User Inputs'!$D$7/100</f>
        <v>12283.741349660135</v>
      </c>
      <c r="M179" s="306">
        <f ca="1">((D179*J179)+(E179*J179))*'User Inputs'!$D$7/100</f>
        <v>0</v>
      </c>
    </row>
    <row r="180" spans="1:13">
      <c r="A180" s="309" t="str">
        <f>'Exit Prices'!A179</f>
        <v>St Fergus</v>
      </c>
      <c r="B180" s="280" t="str">
        <f>VLOOKUP(A180,'Locations &amp; Types'!E:I,4,FALSE)</f>
        <v>GDN (SC)</v>
      </c>
      <c r="C180" s="291">
        <f ca="1">VLOOKUP(A180,'Exit Prices'!$A:$C,3,FALSE)</f>
        <v>1316850</v>
      </c>
      <c r="D180" s="291">
        <f ca="1">VLOOKUP(A180,'Exit Anticipated Rev. Recovery'!$F$1:$Y$231,2,FALSE)+VLOOKUP(A180,'Exit Anticipated Rev. Recovery'!$F$1:$Y$231,5,FALSE)+VLOOKUP(A180,'Exit Anticipated Rev. Recovery'!$F$1:$Y$231,8,FALSE)+VLOOKUP(A180,'Exit Anticipated Rev. Recovery'!$F$1:$Y$231,11,FALSE)+VLOOKUP(A180,'Exit Anticipated Rev. Recovery'!$F$1:$Y$231,14,FALSE)</f>
        <v>1283880.6363622115</v>
      </c>
      <c r="E180" s="291">
        <f ca="1">VLOOKUP(A180,'Exit Anticipated Rev. Recovery'!$F$1:$Y$231,17,FALSE)</f>
        <v>32969.363637788381</v>
      </c>
      <c r="F180" s="291">
        <f t="shared" ca="1" si="4"/>
        <v>1316850</v>
      </c>
      <c r="G180" s="283">
        <f ca="1">VLOOKUP($A180, 'Exit Prices'!$A$3:$Q$231, 8, 0)</f>
        <v>7.2344179438402385</v>
      </c>
      <c r="H180" s="283">
        <f ca="1">VLOOKUP($A180, 'Exit Prices'!$A$3:$Q$231, 12, 0)</f>
        <v>1.9820323133808871E-2</v>
      </c>
      <c r="I180" s="283">
        <f ca="1">VLOOKUP($A180, 'Exit Prices'!$A$3:$Q$231,17, 0)</f>
        <v>1.7838290820427986E-2</v>
      </c>
      <c r="J180" s="297">
        <f ca="1">'Exit Anticipated Rev. Recovery'!$C$14</f>
        <v>0</v>
      </c>
      <c r="K180" s="307">
        <f ca="1">VLOOKUP(A180,'Exit Anticipated Rev. Recovery'!F:Y,20,FALSE)</f>
        <v>94940.190613618688</v>
      </c>
      <c r="L180" s="306">
        <f ca="1">((D180*H180)+(E180*I180))*'User Inputs'!$D$7/100</f>
        <v>95027.918537561971</v>
      </c>
      <c r="M180" s="306">
        <f ca="1">((D180*J180)+(E180*J180))*'User Inputs'!$D$7/100</f>
        <v>0</v>
      </c>
    </row>
    <row r="181" spans="1:13">
      <c r="A181" s="309" t="str">
        <f>'Exit Prices'!A180</f>
        <v>St. Fergus (Peterhead)</v>
      </c>
      <c r="B181" s="280" t="str">
        <f>VLOOKUP(A181,'Locations &amp; Types'!E:I,4,FALSE)</f>
        <v>POWER STATION</v>
      </c>
      <c r="C181" s="291">
        <f ca="1">VLOOKUP(A181,'Exit Prices'!$A:$C,3,FALSE)</f>
        <v>73267750</v>
      </c>
      <c r="D181" s="291">
        <f ca="1">VLOOKUP(A181,'Exit Anticipated Rev. Recovery'!$F$1:$Y$231,2,FALSE)+VLOOKUP(A181,'Exit Anticipated Rev. Recovery'!$F$1:$Y$231,5,FALSE)+VLOOKUP(A181,'Exit Anticipated Rev. Recovery'!$F$1:$Y$231,8,FALSE)+VLOOKUP(A181,'Exit Anticipated Rev. Recovery'!$F$1:$Y$231,11,FALSE)+VLOOKUP(A181,'Exit Anticipated Rev. Recovery'!$F$1:$Y$231,14,FALSE)</f>
        <v>36346265.83242403</v>
      </c>
      <c r="E181" s="291">
        <f ca="1">VLOOKUP(A181,'Exit Anticipated Rev. Recovery'!$F$1:$Y$231,17,FALSE)</f>
        <v>36921484.167575963</v>
      </c>
      <c r="F181" s="291">
        <f t="shared" ca="1" si="4"/>
        <v>73267750</v>
      </c>
      <c r="G181" s="283">
        <f ca="1">VLOOKUP($A181, 'Exit Prices'!$A$3:$Q$231, 8, 0)</f>
        <v>7.2344179438402385</v>
      </c>
      <c r="H181" s="283">
        <f ca="1">VLOOKUP($A181, 'Exit Prices'!$A$3:$Q$231, 12, 0)</f>
        <v>1.9820323133808871E-2</v>
      </c>
      <c r="I181" s="283">
        <f ca="1">VLOOKUP($A181, 'Exit Prices'!$A$3:$Q$231,17, 0)</f>
        <v>1.7838290820427986E-2</v>
      </c>
      <c r="J181" s="297">
        <f ca="1">'Exit Anticipated Rev. Recovery'!$C$14</f>
        <v>0</v>
      </c>
      <c r="K181" s="307">
        <f ca="1">VLOOKUP(A181,'Exit Anticipated Rev. Recovery'!F:Y,20,FALSE)</f>
        <v>5029865.5275348574</v>
      </c>
      <c r="L181" s="306">
        <f ca="1">((D181*H181)+(E181*I181))*'User Inputs'!$D$7/100</f>
        <v>5033389.8054728806</v>
      </c>
      <c r="M181" s="306">
        <f ca="1">((D181*J181)+(E181*J181))*'User Inputs'!$D$7/100</f>
        <v>0</v>
      </c>
    </row>
    <row r="182" spans="1:13">
      <c r="A182" s="309" t="str">
        <f>'Exit Prices'!A181</f>
        <v>St. Fergus (Shell Blackstart)</v>
      </c>
      <c r="B182" s="280" t="str">
        <f>VLOOKUP(A182,'Locations &amp; Types'!E:I,4,FALSE)</f>
        <v>INDUSTRIAL</v>
      </c>
      <c r="C182" s="291">
        <f ca="1">VLOOKUP(A182,'Exit Prices'!$A:$C,3,FALSE)</f>
        <v>2583336</v>
      </c>
      <c r="D182" s="291">
        <f ca="1">VLOOKUP(A182,'Exit Anticipated Rev. Recovery'!$F$1:$Y$231,2,FALSE)+VLOOKUP(A182,'Exit Anticipated Rev. Recovery'!$F$1:$Y$231,5,FALSE)+VLOOKUP(A182,'Exit Anticipated Rev. Recovery'!$F$1:$Y$231,8,FALSE)+VLOOKUP(A182,'Exit Anticipated Rev. Recovery'!$F$1:$Y$231,11,FALSE)+VLOOKUP(A182,'Exit Anticipated Rev. Recovery'!$F$1:$Y$231,14,FALSE)</f>
        <v>1954748.5520305014</v>
      </c>
      <c r="E182" s="291">
        <f ca="1">VLOOKUP(A182,'Exit Anticipated Rev. Recovery'!$F$1:$Y$231,17,FALSE)</f>
        <v>628587.44796949904</v>
      </c>
      <c r="F182" s="291">
        <f t="shared" ca="1" si="4"/>
        <v>2583336.0000000005</v>
      </c>
      <c r="G182" s="283">
        <f ca="1">VLOOKUP($A182, 'Exit Prices'!$A$3:$Q$231, 8, 0)</f>
        <v>7.2344179438402385</v>
      </c>
      <c r="H182" s="283">
        <f ca="1">VLOOKUP($A182, 'Exit Prices'!$A$3:$Q$231, 12, 0)</f>
        <v>1.9820323133808871E-2</v>
      </c>
      <c r="I182" s="283">
        <f ca="1">VLOOKUP($A182, 'Exit Prices'!$A$3:$Q$231,17, 0)</f>
        <v>1.7838290820427986E-2</v>
      </c>
      <c r="J182" s="297">
        <f ca="1">'Exit Anticipated Rev. Recovery'!$C$14</f>
        <v>0</v>
      </c>
      <c r="K182" s="307">
        <f ca="1">VLOOKUP(A182,'Exit Anticipated Rev. Recovery'!F:Y,20,FALSE)</f>
        <v>182165.62833504329</v>
      </c>
      <c r="L182" s="306">
        <f ca="1">((D182*H182)+(E182*I182))*'User Inputs'!$D$7/100</f>
        <v>182341.85882082139</v>
      </c>
      <c r="M182" s="306">
        <f ca="1">((D182*J182)+(E182*J182))*'User Inputs'!$D$7/100</f>
        <v>0</v>
      </c>
    </row>
    <row r="183" spans="1:13">
      <c r="A183" s="309" t="str">
        <f>'Exit Prices'!A182</f>
        <v>St. Neots (Little Barford)</v>
      </c>
      <c r="B183" s="280" t="str">
        <f>VLOOKUP(A183,'Locations &amp; Types'!E:I,4,FALSE)</f>
        <v>POWER STATION</v>
      </c>
      <c r="C183" s="291">
        <f ca="1">VLOOKUP(A183,'Exit Prices'!$A:$C,3,FALSE)</f>
        <v>17811878.082191776</v>
      </c>
      <c r="D183" s="291">
        <f ca="1">VLOOKUP(A183,'Exit Anticipated Rev. Recovery'!$F$1:$Y$231,2,FALSE)+VLOOKUP(A183,'Exit Anticipated Rev. Recovery'!$F$1:$Y$231,5,FALSE)+VLOOKUP(A183,'Exit Anticipated Rev. Recovery'!$F$1:$Y$231,8,FALSE)+VLOOKUP(A183,'Exit Anticipated Rev. Recovery'!$F$1:$Y$231,11,FALSE)+VLOOKUP(A183,'Exit Anticipated Rev. Recovery'!$F$1:$Y$231,14,FALSE)</f>
        <v>8836019.3366122097</v>
      </c>
      <c r="E183" s="291">
        <f ca="1">VLOOKUP(A183,'Exit Anticipated Rev. Recovery'!$F$1:$Y$231,17,FALSE)</f>
        <v>8975858.7455795631</v>
      </c>
      <c r="F183" s="291">
        <f t="shared" ca="1" si="4"/>
        <v>17811878.082191773</v>
      </c>
      <c r="G183" s="283">
        <f ca="1">VLOOKUP($A183, 'Exit Prices'!$A$3:$Q$231, 8, 0)</f>
        <v>7.2344179438402385</v>
      </c>
      <c r="H183" s="283">
        <f ca="1">VLOOKUP($A183, 'Exit Prices'!$A$3:$Q$231, 12, 0)</f>
        <v>1.9820323133808871E-2</v>
      </c>
      <c r="I183" s="283">
        <f ca="1">VLOOKUP($A183, 'Exit Prices'!$A$3:$Q$231,17, 0)</f>
        <v>1.7838290820427986E-2</v>
      </c>
      <c r="J183" s="297">
        <f ca="1">'Exit Anticipated Rev. Recovery'!$C$14</f>
        <v>0</v>
      </c>
      <c r="K183" s="307">
        <f ca="1">VLOOKUP(A183,'Exit Anticipated Rev. Recovery'!F:Y,20,FALSE)</f>
        <v>1222793.8150996871</v>
      </c>
      <c r="L183" s="306">
        <f ca="1">((D183*H183)+(E183*I183))*'User Inputs'!$D$7/100</f>
        <v>1223650.5905426322</v>
      </c>
      <c r="M183" s="306">
        <f ca="1">((D183*J183)+(E183*J183))*'User Inputs'!$D$7/100</f>
        <v>0</v>
      </c>
    </row>
    <row r="184" spans="1:13">
      <c r="A184" s="309" t="str">
        <f>'Exit Prices'!A183</f>
        <v>Stallingborough</v>
      </c>
      <c r="B184" s="280" t="str">
        <f>VLOOKUP(A184,'Locations &amp; Types'!E:I,4,FALSE)</f>
        <v>POWER STATION</v>
      </c>
      <c r="C184" s="291">
        <f ca="1">VLOOKUP(A184,'Exit Prices'!$A:$C,3,FALSE)</f>
        <v>52700000</v>
      </c>
      <c r="D184" s="291">
        <f ca="1">VLOOKUP(A184,'Exit Anticipated Rev. Recovery'!$F$1:$Y$231,2,FALSE)+VLOOKUP(A184,'Exit Anticipated Rev. Recovery'!$F$1:$Y$231,5,FALSE)+VLOOKUP(A184,'Exit Anticipated Rev. Recovery'!$F$1:$Y$231,8,FALSE)+VLOOKUP(A184,'Exit Anticipated Rev. Recovery'!$F$1:$Y$231,11,FALSE)+VLOOKUP(A184,'Exit Anticipated Rev. Recovery'!$F$1:$Y$231,14,FALSE)</f>
        <v>26143128.584796801</v>
      </c>
      <c r="E184" s="291">
        <f ca="1">VLOOKUP(A184,'Exit Anticipated Rev. Recovery'!$F$1:$Y$231,17,FALSE)</f>
        <v>26556871.415203191</v>
      </c>
      <c r="F184" s="291">
        <f t="shared" ca="1" si="4"/>
        <v>52699999.999999993</v>
      </c>
      <c r="G184" s="283">
        <f ca="1">VLOOKUP($A184, 'Exit Prices'!$A$3:$Q$231, 8, 0)</f>
        <v>7.2344179438402385</v>
      </c>
      <c r="H184" s="283">
        <f ca="1">VLOOKUP($A184, 'Exit Prices'!$A$3:$Q$231, 12, 0)</f>
        <v>1.9820323133808871E-2</v>
      </c>
      <c r="I184" s="283">
        <f ca="1">VLOOKUP($A184, 'Exit Prices'!$A$3:$Q$231,17, 0)</f>
        <v>1.7838290820427986E-2</v>
      </c>
      <c r="J184" s="297">
        <f ca="1">'Exit Anticipated Rev. Recovery'!$C$14</f>
        <v>0</v>
      </c>
      <c r="K184" s="307">
        <f ca="1">VLOOKUP(A184,'Exit Anticipated Rev. Recovery'!F:Y,20,FALSE)</f>
        <v>3617879.807979458</v>
      </c>
      <c r="L184" s="306">
        <f ca="1">((D184*H184)+(E184*I184))*'User Inputs'!$D$7/100</f>
        <v>3620414.7493054015</v>
      </c>
      <c r="M184" s="306">
        <f ca="1">((D184*J184)+(E184*J184))*'User Inputs'!$D$7/100</f>
        <v>0</v>
      </c>
    </row>
    <row r="185" spans="1:13">
      <c r="A185" s="309" t="str">
        <f>'Exit Prices'!A184</f>
        <v>Stanford Le Hope (Coryton)</v>
      </c>
      <c r="B185" s="280" t="str">
        <f>VLOOKUP(A185,'Locations &amp; Types'!E:I,4,FALSE)</f>
        <v>POWER STATION</v>
      </c>
      <c r="C185" s="291">
        <f ca="1">VLOOKUP(A185,'Exit Prices'!$A:$C,3,FALSE)</f>
        <v>11676634.109589024</v>
      </c>
      <c r="D185" s="291">
        <f ca="1">VLOOKUP(A185,'Exit Anticipated Rev. Recovery'!$F$1:$Y$231,2,FALSE)+VLOOKUP(A185,'Exit Anticipated Rev. Recovery'!$F$1:$Y$231,5,FALSE)+VLOOKUP(A185,'Exit Anticipated Rev. Recovery'!$F$1:$Y$231,8,FALSE)+VLOOKUP(A185,'Exit Anticipated Rev. Recovery'!$F$1:$Y$231,11,FALSE)+VLOOKUP(A185,'Exit Anticipated Rev. Recovery'!$F$1:$Y$231,14,FALSE)</f>
        <v>5792480.9670704026</v>
      </c>
      <c r="E185" s="291">
        <f ca="1">VLOOKUP(A185,'Exit Anticipated Rev. Recovery'!$F$1:$Y$231,17,FALSE)</f>
        <v>5884153.1425186209</v>
      </c>
      <c r="F185" s="291">
        <f t="shared" ca="1" si="4"/>
        <v>11676634.109589024</v>
      </c>
      <c r="G185" s="283">
        <f ca="1">VLOOKUP($A185, 'Exit Prices'!$A$3:$Q$231, 8, 0)</f>
        <v>7.2344179438402385</v>
      </c>
      <c r="H185" s="283">
        <f ca="1">VLOOKUP($A185, 'Exit Prices'!$A$3:$Q$231, 12, 0)</f>
        <v>1.9820323133808871E-2</v>
      </c>
      <c r="I185" s="283">
        <f ca="1">VLOOKUP($A185, 'Exit Prices'!$A$3:$Q$231,17, 0)</f>
        <v>1.7838290820427986E-2</v>
      </c>
      <c r="J185" s="297">
        <f ca="1">'Exit Anticipated Rev. Recovery'!$C$14</f>
        <v>0</v>
      </c>
      <c r="K185" s="307">
        <f ca="1">VLOOKUP(A185,'Exit Anticipated Rev. Recovery'!F:Y,20,FALSE)</f>
        <v>801606.42827791907</v>
      </c>
      <c r="L185" s="306">
        <f ca="1">((D185*H185)+(E185*I185))*'User Inputs'!$D$7/100</f>
        <v>802168.09018213744</v>
      </c>
      <c r="M185" s="306">
        <f ca="1">((D185*J185)+(E185*J185))*'User Inputs'!$D$7/100</f>
        <v>0</v>
      </c>
    </row>
    <row r="186" spans="1:13">
      <c r="A186" s="309" t="str">
        <f>'Exit Prices'!A185</f>
        <v>Staythorpe</v>
      </c>
      <c r="B186" s="280" t="str">
        <f>VLOOKUP(A186,'Locations &amp; Types'!E:I,4,FALSE)</f>
        <v>POWER STATION</v>
      </c>
      <c r="C186" s="291">
        <f ca="1">VLOOKUP(A186,'Exit Prices'!$A:$C,3,FALSE)</f>
        <v>61331506.84931507</v>
      </c>
      <c r="D186" s="291">
        <f ca="1">VLOOKUP(A186,'Exit Anticipated Rev. Recovery'!$F$1:$Y$231,2,FALSE)+VLOOKUP(A186,'Exit Anticipated Rev. Recovery'!$F$1:$Y$231,5,FALSE)+VLOOKUP(A186,'Exit Anticipated Rev. Recovery'!$F$1:$Y$231,8,FALSE)+VLOOKUP(A186,'Exit Anticipated Rev. Recovery'!$F$1:$Y$231,11,FALSE)+VLOOKUP(A186,'Exit Anticipated Rev. Recovery'!$F$1:$Y$231,14,FALSE)</f>
        <v>30424999.428102277</v>
      </c>
      <c r="E186" s="291">
        <f ca="1">VLOOKUP(A186,'Exit Anticipated Rev. Recovery'!$F$1:$Y$231,17,FALSE)</f>
        <v>30906507.421212789</v>
      </c>
      <c r="F186" s="291">
        <f t="shared" ca="1" si="4"/>
        <v>61331506.849315062</v>
      </c>
      <c r="G186" s="283">
        <f ca="1">VLOOKUP($A186, 'Exit Prices'!$A$3:$Q$231, 8, 0)</f>
        <v>7.2344179438402385</v>
      </c>
      <c r="H186" s="283">
        <f ca="1">VLOOKUP($A186, 'Exit Prices'!$A$3:$Q$231, 12, 0)</f>
        <v>1.9820323133808871E-2</v>
      </c>
      <c r="I186" s="283">
        <f ca="1">VLOOKUP($A186, 'Exit Prices'!$A$3:$Q$231,17, 0)</f>
        <v>1.7838290820427986E-2</v>
      </c>
      <c r="J186" s="297">
        <f ca="1">'Exit Anticipated Rev. Recovery'!$C$14</f>
        <v>0</v>
      </c>
      <c r="K186" s="307">
        <f ca="1">VLOOKUP(A186,'Exit Anticipated Rev. Recovery'!F:Y,20,FALSE)</f>
        <v>4210436.8163774349</v>
      </c>
      <c r="L186" s="306">
        <f ca="1">((D186*H186)+(E186*I186))*'User Inputs'!$D$7/100</f>
        <v>4213386.9448650004</v>
      </c>
      <c r="M186" s="306">
        <f ca="1">((D186*J186)+(E186*J186))*'User Inputs'!$D$7/100</f>
        <v>0</v>
      </c>
    </row>
    <row r="187" spans="1:13">
      <c r="A187" s="309" t="str">
        <f>'Exit Prices'!A186</f>
        <v>Stranraer</v>
      </c>
      <c r="B187" s="280" t="str">
        <f>VLOOKUP(A187,'Locations &amp; Types'!E:I,4,FALSE)</f>
        <v>GDN (SC)</v>
      </c>
      <c r="C187" s="291">
        <f ca="1">VLOOKUP(A187,'Exit Prices'!$A:$C,3,FALSE)</f>
        <v>917516</v>
      </c>
      <c r="D187" s="291">
        <f ca="1">VLOOKUP(A187,'Exit Anticipated Rev. Recovery'!$F$1:$Y$231,2,FALSE)+VLOOKUP(A187,'Exit Anticipated Rev. Recovery'!$F$1:$Y$231,5,FALSE)+VLOOKUP(A187,'Exit Anticipated Rev. Recovery'!$F$1:$Y$231,8,FALSE)+VLOOKUP(A187,'Exit Anticipated Rev. Recovery'!$F$1:$Y$231,11,FALSE)+VLOOKUP(A187,'Exit Anticipated Rev. Recovery'!$F$1:$Y$231,14,FALSE)</f>
        <v>894544.57679501164</v>
      </c>
      <c r="E187" s="291">
        <f ca="1">VLOOKUP(A187,'Exit Anticipated Rev. Recovery'!$F$1:$Y$231,17,FALSE)</f>
        <v>22971.423204988452</v>
      </c>
      <c r="F187" s="291">
        <f t="shared" ca="1" si="4"/>
        <v>917516.00000000012</v>
      </c>
      <c r="G187" s="283">
        <f ca="1">VLOOKUP($A187, 'Exit Prices'!$A$3:$Q$231, 8, 0)</f>
        <v>7.2344179438402385</v>
      </c>
      <c r="H187" s="283">
        <f ca="1">VLOOKUP($A187, 'Exit Prices'!$A$3:$Q$231, 12, 0)</f>
        <v>1.9820323133808871E-2</v>
      </c>
      <c r="I187" s="283">
        <f ca="1">VLOOKUP($A187, 'Exit Prices'!$A$3:$Q$231,17, 0)</f>
        <v>1.7838290820427986E-2</v>
      </c>
      <c r="J187" s="297">
        <f ca="1">'Exit Anticipated Rev. Recovery'!$C$14</f>
        <v>0</v>
      </c>
      <c r="K187" s="307">
        <f ca="1">VLOOKUP(A187,'Exit Anticipated Rev. Recovery'!F:Y,20,FALSE)</f>
        <v>66149.632783570618</v>
      </c>
      <c r="L187" s="306">
        <f ca="1">((D187*H187)+(E187*I187))*'User Inputs'!$D$7/100</f>
        <v>66210.757265375491</v>
      </c>
      <c r="M187" s="306">
        <f ca="1">((D187*J187)+(E187*J187))*'User Inputs'!$D$7/100</f>
        <v>0</v>
      </c>
    </row>
    <row r="188" spans="1:13">
      <c r="A188" s="309" t="str">
        <f>'Exit Prices'!A187</f>
        <v>Stratford-upon-Avon</v>
      </c>
      <c r="B188" s="280" t="str">
        <f>VLOOKUP(A188,'Locations &amp; Types'!E:I,4,FALSE)</f>
        <v>GDN (WM)</v>
      </c>
      <c r="C188" s="291">
        <f ca="1">VLOOKUP(A188,'Exit Prices'!$A:$C,3,FALSE)</f>
        <v>3735040</v>
      </c>
      <c r="D188" s="291">
        <f ca="1">VLOOKUP(A188,'Exit Anticipated Rev. Recovery'!$F$1:$Y$231,2,FALSE)+VLOOKUP(A188,'Exit Anticipated Rev. Recovery'!$F$1:$Y$231,5,FALSE)+VLOOKUP(A188,'Exit Anticipated Rev. Recovery'!$F$1:$Y$231,8,FALSE)+VLOOKUP(A188,'Exit Anticipated Rev. Recovery'!$F$1:$Y$231,11,FALSE)+VLOOKUP(A188,'Exit Anticipated Rev. Recovery'!$F$1:$Y$231,14,FALSE)</f>
        <v>3641527.5331573943</v>
      </c>
      <c r="E188" s="291">
        <f ca="1">VLOOKUP(A188,'Exit Anticipated Rev. Recovery'!$F$1:$Y$231,17,FALSE)</f>
        <v>93512.466842605543</v>
      </c>
      <c r="F188" s="291">
        <f t="shared" ca="1" si="4"/>
        <v>3735040</v>
      </c>
      <c r="G188" s="283">
        <f ca="1">VLOOKUP($A188, 'Exit Prices'!$A$3:$Q$231, 8, 0)</f>
        <v>7.2344179438402385</v>
      </c>
      <c r="H188" s="283">
        <f ca="1">VLOOKUP($A188, 'Exit Prices'!$A$3:$Q$231, 12, 0)</f>
        <v>1.9820323133808871E-2</v>
      </c>
      <c r="I188" s="283">
        <f ca="1">VLOOKUP($A188, 'Exit Prices'!$A$3:$Q$231,17, 0)</f>
        <v>1.7838290820427986E-2</v>
      </c>
      <c r="J188" s="297">
        <f ca="1">'Exit Anticipated Rev. Recovery'!$C$14</f>
        <v>0</v>
      </c>
      <c r="K188" s="307">
        <f ca="1">VLOOKUP(A188,'Exit Anticipated Rev. Recovery'!F:Y,20,FALSE)</f>
        <v>269283.0691039149</v>
      </c>
      <c r="L188" s="306">
        <f ca="1">((D188*H188)+(E188*I188))*'User Inputs'!$D$7/100</f>
        <v>269531.89570151153</v>
      </c>
      <c r="M188" s="306">
        <f ca="1">((D188*J188)+(E188*J188))*'User Inputs'!$D$7/100</f>
        <v>0</v>
      </c>
    </row>
    <row r="189" spans="1:13">
      <c r="A189" s="309" t="str">
        <f>'Exit Prices'!A188</f>
        <v>Stublach (Cheshire)</v>
      </c>
      <c r="B189" s="280" t="str">
        <f>VLOOKUP(A189,'Locations &amp; Types'!E:I,4,FALSE)</f>
        <v>STORAGE SITE</v>
      </c>
      <c r="C189" s="291">
        <f ca="1">VLOOKUP(A189,'Exit Prices'!$A:$C,3,FALSE)</f>
        <v>29584634.410958908</v>
      </c>
      <c r="D189" s="291">
        <f ca="1">VLOOKUP(A189,'Exit Anticipated Rev. Recovery'!$F$1:$Y$231,2,FALSE)+VLOOKUP(A189,'Exit Anticipated Rev. Recovery'!$F$1:$Y$231,5,FALSE)+VLOOKUP(A189,'Exit Anticipated Rev. Recovery'!$F$1:$Y$231,8,FALSE)+VLOOKUP(A189,'Exit Anticipated Rev. Recovery'!$F$1:$Y$231,11,FALSE)+VLOOKUP(A189,'Exit Anticipated Rev. Recovery'!$F$1:$Y$231,14,FALSE)</f>
        <v>8230506.9769603461</v>
      </c>
      <c r="E189" s="291">
        <f ca="1">VLOOKUP(A189,'Exit Anticipated Rev. Recovery'!$F$1:$Y$231,17,FALSE)</f>
        <v>21354127.433998574</v>
      </c>
      <c r="F189" s="291">
        <f t="shared" ca="1" si="4"/>
        <v>29584634.41095892</v>
      </c>
      <c r="G189" s="283">
        <f ca="1">VLOOKUP($A189, 'Exit Prices'!$A$3:$Q$231, 8, 0)</f>
        <v>7.2344179438402385</v>
      </c>
      <c r="H189" s="283">
        <f ca="1">VLOOKUP($A189, 'Exit Prices'!$A$3:$Q$231, 12, 0)</f>
        <v>9.9101615669044355E-3</v>
      </c>
      <c r="I189" s="283">
        <f ca="1">VLOOKUP($A189, 'Exit Prices'!$A$3:$Q$231,17, 0)</f>
        <v>8.9191454102139928E-3</v>
      </c>
      <c r="J189" s="297">
        <f ca="1">'Exit Anticipated Rev. Recovery'!$C$14</f>
        <v>0</v>
      </c>
      <c r="K189" s="307">
        <f ca="1">VLOOKUP(A189,'Exit Anticipated Rev. Recovery'!F:Y,20,FALSE)</f>
        <v>991238.99579943717</v>
      </c>
      <c r="L189" s="306">
        <f ca="1">((D189*H189)+(E189*I189))*'User Inputs'!$D$7/100</f>
        <v>992895.70888118772</v>
      </c>
      <c r="M189" s="306">
        <f ca="1">((D189*J189)+(E189*J189))*'User Inputs'!$D$7/100</f>
        <v>0</v>
      </c>
    </row>
    <row r="190" spans="1:13">
      <c r="A190" s="309" t="str">
        <f>'Exit Prices'!A189</f>
        <v>Sutton Bridge</v>
      </c>
      <c r="B190" s="280" t="str">
        <f>VLOOKUP(A190,'Locations &amp; Types'!E:I,4,FALSE)</f>
        <v>GDN (EM)</v>
      </c>
      <c r="C190" s="291">
        <f ca="1">VLOOKUP(A190,'Exit Prices'!$A:$C,3,FALSE)</f>
        <v>1079269</v>
      </c>
      <c r="D190" s="291">
        <f ca="1">VLOOKUP(A190,'Exit Anticipated Rev. Recovery'!$F$1:$Y$231,2,FALSE)+VLOOKUP(A190,'Exit Anticipated Rev. Recovery'!$F$1:$Y$231,5,FALSE)+VLOOKUP(A190,'Exit Anticipated Rev. Recovery'!$F$1:$Y$231,8,FALSE)+VLOOKUP(A190,'Exit Anticipated Rev. Recovery'!$F$1:$Y$231,11,FALSE)+VLOOKUP(A190,'Exit Anticipated Rev. Recovery'!$F$1:$Y$231,14,FALSE)</f>
        <v>1052247.8418392437</v>
      </c>
      <c r="E190" s="291">
        <f ca="1">VLOOKUP(A190,'Exit Anticipated Rev. Recovery'!$F$1:$Y$231,17,FALSE)</f>
        <v>27021.158160756524</v>
      </c>
      <c r="F190" s="291">
        <f t="shared" ca="1" si="4"/>
        <v>1079269.0000000002</v>
      </c>
      <c r="G190" s="283">
        <f ca="1">VLOOKUP($A190, 'Exit Prices'!$A$3:$Q$231, 8, 0)</f>
        <v>7.2344179438402385</v>
      </c>
      <c r="H190" s="283">
        <f ca="1">VLOOKUP($A190, 'Exit Prices'!$A$3:$Q$231, 12, 0)</f>
        <v>1.9820323133808871E-2</v>
      </c>
      <c r="I190" s="283">
        <f ca="1">VLOOKUP($A190, 'Exit Prices'!$A$3:$Q$231,17, 0)</f>
        <v>1.7838290820427986E-2</v>
      </c>
      <c r="J190" s="297">
        <f ca="1">'Exit Anticipated Rev. Recovery'!$C$14</f>
        <v>0</v>
      </c>
      <c r="K190" s="307">
        <f ca="1">VLOOKUP(A190,'Exit Anticipated Rev. Recovery'!F:Y,20,FALSE)</f>
        <v>77811.447456710826</v>
      </c>
      <c r="L190" s="306">
        <f ca="1">((D190*H190)+(E190*I190))*'User Inputs'!$D$7/100</f>
        <v>77883.347846843593</v>
      </c>
      <c r="M190" s="306">
        <f ca="1">((D190*J190)+(E190*J190))*'User Inputs'!$D$7/100</f>
        <v>0</v>
      </c>
    </row>
    <row r="191" spans="1:13">
      <c r="A191" s="309" t="str">
        <f>'Exit Prices'!A190</f>
        <v>Sutton Bridge Power Station</v>
      </c>
      <c r="B191" s="280" t="str">
        <f>VLOOKUP(A191,'Locations &amp; Types'!E:I,4,FALSE)</f>
        <v>POWER STATION</v>
      </c>
      <c r="C191" s="291">
        <f ca="1">VLOOKUP(A191,'Exit Prices'!$A:$C,3,FALSE)</f>
        <v>42637000</v>
      </c>
      <c r="D191" s="291">
        <f ca="1">VLOOKUP(A191,'Exit Anticipated Rev. Recovery'!$F$1:$Y$231,2,FALSE)+VLOOKUP(A191,'Exit Anticipated Rev. Recovery'!$F$1:$Y$231,5,FALSE)+VLOOKUP(A191,'Exit Anticipated Rev. Recovery'!$F$1:$Y$231,8,FALSE)+VLOOKUP(A191,'Exit Anticipated Rev. Recovery'!$F$1:$Y$231,11,FALSE)+VLOOKUP(A191,'Exit Anticipated Rev. Recovery'!$F$1:$Y$231,14,FALSE)</f>
        <v>21151130.426375359</v>
      </c>
      <c r="E191" s="291">
        <f ca="1">VLOOKUP(A191,'Exit Anticipated Rev. Recovery'!$F$1:$Y$231,17,FALSE)</f>
        <v>21485869.573624633</v>
      </c>
      <c r="F191" s="291">
        <f t="shared" ca="1" si="4"/>
        <v>42636999.999999993</v>
      </c>
      <c r="G191" s="283">
        <f ca="1">VLOOKUP($A191, 'Exit Prices'!$A$3:$Q$231, 8, 0)</f>
        <v>7.2344179438402385</v>
      </c>
      <c r="H191" s="283">
        <f ca="1">VLOOKUP($A191, 'Exit Prices'!$A$3:$Q$231, 12, 0)</f>
        <v>1.9820323133808871E-2</v>
      </c>
      <c r="I191" s="283">
        <f ca="1">VLOOKUP($A191, 'Exit Prices'!$A$3:$Q$231,17, 0)</f>
        <v>1.7838290820427986E-2</v>
      </c>
      <c r="J191" s="297">
        <f ca="1">'Exit Anticipated Rev. Recovery'!$C$14</f>
        <v>0</v>
      </c>
      <c r="K191" s="307">
        <f ca="1">VLOOKUP(A191,'Exit Anticipated Rev. Recovery'!F:Y,20,FALSE)</f>
        <v>2927050.1209263788</v>
      </c>
      <c r="L191" s="306">
        <f ca="1">((D191*H191)+(E191*I191))*'User Inputs'!$D$7/100</f>
        <v>2929101.0183327212</v>
      </c>
      <c r="M191" s="306">
        <f ca="1">((D191*J191)+(E191*J191))*'User Inputs'!$D$7/100</f>
        <v>0</v>
      </c>
    </row>
    <row r="192" spans="1:13">
      <c r="A192" s="309" t="str">
        <f>'Exit Prices'!A191</f>
        <v>Tatsfield</v>
      </c>
      <c r="B192" s="280" t="str">
        <f>VLOOKUP(A192,'Locations &amp; Types'!E:I,4,FALSE)</f>
        <v>GDN (SE)</v>
      </c>
      <c r="C192" s="291">
        <f ca="1">VLOOKUP(A192,'Exit Prices'!$A:$C,3,FALSE)</f>
        <v>207723314</v>
      </c>
      <c r="D192" s="291">
        <f ca="1">VLOOKUP(A192,'Exit Anticipated Rev. Recovery'!$F$1:$Y$231,2,FALSE)+VLOOKUP(A192,'Exit Anticipated Rev. Recovery'!$F$1:$Y$231,5,FALSE)+VLOOKUP(A192,'Exit Anticipated Rev. Recovery'!$F$1:$Y$231,8,FALSE)+VLOOKUP(A192,'Exit Anticipated Rev. Recovery'!$F$1:$Y$231,11,FALSE)+VLOOKUP(A192,'Exit Anticipated Rev. Recovery'!$F$1:$Y$231,14,FALSE)</f>
        <v>202522641.58073246</v>
      </c>
      <c r="E192" s="291">
        <f ca="1">VLOOKUP(A192,'Exit Anticipated Rev. Recovery'!$F$1:$Y$231,17,FALSE)</f>
        <v>5200672.4192675687</v>
      </c>
      <c r="F192" s="291">
        <f t="shared" ca="1" si="4"/>
        <v>207723314.00000003</v>
      </c>
      <c r="G192" s="283">
        <f ca="1">VLOOKUP($A192, 'Exit Prices'!$A$3:$Q$231, 8, 0)</f>
        <v>7.2344179438402385</v>
      </c>
      <c r="H192" s="283">
        <f ca="1">VLOOKUP($A192, 'Exit Prices'!$A$3:$Q$231, 12, 0)</f>
        <v>1.9820323133808871E-2</v>
      </c>
      <c r="I192" s="283">
        <f ca="1">VLOOKUP($A192, 'Exit Prices'!$A$3:$Q$231,17, 0)</f>
        <v>1.7838290820427986E-2</v>
      </c>
      <c r="J192" s="297">
        <f ca="1">'Exit Anticipated Rev. Recovery'!$C$14</f>
        <v>0</v>
      </c>
      <c r="K192" s="307">
        <f ca="1">VLOOKUP(A192,'Exit Anticipated Rev. Recovery'!F:Y,20,FALSE)</f>
        <v>14976110.434789512</v>
      </c>
      <c r="L192" s="306">
        <f ca="1">((D192*H192)+(E192*I192))*'User Inputs'!$D$7/100</f>
        <v>14989948.863685619</v>
      </c>
      <c r="M192" s="306">
        <f ca="1">((D192*J192)+(E192*J192))*'User Inputs'!$D$7/100</f>
        <v>0</v>
      </c>
    </row>
    <row r="193" spans="1:13">
      <c r="A193" s="309" t="str">
        <f>'Exit Prices'!A192</f>
        <v>Teesside (BASF, aka BASF Teesside)</v>
      </c>
      <c r="B193" s="280" t="str">
        <f>VLOOKUP(A193,'Locations &amp; Types'!E:I,4,FALSE)</f>
        <v>INDUSTRIAL</v>
      </c>
      <c r="C193" s="291">
        <f ca="1">VLOOKUP(A193,'Exit Prices'!$A:$C,3,FALSE)</f>
        <v>8369000</v>
      </c>
      <c r="D193" s="291">
        <f ca="1">VLOOKUP(A193,'Exit Anticipated Rev. Recovery'!$F$1:$Y$231,2,FALSE)+VLOOKUP(A193,'Exit Anticipated Rev. Recovery'!$F$1:$Y$231,5,FALSE)+VLOOKUP(A193,'Exit Anticipated Rev. Recovery'!$F$1:$Y$231,8,FALSE)+VLOOKUP(A193,'Exit Anticipated Rev. Recovery'!$F$1:$Y$231,11,FALSE)+VLOOKUP(A193,'Exit Anticipated Rev. Recovery'!$F$1:$Y$231,14,FALSE)</f>
        <v>6332622.0948197478</v>
      </c>
      <c r="E193" s="291">
        <f ca="1">VLOOKUP(A193,'Exit Anticipated Rev. Recovery'!$F$1:$Y$231,17,FALSE)</f>
        <v>2036377.9051802543</v>
      </c>
      <c r="F193" s="291">
        <f t="shared" ca="1" si="4"/>
        <v>8369000.0000000019</v>
      </c>
      <c r="G193" s="283">
        <f ca="1">VLOOKUP($A193, 'Exit Prices'!$A$3:$Q$231, 8, 0)</f>
        <v>7.2344179438402385</v>
      </c>
      <c r="H193" s="283">
        <f ca="1">VLOOKUP($A193, 'Exit Prices'!$A$3:$Q$231, 12, 0)</f>
        <v>1.9820323133808871E-2</v>
      </c>
      <c r="I193" s="283">
        <f ca="1">VLOOKUP($A193, 'Exit Prices'!$A$3:$Q$231,17, 0)</f>
        <v>1.7838290820427986E-2</v>
      </c>
      <c r="J193" s="297">
        <f ca="1">'Exit Anticipated Rev. Recovery'!$C$14</f>
        <v>0</v>
      </c>
      <c r="K193" s="307">
        <f ca="1">VLOOKUP(A193,'Exit Anticipated Rev. Recovery'!F:Y,20,FALSE)</f>
        <v>590145.51089597994</v>
      </c>
      <c r="L193" s="306">
        <f ca="1">((D193*H193)+(E193*I193))*'User Inputs'!$D$7/100</f>
        <v>590716.42886231397</v>
      </c>
      <c r="M193" s="306">
        <f ca="1">((D193*J193)+(E193*J193))*'User Inputs'!$D$7/100</f>
        <v>0</v>
      </c>
    </row>
    <row r="194" spans="1:13">
      <c r="A194" s="309" t="str">
        <f>'Exit Prices'!A193</f>
        <v>Teesside Hydrogen</v>
      </c>
      <c r="B194" s="280" t="str">
        <f>VLOOKUP(A194,'Locations &amp; Types'!E:I,4,FALSE)</f>
        <v>INDUSTRIAL</v>
      </c>
      <c r="C194" s="291">
        <f ca="1">VLOOKUP(A194,'Exit Prices'!$A:$C,3,FALSE)</f>
        <v>13276800</v>
      </c>
      <c r="D194" s="291">
        <f ca="1">VLOOKUP(A194,'Exit Anticipated Rev. Recovery'!$F$1:$Y$231,2,FALSE)+VLOOKUP(A194,'Exit Anticipated Rev. Recovery'!$F$1:$Y$231,5,FALSE)+VLOOKUP(A194,'Exit Anticipated Rev. Recovery'!$F$1:$Y$231,8,FALSE)+VLOOKUP(A194,'Exit Anticipated Rev. Recovery'!$F$1:$Y$231,11,FALSE)+VLOOKUP(A194,'Exit Anticipated Rev. Recovery'!$F$1:$Y$231,14,FALSE)</f>
        <v>10046236.949277434</v>
      </c>
      <c r="E194" s="291">
        <f ca="1">VLOOKUP(A194,'Exit Anticipated Rev. Recovery'!$F$1:$Y$231,17,FALSE)</f>
        <v>3230563.0507225716</v>
      </c>
      <c r="F194" s="291">
        <f t="shared" ca="1" si="4"/>
        <v>13276800.000000006</v>
      </c>
      <c r="G194" s="283">
        <f ca="1">VLOOKUP($A194, 'Exit Prices'!$A$3:$Q$231, 8, 0)</f>
        <v>7.2344179438402385</v>
      </c>
      <c r="H194" s="283">
        <f ca="1">VLOOKUP($A194, 'Exit Prices'!$A$3:$Q$231, 12, 0)</f>
        <v>1.9820323133808871E-2</v>
      </c>
      <c r="I194" s="283">
        <f ca="1">VLOOKUP($A194, 'Exit Prices'!$A$3:$Q$231,17, 0)</f>
        <v>1.7838290820427986E-2</v>
      </c>
      <c r="J194" s="297">
        <f ca="1">'Exit Anticipated Rev. Recovery'!$C$14</f>
        <v>0</v>
      </c>
      <c r="K194" s="307">
        <f ca="1">VLOOKUP(A194,'Exit Anticipated Rev. Recovery'!F:Y,20,FALSE)</f>
        <v>936222.23910428328</v>
      </c>
      <c r="L194" s="306">
        <f ca="1">((D194*H194)+(E194*I194))*'User Inputs'!$D$7/100</f>
        <v>937127.95826492668</v>
      </c>
      <c r="M194" s="306">
        <f ca="1">((D194*J194)+(E194*J194))*'User Inputs'!$D$7/100</f>
        <v>0</v>
      </c>
    </row>
    <row r="195" spans="1:13">
      <c r="A195" s="309" t="str">
        <f>'Exit Prices'!A194</f>
        <v>Terra Nitrogen (aka ICI, Terra Severnside)</v>
      </c>
      <c r="B195" s="280" t="str">
        <f>VLOOKUP(A195,'Locations &amp; Types'!E:I,4,FALSE)</f>
        <v>INDUSTRIAL</v>
      </c>
      <c r="C195" s="291">
        <f ca="1">VLOOKUP(A195,'Exit Prices'!$A:$C,3,FALSE)</f>
        <v>0</v>
      </c>
      <c r="D195" s="291">
        <f ca="1">VLOOKUP(A195,'Exit Anticipated Rev. Recovery'!$F$1:$Y$231,2,FALSE)+VLOOKUP(A195,'Exit Anticipated Rev. Recovery'!$F$1:$Y$231,5,FALSE)+VLOOKUP(A195,'Exit Anticipated Rev. Recovery'!$F$1:$Y$231,8,FALSE)+VLOOKUP(A195,'Exit Anticipated Rev. Recovery'!$F$1:$Y$231,11,FALSE)+VLOOKUP(A195,'Exit Anticipated Rev. Recovery'!$F$1:$Y$231,14,FALSE)</f>
        <v>0</v>
      </c>
      <c r="E195" s="291">
        <f ca="1">VLOOKUP(A195,'Exit Anticipated Rev. Recovery'!$F$1:$Y$231,17,FALSE)</f>
        <v>0</v>
      </c>
      <c r="F195" s="291">
        <f t="shared" ca="1" si="4"/>
        <v>0</v>
      </c>
      <c r="G195" s="283">
        <f ca="1">VLOOKUP($A195, 'Exit Prices'!$A$3:$Q$231, 8, 0)</f>
        <v>7.2344179438402385</v>
      </c>
      <c r="H195" s="283">
        <f ca="1">VLOOKUP($A195, 'Exit Prices'!$A$3:$Q$231, 12, 0)</f>
        <v>1.9820323133808871E-2</v>
      </c>
      <c r="I195" s="283">
        <f ca="1">VLOOKUP($A195, 'Exit Prices'!$A$3:$Q$231,17, 0)</f>
        <v>1.7838290820427986E-2</v>
      </c>
      <c r="J195" s="297">
        <f ca="1">'Exit Anticipated Rev. Recovery'!$C$14</f>
        <v>0</v>
      </c>
      <c r="K195" s="307">
        <f ca="1">VLOOKUP(A195,'Exit Anticipated Rev. Recovery'!F:Y,20,FALSE)</f>
        <v>0</v>
      </c>
      <c r="L195" s="306">
        <f ca="1">((D195*H195)+(E195*I195))*'User Inputs'!$D$7/100</f>
        <v>0</v>
      </c>
      <c r="M195" s="306">
        <f ca="1">((D195*J195)+(E195*J195))*'User Inputs'!$D$7/100</f>
        <v>0</v>
      </c>
    </row>
    <row r="196" spans="1:13">
      <c r="A196" s="309" t="str">
        <f>'Exit Prices'!A195</f>
        <v>Thornton Curtis (DN)</v>
      </c>
      <c r="B196" s="280" t="str">
        <f>VLOOKUP(A196,'Locations &amp; Types'!E:I,4,FALSE)</f>
        <v>GDN (EM)</v>
      </c>
      <c r="C196" s="291">
        <f ca="1">VLOOKUP(A196,'Exit Prices'!$A:$C,3,FALSE)</f>
        <v>118190411</v>
      </c>
      <c r="D196" s="291">
        <f ca="1">VLOOKUP(A196,'Exit Anticipated Rev. Recovery'!$F$1:$Y$231,2,FALSE)+VLOOKUP(A196,'Exit Anticipated Rev. Recovery'!$F$1:$Y$231,5,FALSE)+VLOOKUP(A196,'Exit Anticipated Rev. Recovery'!$F$1:$Y$231,8,FALSE)+VLOOKUP(A196,'Exit Anticipated Rev. Recovery'!$F$1:$Y$231,11,FALSE)+VLOOKUP(A196,'Exit Anticipated Rev. Recovery'!$F$1:$Y$231,14,FALSE)</f>
        <v>115231332.41188544</v>
      </c>
      <c r="E196" s="291">
        <f ca="1">VLOOKUP(A196,'Exit Anticipated Rev. Recovery'!$F$1:$Y$231,17,FALSE)</f>
        <v>2959078.5881145643</v>
      </c>
      <c r="F196" s="291">
        <f t="shared" ref="F196:F221" ca="1" si="5">D196+E196</f>
        <v>118190411</v>
      </c>
      <c r="G196" s="283">
        <f ca="1">VLOOKUP($A196, 'Exit Prices'!$A$3:$Q$231, 8, 0)</f>
        <v>7.2344179438402385</v>
      </c>
      <c r="H196" s="283">
        <f ca="1">VLOOKUP($A196, 'Exit Prices'!$A$3:$Q$231, 12, 0)</f>
        <v>1.9820323133808871E-2</v>
      </c>
      <c r="I196" s="283">
        <f ca="1">VLOOKUP($A196, 'Exit Prices'!$A$3:$Q$231,17, 0)</f>
        <v>1.7838290820427986E-2</v>
      </c>
      <c r="J196" s="297">
        <f ca="1">'Exit Anticipated Rev. Recovery'!$C$14</f>
        <v>0</v>
      </c>
      <c r="K196" s="307">
        <f ca="1">VLOOKUP(A196,'Exit Anticipated Rev. Recovery'!F:Y,20,FALSE)</f>
        <v>8521107.3007874358</v>
      </c>
      <c r="L196" s="306">
        <f ca="1">((D196*H196)+(E196*I196))*'User Inputs'!$D$7/100</f>
        <v>8528981.0900474377</v>
      </c>
      <c r="M196" s="306">
        <f ca="1">((D196*J196)+(E196*J196))*'User Inputs'!$D$7/100</f>
        <v>0</v>
      </c>
    </row>
    <row r="197" spans="1:13">
      <c r="A197" s="309" t="str">
        <f>'Exit Prices'!A196</f>
        <v>Thornton Curtis (Humber Refinery, aka Immingham)</v>
      </c>
      <c r="B197" s="280" t="str">
        <f>VLOOKUP(A197,'Locations &amp; Types'!E:I,4,FALSE)</f>
        <v>INDUSTRIAL</v>
      </c>
      <c r="C197" s="291">
        <f ca="1">VLOOKUP(A197,'Exit Prices'!$A:$C,3,FALSE)</f>
        <v>67000000</v>
      </c>
      <c r="D197" s="291">
        <f ca="1">VLOOKUP(A197,'Exit Anticipated Rev. Recovery'!$F$1:$Y$231,2,FALSE)+VLOOKUP(A197,'Exit Anticipated Rev. Recovery'!$F$1:$Y$231,5,FALSE)+VLOOKUP(A197,'Exit Anticipated Rev. Recovery'!$F$1:$Y$231,8,FALSE)+VLOOKUP(A197,'Exit Anticipated Rev. Recovery'!$F$1:$Y$231,11,FALSE)+VLOOKUP(A197,'Exit Anticipated Rev. Recovery'!$F$1:$Y$231,14,FALSE)</f>
        <v>50697297.210290737</v>
      </c>
      <c r="E197" s="291">
        <f ca="1">VLOOKUP(A197,'Exit Anticipated Rev. Recovery'!$F$1:$Y$231,17,FALSE)</f>
        <v>16302702.789709289</v>
      </c>
      <c r="F197" s="291">
        <f t="shared" ca="1" si="5"/>
        <v>67000000.00000003</v>
      </c>
      <c r="G197" s="283">
        <f ca="1">VLOOKUP($A197, 'Exit Prices'!$A$3:$Q$231, 8, 0)</f>
        <v>7.2344179438402385</v>
      </c>
      <c r="H197" s="283">
        <f ca="1">VLOOKUP($A197, 'Exit Prices'!$A$3:$Q$231, 12, 0)</f>
        <v>1.9820323133808871E-2</v>
      </c>
      <c r="I197" s="283">
        <f ca="1">VLOOKUP($A197, 'Exit Prices'!$A$3:$Q$231,17, 0)</f>
        <v>1.7838290820427986E-2</v>
      </c>
      <c r="J197" s="297">
        <f ca="1">'Exit Anticipated Rev. Recovery'!$C$14</f>
        <v>0</v>
      </c>
      <c r="K197" s="307">
        <f ca="1">VLOOKUP(A197,'Exit Anticipated Rev. Recovery'!F:Y,20,FALSE)</f>
        <v>4724548.8385745799</v>
      </c>
      <c r="L197" s="306">
        <f ca="1">((D197*H197)+(E197*I197))*'User Inputs'!$D$7/100</f>
        <v>4729119.4567779936</v>
      </c>
      <c r="M197" s="306">
        <f ca="1">((D197*J197)+(E197*J197))*'User Inputs'!$D$7/100</f>
        <v>0</v>
      </c>
    </row>
    <row r="198" spans="1:13">
      <c r="A198" s="309" t="str">
        <f>'Exit Prices'!A197</f>
        <v>Thornton Curtis (Killingholme)</v>
      </c>
      <c r="B198" s="280" t="str">
        <f>VLOOKUP(A198,'Locations &amp; Types'!E:I,4,FALSE)</f>
        <v>POWER STATION</v>
      </c>
      <c r="C198" s="291">
        <f ca="1">VLOOKUP(A198,'Exit Prices'!$A:$C,3,FALSE)</f>
        <v>40032876.712328769</v>
      </c>
      <c r="D198" s="291">
        <f ca="1">VLOOKUP(A198,'Exit Anticipated Rev. Recovery'!$F$1:$Y$231,2,FALSE)+VLOOKUP(A198,'Exit Anticipated Rev. Recovery'!$F$1:$Y$231,5,FALSE)+VLOOKUP(A198,'Exit Anticipated Rev. Recovery'!$F$1:$Y$231,8,FALSE)+VLOOKUP(A198,'Exit Anticipated Rev. Recovery'!$F$1:$Y$231,11,FALSE)+VLOOKUP(A198,'Exit Anticipated Rev. Recovery'!$F$1:$Y$231,14,FALSE)</f>
        <v>19859291.148192193</v>
      </c>
      <c r="E198" s="291">
        <f ca="1">VLOOKUP(A198,'Exit Anticipated Rev. Recovery'!$F$1:$Y$231,17,FALSE)</f>
        <v>20173585.564136572</v>
      </c>
      <c r="F198" s="291">
        <f t="shared" ca="1" si="5"/>
        <v>40032876.712328762</v>
      </c>
      <c r="G198" s="283">
        <f ca="1">VLOOKUP($A198, 'Exit Prices'!$A$3:$Q$231, 8, 0)</f>
        <v>7.2344179438402385</v>
      </c>
      <c r="H198" s="283">
        <f ca="1">VLOOKUP($A198, 'Exit Prices'!$A$3:$Q$231, 12, 0)</f>
        <v>1.9820323133808871E-2</v>
      </c>
      <c r="I198" s="283">
        <f ca="1">VLOOKUP($A198, 'Exit Prices'!$A$3:$Q$231,17, 0)</f>
        <v>1.7838290820427986E-2</v>
      </c>
      <c r="J198" s="297">
        <f ca="1">'Exit Anticipated Rev. Recovery'!$C$14</f>
        <v>0</v>
      </c>
      <c r="K198" s="307">
        <f ca="1">VLOOKUP(A198,'Exit Anticipated Rev. Recovery'!F:Y,20,FALSE)</f>
        <v>2748275.8313636687</v>
      </c>
      <c r="L198" s="306">
        <f ca="1">((D198*H198)+(E198*I198))*'User Inputs'!$D$7/100</f>
        <v>2750201.4669153667</v>
      </c>
      <c r="M198" s="306">
        <f ca="1">((D198*J198)+(E198*J198))*'User Inputs'!$D$7/100</f>
        <v>0</v>
      </c>
    </row>
    <row r="199" spans="1:13">
      <c r="A199" s="309" t="str">
        <f>'Exit Prices'!A198</f>
        <v>Thrintoft</v>
      </c>
      <c r="B199" s="280" t="str">
        <f>VLOOKUP(A199,'Locations &amp; Types'!E:I,4,FALSE)</f>
        <v>GDN (NO)</v>
      </c>
      <c r="C199" s="291">
        <f ca="1">VLOOKUP(A199,'Exit Prices'!$A:$C,3,FALSE)</f>
        <v>4490616</v>
      </c>
      <c r="D199" s="291">
        <f ca="1">VLOOKUP(A199,'Exit Anticipated Rev. Recovery'!$F$1:$Y$231,2,FALSE)+VLOOKUP(A199,'Exit Anticipated Rev. Recovery'!$F$1:$Y$231,5,FALSE)+VLOOKUP(A199,'Exit Anticipated Rev. Recovery'!$F$1:$Y$231,8,FALSE)+VLOOKUP(A199,'Exit Anticipated Rev. Recovery'!$F$1:$Y$231,11,FALSE)+VLOOKUP(A199,'Exit Anticipated Rev. Recovery'!$F$1:$Y$231,14,FALSE)</f>
        <v>4378186.526740578</v>
      </c>
      <c r="E199" s="291">
        <f ca="1">VLOOKUP(A199,'Exit Anticipated Rev. Recovery'!$F$1:$Y$231,17,FALSE)</f>
        <v>112429.47325942265</v>
      </c>
      <c r="F199" s="291">
        <f t="shared" ca="1" si="5"/>
        <v>4490616.0000000009</v>
      </c>
      <c r="G199" s="283">
        <f ca="1">VLOOKUP($A199, 'Exit Prices'!$A$3:$Q$231, 8, 0)</f>
        <v>7.2344179438402385</v>
      </c>
      <c r="H199" s="283">
        <f ca="1">VLOOKUP($A199, 'Exit Prices'!$A$3:$Q$231, 12, 0)</f>
        <v>1.9820323133808871E-2</v>
      </c>
      <c r="I199" s="283">
        <f ca="1">VLOOKUP($A199, 'Exit Prices'!$A$3:$Q$231,17, 0)</f>
        <v>1.7838290820427986E-2</v>
      </c>
      <c r="J199" s="297">
        <f ca="1">'Exit Anticipated Rev. Recovery'!$C$14</f>
        <v>0</v>
      </c>
      <c r="K199" s="307">
        <f ca="1">VLOOKUP(A199,'Exit Anticipated Rev. Recovery'!F:Y,20,FALSE)</f>
        <v>323757.40518097422</v>
      </c>
      <c r="L199" s="306">
        <f ca="1">((D199*H199)+(E199*I199))*'User Inputs'!$D$7/100</f>
        <v>324056.56789419631</v>
      </c>
      <c r="M199" s="306">
        <f ca="1">((D199*J199)+(E199*J199))*'User Inputs'!$D$7/100</f>
        <v>0</v>
      </c>
    </row>
    <row r="200" spans="1:13">
      <c r="A200" s="309" t="str">
        <f>'Exit Prices'!A199</f>
        <v>Tilbury Power Station</v>
      </c>
      <c r="B200" s="280" t="str">
        <f>VLOOKUP(A200,'Locations &amp; Types'!E:I,4,FALSE)</f>
        <v>POWER STATION</v>
      </c>
      <c r="C200" s="291">
        <f ca="1">VLOOKUP(A200,'Exit Prices'!$A:$C,3,FALSE)</f>
        <v>0</v>
      </c>
      <c r="D200" s="291">
        <f ca="1">VLOOKUP(A200,'Exit Anticipated Rev. Recovery'!$F$1:$Y$231,2,FALSE)+VLOOKUP(A200,'Exit Anticipated Rev. Recovery'!$F$1:$Y$231,5,FALSE)+VLOOKUP(A200,'Exit Anticipated Rev. Recovery'!$F$1:$Y$231,8,FALSE)+VLOOKUP(A200,'Exit Anticipated Rev. Recovery'!$F$1:$Y$231,11,FALSE)+VLOOKUP(A200,'Exit Anticipated Rev. Recovery'!$F$1:$Y$231,14,FALSE)</f>
        <v>0</v>
      </c>
      <c r="E200" s="291">
        <f ca="1">VLOOKUP(A200,'Exit Anticipated Rev. Recovery'!$F$1:$Y$231,17,FALSE)</f>
        <v>0</v>
      </c>
      <c r="F200" s="291">
        <f t="shared" ca="1" si="5"/>
        <v>0</v>
      </c>
      <c r="G200" s="283">
        <f ca="1">VLOOKUP($A200, 'Exit Prices'!$A$3:$Q$231, 8, 0)</f>
        <v>7.2344179438402385</v>
      </c>
      <c r="H200" s="283">
        <f ca="1">VLOOKUP($A200, 'Exit Prices'!$A$3:$Q$231, 12, 0)</f>
        <v>1.9820323133808871E-2</v>
      </c>
      <c r="I200" s="283">
        <f ca="1">VLOOKUP($A200, 'Exit Prices'!$A$3:$Q$231,17, 0)</f>
        <v>1.7838290820427986E-2</v>
      </c>
      <c r="J200" s="297">
        <f ca="1">'Exit Anticipated Rev. Recovery'!$C$14</f>
        <v>0</v>
      </c>
      <c r="K200" s="307">
        <f ca="1">VLOOKUP(A200,'Exit Anticipated Rev. Recovery'!F:Y,20,FALSE)</f>
        <v>0</v>
      </c>
      <c r="L200" s="306">
        <f ca="1">((D200*H200)+(E200*I200))*'User Inputs'!$D$7/100</f>
        <v>0</v>
      </c>
      <c r="M200" s="306">
        <f ca="1">((D200*J200)+(E200*J200))*'User Inputs'!$D$7/100</f>
        <v>0</v>
      </c>
    </row>
    <row r="201" spans="1:13">
      <c r="A201" s="309" t="str">
        <f>'Exit Prices'!A200</f>
        <v>Tonna (Baglan Bay)</v>
      </c>
      <c r="B201" s="280" t="str">
        <f>VLOOKUP(A201,'Locations &amp; Types'!E:I,4,FALSE)</f>
        <v>POWER STATION</v>
      </c>
      <c r="C201" s="291">
        <f ca="1">VLOOKUP(A201,'Exit Prices'!$A:$C,3,FALSE)</f>
        <v>26750000</v>
      </c>
      <c r="D201" s="291">
        <f ca="1">VLOOKUP(A201,'Exit Anticipated Rev. Recovery'!$F$1:$Y$231,2,FALSE)+VLOOKUP(A201,'Exit Anticipated Rev. Recovery'!$F$1:$Y$231,5,FALSE)+VLOOKUP(A201,'Exit Anticipated Rev. Recovery'!$F$1:$Y$231,8,FALSE)+VLOOKUP(A201,'Exit Anticipated Rev. Recovery'!$F$1:$Y$231,11,FALSE)+VLOOKUP(A201,'Exit Anticipated Rev. Recovery'!$F$1:$Y$231,14,FALSE)</f>
        <v>13269994.110878833</v>
      </c>
      <c r="E201" s="291">
        <f ca="1">VLOOKUP(A201,'Exit Anticipated Rev. Recovery'!$F$1:$Y$231,17,FALSE)</f>
        <v>13480005.889121164</v>
      </c>
      <c r="F201" s="291">
        <f t="shared" ca="1" si="5"/>
        <v>26749999.999999996</v>
      </c>
      <c r="G201" s="283">
        <f ca="1">VLOOKUP($A201, 'Exit Prices'!$A$3:$Q$231, 8, 0)</f>
        <v>7.2344179438402385</v>
      </c>
      <c r="H201" s="283">
        <f ca="1">VLOOKUP($A201, 'Exit Prices'!$A$3:$Q$231, 12, 0)</f>
        <v>1.9820323133808871E-2</v>
      </c>
      <c r="I201" s="283">
        <f ca="1">VLOOKUP($A201, 'Exit Prices'!$A$3:$Q$231,17, 0)</f>
        <v>1.7838290820427986E-2</v>
      </c>
      <c r="J201" s="297">
        <f ca="1">'Exit Anticipated Rev. Recovery'!$C$14</f>
        <v>0</v>
      </c>
      <c r="K201" s="307">
        <f ca="1">VLOOKUP(A201,'Exit Anticipated Rev. Recovery'!F:Y,20,FALSE)</f>
        <v>1836400.0922855884</v>
      </c>
      <c r="L201" s="306">
        <f ca="1">((D201*H201)+(E201*I201))*'User Inputs'!$D$7/100</f>
        <v>1837686.8034899333</v>
      </c>
      <c r="M201" s="306">
        <f ca="1">((D201*J201)+(E201*J201))*'User Inputs'!$D$7/100</f>
        <v>0</v>
      </c>
    </row>
    <row r="202" spans="1:13">
      <c r="A202" s="309" t="str">
        <f>'Exit Prices'!A201</f>
        <v>Towlaw</v>
      </c>
      <c r="B202" s="280" t="str">
        <f>VLOOKUP(A202,'Locations &amp; Types'!E:I,4,FALSE)</f>
        <v>GDN (NO)</v>
      </c>
      <c r="C202" s="291">
        <f ca="1">VLOOKUP(A202,'Exit Prices'!$A:$C,3,FALSE)</f>
        <v>572053</v>
      </c>
      <c r="D202" s="291">
        <f ca="1">VLOOKUP(A202,'Exit Anticipated Rev. Recovery'!$F$1:$Y$231,2,FALSE)+VLOOKUP(A202,'Exit Anticipated Rev. Recovery'!$F$1:$Y$231,5,FALSE)+VLOOKUP(A202,'Exit Anticipated Rev. Recovery'!$F$1:$Y$231,8,FALSE)+VLOOKUP(A202,'Exit Anticipated Rev. Recovery'!$F$1:$Y$231,11,FALSE)+VLOOKUP(A202,'Exit Anticipated Rev. Recovery'!$F$1:$Y$231,14,FALSE)</f>
        <v>557730.77394761145</v>
      </c>
      <c r="E202" s="291">
        <f ca="1">VLOOKUP(A202,'Exit Anticipated Rev. Recovery'!$F$1:$Y$231,17,FALSE)</f>
        <v>14322.226052388469</v>
      </c>
      <c r="F202" s="291">
        <f t="shared" ca="1" si="5"/>
        <v>572052.99999999988</v>
      </c>
      <c r="G202" s="283">
        <f ca="1">VLOOKUP($A202, 'Exit Prices'!$A$3:$Q$231, 8, 0)</f>
        <v>7.2344179438402385</v>
      </c>
      <c r="H202" s="283">
        <f ca="1">VLOOKUP($A202, 'Exit Prices'!$A$3:$Q$231, 12, 0)</f>
        <v>1.9820323133808871E-2</v>
      </c>
      <c r="I202" s="283">
        <f ca="1">VLOOKUP($A202, 'Exit Prices'!$A$3:$Q$231,17, 0)</f>
        <v>1.7838290820427986E-2</v>
      </c>
      <c r="J202" s="297">
        <f ca="1">'Exit Anticipated Rev. Recovery'!$C$14</f>
        <v>0</v>
      </c>
      <c r="K202" s="307">
        <f ca="1">VLOOKUP(A202,'Exit Anticipated Rev. Recovery'!F:Y,20,FALSE)</f>
        <v>41242.982010929423</v>
      </c>
      <c r="L202" s="306">
        <f ca="1">((D202*H202)+(E202*I202))*'User Inputs'!$D$7/100</f>
        <v>41281.091911127252</v>
      </c>
      <c r="M202" s="306">
        <f ca="1">((D202*J202)+(E202*J202))*'User Inputs'!$D$7/100</f>
        <v>0</v>
      </c>
    </row>
    <row r="203" spans="1:13">
      <c r="A203" s="309" t="str">
        <f>'Exit Prices'!A202</f>
        <v>Towton</v>
      </c>
      <c r="B203" s="280" t="str">
        <f>VLOOKUP(A203,'Locations &amp; Types'!E:I,4,FALSE)</f>
        <v>GDN (NE)</v>
      </c>
      <c r="C203" s="291">
        <f ca="1">VLOOKUP(A203,'Exit Prices'!$A:$C,3,FALSE)</f>
        <v>59564671</v>
      </c>
      <c r="D203" s="291">
        <f ca="1">VLOOKUP(A203,'Exit Anticipated Rev. Recovery'!$F$1:$Y$231,2,FALSE)+VLOOKUP(A203,'Exit Anticipated Rev. Recovery'!$F$1:$Y$231,5,FALSE)+VLOOKUP(A203,'Exit Anticipated Rev. Recovery'!$F$1:$Y$231,8,FALSE)+VLOOKUP(A203,'Exit Anticipated Rev. Recovery'!$F$1:$Y$231,11,FALSE)+VLOOKUP(A203,'Exit Anticipated Rev. Recovery'!$F$1:$Y$231,14,FALSE)</f>
        <v>58073377.915621199</v>
      </c>
      <c r="E203" s="291">
        <f ca="1">VLOOKUP(A203,'Exit Anticipated Rev. Recovery'!$F$1:$Y$231,17,FALSE)</f>
        <v>1491293.0843788041</v>
      </c>
      <c r="F203" s="291">
        <f t="shared" ca="1" si="5"/>
        <v>59564671</v>
      </c>
      <c r="G203" s="283">
        <f ca="1">VLOOKUP($A203, 'Exit Prices'!$A$3:$Q$231, 8, 0)</f>
        <v>7.2344179438402385</v>
      </c>
      <c r="H203" s="283">
        <f ca="1">VLOOKUP($A203, 'Exit Prices'!$A$3:$Q$231, 12, 0)</f>
        <v>1.9820323133808871E-2</v>
      </c>
      <c r="I203" s="283">
        <f ca="1">VLOOKUP($A203, 'Exit Prices'!$A$3:$Q$231,17, 0)</f>
        <v>1.7838290820427986E-2</v>
      </c>
      <c r="J203" s="297">
        <f ca="1">'Exit Anticipated Rev. Recovery'!$C$14</f>
        <v>0</v>
      </c>
      <c r="K203" s="307">
        <f ca="1">VLOOKUP(A203,'Exit Anticipated Rev. Recovery'!F:Y,20,FALSE)</f>
        <v>4294400.4393647602</v>
      </c>
      <c r="L203" s="306">
        <f ca="1">((D203*H203)+(E203*I203))*'User Inputs'!$D$7/100</f>
        <v>4298368.6095642475</v>
      </c>
      <c r="M203" s="306">
        <f ca="1">((D203*J203)+(E203*J203))*'User Inputs'!$D$7/100</f>
        <v>0</v>
      </c>
    </row>
    <row r="204" spans="1:13">
      <c r="A204" s="309" t="str">
        <f>'Exit Prices'!A203</f>
        <v>Trafford Power Station</v>
      </c>
      <c r="B204" s="280" t="str">
        <f>VLOOKUP(A204,'Locations &amp; Types'!E:I,4,FALSE)</f>
        <v>POWER STATION</v>
      </c>
      <c r="C204" s="291">
        <f ca="1">VLOOKUP(A204,'Exit Prices'!$A:$C,3,FALSE)</f>
        <v>0</v>
      </c>
      <c r="D204" s="291">
        <f ca="1">VLOOKUP(A204,'Exit Anticipated Rev. Recovery'!$F$1:$Y$231,2,FALSE)+VLOOKUP(A204,'Exit Anticipated Rev. Recovery'!$F$1:$Y$231,5,FALSE)+VLOOKUP(A204,'Exit Anticipated Rev. Recovery'!$F$1:$Y$231,8,FALSE)+VLOOKUP(A204,'Exit Anticipated Rev. Recovery'!$F$1:$Y$231,11,FALSE)+VLOOKUP(A204,'Exit Anticipated Rev. Recovery'!$F$1:$Y$231,14,FALSE)</f>
        <v>0</v>
      </c>
      <c r="E204" s="291">
        <f ca="1">VLOOKUP(A204,'Exit Anticipated Rev. Recovery'!$F$1:$Y$231,17,FALSE)</f>
        <v>0</v>
      </c>
      <c r="F204" s="291">
        <f t="shared" ca="1" si="5"/>
        <v>0</v>
      </c>
      <c r="G204" s="283">
        <f ca="1">VLOOKUP($A204, 'Exit Prices'!$A$3:$Q$231, 8, 0)</f>
        <v>7.2344179438402385</v>
      </c>
      <c r="H204" s="283">
        <f ca="1">VLOOKUP($A204, 'Exit Prices'!$A$3:$Q$231, 12, 0)</f>
        <v>1.9820323133808871E-2</v>
      </c>
      <c r="I204" s="283">
        <f ca="1">VLOOKUP($A204, 'Exit Prices'!$A$3:$Q$231,17, 0)</f>
        <v>1.7838290820427986E-2</v>
      </c>
      <c r="J204" s="297">
        <f ca="1">'Exit Anticipated Rev. Recovery'!$C$14</f>
        <v>0</v>
      </c>
      <c r="K204" s="307">
        <f ca="1">VLOOKUP(A204,'Exit Anticipated Rev. Recovery'!F:Y,20,FALSE)</f>
        <v>0</v>
      </c>
      <c r="L204" s="306">
        <f ca="1">((D204*H204)+(E204*I204))*'User Inputs'!$D$7/100</f>
        <v>0</v>
      </c>
      <c r="M204" s="306">
        <f ca="1">((D204*J204)+(E204*J204))*'User Inputs'!$D$7/100</f>
        <v>0</v>
      </c>
    </row>
    <row r="205" spans="1:13">
      <c r="A205" s="309" t="str">
        <f>'Exit Prices'!A204</f>
        <v>Tur Langton</v>
      </c>
      <c r="B205" s="280" t="str">
        <f>VLOOKUP(A205,'Locations &amp; Types'!E:I,4,FALSE)</f>
        <v>GDN (EM)</v>
      </c>
      <c r="C205" s="291">
        <f ca="1">VLOOKUP(A205,'Exit Prices'!$A:$C,3,FALSE)</f>
        <v>64479276</v>
      </c>
      <c r="D205" s="291">
        <f ca="1">VLOOKUP(A205,'Exit Anticipated Rev. Recovery'!$F$1:$Y$231,2,FALSE)+VLOOKUP(A205,'Exit Anticipated Rev. Recovery'!$F$1:$Y$231,5,FALSE)+VLOOKUP(A205,'Exit Anticipated Rev. Recovery'!$F$1:$Y$231,8,FALSE)+VLOOKUP(A205,'Exit Anticipated Rev. Recovery'!$F$1:$Y$231,11,FALSE)+VLOOKUP(A205,'Exit Anticipated Rev. Recovery'!$F$1:$Y$231,14,FALSE)</f>
        <v>62864938.226111315</v>
      </c>
      <c r="E205" s="291">
        <f ca="1">VLOOKUP(A205,'Exit Anticipated Rev. Recovery'!$F$1:$Y$231,17,FALSE)</f>
        <v>1614337.7738886895</v>
      </c>
      <c r="F205" s="291">
        <f t="shared" ca="1" si="5"/>
        <v>64479276.000000007</v>
      </c>
      <c r="G205" s="283">
        <f ca="1">VLOOKUP($A205, 'Exit Prices'!$A$3:$Q$231, 8, 0)</f>
        <v>7.2344179438402385</v>
      </c>
      <c r="H205" s="283">
        <f ca="1">VLOOKUP($A205, 'Exit Prices'!$A$3:$Q$231, 12, 0)</f>
        <v>1.9820323133808871E-2</v>
      </c>
      <c r="I205" s="283">
        <f ca="1">VLOOKUP($A205, 'Exit Prices'!$A$3:$Q$231,17, 0)</f>
        <v>1.7838290820427986E-2</v>
      </c>
      <c r="J205" s="297">
        <f ca="1">'Exit Anticipated Rev. Recovery'!$C$14</f>
        <v>0</v>
      </c>
      <c r="K205" s="307">
        <f ca="1">VLOOKUP(A205,'Exit Anticipated Rev. Recovery'!F:Y,20,FALSE)</f>
        <v>4648725.9399841502</v>
      </c>
      <c r="L205" s="306">
        <f ca="1">((D205*H205)+(E205*I205))*'User Inputs'!$D$7/100</f>
        <v>4653021.5188434338</v>
      </c>
      <c r="M205" s="306">
        <f ca="1">((D205*J205)+(E205*J205))*'User Inputs'!$D$7/100</f>
        <v>0</v>
      </c>
    </row>
    <row r="206" spans="1:13">
      <c r="A206" s="309" t="str">
        <f>'Exit Prices'!A205</f>
        <v>Upper Neeston (Milford Haven Refinery)</v>
      </c>
      <c r="B206" s="280" t="str">
        <f>VLOOKUP(A206,'Locations &amp; Types'!E:I,4,FALSE)</f>
        <v>INDUSTRIAL</v>
      </c>
      <c r="C206" s="291">
        <f ca="1">VLOOKUP(A206,'Exit Prices'!$A:$C,3,FALSE)</f>
        <v>8300000</v>
      </c>
      <c r="D206" s="291">
        <f ca="1">VLOOKUP(A206,'Exit Anticipated Rev. Recovery'!$F$1:$Y$231,2,FALSE)+VLOOKUP(A206,'Exit Anticipated Rev. Recovery'!$F$1:$Y$231,5,FALSE)+VLOOKUP(A206,'Exit Anticipated Rev. Recovery'!$F$1:$Y$231,8,FALSE)+VLOOKUP(A206,'Exit Anticipated Rev. Recovery'!$F$1:$Y$231,11,FALSE)+VLOOKUP(A206,'Exit Anticipated Rev. Recovery'!$F$1:$Y$231,14,FALSE)</f>
        <v>6280411.445453926</v>
      </c>
      <c r="E206" s="291">
        <f ca="1">VLOOKUP(A206,'Exit Anticipated Rev. Recovery'!$F$1:$Y$231,17,FALSE)</f>
        <v>2019588.5545460761</v>
      </c>
      <c r="F206" s="291">
        <f t="shared" ca="1" si="5"/>
        <v>8300000.0000000019</v>
      </c>
      <c r="G206" s="283">
        <f ca="1">VLOOKUP($A206, 'Exit Prices'!$A$3:$Q$231, 8, 0)</f>
        <v>7.2344179438402385</v>
      </c>
      <c r="H206" s="283">
        <f ca="1">VLOOKUP($A206, 'Exit Prices'!$A$3:$Q$231, 12, 0)</f>
        <v>1.9820323133808871E-2</v>
      </c>
      <c r="I206" s="283">
        <f ca="1">VLOOKUP($A206, 'Exit Prices'!$A$3:$Q$231,17, 0)</f>
        <v>1.7838290820427986E-2</v>
      </c>
      <c r="J206" s="297">
        <f ca="1">'Exit Anticipated Rev. Recovery'!$C$14</f>
        <v>0</v>
      </c>
      <c r="K206" s="307">
        <f ca="1">VLOOKUP(A206,'Exit Anticipated Rev. Recovery'!F:Y,20,FALSE)</f>
        <v>585279.9307487912</v>
      </c>
      <c r="L206" s="306">
        <f ca="1">((D206*H206)+(E206*I206))*'User Inputs'!$D$7/100</f>
        <v>585846.14166055736</v>
      </c>
      <c r="M206" s="306">
        <f ca="1">((D206*J206)+(E206*J206))*'User Inputs'!$D$7/100</f>
        <v>0</v>
      </c>
    </row>
    <row r="207" spans="1:13">
      <c r="A207" s="309" t="str">
        <f>'Exit Prices'!A206</f>
        <v>Walesby</v>
      </c>
      <c r="B207" s="280" t="str">
        <f>VLOOKUP(A207,'Locations &amp; Types'!E:I,4,FALSE)</f>
        <v>GDN (EM)</v>
      </c>
      <c r="C207" s="291">
        <f ca="1">VLOOKUP(A207,'Exit Prices'!$A:$C,3,FALSE)</f>
        <v>806402</v>
      </c>
      <c r="D207" s="291">
        <f ca="1">VLOOKUP(A207,'Exit Anticipated Rev. Recovery'!$F$1:$Y$231,2,FALSE)+VLOOKUP(A207,'Exit Anticipated Rev. Recovery'!$F$1:$Y$231,5,FALSE)+VLOOKUP(A207,'Exit Anticipated Rev. Recovery'!$F$1:$Y$231,8,FALSE)+VLOOKUP(A207,'Exit Anticipated Rev. Recovery'!$F$1:$Y$231,11,FALSE)+VLOOKUP(A207,'Exit Anticipated Rev. Recovery'!$F$1:$Y$231,14,FALSE)</f>
        <v>786212.48655789217</v>
      </c>
      <c r="E207" s="291">
        <f ca="1">VLOOKUP(A207,'Exit Anticipated Rev. Recovery'!$F$1:$Y$231,17,FALSE)</f>
        <v>20189.513442107927</v>
      </c>
      <c r="F207" s="291">
        <f t="shared" ca="1" si="5"/>
        <v>806402.00000000012</v>
      </c>
      <c r="G207" s="283">
        <f ca="1">VLOOKUP($A207, 'Exit Prices'!$A$3:$Q$231, 8, 0)</f>
        <v>7.2344179438402385</v>
      </c>
      <c r="H207" s="283">
        <f ca="1">VLOOKUP($A207, 'Exit Prices'!$A$3:$Q$231, 12, 0)</f>
        <v>1.9820323133808871E-2</v>
      </c>
      <c r="I207" s="283">
        <f ca="1">VLOOKUP($A207, 'Exit Prices'!$A$3:$Q$231,17, 0)</f>
        <v>1.7838290820427986E-2</v>
      </c>
      <c r="J207" s="297">
        <f ca="1">'Exit Anticipated Rev. Recovery'!$C$14</f>
        <v>0</v>
      </c>
      <c r="K207" s="307">
        <f ca="1">VLOOKUP(A207,'Exit Anticipated Rev. Recovery'!F:Y,20,FALSE)</f>
        <v>58138.709489466026</v>
      </c>
      <c r="L207" s="306">
        <f ca="1">((D207*H207)+(E207*I207))*'User Inputs'!$D$7/100</f>
        <v>58192.43160916357</v>
      </c>
      <c r="M207" s="306">
        <f ca="1">((D207*J207)+(E207*J207))*'User Inputs'!$D$7/100</f>
        <v>0</v>
      </c>
    </row>
    <row r="208" spans="1:13">
      <c r="A208" s="309" t="str">
        <f>'Exit Prices'!A207</f>
        <v>Warburton</v>
      </c>
      <c r="B208" s="280" t="str">
        <f>VLOOKUP(A208,'Locations &amp; Types'!E:I,4,FALSE)</f>
        <v>GDN (NW)</v>
      </c>
      <c r="C208" s="291">
        <f ca="1">VLOOKUP(A208,'Exit Prices'!$A:$C,3,FALSE)</f>
        <v>92041489</v>
      </c>
      <c r="D208" s="291">
        <f ca="1">VLOOKUP(A208,'Exit Anticipated Rev. Recovery'!$F$1:$Y$231,2,FALSE)+VLOOKUP(A208,'Exit Anticipated Rev. Recovery'!$F$1:$Y$231,5,FALSE)+VLOOKUP(A208,'Exit Anticipated Rev. Recovery'!$F$1:$Y$231,8,FALSE)+VLOOKUP(A208,'Exit Anticipated Rev. Recovery'!$F$1:$Y$231,11,FALSE)+VLOOKUP(A208,'Exit Anticipated Rev. Recovery'!$F$1:$Y$231,14,FALSE)</f>
        <v>89737088.862851128</v>
      </c>
      <c r="E208" s="291">
        <f ca="1">VLOOKUP(A208,'Exit Anticipated Rev. Recovery'!$F$1:$Y$231,17,FALSE)</f>
        <v>2304400.1371488776</v>
      </c>
      <c r="F208" s="291">
        <f t="shared" ca="1" si="5"/>
        <v>92041489</v>
      </c>
      <c r="G208" s="283">
        <f ca="1">VLOOKUP($A208, 'Exit Prices'!$A$3:$Q$231, 8, 0)</f>
        <v>7.2344179438402385</v>
      </c>
      <c r="H208" s="283">
        <f ca="1">VLOOKUP($A208, 'Exit Prices'!$A$3:$Q$231, 12, 0)</f>
        <v>1.9820323133808871E-2</v>
      </c>
      <c r="I208" s="283">
        <f ca="1">VLOOKUP($A208, 'Exit Prices'!$A$3:$Q$231,17, 0)</f>
        <v>1.7838290820427986E-2</v>
      </c>
      <c r="J208" s="297">
        <f ca="1">'Exit Anticipated Rev. Recovery'!$C$14</f>
        <v>0</v>
      </c>
      <c r="K208" s="307">
        <f ca="1">VLOOKUP(A208,'Exit Anticipated Rev. Recovery'!F:Y,20,FALSE)</f>
        <v>6635863.2418432524</v>
      </c>
      <c r="L208" s="306">
        <f ca="1">((D208*H208)+(E208*I208))*'User Inputs'!$D$7/100</f>
        <v>6641995.0022917613</v>
      </c>
      <c r="M208" s="306">
        <f ca="1">((D208*J208)+(E208*J208))*'User Inputs'!$D$7/100</f>
        <v>0</v>
      </c>
    </row>
    <row r="209" spans="1:13">
      <c r="A209" s="309" t="str">
        <f>'Exit Prices'!A208</f>
        <v>West Burton Power Station</v>
      </c>
      <c r="B209" s="280" t="str">
        <f>VLOOKUP(A209,'Locations &amp; Types'!E:I,4,FALSE)</f>
        <v>POWER STATION</v>
      </c>
      <c r="C209" s="291">
        <f ca="1">VLOOKUP(A209,'Exit Prices'!$A:$C,3,FALSE)</f>
        <v>37530627.863013692</v>
      </c>
      <c r="D209" s="291">
        <f ca="1">VLOOKUP(A209,'Exit Anticipated Rev. Recovery'!$F$1:$Y$231,2,FALSE)+VLOOKUP(A209,'Exit Anticipated Rev. Recovery'!$F$1:$Y$231,5,FALSE)+VLOOKUP(A209,'Exit Anticipated Rev. Recovery'!$F$1:$Y$231,8,FALSE)+VLOOKUP(A209,'Exit Anticipated Rev. Recovery'!$F$1:$Y$231,11,FALSE)+VLOOKUP(A209,'Exit Anticipated Rev. Recovery'!$F$1:$Y$231,14,FALSE)</f>
        <v>18617989.185786046</v>
      </c>
      <c r="E209" s="291">
        <f ca="1">VLOOKUP(A209,'Exit Anticipated Rev. Recovery'!$F$1:$Y$231,17,FALSE)</f>
        <v>18912638.677227639</v>
      </c>
      <c r="F209" s="291">
        <f t="shared" ca="1" si="5"/>
        <v>37530627.863013685</v>
      </c>
      <c r="G209" s="283">
        <f ca="1">VLOOKUP($A209, 'Exit Prices'!$A$3:$Q$231, 8, 0)</f>
        <v>7.2344179438402385</v>
      </c>
      <c r="H209" s="283">
        <f ca="1">VLOOKUP($A209, 'Exit Prices'!$A$3:$Q$231, 12, 0)</f>
        <v>1.9820323133808871E-2</v>
      </c>
      <c r="I209" s="283">
        <f ca="1">VLOOKUP($A209, 'Exit Prices'!$A$3:$Q$231,17, 0)</f>
        <v>1.7838290820427986E-2</v>
      </c>
      <c r="J209" s="297">
        <f ca="1">'Exit Anticipated Rev. Recovery'!$C$14</f>
        <v>0</v>
      </c>
      <c r="K209" s="307">
        <f ca="1">VLOOKUP(A209,'Exit Anticipated Rev. Recovery'!F:Y,20,FALSE)</f>
        <v>2576495.2699504457</v>
      </c>
      <c r="L209" s="306">
        <f ca="1">((D209*H209)+(E209*I209))*'User Inputs'!$D$7/100</f>
        <v>2578300.5439458634</v>
      </c>
      <c r="M209" s="306">
        <f ca="1">((D209*J209)+(E209*J209))*'User Inputs'!$D$7/100</f>
        <v>0</v>
      </c>
    </row>
    <row r="210" spans="1:13">
      <c r="A210" s="309" t="str">
        <f>'Exit Prices'!A209</f>
        <v>West Winch</v>
      </c>
      <c r="B210" s="280" t="str">
        <f>VLOOKUP(A210,'Locations &amp; Types'!E:I,4,FALSE)</f>
        <v>GDN (EA)</v>
      </c>
      <c r="C210" s="291">
        <f ca="1">VLOOKUP(A210,'Exit Prices'!$A:$C,3,FALSE)</f>
        <v>10086940</v>
      </c>
      <c r="D210" s="291">
        <f ca="1">VLOOKUP(A210,'Exit Anticipated Rev. Recovery'!$F$1:$Y$231,2,FALSE)+VLOOKUP(A210,'Exit Anticipated Rev. Recovery'!$F$1:$Y$231,5,FALSE)+VLOOKUP(A210,'Exit Anticipated Rev. Recovery'!$F$1:$Y$231,8,FALSE)+VLOOKUP(A210,'Exit Anticipated Rev. Recovery'!$F$1:$Y$231,11,FALSE)+VLOOKUP(A210,'Exit Anticipated Rev. Recovery'!$F$1:$Y$231,14,FALSE)</f>
        <v>9834397.9543208778</v>
      </c>
      <c r="E210" s="291">
        <f ca="1">VLOOKUP(A210,'Exit Anticipated Rev. Recovery'!$F$1:$Y$231,17,FALSE)</f>
        <v>252542.045679123</v>
      </c>
      <c r="F210" s="291">
        <f t="shared" ca="1" si="5"/>
        <v>10086940</v>
      </c>
      <c r="G210" s="283">
        <f ca="1">VLOOKUP($A210, 'Exit Prices'!$A$3:$Q$231, 8, 0)</f>
        <v>7.2344179438402385</v>
      </c>
      <c r="H210" s="283">
        <f ca="1">VLOOKUP($A210, 'Exit Prices'!$A$3:$Q$231, 12, 0)</f>
        <v>1.9820323133808871E-2</v>
      </c>
      <c r="I210" s="283">
        <f ca="1">VLOOKUP($A210, 'Exit Prices'!$A$3:$Q$231,17, 0)</f>
        <v>1.7838290820427986E-2</v>
      </c>
      <c r="J210" s="297">
        <f ca="1">'Exit Anticipated Rev. Recovery'!$C$14</f>
        <v>0</v>
      </c>
      <c r="K210" s="307">
        <f ca="1">VLOOKUP(A210,'Exit Anticipated Rev. Recovery'!F:Y,20,FALSE)</f>
        <v>727232.41546731594</v>
      </c>
      <c r="L210" s="306">
        <f ca="1">((D210*H210)+(E210*I210))*'User Inputs'!$D$7/100</f>
        <v>727904.4026375633</v>
      </c>
      <c r="M210" s="306">
        <f ca="1">((D210*J210)+(E210*J210))*'User Inputs'!$D$7/100</f>
        <v>0</v>
      </c>
    </row>
    <row r="211" spans="1:13">
      <c r="A211" s="309" t="str">
        <f>'Exit Prices'!A210</f>
        <v>Weston Point</v>
      </c>
      <c r="B211" s="280" t="str">
        <f>VLOOKUP(A211,'Locations &amp; Types'!E:I,4,FALSE)</f>
        <v>GDN (NW)</v>
      </c>
      <c r="C211" s="291">
        <f ca="1">VLOOKUP(A211,'Exit Prices'!$A:$C,3,FALSE)</f>
        <v>4076123</v>
      </c>
      <c r="D211" s="291">
        <f ca="1">VLOOKUP(A211,'Exit Anticipated Rev. Recovery'!$F$1:$Y$231,2,FALSE)+VLOOKUP(A211,'Exit Anticipated Rev. Recovery'!$F$1:$Y$231,5,FALSE)+VLOOKUP(A211,'Exit Anticipated Rev. Recovery'!$F$1:$Y$231,8,FALSE)+VLOOKUP(A211,'Exit Anticipated Rev. Recovery'!$F$1:$Y$231,11,FALSE)+VLOOKUP(A211,'Exit Anticipated Rev. Recovery'!$F$1:$Y$231,14,FALSE)</f>
        <v>3974070.9960364867</v>
      </c>
      <c r="E211" s="291">
        <f ca="1">VLOOKUP(A211,'Exit Anticipated Rev. Recovery'!$F$1:$Y$231,17,FALSE)</f>
        <v>102052.00396351359</v>
      </c>
      <c r="F211" s="291">
        <f t="shared" ca="1" si="5"/>
        <v>4076123.0000000005</v>
      </c>
      <c r="G211" s="283">
        <f ca="1">VLOOKUP($A211, 'Exit Prices'!$A$3:$Q$231, 8, 0)</f>
        <v>7.2344179438402385</v>
      </c>
      <c r="H211" s="283">
        <f ca="1">VLOOKUP($A211, 'Exit Prices'!$A$3:$Q$231, 12, 0)</f>
        <v>1.9820323133808871E-2</v>
      </c>
      <c r="I211" s="283">
        <f ca="1">VLOOKUP($A211, 'Exit Prices'!$A$3:$Q$231,17, 0)</f>
        <v>1.7838290820427986E-2</v>
      </c>
      <c r="J211" s="297">
        <f ca="1">'Exit Anticipated Rev. Recovery'!$C$14</f>
        <v>0</v>
      </c>
      <c r="K211" s="307">
        <f ca="1">VLOOKUP(A211,'Exit Anticipated Rev. Recovery'!F:Y,20,FALSE)</f>
        <v>293873.93749064452</v>
      </c>
      <c r="L211" s="306">
        <f ca="1">((D211*H211)+(E211*I211))*'User Inputs'!$D$7/100</f>
        <v>294145.48687632056</v>
      </c>
      <c r="M211" s="306">
        <f ca="1">((D211*J211)+(E211*J211))*'User Inputs'!$D$7/100</f>
        <v>0</v>
      </c>
    </row>
    <row r="212" spans="1:13">
      <c r="A212" s="309" t="str">
        <f>'Exit Prices'!A211</f>
        <v>Weston Point (Castner Kelner, aka ICI Runcorn)</v>
      </c>
      <c r="B212" s="280" t="str">
        <f>VLOOKUP(A212,'Locations &amp; Types'!E:I,4,FALSE)</f>
        <v>INDUSTRIAL</v>
      </c>
      <c r="C212" s="291">
        <f ca="1">VLOOKUP(A212,'Exit Prices'!$A:$C,3,FALSE)</f>
        <v>472084.46416438353</v>
      </c>
      <c r="D212" s="291">
        <f ca="1">VLOOKUP(A212,'Exit Anticipated Rev. Recovery'!$F$1:$Y$231,2,FALSE)+VLOOKUP(A212,'Exit Anticipated Rev. Recovery'!$F$1:$Y$231,5,FALSE)+VLOOKUP(A212,'Exit Anticipated Rev. Recovery'!$F$1:$Y$231,8,FALSE)+VLOOKUP(A212,'Exit Anticipated Rev. Recovery'!$F$1:$Y$231,11,FALSE)+VLOOKUP(A212,'Exit Anticipated Rev. Recovery'!$F$1:$Y$231,14,FALSE)</f>
        <v>357215.0207179492</v>
      </c>
      <c r="E212" s="291">
        <f ca="1">VLOOKUP(A212,'Exit Anticipated Rev. Recovery'!$F$1:$Y$231,17,FALSE)</f>
        <v>114869.4434464345</v>
      </c>
      <c r="F212" s="291">
        <f t="shared" ca="1" si="5"/>
        <v>472084.46416438371</v>
      </c>
      <c r="G212" s="283">
        <f ca="1">VLOOKUP($A212, 'Exit Prices'!$A$3:$Q$231, 8, 0)</f>
        <v>7.2344179438402385</v>
      </c>
      <c r="H212" s="283">
        <f ca="1">VLOOKUP($A212, 'Exit Prices'!$A$3:$Q$231, 12, 0)</f>
        <v>1.9820323133808871E-2</v>
      </c>
      <c r="I212" s="283">
        <f ca="1">VLOOKUP($A212, 'Exit Prices'!$A$3:$Q$231,17, 0)</f>
        <v>1.7838290820427986E-2</v>
      </c>
      <c r="J212" s="297">
        <f ca="1">'Exit Anticipated Rev. Recovery'!$C$14</f>
        <v>0</v>
      </c>
      <c r="K212" s="307">
        <f ca="1">VLOOKUP(A212,'Exit Anticipated Rev. Recovery'!F:Y,20,FALSE)</f>
        <v>33289.344878760319</v>
      </c>
      <c r="L212" s="306">
        <f ca="1">((D212*H212)+(E212*I212))*'User Inputs'!$D$7/100</f>
        <v>33321.549622722385</v>
      </c>
      <c r="M212" s="306">
        <f ca="1">((D212*J212)+(E212*J212))*'User Inputs'!$D$7/100</f>
        <v>0</v>
      </c>
    </row>
    <row r="213" spans="1:13">
      <c r="A213" s="309" t="str">
        <f>'Exit Prices'!A212</f>
        <v>Weston Point (Rocksavage)</v>
      </c>
      <c r="B213" s="280" t="str">
        <f>VLOOKUP(A213,'Locations &amp; Types'!E:I,4,FALSE)</f>
        <v>POWER STATION</v>
      </c>
      <c r="C213" s="291">
        <f ca="1">VLOOKUP(A213,'Exit Prices'!$A:$C,3,FALSE)</f>
        <v>20599801.260273974</v>
      </c>
      <c r="D213" s="291">
        <f ca="1">VLOOKUP(A213,'Exit Anticipated Rev. Recovery'!$F$1:$Y$231,2,FALSE)+VLOOKUP(A213,'Exit Anticipated Rev. Recovery'!$F$1:$Y$231,5,FALSE)+VLOOKUP(A213,'Exit Anticipated Rev. Recovery'!$F$1:$Y$231,8,FALSE)+VLOOKUP(A213,'Exit Anticipated Rev. Recovery'!$F$1:$Y$231,11,FALSE)+VLOOKUP(A213,'Exit Anticipated Rev. Recovery'!$F$1:$Y$231,14,FALSE)</f>
        <v>10219037.062022805</v>
      </c>
      <c r="E213" s="291">
        <f ca="1">VLOOKUP(A213,'Exit Anticipated Rev. Recovery'!$F$1:$Y$231,17,FALSE)</f>
        <v>10380764.198251167</v>
      </c>
      <c r="F213" s="291">
        <f t="shared" ca="1" si="5"/>
        <v>20599801.260273971</v>
      </c>
      <c r="G213" s="283">
        <f ca="1">VLOOKUP($A213, 'Exit Prices'!$A$3:$Q$231, 8, 0)</f>
        <v>7.2344179438402385</v>
      </c>
      <c r="H213" s="283">
        <f ca="1">VLOOKUP($A213, 'Exit Prices'!$A$3:$Q$231, 12, 0)</f>
        <v>1.9820323133808871E-2</v>
      </c>
      <c r="I213" s="283">
        <f ca="1">VLOOKUP($A213, 'Exit Prices'!$A$3:$Q$231,17, 0)</f>
        <v>1.7838290820427986E-2</v>
      </c>
      <c r="J213" s="297">
        <f ca="1">'Exit Anticipated Rev. Recovery'!$C$14</f>
        <v>0</v>
      </c>
      <c r="K213" s="307">
        <f ca="1">VLOOKUP(A213,'Exit Anticipated Rev. Recovery'!F:Y,20,FALSE)</f>
        <v>1414186.053661006</v>
      </c>
      <c r="L213" s="306">
        <f ca="1">((D213*H213)+(E213*I213))*'User Inputs'!$D$7/100</f>
        <v>1415176.9319820851</v>
      </c>
      <c r="M213" s="306">
        <f ca="1">((D213*J213)+(E213*J213))*'User Inputs'!$D$7/100</f>
        <v>0</v>
      </c>
    </row>
    <row r="214" spans="1:13">
      <c r="A214" s="309" t="str">
        <f>'Exit Prices'!A213</f>
        <v>Wetheral</v>
      </c>
      <c r="B214" s="280" t="str">
        <f>VLOOKUP(A214,'Locations &amp; Types'!E:I,4,FALSE)</f>
        <v>GDN (NO)</v>
      </c>
      <c r="C214" s="291">
        <f ca="1">VLOOKUP(A214,'Exit Prices'!$A:$C,3,FALSE)</f>
        <v>21081755</v>
      </c>
      <c r="D214" s="291">
        <f ca="1">VLOOKUP(A214,'Exit Anticipated Rev. Recovery'!$F$1:$Y$231,2,FALSE)+VLOOKUP(A214,'Exit Anticipated Rev. Recovery'!$F$1:$Y$231,5,FALSE)+VLOOKUP(A214,'Exit Anticipated Rev. Recovery'!$F$1:$Y$231,8,FALSE)+VLOOKUP(A214,'Exit Anticipated Rev. Recovery'!$F$1:$Y$231,11,FALSE)+VLOOKUP(A214,'Exit Anticipated Rev. Recovery'!$F$1:$Y$231,14,FALSE)</f>
        <v>20553940.862689171</v>
      </c>
      <c r="E214" s="291">
        <f ca="1">VLOOKUP(A214,'Exit Anticipated Rev. Recovery'!$F$1:$Y$231,17,FALSE)</f>
        <v>527814.13731082762</v>
      </c>
      <c r="F214" s="291">
        <f t="shared" ca="1" si="5"/>
        <v>21081755</v>
      </c>
      <c r="G214" s="283">
        <f ca="1">VLOOKUP($A214, 'Exit Prices'!$A$3:$Q$231, 8, 0)</f>
        <v>7.2344179438402385</v>
      </c>
      <c r="H214" s="283">
        <f ca="1">VLOOKUP($A214, 'Exit Prices'!$A$3:$Q$231, 12, 0)</f>
        <v>1.9820323133808871E-2</v>
      </c>
      <c r="I214" s="283">
        <f ca="1">VLOOKUP($A214, 'Exit Prices'!$A$3:$Q$231,17, 0)</f>
        <v>1.7838290820427986E-2</v>
      </c>
      <c r="J214" s="297">
        <f ca="1">'Exit Anticipated Rev. Recovery'!$C$14</f>
        <v>0</v>
      </c>
      <c r="K214" s="307">
        <f ca="1">VLOOKUP(A214,'Exit Anticipated Rev. Recovery'!F:Y,20,FALSE)</f>
        <v>1519919.3819870211</v>
      </c>
      <c r="L214" s="306">
        <f ca="1">((D214*H214)+(E214*I214))*'User Inputs'!$D$7/100</f>
        <v>1521323.8385304625</v>
      </c>
      <c r="M214" s="306">
        <f ca="1">((D214*J214)+(E214*J214))*'User Inputs'!$D$7/100</f>
        <v>0</v>
      </c>
    </row>
    <row r="215" spans="1:13">
      <c r="A215" s="309" t="str">
        <f>'Exit Prices'!A214</f>
        <v>Whitwell</v>
      </c>
      <c r="B215" s="280" t="str">
        <f>VLOOKUP(A215,'Locations &amp; Types'!E:I,4,FALSE)</f>
        <v>GDN (EA)</v>
      </c>
      <c r="C215" s="291">
        <f ca="1">VLOOKUP(A215,'Exit Prices'!$A:$C,3,FALSE)</f>
        <v>107742621</v>
      </c>
      <c r="D215" s="291">
        <f ca="1">VLOOKUP(A215,'Exit Anticipated Rev. Recovery'!$F$1:$Y$231,2,FALSE)+VLOOKUP(A215,'Exit Anticipated Rev. Recovery'!$F$1:$Y$231,5,FALSE)+VLOOKUP(A215,'Exit Anticipated Rev. Recovery'!$F$1:$Y$231,8,FALSE)+VLOOKUP(A215,'Exit Anticipated Rev. Recovery'!$F$1:$Y$231,11,FALSE)+VLOOKUP(A215,'Exit Anticipated Rev. Recovery'!$F$1:$Y$231,14,FALSE)</f>
        <v>105045118.89191069</v>
      </c>
      <c r="E215" s="291">
        <f ca="1">VLOOKUP(A215,'Exit Anticipated Rev. Recovery'!$F$1:$Y$231,17,FALSE)</f>
        <v>2697502.1080893152</v>
      </c>
      <c r="F215" s="291">
        <f t="shared" ca="1" si="5"/>
        <v>107742621</v>
      </c>
      <c r="G215" s="283">
        <f ca="1">VLOOKUP($A215, 'Exit Prices'!$A$3:$Q$231, 8, 0)</f>
        <v>7.2344179438402385</v>
      </c>
      <c r="H215" s="283">
        <f ca="1">VLOOKUP($A215, 'Exit Prices'!$A$3:$Q$231, 12, 0)</f>
        <v>1.9820323133808871E-2</v>
      </c>
      <c r="I215" s="283">
        <f ca="1">VLOOKUP($A215, 'Exit Prices'!$A$3:$Q$231,17, 0)</f>
        <v>1.7838290820427986E-2</v>
      </c>
      <c r="J215" s="297">
        <f ca="1">'Exit Anticipated Rev. Recovery'!$C$14</f>
        <v>0</v>
      </c>
      <c r="K215" s="307">
        <f ca="1">VLOOKUP(A215,'Exit Anticipated Rev. Recovery'!F:Y,20,FALSE)</f>
        <v>7767858.8866999848</v>
      </c>
      <c r="L215" s="306">
        <f ca="1">((D215*H215)+(E215*I215))*'User Inputs'!$D$7/100</f>
        <v>7775036.6491334736</v>
      </c>
      <c r="M215" s="306">
        <f ca="1">((D215*J215)+(E215*J215))*'User Inputs'!$D$7/100</f>
        <v>0</v>
      </c>
    </row>
    <row r="216" spans="1:13">
      <c r="A216" s="309" t="str">
        <f>'Exit Prices'!A215</f>
        <v>Willington Power Station</v>
      </c>
      <c r="B216" s="280" t="str">
        <f>VLOOKUP(A216,'Locations &amp; Types'!E:I,4,FALSE)</f>
        <v>POWER STATION</v>
      </c>
      <c r="C216" s="291">
        <f ca="1">VLOOKUP(A216,'Exit Prices'!$A:$C,3,FALSE)</f>
        <v>0</v>
      </c>
      <c r="D216" s="291">
        <f ca="1">VLOOKUP(A216,'Exit Anticipated Rev. Recovery'!$F$1:$Y$231,2,FALSE)+VLOOKUP(A216,'Exit Anticipated Rev. Recovery'!$F$1:$Y$231,5,FALSE)+VLOOKUP(A216,'Exit Anticipated Rev. Recovery'!$F$1:$Y$231,8,FALSE)+VLOOKUP(A216,'Exit Anticipated Rev. Recovery'!$F$1:$Y$231,11,FALSE)+VLOOKUP(A216,'Exit Anticipated Rev. Recovery'!$F$1:$Y$231,14,FALSE)</f>
        <v>0</v>
      </c>
      <c r="E216" s="291">
        <f ca="1">VLOOKUP(A216,'Exit Anticipated Rev. Recovery'!$F$1:$Y$231,17,FALSE)</f>
        <v>0</v>
      </c>
      <c r="F216" s="291">
        <f t="shared" ca="1" si="5"/>
        <v>0</v>
      </c>
      <c r="G216" s="283">
        <f ca="1">VLOOKUP($A216, 'Exit Prices'!$A$3:$Q$231, 8, 0)</f>
        <v>7.2344179438402385</v>
      </c>
      <c r="H216" s="283">
        <f ca="1">VLOOKUP($A216, 'Exit Prices'!$A$3:$Q$231, 12, 0)</f>
        <v>1.9820323133808871E-2</v>
      </c>
      <c r="I216" s="283">
        <f ca="1">VLOOKUP($A216, 'Exit Prices'!$A$3:$Q$231,17, 0)</f>
        <v>1.7838290820427986E-2</v>
      </c>
      <c r="J216" s="297">
        <f ca="1">'Exit Anticipated Rev. Recovery'!$C$14</f>
        <v>0</v>
      </c>
      <c r="K216" s="307">
        <f ca="1">VLOOKUP(A216,'Exit Anticipated Rev. Recovery'!F:Y,20,FALSE)</f>
        <v>0</v>
      </c>
      <c r="L216" s="306">
        <f ca="1">((D216*H216)+(E216*I216))*'User Inputs'!$D$7/100</f>
        <v>0</v>
      </c>
      <c r="M216" s="306">
        <f ca="1">((D216*J216)+(E216*J216))*'User Inputs'!$D$7/100</f>
        <v>0</v>
      </c>
    </row>
    <row r="217" spans="1:13">
      <c r="A217" s="309" t="str">
        <f>'Exit Prices'!A216</f>
        <v>Winkfield (NT)</v>
      </c>
      <c r="B217" s="280" t="str">
        <f>VLOOKUP(A217,'Locations &amp; Types'!E:I,4,FALSE)</f>
        <v>GDN (NT)</v>
      </c>
      <c r="C217" s="291">
        <f ca="1">VLOOKUP(A217,'Exit Prices'!$A:$C,3,FALSE)</f>
        <v>100000</v>
      </c>
      <c r="D217" s="291">
        <f ca="1">VLOOKUP(A217,'Exit Anticipated Rev. Recovery'!$F$1:$Y$231,2,FALSE)+VLOOKUP(A217,'Exit Anticipated Rev. Recovery'!$F$1:$Y$231,5,FALSE)+VLOOKUP(A217,'Exit Anticipated Rev. Recovery'!$F$1:$Y$231,8,FALSE)+VLOOKUP(A217,'Exit Anticipated Rev. Recovery'!$F$1:$Y$231,11,FALSE)+VLOOKUP(A217,'Exit Anticipated Rev. Recovery'!$F$1:$Y$231,14,FALSE)</f>
        <v>97496.346308403532</v>
      </c>
      <c r="E217" s="291">
        <f ca="1">VLOOKUP(A217,'Exit Anticipated Rev. Recovery'!$F$1:$Y$231,17,FALSE)</f>
        <v>2503.6536915964903</v>
      </c>
      <c r="F217" s="291">
        <f t="shared" ca="1" si="5"/>
        <v>100000.00000000003</v>
      </c>
      <c r="G217" s="283">
        <f ca="1">VLOOKUP($A217, 'Exit Prices'!$A$3:$Q$231, 8, 0)</f>
        <v>7.2344179438402385</v>
      </c>
      <c r="H217" s="283">
        <f ca="1">VLOOKUP($A217, 'Exit Prices'!$A$3:$Q$231, 12, 0)</f>
        <v>1.9820323133808871E-2</v>
      </c>
      <c r="I217" s="283">
        <f ca="1">VLOOKUP($A217, 'Exit Prices'!$A$3:$Q$231,17, 0)</f>
        <v>1.7838290820427986E-2</v>
      </c>
      <c r="J217" s="297">
        <f ca="1">'Exit Anticipated Rev. Recovery'!$C$14</f>
        <v>0</v>
      </c>
      <c r="K217" s="307">
        <f ca="1">VLOOKUP(A217,'Exit Anticipated Rev. Recovery'!F:Y,20,FALSE)</f>
        <v>7209.6435139627674</v>
      </c>
      <c r="L217" s="306">
        <f ca="1">((D217*H217)+(E217*I217))*'User Inputs'!$D$7/100</f>
        <v>7216.3054666485914</v>
      </c>
      <c r="M217" s="306">
        <f ca="1">((D217*J217)+(E217*J217))*'User Inputs'!$D$7/100</f>
        <v>0</v>
      </c>
    </row>
    <row r="218" spans="1:13">
      <c r="A218" s="309" t="str">
        <f>'Exit Prices'!A217</f>
        <v>Winkfield (SE)</v>
      </c>
      <c r="B218" s="280" t="str">
        <f>VLOOKUP(A218,'Locations &amp; Types'!E:I,4,FALSE)</f>
        <v>GDN (SE)</v>
      </c>
      <c r="C218" s="291">
        <f ca="1">VLOOKUP(A218,'Exit Prices'!$A:$C,3,FALSE)</f>
        <v>106260000</v>
      </c>
      <c r="D218" s="291">
        <f ca="1">VLOOKUP(A218,'Exit Anticipated Rev. Recovery'!$F$1:$Y$231,2,FALSE)+VLOOKUP(A218,'Exit Anticipated Rev. Recovery'!$F$1:$Y$231,5,FALSE)+VLOOKUP(A218,'Exit Anticipated Rev. Recovery'!$F$1:$Y$231,8,FALSE)+VLOOKUP(A218,'Exit Anticipated Rev. Recovery'!$F$1:$Y$231,11,FALSE)+VLOOKUP(A218,'Exit Anticipated Rev. Recovery'!$F$1:$Y$231,14,FALSE)</f>
        <v>103599617.58730957</v>
      </c>
      <c r="E218" s="291">
        <f ca="1">VLOOKUP(A218,'Exit Anticipated Rev. Recovery'!$F$1:$Y$231,17,FALSE)</f>
        <v>2660382.4126904304</v>
      </c>
      <c r="F218" s="291">
        <f t="shared" ca="1" si="5"/>
        <v>106260000</v>
      </c>
      <c r="G218" s="283">
        <f ca="1">VLOOKUP($A218, 'Exit Prices'!$A$3:$Q$231, 8, 0)</f>
        <v>7.2344179438402385</v>
      </c>
      <c r="H218" s="283">
        <f ca="1">VLOOKUP($A218, 'Exit Prices'!$A$3:$Q$231, 12, 0)</f>
        <v>1.9820323133808871E-2</v>
      </c>
      <c r="I218" s="283">
        <f ca="1">VLOOKUP($A218, 'Exit Prices'!$A$3:$Q$231,17, 0)</f>
        <v>1.7838290820427986E-2</v>
      </c>
      <c r="J218" s="297">
        <f ca="1">'Exit Anticipated Rev. Recovery'!$C$14</f>
        <v>0</v>
      </c>
      <c r="K218" s="307">
        <f ca="1">VLOOKUP(A218,'Exit Anticipated Rev. Recovery'!F:Y,20,FALSE)</f>
        <v>7660967.1979368348</v>
      </c>
      <c r="L218" s="306">
        <f ca="1">((D218*H218)+(E218*I218))*'User Inputs'!$D$7/100</f>
        <v>7668046.1888607908</v>
      </c>
      <c r="M218" s="306">
        <f ca="1">((D218*J218)+(E218*J218))*'User Inputs'!$D$7/100</f>
        <v>0</v>
      </c>
    </row>
    <row r="219" spans="1:13">
      <c r="A219" s="309" t="str">
        <f>'Exit Prices'!A218</f>
        <v>Winkfield (SO)</v>
      </c>
      <c r="B219" s="280" t="str">
        <f>VLOOKUP(A219,'Locations &amp; Types'!E:I,4,FALSE)</f>
        <v>GDN (SO)</v>
      </c>
      <c r="C219" s="291">
        <f ca="1">VLOOKUP(A219,'Exit Prices'!$A:$C,3,FALSE)</f>
        <v>36499431</v>
      </c>
      <c r="D219" s="291">
        <f ca="1">VLOOKUP(A219,'Exit Anticipated Rev. Recovery'!$F$1:$Y$231,2,FALSE)+VLOOKUP(A219,'Exit Anticipated Rev. Recovery'!$F$1:$Y$231,5,FALSE)+VLOOKUP(A219,'Exit Anticipated Rev. Recovery'!$F$1:$Y$231,8,FALSE)+VLOOKUP(A219,'Exit Anticipated Rev. Recovery'!$F$1:$Y$231,11,FALSE)+VLOOKUP(A219,'Exit Anticipated Rev. Recovery'!$F$1:$Y$231,14,FALSE)</f>
        <v>35585611.648356788</v>
      </c>
      <c r="E219" s="291">
        <f ca="1">VLOOKUP(A219,'Exit Anticipated Rev. Recovery'!$F$1:$Y$231,17,FALSE)</f>
        <v>913819.35164321377</v>
      </c>
      <c r="F219" s="291">
        <f t="shared" ca="1" si="5"/>
        <v>36499431</v>
      </c>
      <c r="G219" s="283">
        <f ca="1">VLOOKUP($A219, 'Exit Prices'!$A$3:$Q$231, 8, 0)</f>
        <v>7.2344179438402385</v>
      </c>
      <c r="H219" s="283">
        <f ca="1">VLOOKUP($A219, 'Exit Prices'!$A$3:$Q$231, 12, 0)</f>
        <v>1.9820323133808871E-2</v>
      </c>
      <c r="I219" s="283">
        <f ca="1">VLOOKUP($A219, 'Exit Prices'!$A$3:$Q$231,17, 0)</f>
        <v>1.7838290820427986E-2</v>
      </c>
      <c r="J219" s="297">
        <f ca="1">'Exit Anticipated Rev. Recovery'!$C$14</f>
        <v>0</v>
      </c>
      <c r="K219" s="307">
        <f ca="1">VLOOKUP(A219,'Exit Anticipated Rev. Recovery'!F:Y,20,FALSE)</f>
        <v>2631478.8597248159</v>
      </c>
      <c r="L219" s="306">
        <f ca="1">((D219*H219)+(E219*I219))*'User Inputs'!$D$7/100</f>
        <v>2633910.4345486304</v>
      </c>
      <c r="M219" s="306">
        <f ca="1">((D219*J219)+(E219*J219))*'User Inputs'!$D$7/100</f>
        <v>0</v>
      </c>
    </row>
    <row r="220" spans="1:13">
      <c r="A220" s="309" t="str">
        <f>'Exit Prices'!A219</f>
        <v>Wragg Marsh (Spalding)</v>
      </c>
      <c r="B220" s="280" t="str">
        <f>VLOOKUP(A220,'Locations &amp; Types'!E:I,4,FALSE)</f>
        <v>POWER STATION</v>
      </c>
      <c r="C220" s="291">
        <f ca="1">VLOOKUP(A220,'Exit Prices'!$A:$C,3,FALSE)</f>
        <v>19188380.10958904</v>
      </c>
      <c r="D220" s="291">
        <f ca="1">VLOOKUP(A220,'Exit Anticipated Rev. Recovery'!$F$1:$Y$231,2,FALSE)+VLOOKUP(A220,'Exit Anticipated Rev. Recovery'!$F$1:$Y$231,5,FALSE)+VLOOKUP(A220,'Exit Anticipated Rev. Recovery'!$F$1:$Y$231,8,FALSE)+VLOOKUP(A220,'Exit Anticipated Rev. Recovery'!$F$1:$Y$231,11,FALSE)+VLOOKUP(A220,'Exit Anticipated Rev. Recovery'!$F$1:$Y$231,14,FALSE)</f>
        <v>9518866.9551981725</v>
      </c>
      <c r="E220" s="291">
        <f ca="1">VLOOKUP(A220,'Exit Anticipated Rev. Recovery'!$F$1:$Y$231,17,FALSE)</f>
        <v>9669513.1543908659</v>
      </c>
      <c r="F220" s="291">
        <f t="shared" ca="1" si="5"/>
        <v>19188380.10958904</v>
      </c>
      <c r="G220" s="283">
        <f ca="1">VLOOKUP($A220, 'Exit Prices'!$A$3:$Q$231, 8, 0)</f>
        <v>7.2344179438402385</v>
      </c>
      <c r="H220" s="283">
        <f ca="1">VLOOKUP($A220, 'Exit Prices'!$A$3:$Q$231, 12, 0)</f>
        <v>1.9820323133808871E-2</v>
      </c>
      <c r="I220" s="283">
        <f ca="1">VLOOKUP($A220, 'Exit Prices'!$A$3:$Q$231,17, 0)</f>
        <v>1.7838290820427986E-2</v>
      </c>
      <c r="J220" s="297">
        <f ca="1">'Exit Anticipated Rev. Recovery'!$C$14</f>
        <v>0</v>
      </c>
      <c r="K220" s="307">
        <f ca="1">VLOOKUP(A220,'Exit Anticipated Rev. Recovery'!F:Y,20,FALSE)</f>
        <v>1317291.3272545892</v>
      </c>
      <c r="L220" s="306">
        <f ca="1">((D220*H220)+(E220*I220))*'User Inputs'!$D$7/100</f>
        <v>1318214.3143080561</v>
      </c>
      <c r="M220" s="306">
        <f ca="1">((D220*J220)+(E220*J220))*'User Inputs'!$D$7/100</f>
        <v>0</v>
      </c>
    </row>
    <row r="221" spans="1:13">
      <c r="A221" s="309" t="str">
        <f>'Exit Prices'!A220</f>
        <v>Wyre Power Station</v>
      </c>
      <c r="B221" s="280" t="str">
        <f>VLOOKUP(A221,'Locations &amp; Types'!E:I,4,FALSE)</f>
        <v>POWER STATION</v>
      </c>
      <c r="C221" s="291">
        <f ca="1">VLOOKUP(A221,'Exit Prices'!$A:$C,3,FALSE)</f>
        <v>0</v>
      </c>
      <c r="D221" s="291">
        <f ca="1">VLOOKUP(A221,'Exit Anticipated Rev. Recovery'!$F$1:$Y$231,2,FALSE)+VLOOKUP(A221,'Exit Anticipated Rev. Recovery'!$F$1:$Y$231,5,FALSE)+VLOOKUP(A221,'Exit Anticipated Rev. Recovery'!$F$1:$Y$231,8,FALSE)+VLOOKUP(A221,'Exit Anticipated Rev. Recovery'!$F$1:$Y$231,11,FALSE)+VLOOKUP(A221,'Exit Anticipated Rev. Recovery'!$F$1:$Y$231,14,FALSE)</f>
        <v>0</v>
      </c>
      <c r="E221" s="291">
        <f ca="1">VLOOKUP(A221,'Exit Anticipated Rev. Recovery'!$F$1:$Y$231,17,FALSE)</f>
        <v>0</v>
      </c>
      <c r="F221" s="291">
        <f t="shared" ca="1" si="5"/>
        <v>0</v>
      </c>
      <c r="G221" s="283">
        <f ca="1">VLOOKUP($A221, 'Exit Prices'!$A$3:$Q$231, 8, 0)</f>
        <v>7.2344179438402385</v>
      </c>
      <c r="H221" s="283">
        <f ca="1">VLOOKUP($A221, 'Exit Prices'!$A$3:$Q$231, 12, 0)</f>
        <v>1.9820323133808871E-2</v>
      </c>
      <c r="I221" s="283">
        <f ca="1">VLOOKUP($A221, 'Exit Prices'!$A$3:$Q$231,17, 0)</f>
        <v>1.7838290820427986E-2</v>
      </c>
      <c r="J221" s="297">
        <f ca="1">'Exit Anticipated Rev. Recovery'!$C$14</f>
        <v>0</v>
      </c>
      <c r="K221" s="307">
        <f ca="1">VLOOKUP(A221,'Exit Anticipated Rev. Recovery'!F:Y,20,FALSE)</f>
        <v>0</v>
      </c>
      <c r="L221" s="306">
        <f ca="1">((D221*H221)+(E221*I221))*'User Inputs'!$D$7/100</f>
        <v>0</v>
      </c>
      <c r="M221" s="306">
        <f ca="1">((D221*J221)+(E221*J221))*'User Inputs'!$D$7/100</f>
        <v>0</v>
      </c>
    </row>
    <row r="222" spans="1:13">
      <c r="A222" s="309" t="str">
        <f>'Exit Prices'!A221</f>
        <v>Yelverton</v>
      </c>
      <c r="B222" s="280" t="str">
        <f>VLOOKUP(A222,'Locations &amp; Types'!E:I,4,FALSE)</f>
        <v>GDN (EA)</v>
      </c>
      <c r="C222" s="291">
        <f ca="1">VLOOKUP(A222,'Exit Prices'!$A:$C,3,FALSE)</f>
        <v>72938900</v>
      </c>
      <c r="D222" s="291">
        <f ca="1">VLOOKUP(A222,'Exit Anticipated Rev. Recovery'!$F$1:$Y$231,2,FALSE)+VLOOKUP(A222,'Exit Anticipated Rev. Recovery'!$F$1:$Y$231,5,FALSE)+VLOOKUP(A222,'Exit Anticipated Rev. Recovery'!$F$1:$Y$231,8,FALSE)+VLOOKUP(A222,'Exit Anticipated Rev. Recovery'!$F$1:$Y$231,11,FALSE)+VLOOKUP(A222,'Exit Anticipated Rev. Recovery'!$F$1:$Y$231,14,FALSE)</f>
        <v>71112762.537540123</v>
      </c>
      <c r="E222" s="291">
        <f ca="1">VLOOKUP(A222,'Exit Anticipated Rev. Recovery'!$F$1:$Y$231,17,FALSE)</f>
        <v>1826137.4624598725</v>
      </c>
      <c r="F222" s="291">
        <f t="shared" ref="F222:F223" ca="1" si="6">D222+E222</f>
        <v>72938900</v>
      </c>
      <c r="G222" s="283">
        <f ca="1">VLOOKUP($A222, 'Exit Prices'!$A$3:$Q$231, 8, 0)</f>
        <v>7.2344179438402385</v>
      </c>
      <c r="H222" s="283">
        <f ca="1">VLOOKUP($A222, 'Exit Prices'!$A$3:$Q$231, 12, 0)</f>
        <v>1.9820323133808871E-2</v>
      </c>
      <c r="I222" s="283">
        <f ca="1">VLOOKUP($A222, 'Exit Prices'!$A$3:$Q$231,17, 0)</f>
        <v>1.7838290820427986E-2</v>
      </c>
      <c r="J222" s="297">
        <f ca="1">'Exit Anticipated Rev. Recovery'!$C$14</f>
        <v>0</v>
      </c>
      <c r="K222" s="307">
        <f ca="1">VLOOKUP(A222,'Exit Anticipated Rev. Recovery'!F:Y,20,FALSE)</f>
        <v>5258634.6730057877</v>
      </c>
      <c r="L222" s="306">
        <f ca="1">((D222*H222)+(E222*I222))*'User Inputs'!$D$7/100</f>
        <v>5263493.8280133484</v>
      </c>
      <c r="M222" s="306">
        <f ca="1">((D222*J222)+(E222*J222))*'User Inputs'!$D$7/100</f>
        <v>0</v>
      </c>
    </row>
    <row r="223" spans="1:13">
      <c r="A223" s="309" t="str">
        <f>'Exit Prices'!A222</f>
        <v>Zeneca (ICI Avecia, aka 'Zenica')</v>
      </c>
      <c r="B223" s="280" t="str">
        <f>VLOOKUP(A223,'Locations &amp; Types'!E:I,4,FALSE)</f>
        <v>INDUSTRIAL</v>
      </c>
      <c r="C223" s="291">
        <f ca="1">VLOOKUP(A223,'Exit Prices'!$A:$C,3,FALSE)</f>
        <v>278415.38161643839</v>
      </c>
      <c r="D223" s="291">
        <f ca="1">VLOOKUP(A223,'Exit Anticipated Rev. Recovery'!$F$1:$Y$231,2,FALSE)+VLOOKUP(A223,'Exit Anticipated Rev. Recovery'!$F$1:$Y$231,5,FALSE)+VLOOKUP(A223,'Exit Anticipated Rev. Recovery'!$F$1:$Y$231,8,FALSE)+VLOOKUP(A223,'Exit Anticipated Rev. Recovery'!$F$1:$Y$231,11,FALSE)+VLOOKUP(A223,'Exit Anticipated Rev. Recovery'!$F$1:$Y$231,14,FALSE)</f>
        <v>210670.25895112075</v>
      </c>
      <c r="E223" s="291">
        <f ca="1">VLOOKUP(A223,'Exit Anticipated Rev. Recovery'!$F$1:$Y$231,17,FALSE)</f>
        <v>67745.122665317715</v>
      </c>
      <c r="F223" s="291">
        <f t="shared" ca="1" si="6"/>
        <v>278415.38161643845</v>
      </c>
      <c r="G223" s="283">
        <f ca="1">VLOOKUP($A223, 'Exit Prices'!$A$3:$Q$231, 8, 0)</f>
        <v>7.2344179438402385</v>
      </c>
      <c r="H223" s="283">
        <f ca="1">VLOOKUP($A223, 'Exit Prices'!$A$3:$Q$231, 12, 0)</f>
        <v>1.9820323133808871E-2</v>
      </c>
      <c r="I223" s="283">
        <f ca="1">VLOOKUP($A223, 'Exit Prices'!$A$3:$Q$231,17, 0)</f>
        <v>1.7838290820427986E-2</v>
      </c>
      <c r="J223" s="297">
        <f ca="1">'Exit Anticipated Rev. Recovery'!$C$14</f>
        <v>0</v>
      </c>
      <c r="K223" s="307">
        <f ca="1">VLOOKUP(A223,'Exit Anticipated Rev. Recovery'!F:Y,20,FALSE)</f>
        <v>19632.642803839437</v>
      </c>
      <c r="L223" s="306">
        <f ca="1">((D223*H223)+(E223*I223))*'User Inputs'!$D$7/100</f>
        <v>19651.635795053266</v>
      </c>
      <c r="M223" s="306">
        <f ca="1">((D223*J223)+(E223*J223))*'User Inputs'!$D$7/100</f>
        <v>0</v>
      </c>
    </row>
    <row r="224" spans="1:13">
      <c r="A224" s="309" t="str">
        <f>'Exit Prices'!A223</f>
        <v>Air_Products (Teesside)</v>
      </c>
      <c r="B224" s="280" t="str">
        <f>VLOOKUP(A224,'Locations &amp; Types'!E:I,4,FALSE)</f>
        <v>INDUSTRIAL</v>
      </c>
      <c r="C224" s="291">
        <f ca="1">VLOOKUP(A224,'Exit Prices'!$A:$C,3,FALSE)</f>
        <v>0</v>
      </c>
      <c r="D224" s="291">
        <f ca="1">VLOOKUP(A224,'Exit Anticipated Rev. Recovery'!$F$1:$Y$231,2,FALSE)+VLOOKUP(A224,'Exit Anticipated Rev. Recovery'!$F$1:$Y$231,5,FALSE)+VLOOKUP(A224,'Exit Anticipated Rev. Recovery'!$F$1:$Y$231,8,FALSE)+VLOOKUP(A224,'Exit Anticipated Rev. Recovery'!$F$1:$Y$231,11,FALSE)+VLOOKUP(A224,'Exit Anticipated Rev. Recovery'!$F$1:$Y$231,14,FALSE)</f>
        <v>0</v>
      </c>
      <c r="E224" s="291">
        <f ca="1">VLOOKUP(A224,'Exit Anticipated Rev. Recovery'!$F$1:$Y$231,17,FALSE)</f>
        <v>0</v>
      </c>
      <c r="F224" s="291">
        <f t="shared" ref="F224" ca="1" si="7">D224+E224</f>
        <v>0</v>
      </c>
      <c r="G224" s="283">
        <f ca="1">VLOOKUP($A224, 'Exit Prices'!$A$3:$Q$231, 8, 0)</f>
        <v>7.2344179438402385</v>
      </c>
      <c r="H224" s="283">
        <f ca="1">VLOOKUP($A224, 'Exit Prices'!$A$3:$Q$231, 12, 0)</f>
        <v>1.9820323133808871E-2</v>
      </c>
      <c r="I224" s="283">
        <f ca="1">VLOOKUP($A224, 'Exit Prices'!$A$3:$Q$231,17, 0)</f>
        <v>1.7838290820427986E-2</v>
      </c>
      <c r="J224" s="297">
        <f ca="1">'Exit Anticipated Rev. Recovery'!$C$14</f>
        <v>0</v>
      </c>
      <c r="K224" s="307">
        <f ca="1">VLOOKUP(A224,'Exit Anticipated Rev. Recovery'!F:Y,20,FALSE)</f>
        <v>0</v>
      </c>
      <c r="L224" s="306">
        <f ca="1">((D224*H224)+(E224*I224))*'User Inputs'!$D$7/100</f>
        <v>0</v>
      </c>
      <c r="M224" s="306">
        <f ca="1">((D224*J224)+(E224*J224))*'User Inputs'!$D$7/100</f>
        <v>0</v>
      </c>
    </row>
    <row r="225" spans="1:13">
      <c r="A225" s="309" t="str">
        <f>'Exit Prices'!A224</f>
        <v>Fordoun CNG Station</v>
      </c>
      <c r="B225" s="280" t="str">
        <f>VLOOKUP(A225,'Locations &amp; Types'!E:I,4,FALSE)</f>
        <v>INDUSTRIAL</v>
      </c>
      <c r="C225" s="291">
        <f ca="1">VLOOKUP(A225,'Exit Prices'!$A:$C,3,FALSE)</f>
        <v>1173840</v>
      </c>
      <c r="D225" s="291">
        <f ca="1">VLOOKUP(A225,'Exit Anticipated Rev. Recovery'!$F$1:$Y$231,2,FALSE)+VLOOKUP(A225,'Exit Anticipated Rev. Recovery'!$F$1:$Y$231,5,FALSE)+VLOOKUP(A225,'Exit Anticipated Rev. Recovery'!$F$1:$Y$231,8,FALSE)+VLOOKUP(A225,'Exit Anticipated Rev. Recovery'!$F$1:$Y$231,11,FALSE)+VLOOKUP(A225,'Exit Anticipated Rev. Recovery'!$F$1:$Y$231,14,FALSE)</f>
        <v>888216.64712429349</v>
      </c>
      <c r="E225" s="291">
        <f ca="1">VLOOKUP(A225,'Exit Anticipated Rev. Recovery'!$F$1:$Y$231,17,FALSE)</f>
        <v>285623.35287570674</v>
      </c>
      <c r="F225" s="291">
        <f t="shared" ref="F225:F232" ca="1" si="8">D225+E225</f>
        <v>1173840.0000000002</v>
      </c>
      <c r="G225" s="283">
        <f ca="1">VLOOKUP($A225, 'Exit Prices'!$A$3:$Q$231, 8, 0)</f>
        <v>7.2344179438402385</v>
      </c>
      <c r="H225" s="283">
        <f ca="1">VLOOKUP($A225, 'Exit Prices'!$A$3:$Q$231, 12, 0)</f>
        <v>1.9820323133808871E-2</v>
      </c>
      <c r="I225" s="283">
        <f ca="1">VLOOKUP($A225, 'Exit Prices'!$A$3:$Q$231,17, 0)</f>
        <v>1.7838290820427986E-2</v>
      </c>
      <c r="J225" s="297">
        <f ca="1">'Exit Anticipated Rev. Recovery'!$C$14</f>
        <v>0</v>
      </c>
      <c r="K225" s="307">
        <f ca="1">VLOOKUP(A225,'Exit Anticipated Rev. Recovery'!F:Y,20,FALSE)</f>
        <v>82774.095651826632</v>
      </c>
      <c r="L225" s="306">
        <f ca="1">((D225*H225)+(E225*I225))*'User Inputs'!$D$7/100</f>
        <v>82854.172882750456</v>
      </c>
      <c r="M225" s="306">
        <f ca="1">((D225*J225)+(E225*J225))*'User Inputs'!$D$7/100</f>
        <v>0</v>
      </c>
    </row>
    <row r="226" spans="1:13">
      <c r="A226" s="309" t="str">
        <f>'Exit Prices'!A225</f>
        <v>Palm_Paper</v>
      </c>
      <c r="B226" s="280" t="str">
        <f>VLOOKUP(A226,'Locations &amp; Types'!E:I,4,FALSE)</f>
        <v>POWER STATION</v>
      </c>
      <c r="C226" s="291">
        <f ca="1">VLOOKUP(A226,'Exit Prices'!$A:$C,3,FALSE)</f>
        <v>4200000</v>
      </c>
      <c r="D226" s="291">
        <f ca="1">VLOOKUP(A226,'Exit Anticipated Rev. Recovery'!$F$1:$Y$231,2,FALSE)+VLOOKUP(A226,'Exit Anticipated Rev. Recovery'!$F$1:$Y$231,5,FALSE)+VLOOKUP(A226,'Exit Anticipated Rev. Recovery'!$F$1:$Y$231,8,FALSE)+VLOOKUP(A226,'Exit Anticipated Rev. Recovery'!$F$1:$Y$231,11,FALSE)+VLOOKUP(A226,'Exit Anticipated Rev. Recovery'!$F$1:$Y$231,14,FALSE)</f>
        <v>2083513.094044527</v>
      </c>
      <c r="E226" s="291">
        <f ca="1">VLOOKUP(A226,'Exit Anticipated Rev. Recovery'!$F$1:$Y$231,17,FALSE)</f>
        <v>2116486.9059554725</v>
      </c>
      <c r="F226" s="291">
        <f t="shared" ca="1" si="8"/>
        <v>4200000</v>
      </c>
      <c r="G226" s="283">
        <f ca="1">VLOOKUP($A226, 'Exit Prices'!$A$3:$Q$231, 8, 0)</f>
        <v>7.2344179438402385</v>
      </c>
      <c r="H226" s="283">
        <f ca="1">VLOOKUP($A226, 'Exit Prices'!$A$3:$Q$231, 12, 0)</f>
        <v>1.9820323133808871E-2</v>
      </c>
      <c r="I226" s="283">
        <f ca="1">VLOOKUP($A226, 'Exit Prices'!$A$3:$Q$231,17, 0)</f>
        <v>1.7838290820427986E-2</v>
      </c>
      <c r="J226" s="297">
        <f ca="1">'Exit Anticipated Rev. Recovery'!$C$14</f>
        <v>0</v>
      </c>
      <c r="K226" s="307">
        <f ca="1">VLOOKUP(A226,'Exit Anticipated Rev. Recovery'!F:Y,20,FALSE)</f>
        <v>288331.9771065223</v>
      </c>
      <c r="L226" s="306">
        <f ca="1">((D226*H226)+(E226*I226))*'User Inputs'!$D$7/100</f>
        <v>288534.00279094279</v>
      </c>
      <c r="M226" s="306">
        <f ca="1">((D226*J226)+(E226*J226))*'User Inputs'!$D$7/100</f>
        <v>0</v>
      </c>
    </row>
    <row r="227" spans="1:13">
      <c r="A227" s="309" t="str">
        <f>'Exit Prices'!A226</f>
        <v>St_Fergus_Segal</v>
      </c>
      <c r="B227" s="280" t="str">
        <f>VLOOKUP(A227,'Locations &amp; Types'!E:I,4,FALSE)</f>
        <v>INDUSTRIAL</v>
      </c>
      <c r="C227" s="291">
        <f ca="1">VLOOKUP(A227,'Exit Prices'!$A:$C,3,FALSE)</f>
        <v>3779832.6575342487</v>
      </c>
      <c r="D227" s="291">
        <f ca="1">VLOOKUP(A227,'Exit Anticipated Rev. Recovery'!$F$1:$Y$231,2,FALSE)+VLOOKUP(A227,'Exit Anticipated Rev. Recovery'!$F$1:$Y$231,5,FALSE)+VLOOKUP(A227,'Exit Anticipated Rev. Recovery'!$F$1:$Y$231,8,FALSE)+VLOOKUP(A227,'Exit Anticipated Rev. Recovery'!$F$1:$Y$231,11,FALSE)+VLOOKUP(A227,'Exit Anticipated Rev. Recovery'!$F$1:$Y$231,14,FALSE)</f>
        <v>2860108.9499130878</v>
      </c>
      <c r="E227" s="291">
        <f ca="1">VLOOKUP(A227,'Exit Anticipated Rev. Recovery'!$F$1:$Y$231,17,FALSE)</f>
        <v>919723.70762116241</v>
      </c>
      <c r="F227" s="291">
        <f t="shared" ca="1" si="8"/>
        <v>3779832.6575342501</v>
      </c>
      <c r="G227" s="283">
        <f ca="1">VLOOKUP($A227, 'Exit Prices'!$A$3:$Q$231, 8, 0)</f>
        <v>7.2344179438402385</v>
      </c>
      <c r="H227" s="283">
        <f ca="1">VLOOKUP($A227, 'Exit Prices'!$A$3:$Q$231, 12, 0)</f>
        <v>1.9820323133808871E-2</v>
      </c>
      <c r="I227" s="283">
        <f ca="1">VLOOKUP($A227, 'Exit Prices'!$A$3:$Q$231,17, 0)</f>
        <v>1.7838290820427986E-2</v>
      </c>
      <c r="J227" s="297">
        <f ca="1">'Exit Anticipated Rev. Recovery'!$C$14</f>
        <v>0</v>
      </c>
      <c r="K227" s="307">
        <f ca="1">VLOOKUP(A227,'Exit Anticipated Rev. Recovery'!F:Y,20,FALSE)</f>
        <v>266537.373017309</v>
      </c>
      <c r="L227" s="306">
        <f ca="1">((D227*H227)+(E227*I227))*'User Inputs'!$D$7/100</f>
        <v>266795.22633000126</v>
      </c>
      <c r="M227" s="306">
        <f ca="1">((D227*J227)+(E227*J227))*'User Inputs'!$D$7/100</f>
        <v>0</v>
      </c>
    </row>
    <row r="228" spans="1:13">
      <c r="A228" s="309" t="str">
        <f>'Exit Prices'!A227</f>
        <v>Kinneil CHP</v>
      </c>
      <c r="B228" s="280" t="str">
        <f>VLOOKUP(A228,'Locations &amp; Types'!E:I,4,FALSE)</f>
        <v>INDUSTRIAL</v>
      </c>
      <c r="C228" s="291">
        <f ca="1">VLOOKUP(A228,'Exit Prices'!$A:$C,3,FALSE)</f>
        <v>0</v>
      </c>
      <c r="D228" s="291">
        <f ca="1">VLOOKUP(A228,'Exit Anticipated Rev. Recovery'!$F$1:$Y$231,2,FALSE)+VLOOKUP(A228,'Exit Anticipated Rev. Recovery'!$F$1:$Y$231,5,FALSE)+VLOOKUP(A228,'Exit Anticipated Rev. Recovery'!$F$1:$Y$231,8,FALSE)+VLOOKUP(A228,'Exit Anticipated Rev. Recovery'!$F$1:$Y$231,11,FALSE)+VLOOKUP(A228,'Exit Anticipated Rev. Recovery'!$F$1:$Y$231,14,FALSE)</f>
        <v>0</v>
      </c>
      <c r="E228" s="291">
        <f ca="1">VLOOKUP(A228,'Exit Anticipated Rev. Recovery'!$F$1:$Y$231,17,FALSE)</f>
        <v>0</v>
      </c>
      <c r="F228" s="291">
        <f t="shared" ca="1" si="8"/>
        <v>0</v>
      </c>
      <c r="G228" s="283">
        <f ca="1">VLOOKUP($A228, 'Exit Prices'!$A$3:$Q$231, 8, 0)</f>
        <v>7.2344179438402385</v>
      </c>
      <c r="H228" s="283">
        <f ca="1">VLOOKUP($A228, 'Exit Prices'!$A$3:$Q$231, 12, 0)</f>
        <v>1.9820323133808871E-2</v>
      </c>
      <c r="I228" s="283">
        <f ca="1">VLOOKUP($A228, 'Exit Prices'!$A$3:$Q$231,17, 0)</f>
        <v>1.7838290820427986E-2</v>
      </c>
      <c r="J228" s="297">
        <f ca="1">'Exit Anticipated Rev. Recovery'!$C$14</f>
        <v>0</v>
      </c>
      <c r="K228" s="307">
        <f ca="1">VLOOKUP(A228,'Exit Anticipated Rev. Recovery'!F:Y,20,FALSE)</f>
        <v>0</v>
      </c>
      <c r="L228" s="306">
        <f ca="1">((D228*H228)+(E228*I228))*'User Inputs'!$D$7/100</f>
        <v>0</v>
      </c>
      <c r="M228" s="306">
        <f ca="1">((D228*J228)+(E228*J228))*'User Inputs'!$D$7/100</f>
        <v>0</v>
      </c>
    </row>
    <row r="229" spans="1:13">
      <c r="A229" s="309" t="str">
        <f>'Exit Prices'!A228</f>
        <v>Saltholme</v>
      </c>
      <c r="B229" s="280" t="str">
        <f>VLOOKUP(A229,'Locations &amp; Types'!E:I,4,FALSE)</f>
        <v>POWER STATION</v>
      </c>
      <c r="C229" s="291">
        <f ca="1">VLOOKUP(A229,'Exit Prices'!$A:$C,3,FALSE)</f>
        <v>7310160</v>
      </c>
      <c r="D229" s="291">
        <f ca="1">VLOOKUP(A229,'Exit Anticipated Rev. Recovery'!$F$1:$Y$231,2,FALSE)+VLOOKUP(A229,'Exit Anticipated Rev. Recovery'!$F$1:$Y$231,5,FALSE)+VLOOKUP(A229,'Exit Anticipated Rev. Recovery'!$F$1:$Y$231,8,FALSE)+VLOOKUP(A229,'Exit Anticipated Rev. Recovery'!$F$1:$Y$231,11,FALSE)+VLOOKUP(A229,'Exit Anticipated Rev. Recovery'!$F$1:$Y$231,14,FALSE)</f>
        <v>3626384.3046572716</v>
      </c>
      <c r="E229" s="291">
        <f ca="1">VLOOKUP(A229,'Exit Anticipated Rev. Recovery'!$F$1:$Y$231,17,FALSE)</f>
        <v>3683775.6953427275</v>
      </c>
      <c r="F229" s="291">
        <f t="shared" ca="1" si="8"/>
        <v>7310159.9999999991</v>
      </c>
      <c r="G229" s="283">
        <f ca="1">VLOOKUP($A229, 'Exit Prices'!$A$3:$Q$231, 8, 0)</f>
        <v>7.2344179438402385</v>
      </c>
      <c r="H229" s="283">
        <f ca="1">VLOOKUP($A229, 'Exit Prices'!$A$3:$Q$231, 12, 0)</f>
        <v>1.9820323133808871E-2</v>
      </c>
      <c r="I229" s="283">
        <f ca="1">VLOOKUP($A229, 'Exit Prices'!$A$3:$Q$231,17, 0)</f>
        <v>1.7838290820427986E-2</v>
      </c>
      <c r="J229" s="297">
        <f ca="1">'Exit Anticipated Rev. Recovery'!$C$14</f>
        <v>0</v>
      </c>
      <c r="K229" s="307">
        <f ca="1">VLOOKUP(A229,'Exit Anticipated Rev. Recovery'!F:Y,20,FALSE)</f>
        <v>501845.92518214649</v>
      </c>
      <c r="L229" s="306">
        <f ca="1">((D229*H229)+(E229*I229))*'User Inputs'!$D$7/100</f>
        <v>502197.55377196166</v>
      </c>
      <c r="M229" s="306">
        <f ca="1">((D229*J229)+(E229*J229))*'User Inputs'!$D$7/100</f>
        <v>0</v>
      </c>
    </row>
    <row r="230" spans="1:13">
      <c r="A230" s="309" t="str">
        <f>'Exit Prices'!A229</f>
        <v>Eggborough_PS</v>
      </c>
      <c r="B230" s="280" t="str">
        <f>VLOOKUP(A230,'Locations &amp; Types'!E:I,4,FALSE)</f>
        <v>POWER STATION</v>
      </c>
      <c r="C230" s="291">
        <f ca="1">VLOOKUP(A230,'Exit Prices'!$A:$C,3,FALSE)</f>
        <v>0</v>
      </c>
      <c r="D230" s="291">
        <f ca="1">VLOOKUP(A230,'Exit Anticipated Rev. Recovery'!$F$1:$Y$231,2,FALSE)+VLOOKUP(A230,'Exit Anticipated Rev. Recovery'!$F$1:$Y$231,5,FALSE)+VLOOKUP(A230,'Exit Anticipated Rev. Recovery'!$F$1:$Y$231,8,FALSE)+VLOOKUP(A230,'Exit Anticipated Rev. Recovery'!$F$1:$Y$231,11,FALSE)+VLOOKUP(A230,'Exit Anticipated Rev. Recovery'!$F$1:$Y$231,14,FALSE)</f>
        <v>0</v>
      </c>
      <c r="E230" s="291">
        <f ca="1">VLOOKUP(A230,'Exit Anticipated Rev. Recovery'!$F$1:$Y$231,17,FALSE)</f>
        <v>0</v>
      </c>
      <c r="F230" s="291">
        <f t="shared" ca="1" si="8"/>
        <v>0</v>
      </c>
      <c r="G230" s="283">
        <f ca="1">VLOOKUP($A230, 'Exit Prices'!$A$3:$Q$231, 8, 0)</f>
        <v>7.2344179438402385</v>
      </c>
      <c r="H230" s="283">
        <f ca="1">VLOOKUP($A230, 'Exit Prices'!$A$3:$Q$231, 12, 0)</f>
        <v>1.9820323133808871E-2</v>
      </c>
      <c r="I230" s="283">
        <f ca="1">VLOOKUP($A230, 'Exit Prices'!$A$3:$Q$231,17, 0)</f>
        <v>1.7838290820427986E-2</v>
      </c>
      <c r="J230" s="297">
        <f ca="1">'Exit Anticipated Rev. Recovery'!$C$14</f>
        <v>0</v>
      </c>
      <c r="K230" s="307">
        <f ca="1">VLOOKUP(A230,'Exit Anticipated Rev. Recovery'!F:Y,20,FALSE)</f>
        <v>0</v>
      </c>
      <c r="L230" s="306">
        <f ca="1">((D230*H230)+(E230*I230))*'User Inputs'!$D$7/100</f>
        <v>0</v>
      </c>
      <c r="M230" s="306">
        <f ca="1">((D230*J230)+(E230*J230))*'User Inputs'!$D$7/100</f>
        <v>0</v>
      </c>
    </row>
    <row r="231" spans="1:13">
      <c r="A231" s="309" t="str">
        <f>'Exit Prices'!A230</f>
        <v>KEADBY_2 PS</v>
      </c>
      <c r="B231" s="280" t="str">
        <f>VLOOKUP(A231,'Locations &amp; Types'!E:I,4,FALSE)</f>
        <v>POWER STATION</v>
      </c>
      <c r="C231" s="291">
        <f ca="1">VLOOKUP(A231,'Exit Prices'!$A:$C,3,FALSE)</f>
        <v>33128628.208219182</v>
      </c>
      <c r="D231" s="291">
        <f ca="1">VLOOKUP(A231,'Exit Anticipated Rev. Recovery'!$F$1:$Y$231,2,FALSE)+VLOOKUP(A231,'Exit Anticipated Rev. Recovery'!$F$1:$Y$231,5,FALSE)+VLOOKUP(A231,'Exit Anticipated Rev. Recovery'!$F$1:$Y$231,8,FALSE)+VLOOKUP(A231,'Exit Anticipated Rev. Recovery'!$F$1:$Y$231,11,FALSE)+VLOOKUP(A231,'Exit Anticipated Rev. Recovery'!$F$1:$Y$231,14,FALSE)</f>
        <v>16434269.204656556</v>
      </c>
      <c r="E231" s="291">
        <f ca="1">VLOOKUP(A231,'Exit Anticipated Rev. Recovery'!$F$1:$Y$231,17,FALSE)</f>
        <v>16694359.003562618</v>
      </c>
      <c r="F231" s="291">
        <f t="shared" ca="1" si="8"/>
        <v>33128628.208219174</v>
      </c>
      <c r="G231" s="283">
        <f ca="1">VLOOKUP($A231, 'Exit Prices'!$A$3:$Q$231, 8, 0)</f>
        <v>7.2344179438402385</v>
      </c>
      <c r="H231" s="283">
        <f ca="1">VLOOKUP($A231, 'Exit Prices'!$A$3:$Q$231, 12, 0)</f>
        <v>1.9820323133808871E-2</v>
      </c>
      <c r="I231" s="283">
        <f ca="1">VLOOKUP($A231, 'Exit Prices'!$A$3:$Q$231,17, 0)</f>
        <v>1.7838290820427986E-2</v>
      </c>
      <c r="J231" s="297">
        <f ca="1">'Exit Anticipated Rev. Recovery'!$C$14</f>
        <v>0</v>
      </c>
      <c r="K231" s="307">
        <f ca="1">VLOOKUP(A231,'Exit Anticipated Rev. Recovery'!F:Y,20,FALSE)</f>
        <v>2274295.9214530336</v>
      </c>
      <c r="L231" s="306">
        <f ca="1">((D231*H231)+(E231*I231))*'User Inputs'!$D$7/100</f>
        <v>2275889.4533072426</v>
      </c>
      <c r="M231" s="306">
        <f ca="1">((D231*J231)+(E231*J231))*'User Inputs'!$D$7/100</f>
        <v>0</v>
      </c>
    </row>
    <row r="232" spans="1:13">
      <c r="A232" s="309" t="str">
        <f>'Exit Prices'!A231</f>
        <v>Rough Max Refill</v>
      </c>
      <c r="B232" s="280" t="str">
        <f>VLOOKUP(A232,'Locations &amp; Types'!E:I,4,FALSE)</f>
        <v>STORAGE SITE</v>
      </c>
      <c r="C232" s="291">
        <f ca="1">VLOOKUP(A232,'Exit Prices'!$A:$C,3,FALSE)</f>
        <v>6538325.5616438352</v>
      </c>
      <c r="D232" s="291">
        <f ca="1">VLOOKUP(A232,'Exit Anticipated Rev. Recovery'!$F$1:$Y$231,2,FALSE)+VLOOKUP(A232,'Exit Anticipated Rev. Recovery'!$F$1:$Y$231,5,FALSE)+VLOOKUP(A232,'Exit Anticipated Rev. Recovery'!$F$1:$Y$231,8,FALSE)+VLOOKUP(A232,'Exit Anticipated Rev. Recovery'!$F$1:$Y$231,11,FALSE)+VLOOKUP(A232,'Exit Anticipated Rev. Recovery'!$F$1:$Y$231,14,FALSE)</f>
        <v>1818975.803629122</v>
      </c>
      <c r="E232" s="291">
        <f ca="1">VLOOKUP(A232,'Exit Anticipated Rev. Recovery'!$F$1:$Y$231,17,FALSE)</f>
        <v>4719349.7580147153</v>
      </c>
      <c r="F232" s="291">
        <f t="shared" ca="1" si="8"/>
        <v>6538325.561643837</v>
      </c>
      <c r="G232" s="283">
        <f ca="1">VLOOKUP($A232, 'Exit Prices'!$A$3:$Q$231, 8, 0)</f>
        <v>7.2344179438402385</v>
      </c>
      <c r="H232" s="283">
        <f ca="1">VLOOKUP($A232, 'Exit Prices'!$A$3:$Q$231, 12, 0)</f>
        <v>9.9101615669044355E-3</v>
      </c>
      <c r="I232" s="283">
        <f ca="1">VLOOKUP($A232, 'Exit Prices'!$A$3:$Q$231,17, 0)</f>
        <v>8.9191454102139928E-3</v>
      </c>
      <c r="J232" s="297">
        <f ca="1">'Exit Anticipated Rev. Recovery'!$C$14</f>
        <v>0</v>
      </c>
      <c r="K232" s="307">
        <f ca="1">VLOOKUP(A232,'Exit Anticipated Rev. Recovery'!F:Y,20,FALSE)</f>
        <v>219067.88415586713</v>
      </c>
      <c r="L232" s="306">
        <f ca="1">((D232*H232)+(E232*I232))*'User Inputs'!$D$7/100</f>
        <v>219434.02454280757</v>
      </c>
      <c r="M232" s="306">
        <f ca="1">((D232*J232)+(E232*J232))*'User Inputs'!$D$7/100</f>
        <v>0</v>
      </c>
    </row>
    <row r="234" spans="1:13">
      <c r="F234" s="137"/>
    </row>
    <row r="235" spans="1:13">
      <c r="F235" s="180"/>
    </row>
  </sheetData>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BA6DF04-19A7-4CA0-8152-61CC8ADE90E0}">
            <xm:f>'Drop Down Inputs'!$E$10="Transitional"</xm:f>
            <x14:dxf>
              <font>
                <color theme="0" tint="-0.24994659260841701"/>
              </font>
            </x14:dxf>
          </x14:cfRule>
          <xm:sqref>J4:J232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5" tint="0.39997558519241921"/>
  </sheetPr>
  <dimension ref="A1:J31"/>
  <sheetViews>
    <sheetView zoomScale="80" zoomScaleNormal="80" workbookViewId="0">
      <selection activeCell="F29" sqref="F29"/>
    </sheetView>
  </sheetViews>
  <sheetFormatPr defaultColWidth="9.140625" defaultRowHeight="15"/>
  <cols>
    <col min="1" max="1" width="32" bestFit="1" customWidth="1"/>
    <col min="2" max="2" width="22.85546875" customWidth="1"/>
    <col min="3" max="3" width="20.28515625" customWidth="1"/>
    <col min="4" max="7" width="15.28515625" customWidth="1"/>
    <col min="8" max="8" width="26" customWidth="1"/>
    <col min="10" max="10" width="34.5703125" customWidth="1"/>
  </cols>
  <sheetData>
    <row r="1" spans="1:10" s="34" customFormat="1" ht="25.5">
      <c r="A1" s="54" t="s">
        <v>25</v>
      </c>
      <c r="B1" s="54" t="s">
        <v>509</v>
      </c>
      <c r="C1" s="135" t="s">
        <v>516</v>
      </c>
    </row>
    <row r="2" spans="1:10" s="34" customFormat="1">
      <c r="A2" s="55"/>
      <c r="B2" s="56" t="s">
        <v>338</v>
      </c>
      <c r="C2" s="136" t="s">
        <v>338</v>
      </c>
      <c r="D2" s="261"/>
      <c r="E2" s="261"/>
      <c r="F2" s="261"/>
      <c r="G2" s="261"/>
      <c r="J2" s="267" t="s">
        <v>489</v>
      </c>
    </row>
    <row r="3" spans="1:10">
      <c r="A3" s="15" t="s">
        <v>1</v>
      </c>
      <c r="B3" s="57">
        <f>VLOOKUP(A3,'Existing Contracts - Entry'!$A:$N,MATCH('User Inputs'!$C$7,'Existing Contracts - Entry'!$A$1:$N$1,0),FALSE)</f>
        <v>0</v>
      </c>
      <c r="C3" s="57">
        <f ca="1" xml:space="preserve"> VLOOKUP(A3, INDIRECT("'"&amp;'Drop Down Inputs'!$A$10&amp;"'!"&amp;" $A:$F"),MATCH($C$1, INDIRECT("'"&amp;'Drop Down Inputs'!$A$10&amp;"'!"&amp;"$A$1:$F$1"),0), FALSE)</f>
        <v>0</v>
      </c>
      <c r="D3" s="166"/>
      <c r="E3" s="166"/>
      <c r="F3" s="166"/>
      <c r="G3" s="166"/>
      <c r="J3" s="268" t="str">
        <f>VLOOKUP(A3,'Locations &amp; Types'!$A:$B,2,FALSE)</f>
        <v>STORAGE SITE</v>
      </c>
    </row>
    <row r="4" spans="1:10">
      <c r="A4" s="14" t="s">
        <v>2</v>
      </c>
      <c r="B4" s="57">
        <f>VLOOKUP(A4,'Existing Contracts - Entry'!$A:$N,MATCH('User Inputs'!$C$7,'Existing Contracts - Entry'!$A$1:$N$1,0),FALSE)</f>
        <v>92162298.547945201</v>
      </c>
      <c r="C4" s="57">
        <f ca="1" xml:space="preserve"> VLOOKUP(A4, INDIRECT("'"&amp;'Drop Down Inputs'!$A$10&amp;"'!"&amp;" $A:$F"),MATCH($C$1, INDIRECT("'"&amp;'Drop Down Inputs'!$A$10&amp;"'!"&amp;"$A$1:$F$1"),0), FALSE)</f>
        <v>178627069.62191781</v>
      </c>
      <c r="J4" s="268" t="str">
        <f>VLOOKUP(A4,'Locations &amp; Types'!$A:$B,2,FALSE)</f>
        <v>INTERCONNECTION POINT</v>
      </c>
    </row>
    <row r="5" spans="1:10">
      <c r="A5" s="16" t="s">
        <v>3</v>
      </c>
      <c r="B5" s="57">
        <f>VLOOKUP(A5,'Existing Contracts - Entry'!$A:$N,MATCH('User Inputs'!$C$7,'Existing Contracts - Entry'!$A$1:$N$1,0),FALSE)</f>
        <v>210556462.92602739</v>
      </c>
      <c r="C5" s="57">
        <f ca="1" xml:space="preserve"> VLOOKUP(A5, INDIRECT("'"&amp;'Drop Down Inputs'!$A$10&amp;"'!"&amp;" $A:$F"),MATCH($C$1, INDIRECT("'"&amp;'Drop Down Inputs'!$A$10&amp;"'!"&amp;"$A$1:$F$1"),0), FALSE)</f>
        <v>648603335.88767123</v>
      </c>
      <c r="J5" s="268" t="str">
        <f>VLOOKUP(A5,'Locations &amp; Types'!$A:$B,2,FALSE)</f>
        <v>BEACH TERMINAL</v>
      </c>
    </row>
    <row r="6" spans="1:10">
      <c r="A6" s="14" t="s">
        <v>4</v>
      </c>
      <c r="B6" s="57">
        <f>VLOOKUP(A6,'Existing Contracts - Entry'!$A:$N,MATCH('User Inputs'!$C$7,'Existing Contracts - Entry'!$A$1:$N$1,0),FALSE)</f>
        <v>7134731.1068493146</v>
      </c>
      <c r="C6" s="57">
        <f ca="1" xml:space="preserve"> VLOOKUP(A6, INDIRECT("'"&amp;'Drop Down Inputs'!$A$10&amp;"'!"&amp;" $A:$F"),MATCH($C$1, INDIRECT("'"&amp;'Drop Down Inputs'!$A$10&amp;"'!"&amp;"$A$1:$F$1"),0), FALSE)</f>
        <v>14936970.808219178</v>
      </c>
      <c r="J6" s="268" t="str">
        <f>VLOOKUP(A6,'Locations &amp; Types'!$A:$B,2,FALSE)</f>
        <v>ONSHORE FIELD</v>
      </c>
    </row>
    <row r="7" spans="1:10">
      <c r="A7" s="14" t="s">
        <v>5</v>
      </c>
      <c r="B7" s="57">
        <f>VLOOKUP(A7,'Existing Contracts - Entry'!$A:$N,MATCH('User Inputs'!$C$7,'Existing Contracts - Entry'!$A$1:$N$1,0),FALSE)</f>
        <v>28613480.994520549</v>
      </c>
      <c r="C7" s="57">
        <f ca="1" xml:space="preserve"> VLOOKUP(A7, INDIRECT("'"&amp;'Drop Down Inputs'!$A$10&amp;"'!"&amp;" $A:$F"),MATCH($C$1, INDIRECT("'"&amp;'Drop Down Inputs'!$A$10&amp;"'!"&amp;"$A$1:$F$1"),0), FALSE)</f>
        <v>75553005.904109582</v>
      </c>
      <c r="J7" s="268" t="str">
        <f>VLOOKUP(A7,'Locations &amp; Types'!$A:$B,2,FALSE)</f>
        <v>BEACH TERMINAL</v>
      </c>
    </row>
    <row r="8" spans="1:10">
      <c r="A8" s="14" t="s">
        <v>6</v>
      </c>
      <c r="B8" s="57">
        <f>VLOOKUP(A8,'Existing Contracts - Entry'!$A:$N,MATCH('User Inputs'!$C$7,'Existing Contracts - Entry'!$A$1:$N$1,0),FALSE)</f>
        <v>80975342.465753421</v>
      </c>
      <c r="C8" s="57">
        <f ca="1" xml:space="preserve"> VLOOKUP(A8, INDIRECT("'"&amp;'Drop Down Inputs'!$A$10&amp;"'!"&amp;" $A:$F"),MATCH($C$1, INDIRECT("'"&amp;'Drop Down Inputs'!$A$10&amp;"'!"&amp;"$A$1:$F$1"),0), FALSE)</f>
        <v>80975342.465753421</v>
      </c>
      <c r="J8" s="268" t="str">
        <f>VLOOKUP(A8,'Locations &amp; Types'!$A:$B,2,FALSE)</f>
        <v>STORAGE SITE</v>
      </c>
    </row>
    <row r="9" spans="1:10">
      <c r="A9" s="14" t="s">
        <v>7</v>
      </c>
      <c r="B9" s="57">
        <f>VLOOKUP(A9,'Existing Contracts - Entry'!$A:$N,MATCH('User Inputs'!$C$7,'Existing Contracts - Entry'!$A$1:$N$1,0),FALSE)</f>
        <v>0</v>
      </c>
      <c r="C9" s="57">
        <f ca="1" xml:space="preserve"> VLOOKUP(A9, INDIRECT("'"&amp;'Drop Down Inputs'!$A$10&amp;"'!"&amp;" $A:$F"),MATCH($C$1, INDIRECT("'"&amp;'Drop Down Inputs'!$A$10&amp;"'!"&amp;"$A$1:$F$1"),0), FALSE)</f>
        <v>0</v>
      </c>
      <c r="J9" s="268" t="str">
        <f>VLOOKUP(A9,'Locations &amp; Types'!$A:$B,2,FALSE)</f>
        <v>ONSHORE FIELD</v>
      </c>
    </row>
    <row r="10" spans="1:10">
      <c r="A10" s="14" t="s">
        <v>8</v>
      </c>
      <c r="B10" s="57">
        <f>VLOOKUP(A10,'Existing Contracts - Entry'!$A:$N,MATCH('User Inputs'!$C$7,'Existing Contracts - Entry'!$A$1:$N$1,0),FALSE)</f>
        <v>514110000</v>
      </c>
      <c r="C10" s="57">
        <f ca="1" xml:space="preserve"> VLOOKUP(A10, INDIRECT("'"&amp;'Drop Down Inputs'!$A$10&amp;"'!"&amp;" $A:$F"),MATCH($C$1, INDIRECT("'"&amp;'Drop Down Inputs'!$A$10&amp;"'!"&amp;"$A$1:$F$1"),0), FALSE)</f>
        <v>541245000</v>
      </c>
      <c r="E10" s="327"/>
      <c r="J10" s="268" t="str">
        <f>VLOOKUP(A10,'Locations &amp; Types'!$A:$B,2,FALSE)</f>
        <v>STORAGE SITE</v>
      </c>
    </row>
    <row r="11" spans="1:10">
      <c r="A11" s="14" t="s">
        <v>9</v>
      </c>
      <c r="B11" s="57">
        <f>VLOOKUP(A11,'Existing Contracts - Entry'!$A:$N,MATCH('User Inputs'!$C$7,'Existing Contracts - Entry'!$A$1:$N$1,0),FALSE)</f>
        <v>90000000</v>
      </c>
      <c r="C11" s="57">
        <f ca="1" xml:space="preserve"> VLOOKUP(A11, INDIRECT("'"&amp;'Drop Down Inputs'!$A$10&amp;"'!"&amp;" $A:$F"),MATCH($C$1, INDIRECT("'"&amp;'Drop Down Inputs'!$A$10&amp;"'!"&amp;"$A$1:$F$1"),0), FALSE)</f>
        <v>90000000</v>
      </c>
      <c r="J11" s="268" t="str">
        <f>VLOOKUP(A11,'Locations &amp; Types'!$A:$B,2,FALSE)</f>
        <v>STORAGE SITE</v>
      </c>
    </row>
    <row r="12" spans="1:10">
      <c r="A12" s="14" t="s">
        <v>10</v>
      </c>
      <c r="B12" s="57">
        <f>VLOOKUP(A12,'Existing Contracts - Entry'!$A:$N,MATCH('User Inputs'!$C$7,'Existing Contracts - Entry'!$A$1:$N$1,0),FALSE)</f>
        <v>0</v>
      </c>
      <c r="C12" s="57">
        <f ca="1" xml:space="preserve"> VLOOKUP(A12, INDIRECT("'"&amp;'Drop Down Inputs'!$A$10&amp;"'!"&amp;" $A:$F"),MATCH($C$1, INDIRECT("'"&amp;'Drop Down Inputs'!$A$10&amp;"'!"&amp;"$A$1:$F$1"),0), FALSE)</f>
        <v>0</v>
      </c>
      <c r="J12" s="268" t="str">
        <f>VLOOKUP(A12,'Locations &amp; Types'!$A:$B,2,FALSE)</f>
        <v>STORAGE SITE</v>
      </c>
    </row>
    <row r="13" spans="1:10">
      <c r="A13" s="14" t="s">
        <v>477</v>
      </c>
      <c r="B13" s="57">
        <f>VLOOKUP(A13,'Existing Contracts - Entry'!$A:$N,MATCH('User Inputs'!$C$7,'Existing Contracts - Entry'!$A$1:$N$1,0),FALSE)</f>
        <v>672206895.00547945</v>
      </c>
      <c r="C13" s="57">
        <f ca="1" xml:space="preserve"> VLOOKUP(A13, INDIRECT("'"&amp;'Drop Down Inputs'!$A$10&amp;"'!"&amp;" $A:$F"),MATCH($C$1, INDIRECT("'"&amp;'Drop Down Inputs'!$A$10&amp;"'!"&amp;"$A$1:$F$1"),0), FALSE)</f>
        <v>833294279.96712327</v>
      </c>
      <c r="J13" s="268" t="str">
        <f>VLOOKUP(A13,'Locations &amp; Types'!$A:$B,2,FALSE)</f>
        <v>BEACH TERMINAL</v>
      </c>
    </row>
    <row r="14" spans="1:10">
      <c r="A14" s="14" t="s">
        <v>11</v>
      </c>
      <c r="B14" s="57">
        <f>VLOOKUP(A14,'Existing Contracts - Entry'!$A:$N,MATCH('User Inputs'!$C$7,'Existing Contracts - Entry'!$A$1:$N$1,0),FALSE)</f>
        <v>0</v>
      </c>
      <c r="C14" s="57">
        <f ca="1" xml:space="preserve"> VLOOKUP(A14, INDIRECT("'"&amp;'Drop Down Inputs'!$A$10&amp;"'!"&amp;" $A:$F"),MATCH($C$1, INDIRECT("'"&amp;'Drop Down Inputs'!$A$10&amp;"'!"&amp;"$A$1:$F$1"),0), FALSE)</f>
        <v>0</v>
      </c>
      <c r="J14" s="268" t="str">
        <f>VLOOKUP(A14,'Locations &amp; Types'!$A:$B,2,FALSE)</f>
        <v>STORAGE SITE</v>
      </c>
    </row>
    <row r="15" spans="1:10">
      <c r="A15" s="14" t="s">
        <v>12</v>
      </c>
      <c r="B15" s="57">
        <f>VLOOKUP(A15,'Existing Contracts - Entry'!$A:$N,MATCH('User Inputs'!$C$7,'Existing Contracts - Entry'!$A$1:$N$1,0),FALSE)</f>
        <v>0</v>
      </c>
      <c r="C15" s="57">
        <f ca="1" xml:space="preserve"> VLOOKUP(A15, INDIRECT("'"&amp;'Drop Down Inputs'!$A$10&amp;"'!"&amp;" $A:$F"),MATCH($C$1, INDIRECT("'"&amp;'Drop Down Inputs'!$A$10&amp;"'!"&amp;"$A$1:$F$1"),0), FALSE)</f>
        <v>0</v>
      </c>
      <c r="J15" s="268" t="str">
        <f>VLOOKUP(A15,'Locations &amp; Types'!$A:$B,2,FALSE)</f>
        <v>STORAGE SITE</v>
      </c>
    </row>
    <row r="16" spans="1:10">
      <c r="A16" s="14" t="s">
        <v>13</v>
      </c>
      <c r="B16" s="57">
        <f>VLOOKUP(A16,'Existing Contracts - Entry'!$A:$N,MATCH('User Inputs'!$C$7,'Existing Contracts - Entry'!$A$1:$N$1,0),FALSE)</f>
        <v>420000000</v>
      </c>
      <c r="C16" s="57">
        <f ca="1" xml:space="preserve"> VLOOKUP(A16, INDIRECT("'"&amp;'Drop Down Inputs'!$A$10&amp;"'!"&amp;" $A:$F"),MATCH($C$1, INDIRECT("'"&amp;'Drop Down Inputs'!$A$10&amp;"'!"&amp;"$A$1:$F$1"),0), FALSE)</f>
        <v>420000000</v>
      </c>
      <c r="J16" s="268" t="str">
        <f>VLOOKUP(A16,'Locations &amp; Types'!$A:$B,2,FALSE)</f>
        <v>STORAGE SITE</v>
      </c>
    </row>
    <row r="17" spans="1:10">
      <c r="A17" s="14" t="s">
        <v>14</v>
      </c>
      <c r="B17" s="57">
        <f>VLOOKUP(A17,'Existing Contracts - Entry'!$A:$N,MATCH('User Inputs'!$C$7,'Existing Contracts - Entry'!$A$1:$N$1,0),FALSE)</f>
        <v>283440000</v>
      </c>
      <c r="C17" s="57">
        <f ca="1" xml:space="preserve"> VLOOKUP(A17, INDIRECT("'"&amp;'Drop Down Inputs'!$A$10&amp;"'!"&amp;" $A:$F"),MATCH($C$1, INDIRECT("'"&amp;'Drop Down Inputs'!$A$10&amp;"'!"&amp;"$A$1:$F$1"),0), FALSE)</f>
        <v>283440000</v>
      </c>
      <c r="J17" s="268" t="str">
        <f>VLOOKUP(A17,'Locations &amp; Types'!$A:$B,2,FALSE)</f>
        <v>STORAGE SITE</v>
      </c>
    </row>
    <row r="18" spans="1:10">
      <c r="A18" s="14" t="s">
        <v>15</v>
      </c>
      <c r="B18" s="57">
        <f>VLOOKUP(A18,'Existing Contracts - Entry'!$A:$N,MATCH('User Inputs'!$C$7,'Existing Contracts - Entry'!$A$1:$N$1,0),FALSE)</f>
        <v>0</v>
      </c>
      <c r="C18" s="57">
        <f ca="1" xml:space="preserve"> VLOOKUP(A18, INDIRECT("'"&amp;'Drop Down Inputs'!$A$10&amp;"'!"&amp;" $A:$F"),MATCH($C$1, INDIRECT("'"&amp;'Drop Down Inputs'!$A$10&amp;"'!"&amp;"$A$1:$F$1"),0), FALSE)</f>
        <v>0</v>
      </c>
      <c r="J18" s="268" t="str">
        <f>VLOOKUP(A18,'Locations &amp; Types'!$A:$B,2,FALSE)</f>
        <v>ONSHORE FIELD</v>
      </c>
    </row>
    <row r="19" spans="1:10">
      <c r="A19" s="14" t="s">
        <v>16</v>
      </c>
      <c r="B19" s="57">
        <f>VLOOKUP(A19,'Existing Contracts - Entry'!$A:$N,MATCH('User Inputs'!$C$7,'Existing Contracts - Entry'!$A$1:$N$1,0),FALSE)</f>
        <v>50742739.726027399</v>
      </c>
      <c r="C19" s="57">
        <f ca="1" xml:space="preserve"> VLOOKUP(A19, INDIRECT("'"&amp;'Drop Down Inputs'!$A$10&amp;"'!"&amp;" $A:$F"),MATCH($C$1, INDIRECT("'"&amp;'Drop Down Inputs'!$A$10&amp;"'!"&amp;"$A$1:$F$1"),0), FALSE)</f>
        <v>77588014.975342467</v>
      </c>
      <c r="J19" s="268" t="str">
        <f>VLOOKUP(A19,'Locations &amp; Types'!$A:$B,2,FALSE)</f>
        <v>STORAGE SITE</v>
      </c>
    </row>
    <row r="20" spans="1:10">
      <c r="A20" s="14" t="s">
        <v>17</v>
      </c>
      <c r="B20" s="57">
        <f>VLOOKUP(A20,'Existing Contracts - Entry'!$A:$N,MATCH('User Inputs'!$C$7,'Existing Contracts - Entry'!$A$1:$N$1,0),FALSE)</f>
        <v>5424657.5342465751</v>
      </c>
      <c r="C20" s="57">
        <f ca="1" xml:space="preserve"> VLOOKUP(A20, INDIRECT("'"&amp;'Drop Down Inputs'!$A$10&amp;"'!"&amp;" $A:$F"),MATCH($C$1, INDIRECT("'"&amp;'Drop Down Inputs'!$A$10&amp;"'!"&amp;"$A$1:$F$1"),0), FALSE)</f>
        <v>5424657.5342465751</v>
      </c>
      <c r="J20" s="268" t="str">
        <f>VLOOKUP(A20,'Locations &amp; Types'!$A:$B,2,FALSE)</f>
        <v>STORAGE SITE</v>
      </c>
    </row>
    <row r="21" spans="1:10">
      <c r="A21" s="14" t="s">
        <v>18</v>
      </c>
      <c r="B21" s="57">
        <f>VLOOKUP(A21,'Existing Contracts - Entry'!$A:$N,MATCH('User Inputs'!$C$7,'Existing Contracts - Entry'!$A$1:$N$1,0),FALSE)</f>
        <v>643392876.71232879</v>
      </c>
      <c r="C21" s="57">
        <f ca="1" xml:space="preserve"> VLOOKUP(A21, INDIRECT("'"&amp;'Drop Down Inputs'!$A$10&amp;"'!"&amp;" $A:$F"),MATCH($C$1, INDIRECT("'"&amp;'Drop Down Inputs'!$A$10&amp;"'!"&amp;"$A$1:$F$1"),0), FALSE)</f>
        <v>643590136.98630142</v>
      </c>
      <c r="J21" s="268" t="str">
        <f>VLOOKUP(A21,'Locations &amp; Types'!$A:$B,2,FALSE)</f>
        <v>LNG IMPORTATION TERMINAL</v>
      </c>
    </row>
    <row r="22" spans="1:10">
      <c r="A22" s="14" t="s">
        <v>19</v>
      </c>
      <c r="B22" s="57">
        <f>VLOOKUP(A22,'Existing Contracts - Entry'!$A:$N,MATCH('User Inputs'!$C$7,'Existing Contracts - Entry'!$A$1:$N$1,0),FALSE)</f>
        <v>649178082.19178081</v>
      </c>
      <c r="C22" s="57">
        <f ca="1" xml:space="preserve"> VLOOKUP(A22, INDIRECT("'"&amp;'Drop Down Inputs'!$A$10&amp;"'!"&amp;" $A:$F"),MATCH($C$1, INDIRECT("'"&amp;'Drop Down Inputs'!$A$10&amp;"'!"&amp;"$A$1:$F$1"),0), FALSE)</f>
        <v>649178082.19178081</v>
      </c>
      <c r="J22" s="268" t="str">
        <f>VLOOKUP(A22,'Locations &amp; Types'!$A:$B,2,FALSE)</f>
        <v>LNG IMPORTATION TERMINAL</v>
      </c>
    </row>
    <row r="23" spans="1:10">
      <c r="A23" s="14" t="s">
        <v>20</v>
      </c>
      <c r="B23" s="57">
        <f>VLOOKUP(A23,'Existing Contracts - Entry'!$A:$N,MATCH('User Inputs'!$C$7,'Existing Contracts - Entry'!$A$1:$N$1,0),FALSE)</f>
        <v>0</v>
      </c>
      <c r="C23" s="57">
        <f ca="1" xml:space="preserve"> VLOOKUP(A23, INDIRECT("'"&amp;'Drop Down Inputs'!$A$10&amp;"'!"&amp;" $A:$F"),MATCH($C$1, INDIRECT("'"&amp;'Drop Down Inputs'!$A$10&amp;"'!"&amp;"$A$1:$F$1"),0), FALSE)</f>
        <v>40146.71232876712</v>
      </c>
      <c r="J23" s="268" t="str">
        <f>VLOOKUP(A23,'Locations &amp; Types'!$A:$B,2,FALSE)</f>
        <v>STORAGE SITE</v>
      </c>
    </row>
    <row r="24" spans="1:10">
      <c r="A24" s="14" t="s">
        <v>155</v>
      </c>
      <c r="B24" s="57">
        <f>VLOOKUP(A24,'Existing Contracts - Entry'!$A:$N,MATCH('User Inputs'!$C$7,'Existing Contracts - Entry'!$A$1:$N$1,0),FALSE)</f>
        <v>0</v>
      </c>
      <c r="C24" s="57">
        <f ca="1" xml:space="preserve"> VLOOKUP(A24, INDIRECT("'"&amp;'Drop Down Inputs'!$A$10&amp;"'!"&amp;" $A:$F"),MATCH($C$1, INDIRECT("'"&amp;'Drop Down Inputs'!$A$10&amp;"'!"&amp;"$A$1:$F$1"),0), FALSE)</f>
        <v>0</v>
      </c>
      <c r="J24" s="268" t="str">
        <f>VLOOKUP(A24,'Locations &amp; Types'!$A:$B,2,FALSE)</f>
        <v>INTERCONNECTION POINT</v>
      </c>
    </row>
    <row r="25" spans="1:10">
      <c r="A25" s="14" t="s">
        <v>533</v>
      </c>
      <c r="B25" s="57">
        <f>VLOOKUP(A25,'Existing Contracts - Entry'!$A:$N,MATCH('User Inputs'!$C$7,'Existing Contracts - Entry'!$A$1:$N$1,0),FALSE)</f>
        <v>0</v>
      </c>
      <c r="C25" s="57">
        <f ca="1" xml:space="preserve"> VLOOKUP(A25, INDIRECT("'"&amp;'Drop Down Inputs'!$A$10&amp;"'!"&amp;" $A:$F"),MATCH($C$1, INDIRECT("'"&amp;'Drop Down Inputs'!$A$10&amp;"'!"&amp;"$A$1:$F$1"),0), FALSE)</f>
        <v>500000</v>
      </c>
      <c r="J25" s="268" t="str">
        <f>VLOOKUP(A25,'Locations &amp; Types'!$A:$B,2,FALSE)</f>
        <v>BIOMETHANE PLANT</v>
      </c>
    </row>
    <row r="26" spans="1:10">
      <c r="A26" s="14" t="s">
        <v>21</v>
      </c>
      <c r="B26" s="57">
        <f>VLOOKUP(A26,'Existing Contracts - Entry'!$A:$N,MATCH('User Inputs'!$C$7,'Existing Contracts - Entry'!$A$1:$N$1,0),FALSE)</f>
        <v>53730053.983561642</v>
      </c>
      <c r="C26" s="57">
        <f ca="1" xml:space="preserve"> VLOOKUP(A26, INDIRECT("'"&amp;'Drop Down Inputs'!$A$10&amp;"'!"&amp;" $A:$F"),MATCH($C$1, INDIRECT("'"&amp;'Drop Down Inputs'!$A$10&amp;"'!"&amp;"$A$1:$F$1"),0), FALSE)</f>
        <v>786035942.57168877</v>
      </c>
      <c r="J26" s="268" t="str">
        <f>VLOOKUP(A26,'Locations &amp; Types'!$A:$B,2,FALSE)</f>
        <v>BEACH TERMINAL</v>
      </c>
    </row>
    <row r="27" spans="1:10">
      <c r="A27" s="14" t="s">
        <v>22</v>
      </c>
      <c r="B27" s="57">
        <f>VLOOKUP(A27,'Existing Contracts - Entry'!$A:$N,MATCH('User Inputs'!$C$7,'Existing Contracts - Entry'!$A$1:$N$1,0),FALSE)</f>
        <v>51920075.95890411</v>
      </c>
      <c r="C27" s="57">
        <f ca="1" xml:space="preserve"> VLOOKUP(A27, INDIRECT("'"&amp;'Drop Down Inputs'!$A$10&amp;"'!"&amp;" $A:$F"),MATCH($C$1, INDIRECT("'"&amp;'Drop Down Inputs'!$A$10&amp;"'!"&amp;"$A$1:$F$1"),0), FALSE)</f>
        <v>293042284.44999158</v>
      </c>
      <c r="J27" s="268" t="str">
        <f>VLOOKUP(A27,'Locations &amp; Types'!$A:$B,2,FALSE)</f>
        <v>BEACH TERMINAL</v>
      </c>
    </row>
    <row r="28" spans="1:10">
      <c r="A28" s="14" t="s">
        <v>23</v>
      </c>
      <c r="B28" s="57">
        <f>VLOOKUP(A28,'Existing Contracts - Entry'!$A:$N,MATCH('User Inputs'!$C$7,'Existing Contracts - Entry'!$A$1:$N$1,0),FALSE)</f>
        <v>0</v>
      </c>
      <c r="C28" s="57">
        <f ca="1" xml:space="preserve"> VLOOKUP(A28, INDIRECT("'"&amp;'Drop Down Inputs'!$A$10&amp;"'!"&amp;" $A:$F"),MATCH($C$1, INDIRECT("'"&amp;'Drop Down Inputs'!$A$10&amp;"'!"&amp;"$A$1:$F$1"),0), FALSE)</f>
        <v>10723835.616438357</v>
      </c>
      <c r="J28" s="268" t="str">
        <f>VLOOKUP(A28,'Locations &amp; Types'!$A:$B,2,FALSE)</f>
        <v>BEACH TERMINAL</v>
      </c>
    </row>
    <row r="29" spans="1:10" ht="15.75" thickBot="1">
      <c r="A29" s="14" t="s">
        <v>24</v>
      </c>
      <c r="B29" s="57">
        <f>VLOOKUP(A29,'Existing Contracts - Entry'!$A:$N,MATCH('User Inputs'!$C$7,'Existing Contracts - Entry'!$A$1:$N$1,0),FALSE)</f>
        <v>0</v>
      </c>
      <c r="C29" s="57">
        <f ca="1" xml:space="preserve"> VLOOKUP(A29, INDIRECT("'"&amp;'Drop Down Inputs'!$A$10&amp;"'!"&amp;" $A:$F"),MATCH($C$1, INDIRECT("'"&amp;'Drop Down Inputs'!$A$10&amp;"'!"&amp;"$A$1:$F$1"),0), FALSE)</f>
        <v>0</v>
      </c>
      <c r="J29" s="268" t="str">
        <f>VLOOKUP(A29,'Locations &amp; Types'!$A:$B,2,FALSE)</f>
        <v>ONSHORE FIELD</v>
      </c>
    </row>
    <row r="30" spans="1:10">
      <c r="A30" s="64" t="s">
        <v>370</v>
      </c>
      <c r="B30" s="142">
        <f>SUM(B3:B29)</f>
        <v>3853587697.1534252</v>
      </c>
      <c r="C30" s="142">
        <f ca="1">SUM(C3:C29)</f>
        <v>5632798105.6929121</v>
      </c>
      <c r="J30" s="266"/>
    </row>
    <row r="31" spans="1:10">
      <c r="A31" s="266"/>
      <c r="C31" s="164"/>
    </row>
  </sheetData>
  <conditionalFormatting sqref="C3">
    <cfRule type="cellIs" dxfId="1" priority="8" operator="lessThan">
      <formula>B3</formula>
    </cfRule>
  </conditionalFormatting>
  <conditionalFormatting sqref="C4:C29">
    <cfRule type="cellIs" dxfId="0" priority="4" operator="lessThan">
      <formula>B4</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8" r:id="rId4" name="Button 6">
              <controlPr defaultSize="0" print="0" autoFill="0" autoPict="0" macro="[0]!anticipated_entry_revenue_recovery">
                <anchor moveWithCells="1" sizeWithCells="1">
                  <from>
                    <xdr:col>3</xdr:col>
                    <xdr:colOff>581025</xdr:colOff>
                    <xdr:row>2</xdr:row>
                    <xdr:rowOff>104775</xdr:rowOff>
                  </from>
                  <to>
                    <xdr:col>5</xdr:col>
                    <xdr:colOff>885825</xdr:colOff>
                    <xdr:row>5</xdr:row>
                    <xdr:rowOff>161925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5" tint="0.39997558519241921"/>
  </sheetPr>
  <dimension ref="A1:D232"/>
  <sheetViews>
    <sheetView topLeftCell="A141" workbookViewId="0">
      <selection activeCell="B156" sqref="B156"/>
    </sheetView>
  </sheetViews>
  <sheetFormatPr defaultColWidth="8.85546875" defaultRowHeight="15"/>
  <cols>
    <col min="1" max="1" width="0.5703125" customWidth="1"/>
    <col min="2" max="2" width="47" customWidth="1"/>
    <col min="3" max="3" width="21.140625" customWidth="1"/>
    <col min="4" max="4" width="17.42578125" hidden="1" customWidth="1"/>
    <col min="6" max="6" width="16.140625" bestFit="1" customWidth="1"/>
  </cols>
  <sheetData>
    <row r="1" spans="1:4" ht="26.25">
      <c r="B1" s="41"/>
      <c r="C1" s="174" t="s">
        <v>516</v>
      </c>
      <c r="D1" s="251"/>
    </row>
    <row r="2" spans="1:4" ht="15.75" thickBot="1">
      <c r="B2" s="41"/>
      <c r="C2" s="38" t="s">
        <v>338</v>
      </c>
      <c r="D2" s="250" t="s">
        <v>476</v>
      </c>
    </row>
    <row r="3" spans="1:4">
      <c r="A3" t="str">
        <f>VLOOKUP(B3, 'Exit Prices'!$A$3:$B$222, 2, 0)</f>
        <v>DNO</v>
      </c>
      <c r="B3" s="2" t="s">
        <v>26</v>
      </c>
      <c r="C3" s="89">
        <f ca="1" xml:space="preserve"> VLOOKUP(B3, INDIRECT("'"&amp;'Drop Down Inputs'!$B$10&amp;"'!"&amp;" $A:$F"),MATCH($C$1, INDIRECT("'"&amp;'Drop Down Inputs'!$B$10&amp;"'!"&amp;"$A$1:$F$1"),0), FALSE)</f>
        <v>21639348</v>
      </c>
      <c r="D3" s="252" t="str">
        <f>VLOOKUP($B3, 'Exit Prices'!$A$3:$B$222, 2, 0)</f>
        <v>DNO</v>
      </c>
    </row>
    <row r="4" spans="1:4">
      <c r="A4" t="str">
        <f>VLOOKUP(B4, 'Exit Prices'!$A$3:$B$222, 2, 0)</f>
        <v>POWER STATION</v>
      </c>
      <c r="B4" s="2" t="s">
        <v>27</v>
      </c>
      <c r="C4" s="89">
        <f ca="1" xml:space="preserve"> VLOOKUP(B4, INDIRECT("'"&amp;'Drop Down Inputs'!$B$10&amp;"'!"&amp;" $A:$F"),MATCH($C$1, INDIRECT("'"&amp;'Drop Down Inputs'!$B$10&amp;"'!"&amp;"$A$1:$F$1"),0), FALSE)</f>
        <v>27992295.175342467</v>
      </c>
      <c r="D4" s="252" t="str">
        <f>VLOOKUP($B4, 'Exit Prices'!$A$3:$B$222, 2, 0)</f>
        <v>POWER STATION</v>
      </c>
    </row>
    <row r="5" spans="1:4">
      <c r="A5" t="str">
        <f>VLOOKUP(B5, 'Exit Prices'!$A$3:$B$222, 2, 0)</f>
        <v>DNO</v>
      </c>
      <c r="B5" s="2" t="s">
        <v>28</v>
      </c>
      <c r="C5" s="89">
        <f ca="1" xml:space="preserve"> VLOOKUP(B5, INDIRECT("'"&amp;'Drop Down Inputs'!$B$10&amp;"'!"&amp;" $A:$F"),MATCH($C$1, INDIRECT("'"&amp;'Drop Down Inputs'!$B$10&amp;"'!"&amp;"$A$1:$F$1"),0), FALSE)</f>
        <v>64721087</v>
      </c>
      <c r="D5" s="252" t="str">
        <f>VLOOKUP($B5, 'Exit Prices'!$A$3:$B$222, 2, 0)</f>
        <v>DNO</v>
      </c>
    </row>
    <row r="6" spans="1:4">
      <c r="A6" t="str">
        <f>VLOOKUP(B6, 'Exit Prices'!$A$3:$B$222, 2, 0)</f>
        <v>DNO</v>
      </c>
      <c r="B6" s="2" t="s">
        <v>29</v>
      </c>
      <c r="C6" s="89">
        <f ca="1" xml:space="preserve"> VLOOKUP(B6, INDIRECT("'"&amp;'Drop Down Inputs'!$B$10&amp;"'!"&amp;" $A:$F"),MATCH($C$1, INDIRECT("'"&amp;'Drop Down Inputs'!$B$10&amp;"'!"&amp;"$A$1:$F$1"),0), FALSE)</f>
        <v>72462290</v>
      </c>
      <c r="D6" s="252" t="str">
        <f>VLOOKUP($B6, 'Exit Prices'!$A$3:$B$222, 2, 0)</f>
        <v>DNO</v>
      </c>
    </row>
    <row r="7" spans="1:4">
      <c r="A7" t="str">
        <f>VLOOKUP(B7, 'Exit Prices'!$A$3:$B$222, 2, 0)</f>
        <v>INDUSTRIAL</v>
      </c>
      <c r="B7" s="2" t="s">
        <v>240</v>
      </c>
      <c r="C7" s="89">
        <f ca="1" xml:space="preserve"> VLOOKUP(B7, INDIRECT("'"&amp;'Drop Down Inputs'!$B$10&amp;"'!"&amp;" $A:$F"),MATCH($C$1, INDIRECT("'"&amp;'Drop Down Inputs'!$B$10&amp;"'!"&amp;"$A$1:$F$1"),0), FALSE)</f>
        <v>0</v>
      </c>
      <c r="D7" s="252" t="str">
        <f>VLOOKUP($B7, 'Exit Prices'!$A$3:$B$222, 2, 0)</f>
        <v>INDUSTRIAL</v>
      </c>
    </row>
    <row r="8" spans="1:4">
      <c r="A8" t="str">
        <f>VLOOKUP(B8, 'Exit Prices'!$A$3:$B$222, 2, 0)</f>
        <v>DNO</v>
      </c>
      <c r="B8" s="2" t="s">
        <v>30</v>
      </c>
      <c r="C8" s="89">
        <f ca="1" xml:space="preserve"> VLOOKUP(B8, INDIRECT("'"&amp;'Drop Down Inputs'!$B$10&amp;"'!"&amp;" $A:$F"),MATCH($C$1, INDIRECT("'"&amp;'Drop Down Inputs'!$B$10&amp;"'!"&amp;"$A$1:$F$1"),0), FALSE)</f>
        <v>7519525</v>
      </c>
      <c r="D8" s="252" t="str">
        <f>VLOOKUP($B8, 'Exit Prices'!$A$3:$B$222, 2, 0)</f>
        <v>DNO</v>
      </c>
    </row>
    <row r="9" spans="1:4">
      <c r="A9" t="str">
        <f>VLOOKUP(B9, 'Exit Prices'!$A$3:$B$222, 2, 0)</f>
        <v>DNO</v>
      </c>
      <c r="B9" s="2" t="s">
        <v>31</v>
      </c>
      <c r="C9" s="89">
        <f ca="1" xml:space="preserve"> VLOOKUP(B9, INDIRECT("'"&amp;'Drop Down Inputs'!$B$10&amp;"'!"&amp;" $A:$F"),MATCH($C$1, INDIRECT("'"&amp;'Drop Down Inputs'!$B$10&amp;"'!"&amp;"$A$1:$F$1"),0), FALSE)</f>
        <v>50894176</v>
      </c>
      <c r="D9" s="252" t="str">
        <f>VLOOKUP($B9, 'Exit Prices'!$A$3:$B$222, 2, 0)</f>
        <v>DNO</v>
      </c>
    </row>
    <row r="10" spans="1:4">
      <c r="A10" t="str">
        <f>VLOOKUP(B10, 'Exit Prices'!$A$3:$B$222, 2, 0)</f>
        <v>DNO</v>
      </c>
      <c r="B10" s="2" t="s">
        <v>32</v>
      </c>
      <c r="C10" s="89">
        <f ca="1" xml:space="preserve"> VLOOKUP(B10, INDIRECT("'"&amp;'Drop Down Inputs'!$B$10&amp;"'!"&amp;" $A:$F"),MATCH($C$1, INDIRECT("'"&amp;'Drop Down Inputs'!$B$10&amp;"'!"&amp;"$A$1:$F$1"),0), FALSE)</f>
        <v>3586201</v>
      </c>
      <c r="D10" s="252" t="str">
        <f>VLOOKUP($B10, 'Exit Prices'!$A$3:$B$222, 2, 0)</f>
        <v>DNO</v>
      </c>
    </row>
    <row r="11" spans="1:4">
      <c r="A11" t="str">
        <f>VLOOKUP(B11, 'Exit Prices'!$A$3:$B$222, 2, 0)</f>
        <v>DNO</v>
      </c>
      <c r="B11" s="2" t="s">
        <v>33</v>
      </c>
      <c r="C11" s="89">
        <f ca="1" xml:space="preserve"> VLOOKUP(B11, INDIRECT("'"&amp;'Drop Down Inputs'!$B$10&amp;"'!"&amp;" $A:$F"),MATCH($C$1, INDIRECT("'"&amp;'Drop Down Inputs'!$B$10&amp;"'!"&amp;"$A$1:$F$1"),0), FALSE)</f>
        <v>8037574</v>
      </c>
      <c r="D11" s="252" t="str">
        <f>VLOOKUP($B11, 'Exit Prices'!$A$3:$B$222, 2, 0)</f>
        <v>DNO</v>
      </c>
    </row>
    <row r="12" spans="1:4">
      <c r="A12" t="str">
        <f>VLOOKUP(B12, 'Exit Prices'!$A$3:$B$222, 2, 0)</f>
        <v>DNO</v>
      </c>
      <c r="B12" s="2" t="s">
        <v>34</v>
      </c>
      <c r="C12" s="89">
        <f ca="1" xml:space="preserve"> VLOOKUP(B12, INDIRECT("'"&amp;'Drop Down Inputs'!$B$10&amp;"'!"&amp;" $A:$F"),MATCH($C$1, INDIRECT("'"&amp;'Drop Down Inputs'!$B$10&amp;"'!"&amp;"$A$1:$F$1"),0), FALSE)</f>
        <v>13572412</v>
      </c>
      <c r="D12" s="252" t="str">
        <f>VLOOKUP($B12, 'Exit Prices'!$A$3:$B$222, 2, 0)</f>
        <v>DNO</v>
      </c>
    </row>
    <row r="13" spans="1:4">
      <c r="A13" t="str">
        <f>VLOOKUP(B13, 'Exit Prices'!$A$3:$B$222, 2, 0)</f>
        <v>DNO</v>
      </c>
      <c r="B13" s="2" t="s">
        <v>35</v>
      </c>
      <c r="C13" s="89">
        <f ca="1" xml:space="preserve"> VLOOKUP(B13, INDIRECT("'"&amp;'Drop Down Inputs'!$B$10&amp;"'!"&amp;" $A:$F"),MATCH($C$1, INDIRECT("'"&amp;'Drop Down Inputs'!$B$10&amp;"'!"&amp;"$A$1:$F$1"),0), FALSE)</f>
        <v>59601211</v>
      </c>
      <c r="D13" s="252" t="str">
        <f>VLOOKUP($B13, 'Exit Prices'!$A$3:$B$222, 2, 0)</f>
        <v>DNO</v>
      </c>
    </row>
    <row r="14" spans="1:4">
      <c r="A14" t="str">
        <f>VLOOKUP(B14, 'Exit Prices'!$A$3:$B$222, 2, 0)</f>
        <v>STORAGE SITE</v>
      </c>
      <c r="B14" s="2" t="s">
        <v>36</v>
      </c>
      <c r="C14" s="89">
        <f ca="1" xml:space="preserve"> VLOOKUP(B14, INDIRECT("'"&amp;'Drop Down Inputs'!$B$10&amp;"'!"&amp;" $A:$F"),MATCH($C$1, INDIRECT("'"&amp;'Drop Down Inputs'!$B$10&amp;"'!"&amp;"$A$1:$F$1"),0), FALSE)</f>
        <v>0</v>
      </c>
      <c r="D14" s="252" t="str">
        <f>VLOOKUP($B14, 'Exit Prices'!$A$3:$B$222, 2, 0)</f>
        <v>STORAGE SITE</v>
      </c>
    </row>
    <row r="15" spans="1:4">
      <c r="A15" t="str">
        <f>VLOOKUP(B15, 'Exit Prices'!$A$3:$B$222, 2, 0)</f>
        <v>DNO</v>
      </c>
      <c r="B15" s="2" t="s">
        <v>37</v>
      </c>
      <c r="C15" s="89">
        <f ca="1" xml:space="preserve"> VLOOKUP(B15, INDIRECT("'"&amp;'Drop Down Inputs'!$B$10&amp;"'!"&amp;" $A:$F"),MATCH($C$1, INDIRECT("'"&amp;'Drop Down Inputs'!$B$10&amp;"'!"&amp;"$A$1:$F$1"),0), FALSE)</f>
        <v>19275940</v>
      </c>
      <c r="D15" s="252" t="str">
        <f>VLOOKUP($B15, 'Exit Prices'!$A$3:$B$222, 2, 0)</f>
        <v>DNO</v>
      </c>
    </row>
    <row r="16" spans="1:4">
      <c r="A16" t="str">
        <f>VLOOKUP(B16, 'Exit Prices'!$A$3:$B$222, 2, 0)</f>
        <v>DNO</v>
      </c>
      <c r="B16" s="2" t="s">
        <v>38</v>
      </c>
      <c r="C16" s="89">
        <f ca="1" xml:space="preserve"> VLOOKUP(B16, INDIRECT("'"&amp;'Drop Down Inputs'!$B$10&amp;"'!"&amp;" $A:$F"),MATCH($C$1, INDIRECT("'"&amp;'Drop Down Inputs'!$B$10&amp;"'!"&amp;"$A$1:$F$1"),0), FALSE)</f>
        <v>2844268</v>
      </c>
      <c r="D16" s="252" t="str">
        <f>VLOOKUP($B16, 'Exit Prices'!$A$3:$B$222, 2, 0)</f>
        <v>DNO</v>
      </c>
    </row>
    <row r="17" spans="1:4">
      <c r="A17" t="str">
        <f>VLOOKUP(B17, 'Exit Prices'!$A$3:$B$222, 2, 0)</f>
        <v>STORAGE SITE</v>
      </c>
      <c r="B17" s="2" t="s">
        <v>39</v>
      </c>
      <c r="C17" s="89">
        <f ca="1" xml:space="preserve"> VLOOKUP(B17, INDIRECT("'"&amp;'Drop Down Inputs'!$B$10&amp;"'!"&amp;" $A:$F"),MATCH($C$1, INDIRECT("'"&amp;'Drop Down Inputs'!$B$10&amp;"'!"&amp;"$A$1:$F$1"),0), FALSE)</f>
        <v>0</v>
      </c>
      <c r="D17" s="252" t="str">
        <f>VLOOKUP($B17, 'Exit Prices'!$A$3:$B$222, 2, 0)</f>
        <v>STORAGE SITE</v>
      </c>
    </row>
    <row r="18" spans="1:4">
      <c r="A18" t="str">
        <f>VLOOKUP(B18, 'Exit Prices'!$A$3:$B$222, 2, 0)</f>
        <v>INTERCONNECTOR</v>
      </c>
      <c r="B18" s="2" t="s">
        <v>40</v>
      </c>
      <c r="C18" s="89">
        <f ca="1" xml:space="preserve"> VLOOKUP(B18, INDIRECT("'"&amp;'Drop Down Inputs'!$B$10&amp;"'!"&amp;" $A:$F"),MATCH($C$1, INDIRECT("'"&amp;'Drop Down Inputs'!$B$10&amp;"'!"&amp;"$A$1:$F$1"),0), FALSE)</f>
        <v>281930.30136986304</v>
      </c>
      <c r="D18" s="252" t="str">
        <f>VLOOKUP($B18, 'Exit Prices'!$A$3:$B$222, 2, 0)</f>
        <v>INTERCONNECTOR</v>
      </c>
    </row>
    <row r="19" spans="1:4">
      <c r="A19" t="str">
        <f>VLOOKUP(B19, 'Exit Prices'!$A$3:$B$222, 2, 0)</f>
        <v>POWER STATION</v>
      </c>
      <c r="B19" s="2" t="s">
        <v>41</v>
      </c>
      <c r="C19" s="89">
        <f ca="1" xml:space="preserve"> VLOOKUP(B19, INDIRECT("'"&amp;'Drop Down Inputs'!$B$10&amp;"'!"&amp;" $A:$F"),MATCH($C$1, INDIRECT("'"&amp;'Drop Down Inputs'!$B$10&amp;"'!"&amp;"$A$1:$F$1"),0), FALSE)</f>
        <v>20000000</v>
      </c>
      <c r="D19" s="252" t="str">
        <f>VLOOKUP($B19, 'Exit Prices'!$A$3:$B$222, 2, 0)</f>
        <v>POWER STATION</v>
      </c>
    </row>
    <row r="20" spans="1:4">
      <c r="A20" t="str">
        <f>VLOOKUP(B20, 'Exit Prices'!$A$3:$B$222, 2, 0)</f>
        <v>INTERCONNECTOR</v>
      </c>
      <c r="B20" s="2" t="s">
        <v>42</v>
      </c>
      <c r="C20" s="89">
        <f ca="1" xml:space="preserve"> VLOOKUP(B20, INDIRECT("'"&amp;'Drop Down Inputs'!$B$10&amp;"'!"&amp;" $A:$F"),MATCH($C$1, INDIRECT("'"&amp;'Drop Down Inputs'!$B$10&amp;"'!"&amp;"$A$1:$F$1"),0), FALSE)</f>
        <v>174391001.25205481</v>
      </c>
      <c r="D20" s="252" t="str">
        <f>VLOOKUP($B20, 'Exit Prices'!$A$3:$B$222, 2, 0)</f>
        <v>INTERCONNECTOR</v>
      </c>
    </row>
    <row r="21" spans="1:4">
      <c r="A21" t="str">
        <f>VLOOKUP(B21, 'Exit Prices'!$A$3:$B$222, 2, 0)</f>
        <v>DNO</v>
      </c>
      <c r="B21" s="2" t="s">
        <v>43</v>
      </c>
      <c r="C21" s="89">
        <f ca="1" xml:space="preserve"> VLOOKUP(B21, INDIRECT("'"&amp;'Drop Down Inputs'!$B$10&amp;"'!"&amp;" $A:$F"),MATCH($C$1, INDIRECT("'"&amp;'Drop Down Inputs'!$B$10&amp;"'!"&amp;"$A$1:$F$1"),0), FALSE)</f>
        <v>1126642</v>
      </c>
      <c r="D21" s="252" t="str">
        <f>VLOOKUP($B21, 'Exit Prices'!$A$3:$B$222, 2, 0)</f>
        <v>DNO</v>
      </c>
    </row>
    <row r="22" spans="1:4">
      <c r="A22" t="str">
        <f>VLOOKUP(B22, 'Exit Prices'!$A$3:$B$222, 2, 0)</f>
        <v>DNO</v>
      </c>
      <c r="B22" s="2" t="s">
        <v>44</v>
      </c>
      <c r="C22" s="89">
        <f ca="1" xml:space="preserve"> VLOOKUP(B22, INDIRECT("'"&amp;'Drop Down Inputs'!$B$10&amp;"'!"&amp;" $A:$F"),MATCH($C$1, INDIRECT("'"&amp;'Drop Down Inputs'!$B$10&amp;"'!"&amp;"$A$1:$F$1"),0), FALSE)</f>
        <v>14957981</v>
      </c>
      <c r="D22" s="252" t="str">
        <f>VLOOKUP($B22, 'Exit Prices'!$A$3:$B$222, 2, 0)</f>
        <v>DNO</v>
      </c>
    </row>
    <row r="23" spans="1:4">
      <c r="A23" t="str">
        <f>VLOOKUP(B23, 'Exit Prices'!$A$3:$B$222, 2, 0)</f>
        <v>POWER STATION</v>
      </c>
      <c r="B23" s="2" t="s">
        <v>45</v>
      </c>
      <c r="C23" s="89">
        <f ca="1" xml:space="preserve"> VLOOKUP(B23, INDIRECT("'"&amp;'Drop Down Inputs'!$B$10&amp;"'!"&amp;" $A:$F"),MATCH($C$1, INDIRECT("'"&amp;'Drop Down Inputs'!$B$10&amp;"'!"&amp;"$A$1:$F$1"),0), FALSE)</f>
        <v>0</v>
      </c>
      <c r="D23" s="252" t="str">
        <f>VLOOKUP($B23, 'Exit Prices'!$A$3:$B$222, 2, 0)</f>
        <v>POWER STATION</v>
      </c>
    </row>
    <row r="24" spans="1:4">
      <c r="A24" t="str">
        <f>VLOOKUP(B24, 'Exit Prices'!$A$3:$B$222, 2, 0)</f>
        <v>STORAGE SITE</v>
      </c>
      <c r="B24" s="2" t="s">
        <v>46</v>
      </c>
      <c r="C24" s="89">
        <f ca="1" xml:space="preserve"> VLOOKUP(B24, INDIRECT("'"&amp;'Drop Down Inputs'!$B$10&amp;"'!"&amp;" $A:$F"),MATCH($C$1, INDIRECT("'"&amp;'Drop Down Inputs'!$B$10&amp;"'!"&amp;"$A$1:$F$1"),0), FALSE)</f>
        <v>0</v>
      </c>
      <c r="D24" s="252" t="str">
        <f>VLOOKUP($B24, 'Exit Prices'!$A$3:$B$222, 2, 0)</f>
        <v>STORAGE SITE</v>
      </c>
    </row>
    <row r="25" spans="1:4">
      <c r="A25" t="str">
        <f>VLOOKUP(B25, 'Exit Prices'!$A$3:$B$222, 2, 0)</f>
        <v>INDUSTRIAL</v>
      </c>
      <c r="B25" s="2" t="s">
        <v>47</v>
      </c>
      <c r="C25" s="89">
        <f ca="1" xml:space="preserve"> VLOOKUP(B25, INDIRECT("'"&amp;'Drop Down Inputs'!$B$10&amp;"'!"&amp;" $A:$F"),MATCH($C$1, INDIRECT("'"&amp;'Drop Down Inputs'!$B$10&amp;"'!"&amp;"$A$1:$F$1"),0), FALSE)</f>
        <v>1000000</v>
      </c>
      <c r="D25" s="252" t="str">
        <f>VLOOKUP($B25, 'Exit Prices'!$A$3:$B$222, 2, 0)</f>
        <v>INDUSTRIAL</v>
      </c>
    </row>
    <row r="26" spans="1:4">
      <c r="A26" t="str">
        <f>VLOOKUP(B26, 'Exit Prices'!$A$3:$B$222, 2, 0)</f>
        <v>STORAGE SITE</v>
      </c>
      <c r="B26" s="2" t="s">
        <v>48</v>
      </c>
      <c r="C26" s="89">
        <f ca="1" xml:space="preserve"> VLOOKUP(B26, INDIRECT("'"&amp;'Drop Down Inputs'!$B$10&amp;"'!"&amp;" $A:$F"),MATCH($C$1, INDIRECT("'"&amp;'Drop Down Inputs'!$B$10&amp;"'!"&amp;"$A$1:$F$1"),0), FALSE)</f>
        <v>0</v>
      </c>
      <c r="D26" s="252" t="str">
        <f>VLOOKUP($B26, 'Exit Prices'!$A$3:$B$222, 2, 0)</f>
        <v>STORAGE SITE</v>
      </c>
    </row>
    <row r="27" spans="1:4">
      <c r="A27" t="str">
        <f>VLOOKUP(B27, 'Exit Prices'!$A$3:$B$222, 2, 0)</f>
        <v>STORAGE SITE</v>
      </c>
      <c r="B27" s="2" t="s">
        <v>49</v>
      </c>
      <c r="C27" s="89">
        <f ca="1" xml:space="preserve"> VLOOKUP(B27, INDIRECT("'"&amp;'Drop Down Inputs'!$B$10&amp;"'!"&amp;" $A:$F"),MATCH($C$1, INDIRECT("'"&amp;'Drop Down Inputs'!$B$10&amp;"'!"&amp;"$A$1:$F$1"),0), FALSE)</f>
        <v>6270352.3013698645</v>
      </c>
      <c r="D27" s="252" t="str">
        <f>VLOOKUP($B27, 'Exit Prices'!$A$3:$B$222, 2, 0)</f>
        <v>STORAGE SITE</v>
      </c>
    </row>
    <row r="28" spans="1:4">
      <c r="A28" t="str">
        <f>VLOOKUP(B28, 'Exit Prices'!$A$3:$B$222, 2, 0)</f>
        <v>DNO</v>
      </c>
      <c r="B28" s="2" t="s">
        <v>50</v>
      </c>
      <c r="C28" s="89">
        <f ca="1" xml:space="preserve"> VLOOKUP(B28, INDIRECT("'"&amp;'Drop Down Inputs'!$B$10&amp;"'!"&amp;" $A:$F"),MATCH($C$1, INDIRECT("'"&amp;'Drop Down Inputs'!$B$10&amp;"'!"&amp;"$A$1:$F$1"),0), FALSE)</f>
        <v>24494907</v>
      </c>
      <c r="D28" s="252" t="str">
        <f>VLOOKUP($B28, 'Exit Prices'!$A$3:$B$222, 2, 0)</f>
        <v>DNO</v>
      </c>
    </row>
    <row r="29" spans="1:4">
      <c r="A29" t="str">
        <f>VLOOKUP(B29, 'Exit Prices'!$A$3:$B$222, 2, 0)</f>
        <v>INDUSTRIAL</v>
      </c>
      <c r="B29" s="2" t="s">
        <v>51</v>
      </c>
      <c r="C29" s="89">
        <f ca="1" xml:space="preserve"> VLOOKUP(B29, INDIRECT("'"&amp;'Drop Down Inputs'!$B$10&amp;"'!"&amp;" $A:$F"),MATCH($C$1, INDIRECT("'"&amp;'Drop Down Inputs'!$B$10&amp;"'!"&amp;"$A$1:$F$1"),0), FALSE)</f>
        <v>43231850</v>
      </c>
      <c r="D29" s="252" t="str">
        <f>VLOOKUP($B29, 'Exit Prices'!$A$3:$B$222, 2, 0)</f>
        <v>INDUSTRIAL</v>
      </c>
    </row>
    <row r="30" spans="1:4">
      <c r="A30" t="str">
        <f>VLOOKUP(B30, 'Exit Prices'!$A$3:$B$222, 2, 0)</f>
        <v>DNO</v>
      </c>
      <c r="B30" s="2" t="s">
        <v>52</v>
      </c>
      <c r="C30" s="89">
        <f ca="1" xml:space="preserve"> VLOOKUP(B30, INDIRECT("'"&amp;'Drop Down Inputs'!$B$10&amp;"'!"&amp;" $A:$F"),MATCH($C$1, INDIRECT("'"&amp;'Drop Down Inputs'!$B$10&amp;"'!"&amp;"$A$1:$F$1"),0), FALSE)</f>
        <v>55604210</v>
      </c>
      <c r="D30" s="252" t="str">
        <f>VLOOKUP($B30, 'Exit Prices'!$A$3:$B$222, 2, 0)</f>
        <v>DNO</v>
      </c>
    </row>
    <row r="31" spans="1:4">
      <c r="A31" t="str">
        <f>VLOOKUP(B31, 'Exit Prices'!$A$3:$B$222, 2, 0)</f>
        <v>INDUSTRIAL</v>
      </c>
      <c r="B31" s="2" t="s">
        <v>53</v>
      </c>
      <c r="C31" s="89">
        <f ca="1" xml:space="preserve"> VLOOKUP(B31, INDIRECT("'"&amp;'Drop Down Inputs'!$B$10&amp;"'!"&amp;" $A:$F"),MATCH($C$1, INDIRECT("'"&amp;'Drop Down Inputs'!$B$10&amp;"'!"&amp;"$A$1:$F$1"),0), FALSE)</f>
        <v>1151040</v>
      </c>
      <c r="D31" s="252" t="str">
        <f>VLOOKUP($B31, 'Exit Prices'!$A$3:$B$222, 2, 0)</f>
        <v>INDUSTRIAL</v>
      </c>
    </row>
    <row r="32" spans="1:4">
      <c r="A32" t="str">
        <f>VLOOKUP(B32, 'Exit Prices'!$A$3:$B$222, 2, 0)</f>
        <v>DNO</v>
      </c>
      <c r="B32" s="2" t="s">
        <v>54</v>
      </c>
      <c r="C32" s="89">
        <f ca="1" xml:space="preserve"> VLOOKUP(B32, INDIRECT("'"&amp;'Drop Down Inputs'!$B$10&amp;"'!"&amp;" $A:$F"),MATCH($C$1, INDIRECT("'"&amp;'Drop Down Inputs'!$B$10&amp;"'!"&amp;"$A$1:$F$1"),0), FALSE)</f>
        <v>9867513</v>
      </c>
      <c r="D32" s="252" t="str">
        <f>VLOOKUP($B32, 'Exit Prices'!$A$3:$B$222, 2, 0)</f>
        <v>DNO</v>
      </c>
    </row>
    <row r="33" spans="1:4">
      <c r="A33" t="str">
        <f>VLOOKUP(B33, 'Exit Prices'!$A$3:$B$222, 2, 0)</f>
        <v>INDUSTRIAL</v>
      </c>
      <c r="B33" s="2" t="s">
        <v>55</v>
      </c>
      <c r="C33" s="89">
        <f ca="1" xml:space="preserve"> VLOOKUP(B33, INDIRECT("'"&amp;'Drop Down Inputs'!$B$10&amp;"'!"&amp;" $A:$F"),MATCH($C$1, INDIRECT("'"&amp;'Drop Down Inputs'!$B$10&amp;"'!"&amp;"$A$1:$F$1"),0), FALSE)</f>
        <v>27291369.8630137</v>
      </c>
      <c r="D33" s="252" t="str">
        <f>VLOOKUP($B33, 'Exit Prices'!$A$3:$B$222, 2, 0)</f>
        <v>INDUSTRIAL</v>
      </c>
    </row>
    <row r="34" spans="1:4">
      <c r="A34" t="str">
        <f>VLOOKUP(B34, 'Exit Prices'!$A$3:$B$222, 2, 0)</f>
        <v>DNO</v>
      </c>
      <c r="B34" s="2" t="s">
        <v>56</v>
      </c>
      <c r="C34" s="89">
        <f ca="1" xml:space="preserve"> VLOOKUP(B34, INDIRECT("'"&amp;'Drop Down Inputs'!$B$10&amp;"'!"&amp;" $A:$F"),MATCH($C$1, INDIRECT("'"&amp;'Drop Down Inputs'!$B$10&amp;"'!"&amp;"$A$1:$F$1"),0), FALSE)</f>
        <v>126130731</v>
      </c>
      <c r="D34" s="252" t="str">
        <f>VLOOKUP($B34, 'Exit Prices'!$A$3:$B$222, 2, 0)</f>
        <v>DNO</v>
      </c>
    </row>
    <row r="35" spans="1:4">
      <c r="A35" t="str">
        <f>VLOOKUP(B35, 'Exit Prices'!$A$3:$B$222, 2, 0)</f>
        <v>DNO</v>
      </c>
      <c r="B35" s="2" t="s">
        <v>57</v>
      </c>
      <c r="C35" s="89">
        <f ca="1" xml:space="preserve"> VLOOKUP(B35, INDIRECT("'"&amp;'Drop Down Inputs'!$B$10&amp;"'!"&amp;" $A:$F"),MATCH($C$1, INDIRECT("'"&amp;'Drop Down Inputs'!$B$10&amp;"'!"&amp;"$A$1:$F$1"),0), FALSE)</f>
        <v>63346076</v>
      </c>
      <c r="D35" s="252" t="str">
        <f>VLOOKUP($B35, 'Exit Prices'!$A$3:$B$222, 2, 0)</f>
        <v>DNO</v>
      </c>
    </row>
    <row r="36" spans="1:4">
      <c r="A36" t="str">
        <f>VLOOKUP(B36, 'Exit Prices'!$A$3:$B$222, 2, 0)</f>
        <v>POWER STATION</v>
      </c>
      <c r="B36" s="2" t="s">
        <v>58</v>
      </c>
      <c r="C36" s="89">
        <f ca="1" xml:space="preserve"> VLOOKUP(B36, INDIRECT("'"&amp;'Drop Down Inputs'!$B$10&amp;"'!"&amp;" $A:$F"),MATCH($C$1, INDIRECT("'"&amp;'Drop Down Inputs'!$B$10&amp;"'!"&amp;"$A$1:$F$1"),0), FALSE)</f>
        <v>1605479.4520547944</v>
      </c>
      <c r="D36" s="252" t="str">
        <f>VLOOKUP($B36, 'Exit Prices'!$A$3:$B$222, 2, 0)</f>
        <v>POWER STATION</v>
      </c>
    </row>
    <row r="37" spans="1:4">
      <c r="A37" t="str">
        <f>VLOOKUP(B37, 'Exit Prices'!$A$3:$B$222, 2, 0)</f>
        <v>POWER STATION</v>
      </c>
      <c r="B37" s="2" t="s">
        <v>59</v>
      </c>
      <c r="C37" s="89">
        <f ca="1" xml:space="preserve"> VLOOKUP(B37, INDIRECT("'"&amp;'Drop Down Inputs'!$B$10&amp;"'!"&amp;" $A:$F"),MATCH($C$1, INDIRECT("'"&amp;'Drop Down Inputs'!$B$10&amp;"'!"&amp;"$A$1:$F$1"),0), FALSE)</f>
        <v>13982362.493150691</v>
      </c>
      <c r="D37" s="252" t="str">
        <f>VLOOKUP($B37, 'Exit Prices'!$A$3:$B$222, 2, 0)</f>
        <v>POWER STATION</v>
      </c>
    </row>
    <row r="38" spans="1:4">
      <c r="A38" t="str">
        <f>VLOOKUP(B38, 'Exit Prices'!$A$3:$B$222, 2, 0)</f>
        <v>DNO</v>
      </c>
      <c r="B38" s="2" t="s">
        <v>60</v>
      </c>
      <c r="C38" s="89">
        <f ca="1" xml:space="preserve"> VLOOKUP(B38, INDIRECT("'"&amp;'Drop Down Inputs'!$B$10&amp;"'!"&amp;" $A:$F"),MATCH($C$1, INDIRECT("'"&amp;'Drop Down Inputs'!$B$10&amp;"'!"&amp;"$A$1:$F$1"),0), FALSE)</f>
        <v>94132349</v>
      </c>
      <c r="D38" s="252" t="str">
        <f>VLOOKUP($B38, 'Exit Prices'!$A$3:$B$222, 2, 0)</f>
        <v>DNO</v>
      </c>
    </row>
    <row r="39" spans="1:4">
      <c r="A39" t="str">
        <f>VLOOKUP(B39, 'Exit Prices'!$A$3:$B$222, 2, 0)</f>
        <v>DNO</v>
      </c>
      <c r="B39" s="2" t="s">
        <v>61</v>
      </c>
      <c r="C39" s="89">
        <f ca="1" xml:space="preserve"> VLOOKUP(B39, INDIRECT("'"&amp;'Drop Down Inputs'!$B$10&amp;"'!"&amp;" $A:$F"),MATCH($C$1, INDIRECT("'"&amp;'Drop Down Inputs'!$B$10&amp;"'!"&amp;"$A$1:$F$1"),0), FALSE)</f>
        <v>65767083</v>
      </c>
      <c r="D39" s="252" t="str">
        <f>VLOOKUP($B39, 'Exit Prices'!$A$3:$B$222, 2, 0)</f>
        <v>DNO</v>
      </c>
    </row>
    <row r="40" spans="1:4">
      <c r="A40" t="str">
        <f>VLOOKUP(B40, 'Exit Prices'!$A$3:$B$222, 2, 0)</f>
        <v>POWER STATION</v>
      </c>
      <c r="B40" s="2" t="s">
        <v>62</v>
      </c>
      <c r="C40" s="89">
        <f ca="1" xml:space="preserve"> VLOOKUP(B40, INDIRECT("'"&amp;'Drop Down Inputs'!$B$10&amp;"'!"&amp;" $A:$F"),MATCH($C$1, INDIRECT("'"&amp;'Drop Down Inputs'!$B$10&amp;"'!"&amp;"$A$1:$F$1"),0), FALSE)</f>
        <v>105652.43835616432</v>
      </c>
      <c r="D40" s="252" t="str">
        <f>VLOOKUP($B40, 'Exit Prices'!$A$3:$B$222, 2, 0)</f>
        <v>POWER STATION</v>
      </c>
    </row>
    <row r="41" spans="1:4">
      <c r="A41" t="str">
        <f>VLOOKUP(B41, 'Exit Prices'!$A$3:$B$222, 2, 0)</f>
        <v>DNO</v>
      </c>
      <c r="B41" s="2" t="s">
        <v>63</v>
      </c>
      <c r="C41" s="89">
        <f ca="1" xml:space="preserve"> VLOOKUP(B41, INDIRECT("'"&amp;'Drop Down Inputs'!$B$10&amp;"'!"&amp;" $A:$F"),MATCH($C$1, INDIRECT("'"&amp;'Drop Down Inputs'!$B$10&amp;"'!"&amp;"$A$1:$F$1"),0), FALSE)</f>
        <v>2077837</v>
      </c>
      <c r="D41" s="252" t="str">
        <f>VLOOKUP($B41, 'Exit Prices'!$A$3:$B$222, 2, 0)</f>
        <v>DNO</v>
      </c>
    </row>
    <row r="42" spans="1:4">
      <c r="A42" t="str">
        <f>VLOOKUP(B42, 'Exit Prices'!$A$3:$B$222, 2, 0)</f>
        <v>DNO</v>
      </c>
      <c r="B42" s="2" t="s">
        <v>64</v>
      </c>
      <c r="C42" s="89">
        <f ca="1" xml:space="preserve"> VLOOKUP(B42, INDIRECT("'"&amp;'Drop Down Inputs'!$B$10&amp;"'!"&amp;" $A:$F"),MATCH($C$1, INDIRECT("'"&amp;'Drop Down Inputs'!$B$10&amp;"'!"&amp;"$A$1:$F$1"),0), FALSE)</f>
        <v>56250554</v>
      </c>
      <c r="D42" s="252" t="str">
        <f>VLOOKUP($B42, 'Exit Prices'!$A$3:$B$222, 2, 0)</f>
        <v>DNO</v>
      </c>
    </row>
    <row r="43" spans="1:4">
      <c r="A43" t="str">
        <f>VLOOKUP(B43, 'Exit Prices'!$A$3:$B$222, 2, 0)</f>
        <v>DNO</v>
      </c>
      <c r="B43" s="2" t="s">
        <v>65</v>
      </c>
      <c r="C43" s="89">
        <f ca="1" xml:space="preserve"> VLOOKUP(B43, INDIRECT("'"&amp;'Drop Down Inputs'!$B$10&amp;"'!"&amp;" $A:$F"),MATCH($C$1, INDIRECT("'"&amp;'Drop Down Inputs'!$B$10&amp;"'!"&amp;"$A$1:$F$1"),0), FALSE)</f>
        <v>13868151</v>
      </c>
      <c r="D43" s="252" t="str">
        <f>VLOOKUP($B43, 'Exit Prices'!$A$3:$B$222, 2, 0)</f>
        <v>DNO</v>
      </c>
    </row>
    <row r="44" spans="1:4">
      <c r="A44" t="str">
        <f>VLOOKUP(B44, 'Exit Prices'!$A$3:$B$222, 2, 0)</f>
        <v>DNO</v>
      </c>
      <c r="B44" s="2" t="s">
        <v>66</v>
      </c>
      <c r="C44" s="89">
        <f ca="1" xml:space="preserve"> VLOOKUP(B44, INDIRECT("'"&amp;'Drop Down Inputs'!$B$10&amp;"'!"&amp;" $A:$F"),MATCH($C$1, INDIRECT("'"&amp;'Drop Down Inputs'!$B$10&amp;"'!"&amp;"$A$1:$F$1"),0), FALSE)</f>
        <v>20624435</v>
      </c>
      <c r="D44" s="252" t="str">
        <f>VLOOKUP($B44, 'Exit Prices'!$A$3:$B$222, 2, 0)</f>
        <v>DNO</v>
      </c>
    </row>
    <row r="45" spans="1:4">
      <c r="A45" t="str">
        <f>VLOOKUP(B45, 'Exit Prices'!$A$3:$B$222, 2, 0)</f>
        <v>POWER STATION</v>
      </c>
      <c r="B45" s="2" t="s">
        <v>67</v>
      </c>
      <c r="C45" s="89">
        <f ca="1" xml:space="preserve"> VLOOKUP(B45, INDIRECT("'"&amp;'Drop Down Inputs'!$B$10&amp;"'!"&amp;" $A:$F"),MATCH($C$1, INDIRECT("'"&amp;'Drop Down Inputs'!$B$10&amp;"'!"&amp;"$A$1:$F$1"),0), FALSE)</f>
        <v>13827622.451506849</v>
      </c>
      <c r="D45" s="252" t="str">
        <f>VLOOKUP($B45, 'Exit Prices'!$A$3:$B$222, 2, 0)</f>
        <v>POWER STATION</v>
      </c>
    </row>
    <row r="46" spans="1:4">
      <c r="A46" t="str">
        <f>VLOOKUP(B46, 'Exit Prices'!$A$3:$B$222, 2, 0)</f>
        <v>DNO</v>
      </c>
      <c r="B46" s="2" t="s">
        <v>68</v>
      </c>
      <c r="C46" s="89">
        <f ca="1" xml:space="preserve"> VLOOKUP(B46, INDIRECT("'"&amp;'Drop Down Inputs'!$B$10&amp;"'!"&amp;" $A:$F"),MATCH($C$1, INDIRECT("'"&amp;'Drop Down Inputs'!$B$10&amp;"'!"&amp;"$A$1:$F$1"),0), FALSE)</f>
        <v>8977861</v>
      </c>
      <c r="D46" s="252" t="str">
        <f>VLOOKUP($B46, 'Exit Prices'!$A$3:$B$222, 2, 0)</f>
        <v>DNO</v>
      </c>
    </row>
    <row r="47" spans="1:4">
      <c r="A47" t="str">
        <f>VLOOKUP(B47, 'Exit Prices'!$A$3:$B$222, 2, 0)</f>
        <v>POWER STATION</v>
      </c>
      <c r="B47" s="2" t="s">
        <v>69</v>
      </c>
      <c r="C47" s="89">
        <f ca="1" xml:space="preserve"> VLOOKUP(B47, INDIRECT("'"&amp;'Drop Down Inputs'!$B$10&amp;"'!"&amp;" $A:$F"),MATCH($C$1, INDIRECT("'"&amp;'Drop Down Inputs'!$B$10&amp;"'!"&amp;"$A$1:$F$1"),0), FALSE)</f>
        <v>343312.71232876705</v>
      </c>
      <c r="D47" s="252" t="str">
        <f>VLOOKUP($B47, 'Exit Prices'!$A$3:$B$222, 2, 0)</f>
        <v>POWER STATION</v>
      </c>
    </row>
    <row r="48" spans="1:4">
      <c r="A48" t="str">
        <f>VLOOKUP(B48, 'Exit Prices'!$A$3:$B$222, 2, 0)</f>
        <v>DNO</v>
      </c>
      <c r="B48" s="2" t="s">
        <v>70</v>
      </c>
      <c r="C48" s="89">
        <f ca="1" xml:space="preserve"> VLOOKUP(B48, INDIRECT("'"&amp;'Drop Down Inputs'!$B$10&amp;"'!"&amp;" $A:$F"),MATCH($C$1, INDIRECT("'"&amp;'Drop Down Inputs'!$B$10&amp;"'!"&amp;"$A$1:$F$1"),0), FALSE)</f>
        <v>0</v>
      </c>
      <c r="D48" s="252" t="str">
        <f>VLOOKUP($B48, 'Exit Prices'!$A$3:$B$222, 2, 0)</f>
        <v>DNO</v>
      </c>
    </row>
    <row r="49" spans="1:4">
      <c r="A49" t="str">
        <f>VLOOKUP(B49, 'Exit Prices'!$A$3:$B$222, 2, 0)</f>
        <v>DNO</v>
      </c>
      <c r="B49" s="2" t="s">
        <v>71</v>
      </c>
      <c r="C49" s="89">
        <f ca="1" xml:space="preserve"> VLOOKUP(B49, INDIRECT("'"&amp;'Drop Down Inputs'!$B$10&amp;"'!"&amp;" $A:$F"),MATCH($C$1, INDIRECT("'"&amp;'Drop Down Inputs'!$B$10&amp;"'!"&amp;"$A$1:$F$1"),0), FALSE)</f>
        <v>4137186</v>
      </c>
      <c r="D49" s="252" t="str">
        <f>VLOOKUP($B49, 'Exit Prices'!$A$3:$B$222, 2, 0)</f>
        <v>DNO</v>
      </c>
    </row>
    <row r="50" spans="1:4">
      <c r="A50" t="str">
        <f>VLOOKUP(B50, 'Exit Prices'!$A$3:$B$222, 2, 0)</f>
        <v>POWER STATION</v>
      </c>
      <c r="B50" s="2" t="s">
        <v>72</v>
      </c>
      <c r="C50" s="89">
        <f ca="1" xml:space="preserve"> VLOOKUP(B50, INDIRECT("'"&amp;'Drop Down Inputs'!$B$10&amp;"'!"&amp;" $A:$F"),MATCH($C$1, INDIRECT("'"&amp;'Drop Down Inputs'!$B$10&amp;"'!"&amp;"$A$1:$F$1"),0), FALSE)</f>
        <v>22847239.890410975</v>
      </c>
      <c r="D50" s="252" t="str">
        <f>VLOOKUP($B50, 'Exit Prices'!$A$3:$B$222, 2, 0)</f>
        <v>POWER STATION</v>
      </c>
    </row>
    <row r="51" spans="1:4">
      <c r="A51" t="str">
        <f>VLOOKUP(B51, 'Exit Prices'!$A$3:$B$222, 2, 0)</f>
        <v>STORAGE SITE</v>
      </c>
      <c r="B51" s="2" t="s">
        <v>9</v>
      </c>
      <c r="C51" s="89">
        <f ca="1" xml:space="preserve"> VLOOKUP(B51, INDIRECT("'"&amp;'Drop Down Inputs'!$B$10&amp;"'!"&amp;" $A:$F"),MATCH($C$1, INDIRECT("'"&amp;'Drop Down Inputs'!$B$10&amp;"'!"&amp;"$A$1:$F$1"),0), FALSE)</f>
        <v>0</v>
      </c>
      <c r="D51" s="252" t="str">
        <f>VLOOKUP($B51, 'Exit Prices'!$A$3:$B$222, 2, 0)</f>
        <v>STORAGE SITE</v>
      </c>
    </row>
    <row r="52" spans="1:4">
      <c r="A52" t="str">
        <f>VLOOKUP(B52, 'Exit Prices'!$A$3:$B$222, 2, 0)</f>
        <v>INDUSTRIAL</v>
      </c>
      <c r="B52" s="2" t="s">
        <v>73</v>
      </c>
      <c r="C52" s="89">
        <f ca="1" xml:space="preserve"> VLOOKUP(B52, INDIRECT("'"&amp;'Drop Down Inputs'!$B$10&amp;"'!"&amp;" $A:$F"),MATCH($C$1, INDIRECT("'"&amp;'Drop Down Inputs'!$B$10&amp;"'!"&amp;"$A$1:$F$1"),0), FALSE)</f>
        <v>85000</v>
      </c>
      <c r="D52" s="252" t="str">
        <f>VLOOKUP($B52, 'Exit Prices'!$A$3:$B$222, 2, 0)</f>
        <v>INDUSTRIAL</v>
      </c>
    </row>
    <row r="53" spans="1:4">
      <c r="A53" t="str">
        <f>VLOOKUP(B53, 'Exit Prices'!$A$3:$B$222, 2, 0)</f>
        <v>DNO</v>
      </c>
      <c r="B53" s="2" t="s">
        <v>74</v>
      </c>
      <c r="C53" s="89">
        <f ca="1" xml:space="preserve"> VLOOKUP(B53, INDIRECT("'"&amp;'Drop Down Inputs'!$B$10&amp;"'!"&amp;" $A:$F"),MATCH($C$1, INDIRECT("'"&amp;'Drop Down Inputs'!$B$10&amp;"'!"&amp;"$A$1:$F$1"),0), FALSE)</f>
        <v>7417140</v>
      </c>
      <c r="D53" s="252" t="str">
        <f>VLOOKUP($B53, 'Exit Prices'!$A$3:$B$222, 2, 0)</f>
        <v>DNO</v>
      </c>
    </row>
    <row r="54" spans="1:4">
      <c r="A54" t="str">
        <f>VLOOKUP(B54, 'Exit Prices'!$A$3:$B$222, 2, 0)</f>
        <v>POWER STATION</v>
      </c>
      <c r="B54" s="2" t="s">
        <v>75</v>
      </c>
      <c r="C54" s="89">
        <f ca="1" xml:space="preserve"> VLOOKUP(B54, INDIRECT("'"&amp;'Drop Down Inputs'!$B$10&amp;"'!"&amp;" $A:$F"),MATCH($C$1, INDIRECT("'"&amp;'Drop Down Inputs'!$B$10&amp;"'!"&amp;"$A$1:$F$1"),0), FALSE)</f>
        <v>0</v>
      </c>
      <c r="D54" s="252" t="str">
        <f>VLOOKUP($B54, 'Exit Prices'!$A$3:$B$222, 2, 0)</f>
        <v>POWER STATION</v>
      </c>
    </row>
    <row r="55" spans="1:4">
      <c r="A55" t="str">
        <f>VLOOKUP(B55, 'Exit Prices'!$A$3:$B$222, 2, 0)</f>
        <v>DNO</v>
      </c>
      <c r="B55" s="2" t="s">
        <v>76</v>
      </c>
      <c r="C55" s="89">
        <f ca="1" xml:space="preserve"> VLOOKUP(B55, INDIRECT("'"&amp;'Drop Down Inputs'!$B$10&amp;"'!"&amp;" $A:$F"),MATCH($C$1, INDIRECT("'"&amp;'Drop Down Inputs'!$B$10&amp;"'!"&amp;"$A$1:$F$1"),0), FALSE)</f>
        <v>5150000</v>
      </c>
      <c r="D55" s="252" t="str">
        <f>VLOOKUP($B55, 'Exit Prices'!$A$3:$B$222, 2, 0)</f>
        <v>DNO</v>
      </c>
    </row>
    <row r="56" spans="1:4">
      <c r="A56" t="str">
        <f>VLOOKUP(B56, 'Exit Prices'!$A$3:$B$222, 2, 0)</f>
        <v>DNO</v>
      </c>
      <c r="B56" s="2" t="s">
        <v>77</v>
      </c>
      <c r="C56" s="89">
        <f ca="1" xml:space="preserve"> VLOOKUP(B56, INDIRECT("'"&amp;'Drop Down Inputs'!$B$10&amp;"'!"&amp;" $A:$F"),MATCH($C$1, INDIRECT("'"&amp;'Drop Down Inputs'!$B$10&amp;"'!"&amp;"$A$1:$F$1"),0), FALSE)</f>
        <v>2848927</v>
      </c>
      <c r="D56" s="252" t="str">
        <f>VLOOKUP($B56, 'Exit Prices'!$A$3:$B$222, 2, 0)</f>
        <v>DNO</v>
      </c>
    </row>
    <row r="57" spans="1:4">
      <c r="A57" t="str">
        <f>VLOOKUP(B57, 'Exit Prices'!$A$3:$B$222, 2, 0)</f>
        <v>DNO</v>
      </c>
      <c r="B57" s="2" t="s">
        <v>78</v>
      </c>
      <c r="C57" s="89">
        <f ca="1" xml:space="preserve"> VLOOKUP(B57, INDIRECT("'"&amp;'Drop Down Inputs'!$B$10&amp;"'!"&amp;" $A:$F"),MATCH($C$1, INDIRECT("'"&amp;'Drop Down Inputs'!$B$10&amp;"'!"&amp;"$A$1:$F$1"),0), FALSE)</f>
        <v>57846</v>
      </c>
      <c r="D57" s="252" t="str">
        <f>VLOOKUP($B57, 'Exit Prices'!$A$3:$B$222, 2, 0)</f>
        <v>DNO</v>
      </c>
    </row>
    <row r="58" spans="1:4">
      <c r="A58" t="str">
        <f>VLOOKUP(B58, 'Exit Prices'!$A$3:$B$222, 2, 0)</f>
        <v>POWER STATION</v>
      </c>
      <c r="B58" s="2" t="s">
        <v>79</v>
      </c>
      <c r="C58" s="89">
        <f ca="1" xml:space="preserve"> VLOOKUP(B58, INDIRECT("'"&amp;'Drop Down Inputs'!$B$10&amp;"'!"&amp;" $A:$F"),MATCH($C$1, INDIRECT("'"&amp;'Drop Down Inputs'!$B$10&amp;"'!"&amp;"$A$1:$F$1"),0), FALSE)</f>
        <v>0</v>
      </c>
      <c r="D58" s="252" t="str">
        <f>VLOOKUP($B58, 'Exit Prices'!$A$3:$B$222, 2, 0)</f>
        <v>POWER STATION</v>
      </c>
    </row>
    <row r="59" spans="1:4">
      <c r="A59" t="str">
        <f>VLOOKUP(B59, 'Exit Prices'!$A$3:$B$222, 2, 0)</f>
        <v>DNO</v>
      </c>
      <c r="B59" s="2" t="s">
        <v>80</v>
      </c>
      <c r="C59" s="89">
        <f ca="1" xml:space="preserve"> VLOOKUP(B59, INDIRECT("'"&amp;'Drop Down Inputs'!$B$10&amp;"'!"&amp;" $A:$F"),MATCH($C$1, INDIRECT("'"&amp;'Drop Down Inputs'!$B$10&amp;"'!"&amp;"$A$1:$F$1"),0), FALSE)</f>
        <v>40002877</v>
      </c>
      <c r="D59" s="252" t="str">
        <f>VLOOKUP($B59, 'Exit Prices'!$A$3:$B$222, 2, 0)</f>
        <v>DNO</v>
      </c>
    </row>
    <row r="60" spans="1:4">
      <c r="A60" t="str">
        <f>VLOOKUP(B60, 'Exit Prices'!$A$3:$B$222, 2, 0)</f>
        <v>DNO</v>
      </c>
      <c r="B60" s="2" t="s">
        <v>81</v>
      </c>
      <c r="C60" s="89">
        <f ca="1" xml:space="preserve"> VLOOKUP(B60, INDIRECT("'"&amp;'Drop Down Inputs'!$B$10&amp;"'!"&amp;" $A:$F"),MATCH($C$1, INDIRECT("'"&amp;'Drop Down Inputs'!$B$10&amp;"'!"&amp;"$A$1:$F$1"),0), FALSE)</f>
        <v>0</v>
      </c>
      <c r="D60" s="252" t="str">
        <f>VLOOKUP($B60, 'Exit Prices'!$A$3:$B$222, 2, 0)</f>
        <v>DNO</v>
      </c>
    </row>
    <row r="61" spans="1:4">
      <c r="A61" t="str">
        <f>VLOOKUP(B61, 'Exit Prices'!$A$3:$B$222, 2, 0)</f>
        <v>STORAGE SITE</v>
      </c>
      <c r="B61" s="2" t="s">
        <v>82</v>
      </c>
      <c r="C61" s="89">
        <f ca="1" xml:space="preserve"> VLOOKUP(B61, INDIRECT("'"&amp;'Drop Down Inputs'!$B$10&amp;"'!"&amp;" $A:$F"),MATCH($C$1, INDIRECT("'"&amp;'Drop Down Inputs'!$B$10&amp;"'!"&amp;"$A$1:$F$1"),0), FALSE)</f>
        <v>0</v>
      </c>
      <c r="D61" s="252" t="str">
        <f>VLOOKUP($B61, 'Exit Prices'!$A$3:$B$222, 2, 0)</f>
        <v>STORAGE SITE</v>
      </c>
    </row>
    <row r="62" spans="1:4">
      <c r="A62" t="str">
        <f>VLOOKUP(B62, 'Exit Prices'!$A$3:$B$222, 2, 0)</f>
        <v>POWER STATION</v>
      </c>
      <c r="B62" s="2" t="s">
        <v>83</v>
      </c>
      <c r="C62" s="89">
        <f ca="1" xml:space="preserve"> VLOOKUP(B62, INDIRECT("'"&amp;'Drop Down Inputs'!$B$10&amp;"'!"&amp;" $A:$F"),MATCH($C$1, INDIRECT("'"&amp;'Drop Down Inputs'!$B$10&amp;"'!"&amp;"$A$1:$F$1"),0), FALSE)</f>
        <v>0</v>
      </c>
      <c r="D62" s="252" t="str">
        <f>VLOOKUP($B62, 'Exit Prices'!$A$3:$B$222, 2, 0)</f>
        <v>POWER STATION</v>
      </c>
    </row>
    <row r="63" spans="1:4">
      <c r="A63" t="str">
        <f>VLOOKUP(B63, 'Exit Prices'!$A$3:$B$222, 2, 0)</f>
        <v>POWER STATION</v>
      </c>
      <c r="B63" s="2" t="s">
        <v>84</v>
      </c>
      <c r="C63" s="89">
        <f ca="1" xml:space="preserve"> VLOOKUP(B63, INDIRECT("'"&amp;'Drop Down Inputs'!$B$10&amp;"'!"&amp;" $A:$F"),MATCH($C$1, INDIRECT("'"&amp;'Drop Down Inputs'!$B$10&amp;"'!"&amp;"$A$1:$F$1"),0), FALSE)</f>
        <v>37798322.958904102</v>
      </c>
      <c r="D63" s="252" t="str">
        <f>VLOOKUP($B63, 'Exit Prices'!$A$3:$B$222, 2, 0)</f>
        <v>POWER STATION</v>
      </c>
    </row>
    <row r="64" spans="1:4">
      <c r="A64" t="str">
        <f>VLOOKUP(B64, 'Exit Prices'!$A$3:$B$222, 2, 0)</f>
        <v>DNO</v>
      </c>
      <c r="B64" s="2" t="s">
        <v>85</v>
      </c>
      <c r="C64" s="89">
        <f ca="1" xml:space="preserve"> VLOOKUP(B64, INDIRECT("'"&amp;'Drop Down Inputs'!$B$10&amp;"'!"&amp;" $A:$F"),MATCH($C$1, INDIRECT("'"&amp;'Drop Down Inputs'!$B$10&amp;"'!"&amp;"$A$1:$F$1"),0), FALSE)</f>
        <v>91369207</v>
      </c>
      <c r="D64" s="252" t="str">
        <f>VLOOKUP($B64, 'Exit Prices'!$A$3:$B$222, 2, 0)</f>
        <v>DNO</v>
      </c>
    </row>
    <row r="65" spans="1:4">
      <c r="A65" t="str">
        <f>VLOOKUP(B65, 'Exit Prices'!$A$3:$B$222, 2, 0)</f>
        <v>POWER STATION</v>
      </c>
      <c r="B65" s="2" t="s">
        <v>86</v>
      </c>
      <c r="C65" s="89">
        <f ca="1" xml:space="preserve"> VLOOKUP(B65, INDIRECT("'"&amp;'Drop Down Inputs'!$B$10&amp;"'!"&amp;" $A:$F"),MATCH($C$1, INDIRECT("'"&amp;'Drop Down Inputs'!$B$10&amp;"'!"&amp;"$A$1:$F$1"),0), FALSE)</f>
        <v>0</v>
      </c>
      <c r="D65" s="252" t="str">
        <f>VLOOKUP($B65, 'Exit Prices'!$A$3:$B$222, 2, 0)</f>
        <v>POWER STATION</v>
      </c>
    </row>
    <row r="66" spans="1:4">
      <c r="A66" t="str">
        <f>VLOOKUP(B66, 'Exit Prices'!$A$3:$B$222, 2, 0)</f>
        <v>DNO</v>
      </c>
      <c r="B66" s="2" t="s">
        <v>87</v>
      </c>
      <c r="C66" s="89">
        <f ca="1" xml:space="preserve"> VLOOKUP(B66, INDIRECT("'"&amp;'Drop Down Inputs'!$B$10&amp;"'!"&amp;" $A:$F"),MATCH($C$1, INDIRECT("'"&amp;'Drop Down Inputs'!$B$10&amp;"'!"&amp;"$A$1:$F$1"),0), FALSE)</f>
        <v>54670979</v>
      </c>
      <c r="D66" s="252" t="str">
        <f>VLOOKUP($B66, 'Exit Prices'!$A$3:$B$222, 2, 0)</f>
        <v>DNO</v>
      </c>
    </row>
    <row r="67" spans="1:4">
      <c r="A67" t="str">
        <f>VLOOKUP(B67, 'Exit Prices'!$A$3:$B$222, 2, 0)</f>
        <v>DNO</v>
      </c>
      <c r="B67" s="2" t="s">
        <v>88</v>
      </c>
      <c r="C67" s="89">
        <f ca="1" xml:space="preserve"> VLOOKUP(B67, INDIRECT("'"&amp;'Drop Down Inputs'!$B$10&amp;"'!"&amp;" $A:$F"),MATCH($C$1, INDIRECT("'"&amp;'Drop Down Inputs'!$B$10&amp;"'!"&amp;"$A$1:$F$1"),0), FALSE)</f>
        <v>66956781</v>
      </c>
      <c r="D67" s="252" t="str">
        <f>VLOOKUP($B67, 'Exit Prices'!$A$3:$B$222, 2, 0)</f>
        <v>DNO</v>
      </c>
    </row>
    <row r="68" spans="1:4">
      <c r="A68" t="str">
        <f>VLOOKUP(B68, 'Exit Prices'!$A$3:$B$222, 2, 0)</f>
        <v>DNO</v>
      </c>
      <c r="B68" s="2" t="s">
        <v>89</v>
      </c>
      <c r="C68" s="89">
        <f ca="1" xml:space="preserve"> VLOOKUP(B68, INDIRECT("'"&amp;'Drop Down Inputs'!$B$10&amp;"'!"&amp;" $A:$F"),MATCH($C$1, INDIRECT("'"&amp;'Drop Down Inputs'!$B$10&amp;"'!"&amp;"$A$1:$F$1"),0), FALSE)</f>
        <v>40231974</v>
      </c>
      <c r="D68" s="252" t="str">
        <f>VLOOKUP($B68, 'Exit Prices'!$A$3:$B$222, 2, 0)</f>
        <v>DNO</v>
      </c>
    </row>
    <row r="69" spans="1:4">
      <c r="A69" t="str">
        <f>VLOOKUP(B69, 'Exit Prices'!$A$3:$B$222, 2, 0)</f>
        <v>STORAGE SITE</v>
      </c>
      <c r="B69" s="2" t="s">
        <v>90</v>
      </c>
      <c r="C69" s="89">
        <f ca="1" xml:space="preserve"> VLOOKUP(B69, INDIRECT("'"&amp;'Drop Down Inputs'!$B$10&amp;"'!"&amp;" $A:$F"),MATCH($C$1, INDIRECT("'"&amp;'Drop Down Inputs'!$B$10&amp;"'!"&amp;"$A$1:$F$1"),0), FALSE)</f>
        <v>23931</v>
      </c>
      <c r="D69" s="252" t="str">
        <f>VLOOKUP($B69, 'Exit Prices'!$A$3:$B$222, 2, 0)</f>
        <v>STORAGE SITE</v>
      </c>
    </row>
    <row r="70" spans="1:4">
      <c r="A70" t="str">
        <f>VLOOKUP(B70, 'Exit Prices'!$A$3:$B$222, 2, 0)</f>
        <v>POWER STATION</v>
      </c>
      <c r="B70" s="2" t="s">
        <v>91</v>
      </c>
      <c r="C70" s="89">
        <f ca="1" xml:space="preserve"> VLOOKUP(B70, INDIRECT("'"&amp;'Drop Down Inputs'!$B$10&amp;"'!"&amp;" $A:$F"),MATCH($C$1, INDIRECT("'"&amp;'Drop Down Inputs'!$B$10&amp;"'!"&amp;"$A$1:$F$1"),0), FALSE)</f>
        <v>1457215</v>
      </c>
      <c r="D70" s="252" t="str">
        <f>VLOOKUP($B70, 'Exit Prices'!$A$3:$B$222, 2, 0)</f>
        <v>POWER STATION</v>
      </c>
    </row>
    <row r="71" spans="1:4">
      <c r="A71" t="str">
        <f>VLOOKUP(B71, 'Exit Prices'!$A$3:$B$222, 2, 0)</f>
        <v>POWER STATION</v>
      </c>
      <c r="B71" s="2" t="s">
        <v>92</v>
      </c>
      <c r="C71" s="89">
        <f ca="1" xml:space="preserve"> VLOOKUP(B71, INDIRECT("'"&amp;'Drop Down Inputs'!$B$10&amp;"'!"&amp;" $A:$F"),MATCH($C$1, INDIRECT("'"&amp;'Drop Down Inputs'!$B$10&amp;"'!"&amp;"$A$1:$F$1"),0), FALSE)</f>
        <v>36060000</v>
      </c>
      <c r="D71" s="252" t="str">
        <f>VLOOKUP($B71, 'Exit Prices'!$A$3:$B$222, 2, 0)</f>
        <v>POWER STATION</v>
      </c>
    </row>
    <row r="72" spans="1:4">
      <c r="A72" t="str">
        <f>VLOOKUP(B72, 'Exit Prices'!$A$3:$B$222, 2, 0)</f>
        <v>DNO</v>
      </c>
      <c r="B72" s="2" t="s">
        <v>93</v>
      </c>
      <c r="C72" s="89">
        <f ca="1" xml:space="preserve"> VLOOKUP(B72, INDIRECT("'"&amp;'Drop Down Inputs'!$B$10&amp;"'!"&amp;" $A:$F"),MATCH($C$1, INDIRECT("'"&amp;'Drop Down Inputs'!$B$10&amp;"'!"&amp;"$A$1:$F$1"),0), FALSE)</f>
        <v>27391725</v>
      </c>
      <c r="D72" s="252" t="str">
        <f>VLOOKUP($B72, 'Exit Prices'!$A$3:$B$222, 2, 0)</f>
        <v>DNO</v>
      </c>
    </row>
    <row r="73" spans="1:4">
      <c r="A73" t="str">
        <f>VLOOKUP(B73, 'Exit Prices'!$A$3:$B$222, 2, 0)</f>
        <v>DNO</v>
      </c>
      <c r="B73" s="2" t="s">
        <v>94</v>
      </c>
      <c r="C73" s="89">
        <f ca="1" xml:space="preserve"> VLOOKUP(B73, INDIRECT("'"&amp;'Drop Down Inputs'!$B$10&amp;"'!"&amp;" $A:$F"),MATCH($C$1, INDIRECT("'"&amp;'Drop Down Inputs'!$B$10&amp;"'!"&amp;"$A$1:$F$1"),0), FALSE)</f>
        <v>16370887</v>
      </c>
      <c r="D73" s="252" t="str">
        <f>VLOOKUP($B73, 'Exit Prices'!$A$3:$B$222, 2, 0)</f>
        <v>DNO</v>
      </c>
    </row>
    <row r="74" spans="1:4">
      <c r="A74" t="str">
        <f>VLOOKUP(B74, 'Exit Prices'!$A$3:$B$222, 2, 0)</f>
        <v>DNO</v>
      </c>
      <c r="B74" s="2" t="s">
        <v>95</v>
      </c>
      <c r="C74" s="89">
        <f ca="1" xml:space="preserve"> VLOOKUP(B74, INDIRECT("'"&amp;'Drop Down Inputs'!$B$10&amp;"'!"&amp;" $A:$F"),MATCH($C$1, INDIRECT("'"&amp;'Drop Down Inputs'!$B$10&amp;"'!"&amp;"$A$1:$F$1"),0), FALSE)</f>
        <v>56000000</v>
      </c>
      <c r="D74" s="252" t="str">
        <f>VLOOKUP($B74, 'Exit Prices'!$A$3:$B$222, 2, 0)</f>
        <v>DNO</v>
      </c>
    </row>
    <row r="75" spans="1:4">
      <c r="A75" t="str">
        <f>VLOOKUP(B75, 'Exit Prices'!$A$3:$B$222, 2, 0)</f>
        <v>POWER STATION</v>
      </c>
      <c r="B75" s="2" t="s">
        <v>96</v>
      </c>
      <c r="C75" s="89">
        <f ca="1" xml:space="preserve"> VLOOKUP(B75, INDIRECT("'"&amp;'Drop Down Inputs'!$B$10&amp;"'!"&amp;" $A:$F"),MATCH($C$1, INDIRECT("'"&amp;'Drop Down Inputs'!$B$10&amp;"'!"&amp;"$A$1:$F$1"),0), FALSE)</f>
        <v>0</v>
      </c>
      <c r="D75" s="252" t="str">
        <f>VLOOKUP($B75, 'Exit Prices'!$A$3:$B$222, 2, 0)</f>
        <v>POWER STATION</v>
      </c>
    </row>
    <row r="76" spans="1:4">
      <c r="A76" t="str">
        <f>VLOOKUP(B76, 'Exit Prices'!$A$3:$B$222, 2, 0)</f>
        <v>POWER STATION</v>
      </c>
      <c r="B76" s="2" t="s">
        <v>97</v>
      </c>
      <c r="C76" s="89">
        <f ca="1" xml:space="preserve"> VLOOKUP(B76, INDIRECT("'"&amp;'Drop Down Inputs'!$B$10&amp;"'!"&amp;" $A:$F"),MATCH($C$1, INDIRECT("'"&amp;'Drop Down Inputs'!$B$10&amp;"'!"&amp;"$A$1:$F$1"),0), FALSE)</f>
        <v>12313242.342465753</v>
      </c>
      <c r="D76" s="252" t="str">
        <f>VLOOKUP($B76, 'Exit Prices'!$A$3:$B$222, 2, 0)</f>
        <v>POWER STATION</v>
      </c>
    </row>
    <row r="77" spans="1:4">
      <c r="A77" t="str">
        <f>VLOOKUP(B77, 'Exit Prices'!$A$3:$B$222, 2, 0)</f>
        <v>DNO</v>
      </c>
      <c r="B77" s="2" t="s">
        <v>98</v>
      </c>
      <c r="C77" s="89">
        <f ca="1" xml:space="preserve"> VLOOKUP(B77, INDIRECT("'"&amp;'Drop Down Inputs'!$B$10&amp;"'!"&amp;" $A:$F"),MATCH($C$1, INDIRECT("'"&amp;'Drop Down Inputs'!$B$10&amp;"'!"&amp;"$A$1:$F$1"),0), FALSE)</f>
        <v>6523465</v>
      </c>
      <c r="D77" s="252" t="str">
        <f>VLOOKUP($B77, 'Exit Prices'!$A$3:$B$222, 2, 0)</f>
        <v>DNO</v>
      </c>
    </row>
    <row r="78" spans="1:4">
      <c r="A78" t="str">
        <f>VLOOKUP(B78, 'Exit Prices'!$A$3:$B$222, 2, 0)</f>
        <v>DNO</v>
      </c>
      <c r="B78" s="2" t="s">
        <v>99</v>
      </c>
      <c r="C78" s="89">
        <f ca="1" xml:space="preserve"> VLOOKUP(B78, INDIRECT("'"&amp;'Drop Down Inputs'!$B$10&amp;"'!"&amp;" $A:$F"),MATCH($C$1, INDIRECT("'"&amp;'Drop Down Inputs'!$B$10&amp;"'!"&amp;"$A$1:$F$1"),0), FALSE)</f>
        <v>91587931</v>
      </c>
      <c r="D78" s="252" t="str">
        <f>VLOOKUP($B78, 'Exit Prices'!$A$3:$B$222, 2, 0)</f>
        <v>DNO</v>
      </c>
    </row>
    <row r="79" spans="1:4">
      <c r="A79" t="str">
        <f>VLOOKUP(B79, 'Exit Prices'!$A$3:$B$222, 2, 0)</f>
        <v>DNO</v>
      </c>
      <c r="B79" s="2" t="s">
        <v>100</v>
      </c>
      <c r="C79" s="89">
        <f ca="1" xml:space="preserve"> VLOOKUP(B79, INDIRECT("'"&amp;'Drop Down Inputs'!$B$10&amp;"'!"&amp;" $A:$F"),MATCH($C$1, INDIRECT("'"&amp;'Drop Down Inputs'!$B$10&amp;"'!"&amp;"$A$1:$F$1"),0), FALSE)</f>
        <v>98294599</v>
      </c>
      <c r="D79" s="252" t="str">
        <f>VLOOKUP($B79, 'Exit Prices'!$A$3:$B$222, 2, 0)</f>
        <v>DNO</v>
      </c>
    </row>
    <row r="80" spans="1:4">
      <c r="A80" t="str">
        <f>VLOOKUP(B80, 'Exit Prices'!$A$3:$B$222, 2, 0)</f>
        <v>INDUSTRIAL</v>
      </c>
      <c r="B80" s="2" t="s">
        <v>101</v>
      </c>
      <c r="C80" s="89">
        <f ca="1" xml:space="preserve"> VLOOKUP(B80, INDIRECT("'"&amp;'Drop Down Inputs'!$B$10&amp;"'!"&amp;" $A:$F"),MATCH($C$1, INDIRECT("'"&amp;'Drop Down Inputs'!$B$10&amp;"'!"&amp;"$A$1:$F$1"),0), FALSE)</f>
        <v>0</v>
      </c>
      <c r="D80" s="252" t="str">
        <f>VLOOKUP($B80, 'Exit Prices'!$A$3:$B$222, 2, 0)</f>
        <v>INDUSTRIAL</v>
      </c>
    </row>
    <row r="81" spans="1:4">
      <c r="A81" t="str">
        <f>VLOOKUP(B81, 'Exit Prices'!$A$3:$B$222, 2, 0)</f>
        <v>DNO</v>
      </c>
      <c r="B81" s="2" t="s">
        <v>102</v>
      </c>
      <c r="C81" s="89">
        <f ca="1" xml:space="preserve"> VLOOKUP(B81, INDIRECT("'"&amp;'Drop Down Inputs'!$B$10&amp;"'!"&amp;" $A:$F"),MATCH($C$1, INDIRECT("'"&amp;'Drop Down Inputs'!$B$10&amp;"'!"&amp;"$A$1:$F$1"),0), FALSE)</f>
        <v>21741989</v>
      </c>
      <c r="D81" s="252" t="str">
        <f>VLOOKUP($B81, 'Exit Prices'!$A$3:$B$222, 2, 0)</f>
        <v>DNO</v>
      </c>
    </row>
    <row r="82" spans="1:4">
      <c r="A82" t="str">
        <f>VLOOKUP(B82, 'Exit Prices'!$A$3:$B$222, 2, 0)</f>
        <v>DNO</v>
      </c>
      <c r="B82" s="2" t="s">
        <v>103</v>
      </c>
      <c r="C82" s="89">
        <f ca="1" xml:space="preserve"> VLOOKUP(B82, INDIRECT("'"&amp;'Drop Down Inputs'!$B$10&amp;"'!"&amp;" $A:$F"),MATCH($C$1, INDIRECT("'"&amp;'Drop Down Inputs'!$B$10&amp;"'!"&amp;"$A$1:$F$1"),0), FALSE)</f>
        <v>16610330</v>
      </c>
      <c r="D82" s="252" t="str">
        <f>VLOOKUP($B82, 'Exit Prices'!$A$3:$B$222, 2, 0)</f>
        <v>DNO</v>
      </c>
    </row>
    <row r="83" spans="1:4">
      <c r="A83" t="str">
        <f>VLOOKUP(B83, 'Exit Prices'!$A$3:$B$222, 2, 0)</f>
        <v>STORAGE SITE</v>
      </c>
      <c r="B83" s="2" t="s">
        <v>104</v>
      </c>
      <c r="C83" s="89">
        <f ca="1" xml:space="preserve"> VLOOKUP(B83, INDIRECT("'"&amp;'Drop Down Inputs'!$B$10&amp;"'!"&amp;" $A:$F"),MATCH($C$1, INDIRECT("'"&amp;'Drop Down Inputs'!$B$10&amp;"'!"&amp;"$A$1:$F$1"),0), FALSE)</f>
        <v>326003150.68493152</v>
      </c>
      <c r="D83" s="252" t="str">
        <f>VLOOKUP($B83, 'Exit Prices'!$A$3:$B$222, 2, 0)</f>
        <v>STORAGE SITE</v>
      </c>
    </row>
    <row r="84" spans="1:4">
      <c r="A84" t="str">
        <f>VLOOKUP(B84, 'Exit Prices'!$A$3:$B$222, 2, 0)</f>
        <v>DNO</v>
      </c>
      <c r="B84" s="2" t="s">
        <v>105</v>
      </c>
      <c r="C84" s="89">
        <f ca="1" xml:space="preserve"> VLOOKUP(B84, INDIRECT("'"&amp;'Drop Down Inputs'!$B$10&amp;"'!"&amp;" $A:$F"),MATCH($C$1, INDIRECT("'"&amp;'Drop Down Inputs'!$B$10&amp;"'!"&amp;"$A$1:$F$1"),0), FALSE)</f>
        <v>75404154</v>
      </c>
      <c r="D84" s="252" t="str">
        <f>VLOOKUP($B84, 'Exit Prices'!$A$3:$B$222, 2, 0)</f>
        <v>DNO</v>
      </c>
    </row>
    <row r="85" spans="1:4">
      <c r="A85" t="str">
        <f>VLOOKUP(B85, 'Exit Prices'!$A$3:$B$222, 2, 0)</f>
        <v>DNO</v>
      </c>
      <c r="B85" s="2" t="s">
        <v>12</v>
      </c>
      <c r="C85" s="89">
        <f ca="1" xml:space="preserve"> VLOOKUP(B85, INDIRECT("'"&amp;'Drop Down Inputs'!$B$10&amp;"'!"&amp;" $A:$F"),MATCH($C$1, INDIRECT("'"&amp;'Drop Down Inputs'!$B$10&amp;"'!"&amp;"$A$1:$F$1"),0), FALSE)</f>
        <v>128262344</v>
      </c>
      <c r="D85" s="252" t="str">
        <f>VLOOKUP($B85, 'Exit Prices'!$A$3:$B$222, 2, 0)</f>
        <v>DNO</v>
      </c>
    </row>
    <row r="86" spans="1:4">
      <c r="A86" t="str">
        <f>VLOOKUP(B86, 'Exit Prices'!$A$3:$B$222, 2, 0)</f>
        <v>STORAGE SITE</v>
      </c>
      <c r="B86" s="2" t="s">
        <v>106</v>
      </c>
      <c r="C86" s="89">
        <f ca="1" xml:space="preserve"> VLOOKUP(B86, INDIRECT("'"&amp;'Drop Down Inputs'!$B$10&amp;"'!"&amp;" $A:$F"),MATCH($C$1, INDIRECT("'"&amp;'Drop Down Inputs'!$B$10&amp;"'!"&amp;"$A$1:$F$1"),0), FALSE)</f>
        <v>128720</v>
      </c>
      <c r="D86" s="252" t="str">
        <f>VLOOKUP($B86, 'Exit Prices'!$A$3:$B$222, 2, 0)</f>
        <v>STORAGE SITE</v>
      </c>
    </row>
    <row r="87" spans="1:4">
      <c r="A87" t="str">
        <f>VLOOKUP(B87, 'Exit Prices'!$A$3:$B$222, 2, 0)</f>
        <v>INDUSTRIAL</v>
      </c>
      <c r="B87" s="2" t="s">
        <v>107</v>
      </c>
      <c r="C87" s="89">
        <f ca="1" xml:space="preserve"> VLOOKUP(B87, INDIRECT("'"&amp;'Drop Down Inputs'!$B$10&amp;"'!"&amp;" $A:$F"),MATCH($C$1, INDIRECT("'"&amp;'Drop Down Inputs'!$B$10&amp;"'!"&amp;"$A$1:$F$1"),0), FALSE)</f>
        <v>1700273.9726027397</v>
      </c>
      <c r="D87" s="252" t="str">
        <f>VLOOKUP($B87, 'Exit Prices'!$A$3:$B$222, 2, 0)</f>
        <v>INDUSTRIAL</v>
      </c>
    </row>
    <row r="88" spans="1:4">
      <c r="A88" t="str">
        <f>VLOOKUP(B88, 'Exit Prices'!$A$3:$B$222, 2, 0)</f>
        <v>DNO</v>
      </c>
      <c r="B88" s="2" t="s">
        <v>108</v>
      </c>
      <c r="C88" s="89">
        <f ca="1" xml:space="preserve"> VLOOKUP(B88, INDIRECT("'"&amp;'Drop Down Inputs'!$B$10&amp;"'!"&amp;" $A:$F"),MATCH($C$1, INDIRECT("'"&amp;'Drop Down Inputs'!$B$10&amp;"'!"&amp;"$A$1:$F$1"),0), FALSE)</f>
        <v>12321120</v>
      </c>
      <c r="D88" s="252" t="str">
        <f>VLOOKUP($B88, 'Exit Prices'!$A$3:$B$222, 2, 0)</f>
        <v>DNO</v>
      </c>
    </row>
    <row r="89" spans="1:4">
      <c r="A89" t="str">
        <f>VLOOKUP(B89, 'Exit Prices'!$A$3:$B$222, 2, 0)</f>
        <v>POWER STATION</v>
      </c>
      <c r="B89" s="2" t="s">
        <v>109</v>
      </c>
      <c r="C89" s="89">
        <f ca="1" xml:space="preserve"> VLOOKUP(B89, INDIRECT("'"&amp;'Drop Down Inputs'!$B$10&amp;"'!"&amp;" $A:$F"),MATCH($C$1, INDIRECT("'"&amp;'Drop Down Inputs'!$B$10&amp;"'!"&amp;"$A$1:$F$1"),0), FALSE)</f>
        <v>43320000</v>
      </c>
      <c r="D89" s="252" t="str">
        <f>VLOOKUP($B89, 'Exit Prices'!$A$3:$B$222, 2, 0)</f>
        <v>POWER STATION</v>
      </c>
    </row>
    <row r="90" spans="1:4">
      <c r="A90" t="str">
        <f>VLOOKUP(B90, 'Exit Prices'!$A$3:$B$222, 2, 0)</f>
        <v>POWER STATION</v>
      </c>
      <c r="B90" s="2" t="s">
        <v>110</v>
      </c>
      <c r="C90" s="89">
        <f ca="1" xml:space="preserve"> VLOOKUP(B90, INDIRECT("'"&amp;'Drop Down Inputs'!$B$10&amp;"'!"&amp;" $A:$F"),MATCH($C$1, INDIRECT("'"&amp;'Drop Down Inputs'!$B$10&amp;"'!"&amp;"$A$1:$F$1"),0), FALSE)</f>
        <v>42000640.991780818</v>
      </c>
      <c r="D90" s="252" t="str">
        <f>VLOOKUP($B90, 'Exit Prices'!$A$3:$B$222, 2, 0)</f>
        <v>POWER STATION</v>
      </c>
    </row>
    <row r="91" spans="1:4">
      <c r="A91" t="str">
        <f>VLOOKUP(B91, 'Exit Prices'!$A$3:$B$222, 2, 0)</f>
        <v>DNO</v>
      </c>
      <c r="B91" s="2" t="s">
        <v>111</v>
      </c>
      <c r="C91" s="89">
        <f ca="1" xml:space="preserve"> VLOOKUP(B91, INDIRECT("'"&amp;'Drop Down Inputs'!$B$10&amp;"'!"&amp;" $A:$F"),MATCH($C$1, INDIRECT("'"&amp;'Drop Down Inputs'!$B$10&amp;"'!"&amp;"$A$1:$F$1"),0), FALSE)</f>
        <v>23677521</v>
      </c>
      <c r="D91" s="252" t="str">
        <f>VLOOKUP($B91, 'Exit Prices'!$A$3:$B$222, 2, 0)</f>
        <v>DNO</v>
      </c>
    </row>
    <row r="92" spans="1:4">
      <c r="A92" t="str">
        <f>VLOOKUP(B92, 'Exit Prices'!$A$3:$B$222, 2, 0)</f>
        <v>DNO</v>
      </c>
      <c r="B92" s="2" t="s">
        <v>112</v>
      </c>
      <c r="C92" s="89">
        <f ca="1" xml:space="preserve"> VLOOKUP(B92, INDIRECT("'"&amp;'Drop Down Inputs'!$B$10&amp;"'!"&amp;" $A:$F"),MATCH($C$1, INDIRECT("'"&amp;'Drop Down Inputs'!$B$10&amp;"'!"&amp;"$A$1:$F$1"),0), FALSE)</f>
        <v>1806988</v>
      </c>
      <c r="D92" s="252" t="str">
        <f>VLOOKUP($B92, 'Exit Prices'!$A$3:$B$222, 2, 0)</f>
        <v>DNO</v>
      </c>
    </row>
    <row r="93" spans="1:4">
      <c r="A93" t="str">
        <f>VLOOKUP(B93, 'Exit Prices'!$A$3:$B$222, 2, 0)</f>
        <v>DNO</v>
      </c>
      <c r="B93" s="2" t="s">
        <v>113</v>
      </c>
      <c r="C93" s="89">
        <f ca="1" xml:space="preserve"> VLOOKUP(B93, INDIRECT("'"&amp;'Drop Down Inputs'!$B$10&amp;"'!"&amp;" $A:$F"),MATCH($C$1, INDIRECT("'"&amp;'Drop Down Inputs'!$B$10&amp;"'!"&amp;"$A$1:$F$1"),0), FALSE)</f>
        <v>106654165</v>
      </c>
      <c r="D93" s="252" t="str">
        <f>VLOOKUP($B93, 'Exit Prices'!$A$3:$B$222, 2, 0)</f>
        <v>DNO</v>
      </c>
    </row>
    <row r="94" spans="1:4">
      <c r="A94" t="str">
        <f>VLOOKUP(B94, 'Exit Prices'!$A$3:$B$222, 2, 0)</f>
        <v>INDUSTRIAL</v>
      </c>
      <c r="B94" s="2" t="s">
        <v>114</v>
      </c>
      <c r="C94" s="89">
        <f ca="1" xml:space="preserve"> VLOOKUP(B94, INDIRECT("'"&amp;'Drop Down Inputs'!$B$10&amp;"'!"&amp;" $A:$F"),MATCH($C$1, INDIRECT("'"&amp;'Drop Down Inputs'!$B$10&amp;"'!"&amp;"$A$1:$F$1"),0), FALSE)</f>
        <v>0</v>
      </c>
      <c r="D94" s="252" t="str">
        <f>VLOOKUP($B94, 'Exit Prices'!$A$3:$B$222, 2, 0)</f>
        <v>INDUSTRIAL</v>
      </c>
    </row>
    <row r="95" spans="1:4">
      <c r="A95" t="str">
        <f>VLOOKUP(B95, 'Exit Prices'!$A$3:$B$222, 2, 0)</f>
        <v>STORAGE SITE</v>
      </c>
      <c r="B95" s="2" t="s">
        <v>115</v>
      </c>
      <c r="C95" s="89">
        <f ca="1" xml:space="preserve"> VLOOKUP(B95, INDIRECT("'"&amp;'Drop Down Inputs'!$B$10&amp;"'!"&amp;" $A:$F"),MATCH($C$1, INDIRECT("'"&amp;'Drop Down Inputs'!$B$10&amp;"'!"&amp;"$A$1:$F$1"),0), FALSE)</f>
        <v>30210000</v>
      </c>
      <c r="D95" s="252" t="str">
        <f>VLOOKUP($B95, 'Exit Prices'!$A$3:$B$222, 2, 0)</f>
        <v>STORAGE SITE</v>
      </c>
    </row>
    <row r="96" spans="1:4">
      <c r="A96" t="str">
        <f>VLOOKUP(B96, 'Exit Prices'!$A$3:$B$222, 2, 0)</f>
        <v>POWER STATION</v>
      </c>
      <c r="B96" s="2" t="s">
        <v>116</v>
      </c>
      <c r="C96" s="89">
        <f ca="1" xml:space="preserve"> VLOOKUP(B96, INDIRECT("'"&amp;'Drop Down Inputs'!$B$10&amp;"'!"&amp;" $A:$F"),MATCH($C$1, INDIRECT("'"&amp;'Drop Down Inputs'!$B$10&amp;"'!"&amp;"$A$1:$F$1"),0), FALSE)</f>
        <v>0</v>
      </c>
      <c r="D96" s="252" t="str">
        <f>VLOOKUP($B96, 'Exit Prices'!$A$3:$B$222, 2, 0)</f>
        <v>POWER STATION</v>
      </c>
    </row>
    <row r="97" spans="1:4">
      <c r="A97" t="str">
        <f>VLOOKUP(B97, 'Exit Prices'!$A$3:$B$222, 2, 0)</f>
        <v>STORAGE SITE</v>
      </c>
      <c r="B97" s="2" t="s">
        <v>117</v>
      </c>
      <c r="C97" s="89">
        <f ca="1" xml:space="preserve"> VLOOKUP(B97, INDIRECT("'"&amp;'Drop Down Inputs'!$B$10&amp;"'!"&amp;" $A:$F"),MATCH($C$1, INDIRECT("'"&amp;'Drop Down Inputs'!$B$10&amp;"'!"&amp;"$A$1:$F$1"),0), FALSE)</f>
        <v>6017436.6849315045</v>
      </c>
      <c r="D97" s="252" t="str">
        <f>VLOOKUP($B97, 'Exit Prices'!$A$3:$B$222, 2, 0)</f>
        <v>STORAGE SITE</v>
      </c>
    </row>
    <row r="98" spans="1:4">
      <c r="A98" t="str">
        <f>VLOOKUP(B98, 'Exit Prices'!$A$3:$B$222, 2, 0)</f>
        <v>STORAGE SITE</v>
      </c>
      <c r="B98" s="2" t="s">
        <v>118</v>
      </c>
      <c r="C98" s="89">
        <f ca="1" xml:space="preserve"> VLOOKUP(B98, INDIRECT("'"&amp;'Drop Down Inputs'!$B$10&amp;"'!"&amp;" $A:$F"),MATCH($C$1, INDIRECT("'"&amp;'Drop Down Inputs'!$B$10&amp;"'!"&amp;"$A$1:$F$1"),0), FALSE)</f>
        <v>584777.4794520546</v>
      </c>
      <c r="D98" s="252" t="str">
        <f>VLOOKUP($B98, 'Exit Prices'!$A$3:$B$222, 2, 0)</f>
        <v>STORAGE SITE</v>
      </c>
    </row>
    <row r="99" spans="1:4">
      <c r="A99" t="str">
        <f>VLOOKUP(B99, 'Exit Prices'!$A$3:$B$222, 2, 0)</f>
        <v>STORAGE SITE</v>
      </c>
      <c r="B99" s="2" t="s">
        <v>119</v>
      </c>
      <c r="C99" s="89">
        <f ca="1" xml:space="preserve"> VLOOKUP(B99, INDIRECT("'"&amp;'Drop Down Inputs'!$B$10&amp;"'!"&amp;" $A:$F"),MATCH($C$1, INDIRECT("'"&amp;'Drop Down Inputs'!$B$10&amp;"'!"&amp;"$A$1:$F$1"),0), FALSE)</f>
        <v>31829848.328767125</v>
      </c>
      <c r="D99" s="252" t="str">
        <f>VLOOKUP($B99, 'Exit Prices'!$A$3:$B$222, 2, 0)</f>
        <v>STORAGE SITE</v>
      </c>
    </row>
    <row r="100" spans="1:4">
      <c r="A100" t="str">
        <f>VLOOKUP(B100, 'Exit Prices'!$A$3:$B$222, 2, 0)</f>
        <v>INDUSTRIAL</v>
      </c>
      <c r="B100" s="2" t="s">
        <v>120</v>
      </c>
      <c r="C100" s="89">
        <f ca="1" xml:space="preserve"> VLOOKUP(B100, INDIRECT("'"&amp;'Drop Down Inputs'!$B$10&amp;"'!"&amp;" $A:$F"),MATCH($C$1, INDIRECT("'"&amp;'Drop Down Inputs'!$B$10&amp;"'!"&amp;"$A$1:$F$1"),0), FALSE)</f>
        <v>454343.19515068491</v>
      </c>
      <c r="D100" s="252" t="str">
        <f>VLOOKUP($B100, 'Exit Prices'!$A$3:$B$222, 2, 0)</f>
        <v>INDUSTRIAL</v>
      </c>
    </row>
    <row r="101" spans="1:4">
      <c r="A101" t="str">
        <f>VLOOKUP(B101, 'Exit Prices'!$A$3:$B$222, 2, 0)</f>
        <v>DNO</v>
      </c>
      <c r="B101" s="2" t="s">
        <v>121</v>
      </c>
      <c r="C101" s="89">
        <f ca="1" xml:space="preserve"> VLOOKUP(B101, INDIRECT("'"&amp;'Drop Down Inputs'!$B$10&amp;"'!"&amp;" $A:$F"),MATCH($C$1, INDIRECT("'"&amp;'Drop Down Inputs'!$B$10&amp;"'!"&amp;"$A$1:$F$1"),0), FALSE)</f>
        <v>21678773</v>
      </c>
      <c r="D101" s="252" t="str">
        <f>VLOOKUP($B101, 'Exit Prices'!$A$3:$B$222, 2, 0)</f>
        <v>DNO</v>
      </c>
    </row>
    <row r="102" spans="1:4">
      <c r="A102" t="str">
        <f>VLOOKUP(B102, 'Exit Prices'!$A$3:$B$222, 2, 0)</f>
        <v>DNO</v>
      </c>
      <c r="B102" s="2" t="s">
        <v>122</v>
      </c>
      <c r="C102" s="89">
        <f ca="1" xml:space="preserve"> VLOOKUP(B102, INDIRECT("'"&amp;'Drop Down Inputs'!$B$10&amp;"'!"&amp;" $A:$F"),MATCH($C$1, INDIRECT("'"&amp;'Drop Down Inputs'!$B$10&amp;"'!"&amp;"$A$1:$F$1"),0), FALSE)</f>
        <v>33307669</v>
      </c>
      <c r="D102" s="252" t="str">
        <f>VLOOKUP($B102, 'Exit Prices'!$A$3:$B$222, 2, 0)</f>
        <v>DNO</v>
      </c>
    </row>
    <row r="103" spans="1:4">
      <c r="A103" t="str">
        <f>VLOOKUP(B103, 'Exit Prices'!$A$3:$B$222, 2, 0)</f>
        <v>STORAGE SITE</v>
      </c>
      <c r="B103" s="2" t="s">
        <v>123</v>
      </c>
      <c r="C103" s="89">
        <f ca="1" xml:space="preserve"> VLOOKUP(B103, INDIRECT("'"&amp;'Drop Down Inputs'!$B$10&amp;"'!"&amp;" $A:$F"),MATCH($C$1, INDIRECT("'"&amp;'Drop Down Inputs'!$B$10&amp;"'!"&amp;"$A$1:$F$1"),0), FALSE)</f>
        <v>41511502.97260274</v>
      </c>
      <c r="D103" s="252" t="str">
        <f>VLOOKUP($B103, 'Exit Prices'!$A$3:$B$222, 2, 0)</f>
        <v>STORAGE SITE</v>
      </c>
    </row>
    <row r="104" spans="1:4">
      <c r="A104" t="str">
        <f>VLOOKUP(B104, 'Exit Prices'!$A$3:$B$222, 2, 0)</f>
        <v>DNO</v>
      </c>
      <c r="B104" s="2" t="s">
        <v>124</v>
      </c>
      <c r="C104" s="89">
        <f ca="1" xml:space="preserve"> VLOOKUP(B104, INDIRECT("'"&amp;'Drop Down Inputs'!$B$10&amp;"'!"&amp;" $A:$F"),MATCH($C$1, INDIRECT("'"&amp;'Drop Down Inputs'!$B$10&amp;"'!"&amp;"$A$1:$F$1"),0), FALSE)</f>
        <v>148471</v>
      </c>
      <c r="D104" s="252" t="str">
        <f>VLOOKUP($B104, 'Exit Prices'!$A$3:$B$222, 2, 0)</f>
        <v>DNO</v>
      </c>
    </row>
    <row r="105" spans="1:4">
      <c r="A105" t="str">
        <f>VLOOKUP(B105, 'Exit Prices'!$A$3:$B$222, 2, 0)</f>
        <v>DNO</v>
      </c>
      <c r="B105" s="2" t="s">
        <v>125</v>
      </c>
      <c r="C105" s="89">
        <f ca="1" xml:space="preserve"> VLOOKUP(B105, INDIRECT("'"&amp;'Drop Down Inputs'!$B$10&amp;"'!"&amp;" $A:$F"),MATCH($C$1, INDIRECT("'"&amp;'Drop Down Inputs'!$B$10&amp;"'!"&amp;"$A$1:$F$1"),0), FALSE)</f>
        <v>1684385</v>
      </c>
      <c r="D105" s="252" t="str">
        <f>VLOOKUP($B105, 'Exit Prices'!$A$3:$B$222, 2, 0)</f>
        <v>DNO</v>
      </c>
    </row>
    <row r="106" spans="1:4">
      <c r="A106" t="str">
        <f>VLOOKUP(B106, 'Exit Prices'!$A$3:$B$222, 2, 0)</f>
        <v>DNO</v>
      </c>
      <c r="B106" s="2" t="s">
        <v>126</v>
      </c>
      <c r="C106" s="89">
        <f ca="1" xml:space="preserve"> VLOOKUP(B106, INDIRECT("'"&amp;'Drop Down Inputs'!$B$10&amp;"'!"&amp;" $A:$F"),MATCH($C$1, INDIRECT("'"&amp;'Drop Down Inputs'!$B$10&amp;"'!"&amp;"$A$1:$F$1"),0), FALSE)</f>
        <v>32494518</v>
      </c>
      <c r="D106" s="252" t="str">
        <f>VLOOKUP($B106, 'Exit Prices'!$A$3:$B$222, 2, 0)</f>
        <v>DNO</v>
      </c>
    </row>
    <row r="107" spans="1:4">
      <c r="A107" t="str">
        <f>VLOOKUP(B107, 'Exit Prices'!$A$3:$B$222, 2, 0)</f>
        <v>DNO</v>
      </c>
      <c r="B107" s="2" t="s">
        <v>127</v>
      </c>
      <c r="C107" s="89">
        <f ca="1" xml:space="preserve"> VLOOKUP(B107, INDIRECT("'"&amp;'Drop Down Inputs'!$B$10&amp;"'!"&amp;" $A:$F"),MATCH($C$1, INDIRECT("'"&amp;'Drop Down Inputs'!$B$10&amp;"'!"&amp;"$A$1:$F$1"),0), FALSE)</f>
        <v>8915734</v>
      </c>
      <c r="D107" s="252" t="str">
        <f>VLOOKUP($B107, 'Exit Prices'!$A$3:$B$222, 2, 0)</f>
        <v>DNO</v>
      </c>
    </row>
    <row r="108" spans="1:4">
      <c r="A108" t="str">
        <f>VLOOKUP(B108, 'Exit Prices'!$A$3:$B$222, 2, 0)</f>
        <v>DNO</v>
      </c>
      <c r="B108" s="2" t="s">
        <v>128</v>
      </c>
      <c r="C108" s="89">
        <f ca="1" xml:space="preserve"> VLOOKUP(B108, INDIRECT("'"&amp;'Drop Down Inputs'!$B$10&amp;"'!"&amp;" $A:$F"),MATCH($C$1, INDIRECT("'"&amp;'Drop Down Inputs'!$B$10&amp;"'!"&amp;"$A$1:$F$1"),0), FALSE)</f>
        <v>12083873</v>
      </c>
      <c r="D108" s="252" t="str">
        <f>VLOOKUP($B108, 'Exit Prices'!$A$3:$B$222, 2, 0)</f>
        <v>DNO</v>
      </c>
    </row>
    <row r="109" spans="1:4">
      <c r="A109" t="str">
        <f>VLOOKUP(B109, 'Exit Prices'!$A$3:$B$222, 2, 0)</f>
        <v>DNO</v>
      </c>
      <c r="B109" s="2" t="s">
        <v>129</v>
      </c>
      <c r="C109" s="89">
        <f ca="1" xml:space="preserve"> VLOOKUP(B109, INDIRECT("'"&amp;'Drop Down Inputs'!$B$10&amp;"'!"&amp;" $A:$F"),MATCH($C$1, INDIRECT("'"&amp;'Drop Down Inputs'!$B$10&amp;"'!"&amp;"$A$1:$F$1"),0), FALSE)</f>
        <v>1156178</v>
      </c>
      <c r="D109" s="252" t="str">
        <f>VLOOKUP($B109, 'Exit Prices'!$A$3:$B$222, 2, 0)</f>
        <v>DNO</v>
      </c>
    </row>
    <row r="110" spans="1:4">
      <c r="A110" t="str">
        <f>VLOOKUP(B110, 'Exit Prices'!$A$3:$B$222, 2, 0)</f>
        <v>DNO</v>
      </c>
      <c r="B110" s="2" t="s">
        <v>130</v>
      </c>
      <c r="C110" s="89">
        <f ca="1" xml:space="preserve"> VLOOKUP(B110, INDIRECT("'"&amp;'Drop Down Inputs'!$B$10&amp;"'!"&amp;" $A:$F"),MATCH($C$1, INDIRECT("'"&amp;'Drop Down Inputs'!$B$10&amp;"'!"&amp;"$A$1:$F$1"),0), FALSE)</f>
        <v>14000883</v>
      </c>
      <c r="D110" s="252" t="str">
        <f>VLOOKUP($B110, 'Exit Prices'!$A$3:$B$222, 2, 0)</f>
        <v>DNO</v>
      </c>
    </row>
    <row r="111" spans="1:4">
      <c r="A111" t="str">
        <f>VLOOKUP(B111, 'Exit Prices'!$A$3:$B$222, 2, 0)</f>
        <v>DNO</v>
      </c>
      <c r="B111" s="2" t="s">
        <v>131</v>
      </c>
      <c r="C111" s="89">
        <f ca="1" xml:space="preserve"> VLOOKUP(B111, INDIRECT("'"&amp;'Drop Down Inputs'!$B$10&amp;"'!"&amp;" $A:$F"),MATCH($C$1, INDIRECT("'"&amp;'Drop Down Inputs'!$B$10&amp;"'!"&amp;"$A$1:$F$1"),0), FALSE)</f>
        <v>3068392</v>
      </c>
      <c r="D111" s="252" t="str">
        <f>VLOOKUP($B111, 'Exit Prices'!$A$3:$B$222, 2, 0)</f>
        <v>DNO</v>
      </c>
    </row>
    <row r="112" spans="1:4">
      <c r="A112" t="str">
        <f>VLOOKUP(B112, 'Exit Prices'!$A$3:$B$222, 2, 0)</f>
        <v>DNO</v>
      </c>
      <c r="B112" s="2" t="s">
        <v>132</v>
      </c>
      <c r="C112" s="89">
        <f ca="1" xml:space="preserve"> VLOOKUP(B112, INDIRECT("'"&amp;'Drop Down Inputs'!$B$10&amp;"'!"&amp;" $A:$F"),MATCH($C$1, INDIRECT("'"&amp;'Drop Down Inputs'!$B$10&amp;"'!"&amp;"$A$1:$F$1"),0), FALSE)</f>
        <v>858703</v>
      </c>
      <c r="D112" s="252" t="str">
        <f>VLOOKUP($B112, 'Exit Prices'!$A$3:$B$222, 2, 0)</f>
        <v>DNO</v>
      </c>
    </row>
    <row r="113" spans="1:4">
      <c r="A113" t="str">
        <f>VLOOKUP(B113, 'Exit Prices'!$A$3:$B$222, 2, 0)</f>
        <v>POWER STATION</v>
      </c>
      <c r="B113" s="2" t="s">
        <v>133</v>
      </c>
      <c r="C113" s="89">
        <f ca="1" xml:space="preserve"> VLOOKUP(B113, INDIRECT("'"&amp;'Drop Down Inputs'!$B$10&amp;"'!"&amp;" $A:$F"),MATCH($C$1, INDIRECT("'"&amp;'Drop Down Inputs'!$B$10&amp;"'!"&amp;"$A$1:$F$1"),0), FALSE)</f>
        <v>31700000</v>
      </c>
      <c r="D113" s="252" t="str">
        <f>VLOOKUP($B113, 'Exit Prices'!$A$3:$B$222, 2, 0)</f>
        <v>POWER STATION</v>
      </c>
    </row>
    <row r="114" spans="1:4">
      <c r="A114" t="str">
        <f>VLOOKUP(B114, 'Exit Prices'!$A$3:$B$222, 2, 0)</f>
        <v>DNO</v>
      </c>
      <c r="B114" s="2" t="s">
        <v>134</v>
      </c>
      <c r="C114" s="89">
        <f ca="1" xml:space="preserve"> VLOOKUP(B114, INDIRECT("'"&amp;'Drop Down Inputs'!$B$10&amp;"'!"&amp;" $A:$F"),MATCH($C$1, INDIRECT("'"&amp;'Drop Down Inputs'!$B$10&amp;"'!"&amp;"$A$1:$F$1"),0), FALSE)</f>
        <v>155319</v>
      </c>
      <c r="D114" s="252" t="str">
        <f>VLOOKUP($B114, 'Exit Prices'!$A$3:$B$222, 2, 0)</f>
        <v>DNO</v>
      </c>
    </row>
    <row r="115" spans="1:4">
      <c r="A115" t="str">
        <f>VLOOKUP(B115, 'Exit Prices'!$A$3:$B$222, 2, 0)</f>
        <v>DNO</v>
      </c>
      <c r="B115" s="2" t="s">
        <v>135</v>
      </c>
      <c r="C115" s="89">
        <f ca="1" xml:space="preserve"> VLOOKUP(B115, INDIRECT("'"&amp;'Drop Down Inputs'!$B$10&amp;"'!"&amp;" $A:$F"),MATCH($C$1, INDIRECT("'"&amp;'Drop Down Inputs'!$B$10&amp;"'!"&amp;"$A$1:$F$1"),0), FALSE)</f>
        <v>0</v>
      </c>
      <c r="D115" s="252" t="str">
        <f>VLOOKUP($B115, 'Exit Prices'!$A$3:$B$222, 2, 0)</f>
        <v>DNO</v>
      </c>
    </row>
    <row r="116" spans="1:4">
      <c r="A116" t="str">
        <f>VLOOKUP(B116, 'Exit Prices'!$A$3:$B$222, 2, 0)</f>
        <v>DNO</v>
      </c>
      <c r="B116" s="2" t="s">
        <v>136</v>
      </c>
      <c r="C116" s="89">
        <f ca="1" xml:space="preserve"> VLOOKUP(B116, INDIRECT("'"&amp;'Drop Down Inputs'!$B$10&amp;"'!"&amp;" $A:$F"),MATCH($C$1, INDIRECT("'"&amp;'Drop Down Inputs'!$B$10&amp;"'!"&amp;"$A$1:$F$1"),0), FALSE)</f>
        <v>3634748</v>
      </c>
      <c r="D116" s="252" t="str">
        <f>VLOOKUP($B116, 'Exit Prices'!$A$3:$B$222, 2, 0)</f>
        <v>DNO</v>
      </c>
    </row>
    <row r="117" spans="1:4">
      <c r="A117" t="str">
        <f>VLOOKUP(B117, 'Exit Prices'!$A$3:$B$222, 2, 0)</f>
        <v>DNO</v>
      </c>
      <c r="B117" s="2" t="s">
        <v>137</v>
      </c>
      <c r="C117" s="89">
        <f ca="1" xml:space="preserve"> VLOOKUP(B117, INDIRECT("'"&amp;'Drop Down Inputs'!$B$10&amp;"'!"&amp;" $A:$F"),MATCH($C$1, INDIRECT("'"&amp;'Drop Down Inputs'!$B$10&amp;"'!"&amp;"$A$1:$F$1"),0), FALSE)</f>
        <v>14089321</v>
      </c>
      <c r="D117" s="252" t="str">
        <f>VLOOKUP($B117, 'Exit Prices'!$A$3:$B$222, 2, 0)</f>
        <v>DNO</v>
      </c>
    </row>
    <row r="118" spans="1:4">
      <c r="A118" t="str">
        <f>VLOOKUP(B118, 'Exit Prices'!$A$3:$B$222, 2, 0)</f>
        <v>DNO</v>
      </c>
      <c r="B118" s="2" t="s">
        <v>138</v>
      </c>
      <c r="C118" s="89">
        <f ca="1" xml:space="preserve"> VLOOKUP(B118, INDIRECT("'"&amp;'Drop Down Inputs'!$B$10&amp;"'!"&amp;" $A:$F"),MATCH($C$1, INDIRECT("'"&amp;'Drop Down Inputs'!$B$10&amp;"'!"&amp;"$A$1:$F$1"),0), FALSE)</f>
        <v>2299463</v>
      </c>
      <c r="D118" s="252" t="str">
        <f>VLOOKUP($B118, 'Exit Prices'!$A$3:$B$222, 2, 0)</f>
        <v>DNO</v>
      </c>
    </row>
    <row r="119" spans="1:4">
      <c r="A119" t="str">
        <f>VLOOKUP(B119, 'Exit Prices'!$A$3:$B$222, 2, 0)</f>
        <v>DNO</v>
      </c>
      <c r="B119" s="2" t="s">
        <v>139</v>
      </c>
      <c r="C119" s="89">
        <f ca="1" xml:space="preserve"> VLOOKUP(B119, INDIRECT("'"&amp;'Drop Down Inputs'!$B$10&amp;"'!"&amp;" $A:$F"),MATCH($C$1, INDIRECT("'"&amp;'Drop Down Inputs'!$B$10&amp;"'!"&amp;"$A$1:$F$1"),0), FALSE)</f>
        <v>6757111</v>
      </c>
      <c r="D119" s="252" t="str">
        <f>VLOOKUP($B119, 'Exit Prices'!$A$3:$B$222, 2, 0)</f>
        <v>DNO</v>
      </c>
    </row>
    <row r="120" spans="1:4">
      <c r="A120" t="str">
        <f>VLOOKUP(B120, 'Exit Prices'!$A$3:$B$222, 2, 0)</f>
        <v>DNO</v>
      </c>
      <c r="B120" s="2" t="s">
        <v>140</v>
      </c>
      <c r="C120" s="89">
        <f ca="1" xml:space="preserve"> VLOOKUP(B120, INDIRECT("'"&amp;'Drop Down Inputs'!$B$10&amp;"'!"&amp;" $A:$F"),MATCH($C$1, INDIRECT("'"&amp;'Drop Down Inputs'!$B$10&amp;"'!"&amp;"$A$1:$F$1"),0), FALSE)</f>
        <v>29910000</v>
      </c>
      <c r="D120" s="252" t="str">
        <f>VLOOKUP($B120, 'Exit Prices'!$A$3:$B$222, 2, 0)</f>
        <v>DNO</v>
      </c>
    </row>
    <row r="121" spans="1:4">
      <c r="A121" t="str">
        <f>VLOOKUP(B121, 'Exit Prices'!$A$3:$B$222, 2, 0)</f>
        <v>DNO</v>
      </c>
      <c r="B121" s="2" t="s">
        <v>141</v>
      </c>
      <c r="C121" s="89">
        <f ca="1" xml:space="preserve"> VLOOKUP(B121, INDIRECT("'"&amp;'Drop Down Inputs'!$B$10&amp;"'!"&amp;" $A:$F"),MATCH($C$1, INDIRECT("'"&amp;'Drop Down Inputs'!$B$10&amp;"'!"&amp;"$A$1:$F$1"),0), FALSE)</f>
        <v>19815980</v>
      </c>
      <c r="D121" s="252" t="str">
        <f>VLOOKUP($B121, 'Exit Prices'!$A$3:$B$222, 2, 0)</f>
        <v>DNO</v>
      </c>
    </row>
    <row r="122" spans="1:4">
      <c r="A122" t="str">
        <f>VLOOKUP(B122, 'Exit Prices'!$A$3:$B$222, 2, 0)</f>
        <v>DNO</v>
      </c>
      <c r="B122" s="2" t="s">
        <v>142</v>
      </c>
      <c r="C122" s="89">
        <f ca="1" xml:space="preserve"> VLOOKUP(B122, INDIRECT("'"&amp;'Drop Down Inputs'!$B$10&amp;"'!"&amp;" $A:$F"),MATCH($C$1, INDIRECT("'"&amp;'Drop Down Inputs'!$B$10&amp;"'!"&amp;"$A$1:$F$1"),0), FALSE)</f>
        <v>76147689</v>
      </c>
      <c r="D122" s="252" t="str">
        <f>VLOOKUP($B122, 'Exit Prices'!$A$3:$B$222, 2, 0)</f>
        <v>DNO</v>
      </c>
    </row>
    <row r="123" spans="1:4">
      <c r="A123" t="str">
        <f>VLOOKUP(B123, 'Exit Prices'!$A$3:$B$222, 2, 0)</f>
        <v>DNO</v>
      </c>
      <c r="B123" s="2" t="s">
        <v>143</v>
      </c>
      <c r="C123" s="89">
        <f ca="1" xml:space="preserve"> VLOOKUP(B123, INDIRECT("'"&amp;'Drop Down Inputs'!$B$10&amp;"'!"&amp;" $A:$F"),MATCH($C$1, INDIRECT("'"&amp;'Drop Down Inputs'!$B$10&amp;"'!"&amp;"$A$1:$F$1"),0), FALSE)</f>
        <v>45817300</v>
      </c>
      <c r="D123" s="252" t="str">
        <f>VLOOKUP($B123, 'Exit Prices'!$A$3:$B$222, 2, 0)</f>
        <v>DNO</v>
      </c>
    </row>
    <row r="124" spans="1:4">
      <c r="A124" t="str">
        <f>VLOOKUP(B124, 'Exit Prices'!$A$3:$B$222, 2, 0)</f>
        <v>DNO</v>
      </c>
      <c r="B124" s="2" t="s">
        <v>144</v>
      </c>
      <c r="C124" s="89">
        <f ca="1" xml:space="preserve"> VLOOKUP(B124, INDIRECT("'"&amp;'Drop Down Inputs'!$B$10&amp;"'!"&amp;" $A:$F"),MATCH($C$1, INDIRECT("'"&amp;'Drop Down Inputs'!$B$10&amp;"'!"&amp;"$A$1:$F$1"),0), FALSE)</f>
        <v>49258990</v>
      </c>
      <c r="D124" s="252" t="str">
        <f>VLOOKUP($B124, 'Exit Prices'!$A$3:$B$222, 2, 0)</f>
        <v>DNO</v>
      </c>
    </row>
    <row r="125" spans="1:4">
      <c r="A125" t="str">
        <f>VLOOKUP(B125, 'Exit Prices'!$A$3:$B$222, 2, 0)</f>
        <v>DNO</v>
      </c>
      <c r="B125" s="2" t="s">
        <v>145</v>
      </c>
      <c r="C125" s="89">
        <f ca="1" xml:space="preserve"> VLOOKUP(B125, INDIRECT("'"&amp;'Drop Down Inputs'!$B$10&amp;"'!"&amp;" $A:$F"),MATCH($C$1, INDIRECT("'"&amp;'Drop Down Inputs'!$B$10&amp;"'!"&amp;"$A$1:$F$1"),0), FALSE)</f>
        <v>685222</v>
      </c>
      <c r="D125" s="252" t="str">
        <f>VLOOKUP($B125, 'Exit Prices'!$A$3:$B$222, 2, 0)</f>
        <v>DNO</v>
      </c>
    </row>
    <row r="126" spans="1:4">
      <c r="A126" t="str">
        <f>VLOOKUP(B126, 'Exit Prices'!$A$3:$B$222, 2, 0)</f>
        <v>DNO</v>
      </c>
      <c r="B126" s="2" t="s">
        <v>146</v>
      </c>
      <c r="C126" s="89">
        <f ca="1" xml:space="preserve"> VLOOKUP(B126, INDIRECT("'"&amp;'Drop Down Inputs'!$B$10&amp;"'!"&amp;" $A:$F"),MATCH($C$1, INDIRECT("'"&amp;'Drop Down Inputs'!$B$10&amp;"'!"&amp;"$A$1:$F$1"),0), FALSE)</f>
        <v>38538881</v>
      </c>
      <c r="D126" s="252" t="str">
        <f>VLOOKUP($B126, 'Exit Prices'!$A$3:$B$222, 2, 0)</f>
        <v>DNO</v>
      </c>
    </row>
    <row r="127" spans="1:4">
      <c r="A127" t="str">
        <f>VLOOKUP(B127, 'Exit Prices'!$A$3:$B$222, 2, 0)</f>
        <v>POWER STATION</v>
      </c>
      <c r="B127" s="2" t="s">
        <v>147</v>
      </c>
      <c r="C127" s="89">
        <f ca="1" xml:space="preserve"> VLOOKUP(B127, INDIRECT("'"&amp;'Drop Down Inputs'!$B$10&amp;"'!"&amp;" $A:$F"),MATCH($C$1, INDIRECT("'"&amp;'Drop Down Inputs'!$B$10&amp;"'!"&amp;"$A$1:$F$1"),0), FALSE)</f>
        <v>39840000</v>
      </c>
      <c r="D127" s="252" t="str">
        <f>VLOOKUP($B127, 'Exit Prices'!$A$3:$B$222, 2, 0)</f>
        <v>POWER STATION</v>
      </c>
    </row>
    <row r="128" spans="1:4">
      <c r="A128" t="str">
        <f>VLOOKUP(B128, 'Exit Prices'!$A$3:$B$222, 2, 0)</f>
        <v>DNO</v>
      </c>
      <c r="B128" s="2" t="s">
        <v>148</v>
      </c>
      <c r="C128" s="89">
        <f ca="1" xml:space="preserve"> VLOOKUP(B128, INDIRECT("'"&amp;'Drop Down Inputs'!$B$10&amp;"'!"&amp;" $A:$F"),MATCH($C$1, INDIRECT("'"&amp;'Drop Down Inputs'!$B$10&amp;"'!"&amp;"$A$1:$F$1"),0), FALSE)</f>
        <v>6965982</v>
      </c>
      <c r="D128" s="252" t="str">
        <f>VLOOKUP($B128, 'Exit Prices'!$A$3:$B$222, 2, 0)</f>
        <v>DNO</v>
      </c>
    </row>
    <row r="129" spans="1:4">
      <c r="A129" t="str">
        <f>VLOOKUP(B129, 'Exit Prices'!$A$3:$B$222, 2, 0)</f>
        <v>DNO</v>
      </c>
      <c r="B129" s="2" t="s">
        <v>149</v>
      </c>
      <c r="C129" s="89">
        <f ca="1" xml:space="preserve"> VLOOKUP(B129, INDIRECT("'"&amp;'Drop Down Inputs'!$B$10&amp;"'!"&amp;" $A:$F"),MATCH($C$1, INDIRECT("'"&amp;'Drop Down Inputs'!$B$10&amp;"'!"&amp;"$A$1:$F$1"),0), FALSE)</f>
        <v>50470504</v>
      </c>
      <c r="D129" s="252" t="str">
        <f>VLOOKUP($B129, 'Exit Prices'!$A$3:$B$222, 2, 0)</f>
        <v>DNO</v>
      </c>
    </row>
    <row r="130" spans="1:4">
      <c r="A130" t="str">
        <f>VLOOKUP(B130, 'Exit Prices'!$A$3:$B$222, 2, 0)</f>
        <v>POWER STATION</v>
      </c>
      <c r="B130" s="2" t="s">
        <v>150</v>
      </c>
      <c r="C130" s="89">
        <f ca="1" xml:space="preserve"> VLOOKUP(B130, INDIRECT("'"&amp;'Drop Down Inputs'!$B$10&amp;"'!"&amp;" $A:$F"),MATCH($C$1, INDIRECT("'"&amp;'Drop Down Inputs'!$B$10&amp;"'!"&amp;"$A$1:$F$1"),0), FALSE)</f>
        <v>32771084</v>
      </c>
      <c r="D130" s="252" t="str">
        <f>VLOOKUP($B130, 'Exit Prices'!$A$3:$B$222, 2, 0)</f>
        <v>POWER STATION</v>
      </c>
    </row>
    <row r="131" spans="1:4">
      <c r="A131" t="str">
        <f>VLOOKUP(B131, 'Exit Prices'!$A$3:$B$222, 2, 0)</f>
        <v>DNO</v>
      </c>
      <c r="B131" s="2" t="s">
        <v>151</v>
      </c>
      <c r="C131" s="89">
        <f ca="1" xml:space="preserve"> VLOOKUP(B131, INDIRECT("'"&amp;'Drop Down Inputs'!$B$10&amp;"'!"&amp;" $A:$F"),MATCH($C$1, INDIRECT("'"&amp;'Drop Down Inputs'!$B$10&amp;"'!"&amp;"$A$1:$F$1"),0), FALSE)</f>
        <v>949364</v>
      </c>
      <c r="D131" s="252" t="str">
        <f>VLOOKUP($B131, 'Exit Prices'!$A$3:$B$222, 2, 0)</f>
        <v>DNO</v>
      </c>
    </row>
    <row r="132" spans="1:4">
      <c r="A132" t="str">
        <f>VLOOKUP(B132, 'Exit Prices'!$A$3:$B$222, 2, 0)</f>
        <v>DNO</v>
      </c>
      <c r="B132" s="2" t="s">
        <v>152</v>
      </c>
      <c r="C132" s="89">
        <f ca="1" xml:space="preserve"> VLOOKUP(B132, INDIRECT("'"&amp;'Drop Down Inputs'!$B$10&amp;"'!"&amp;" $A:$F"),MATCH($C$1, INDIRECT("'"&amp;'Drop Down Inputs'!$B$10&amp;"'!"&amp;"$A$1:$F$1"),0), FALSE)</f>
        <v>29209411</v>
      </c>
      <c r="D132" s="252" t="str">
        <f>VLOOKUP($B132, 'Exit Prices'!$A$3:$B$222, 2, 0)</f>
        <v>DNO</v>
      </c>
    </row>
    <row r="133" spans="1:4">
      <c r="A133" t="str">
        <f>VLOOKUP(B133, 'Exit Prices'!$A$3:$B$222, 2, 0)</f>
        <v>POWER STATION</v>
      </c>
      <c r="B133" s="2" t="s">
        <v>153</v>
      </c>
      <c r="C133" s="89">
        <f ca="1" xml:space="preserve"> VLOOKUP(B133, INDIRECT("'"&amp;'Drop Down Inputs'!$B$10&amp;"'!"&amp;" $A:$F"),MATCH($C$1, INDIRECT("'"&amp;'Drop Down Inputs'!$B$10&amp;"'!"&amp;"$A$1:$F$1"),0), FALSE)</f>
        <v>95336184</v>
      </c>
      <c r="D133" s="252" t="str">
        <f>VLOOKUP($B133, 'Exit Prices'!$A$3:$B$222, 2, 0)</f>
        <v>POWER STATION</v>
      </c>
    </row>
    <row r="134" spans="1:4">
      <c r="A134" t="str">
        <f>VLOOKUP(B134, 'Exit Prices'!$A$3:$B$222, 2, 0)</f>
        <v>DNO</v>
      </c>
      <c r="B134" s="2" t="s">
        <v>154</v>
      </c>
      <c r="C134" s="89">
        <f ca="1" xml:space="preserve"> VLOOKUP(B134, INDIRECT("'"&amp;'Drop Down Inputs'!$B$10&amp;"'!"&amp;" $A:$F"),MATCH($C$1, INDIRECT("'"&amp;'Drop Down Inputs'!$B$10&amp;"'!"&amp;"$A$1:$F$1"),0), FALSE)</f>
        <v>18949988</v>
      </c>
      <c r="D134" s="252" t="str">
        <f>VLOOKUP($B134, 'Exit Prices'!$A$3:$B$222, 2, 0)</f>
        <v>DNO</v>
      </c>
    </row>
    <row r="135" spans="1:4">
      <c r="A135" t="str">
        <f>VLOOKUP(B135, 'Exit Prices'!$A$3:$B$222, 2, 0)</f>
        <v>INTERCONNECTOR</v>
      </c>
      <c r="B135" s="2" t="s">
        <v>155</v>
      </c>
      <c r="C135" s="89">
        <f ca="1" xml:space="preserve"> VLOOKUP(B135, INDIRECT("'"&amp;'Drop Down Inputs'!$B$10&amp;"'!"&amp;" $A:$F"),MATCH($C$1, INDIRECT("'"&amp;'Drop Down Inputs'!$B$10&amp;"'!"&amp;"$A$1:$F$1"),0), FALSE)</f>
        <v>243649428.46575344</v>
      </c>
      <c r="D135" s="252" t="str">
        <f>VLOOKUP($B135, 'Exit Prices'!$A$3:$B$222, 2, 0)</f>
        <v>INTERCONNECTOR</v>
      </c>
    </row>
    <row r="136" spans="1:4">
      <c r="A136" t="str">
        <f>VLOOKUP(B136, 'Exit Prices'!$A$3:$B$222, 2, 0)</f>
        <v>DNO</v>
      </c>
      <c r="B136" s="2" t="s">
        <v>156</v>
      </c>
      <c r="C136" s="89">
        <f ca="1" xml:space="preserve"> VLOOKUP(B136, INDIRECT("'"&amp;'Drop Down Inputs'!$B$10&amp;"'!"&amp;" $A:$F"),MATCH($C$1, INDIRECT("'"&amp;'Drop Down Inputs'!$B$10&amp;"'!"&amp;"$A$1:$F$1"),0), FALSE)</f>
        <v>322112</v>
      </c>
      <c r="D136" s="252" t="str">
        <f>VLOOKUP($B136, 'Exit Prices'!$A$3:$B$222, 2, 0)</f>
        <v>DNO</v>
      </c>
    </row>
    <row r="137" spans="1:4">
      <c r="A137" t="str">
        <f>VLOOKUP(B137, 'Exit Prices'!$A$3:$B$222, 2, 0)</f>
        <v>DNO</v>
      </c>
      <c r="B137" s="2" t="s">
        <v>157</v>
      </c>
      <c r="C137" s="89">
        <f ca="1" xml:space="preserve"> VLOOKUP(B137, INDIRECT("'"&amp;'Drop Down Inputs'!$B$10&amp;"'!"&amp;" $A:$F"),MATCH($C$1, INDIRECT("'"&amp;'Drop Down Inputs'!$B$10&amp;"'!"&amp;"$A$1:$F$1"),0), FALSE)</f>
        <v>120179959</v>
      </c>
      <c r="D137" s="252" t="str">
        <f>VLOOKUP($B137, 'Exit Prices'!$A$3:$B$222, 2, 0)</f>
        <v>DNO</v>
      </c>
    </row>
    <row r="138" spans="1:4">
      <c r="A138" t="str">
        <f>VLOOKUP(B138, 'Exit Prices'!$A$3:$B$222, 2, 0)</f>
        <v>DNO</v>
      </c>
      <c r="B138" s="2" t="s">
        <v>20</v>
      </c>
      <c r="C138" s="89">
        <f ca="1" xml:space="preserve"> VLOOKUP(B138, INDIRECT("'"&amp;'Drop Down Inputs'!$B$10&amp;"'!"&amp;" $A:$F"),MATCH($C$1, INDIRECT("'"&amp;'Drop Down Inputs'!$B$10&amp;"'!"&amp;"$A$1:$F$1"),0), FALSE)</f>
        <v>39994219</v>
      </c>
      <c r="D138" s="252" t="str">
        <f>VLOOKUP($B138, 'Exit Prices'!$A$3:$B$222, 2, 0)</f>
        <v>DNO</v>
      </c>
    </row>
    <row r="139" spans="1:4">
      <c r="A139" t="str">
        <f>VLOOKUP(B139, 'Exit Prices'!$A$3:$B$222, 2, 0)</f>
        <v>STORAGE SITE</v>
      </c>
      <c r="B139" s="2" t="s">
        <v>158</v>
      </c>
      <c r="C139" s="89">
        <f ca="1" xml:space="preserve"> VLOOKUP(B139, INDIRECT("'"&amp;'Drop Down Inputs'!$B$10&amp;"'!"&amp;" $A:$F"),MATCH($C$1, INDIRECT("'"&amp;'Drop Down Inputs'!$B$10&amp;"'!"&amp;"$A$1:$F$1"),0), FALSE)</f>
        <v>0</v>
      </c>
      <c r="D139" s="252" t="str">
        <f>VLOOKUP($B139, 'Exit Prices'!$A$3:$B$222, 2, 0)</f>
        <v>STORAGE SITE</v>
      </c>
    </row>
    <row r="140" spans="1:4">
      <c r="A140" t="str">
        <f>VLOOKUP(B140, 'Exit Prices'!$A$3:$B$222, 2, 0)</f>
        <v>DNO</v>
      </c>
      <c r="B140" s="2" t="s">
        <v>159</v>
      </c>
      <c r="C140" s="89">
        <f ca="1" xml:space="preserve"> VLOOKUP(B140, INDIRECT("'"&amp;'Drop Down Inputs'!$B$10&amp;"'!"&amp;" $A:$F"),MATCH($C$1, INDIRECT("'"&amp;'Drop Down Inputs'!$B$10&amp;"'!"&amp;"$A$1:$F$1"),0), FALSE)</f>
        <v>46858561</v>
      </c>
      <c r="D140" s="252" t="str">
        <f>VLOOKUP($B140, 'Exit Prices'!$A$3:$B$222, 2, 0)</f>
        <v>DNO</v>
      </c>
    </row>
    <row r="141" spans="1:4">
      <c r="A141" t="str">
        <f>VLOOKUP(B141, 'Exit Prices'!$A$3:$B$222, 2, 0)</f>
        <v>POWER STATION</v>
      </c>
      <c r="B141" s="2" t="s">
        <v>160</v>
      </c>
      <c r="C141" s="89">
        <f ca="1" xml:space="preserve"> VLOOKUP(B141, INDIRECT("'"&amp;'Drop Down Inputs'!$B$10&amp;"'!"&amp;" $A:$F"),MATCH($C$1, INDIRECT("'"&amp;'Drop Down Inputs'!$B$10&amp;"'!"&amp;"$A$1:$F$1"),0), FALSE)</f>
        <v>121200000</v>
      </c>
      <c r="D141" s="252" t="str">
        <f>VLOOKUP($B141, 'Exit Prices'!$A$3:$B$222, 2, 0)</f>
        <v>POWER STATION</v>
      </c>
    </row>
    <row r="142" spans="1:4">
      <c r="A142" t="str">
        <f>VLOOKUP(B142, 'Exit Prices'!$A$3:$B$222, 2, 0)</f>
        <v>POWER STATION</v>
      </c>
      <c r="B142" s="2" t="s">
        <v>161</v>
      </c>
      <c r="C142" s="89">
        <f ca="1" xml:space="preserve"> VLOOKUP(B142, INDIRECT("'"&amp;'Drop Down Inputs'!$B$10&amp;"'!"&amp;" $A:$F"),MATCH($C$1, INDIRECT("'"&amp;'Drop Down Inputs'!$B$10&amp;"'!"&amp;"$A$1:$F$1"),0), FALSE)</f>
        <v>2805479.4520547944</v>
      </c>
      <c r="D142" s="252" t="str">
        <f>VLOOKUP($B142, 'Exit Prices'!$A$3:$B$222, 2, 0)</f>
        <v>POWER STATION</v>
      </c>
    </row>
    <row r="143" spans="1:4">
      <c r="A143" t="str">
        <f>VLOOKUP(B143, 'Exit Prices'!$A$3:$B$222, 2, 0)</f>
        <v>DNO</v>
      </c>
      <c r="B143" s="2" t="s">
        <v>162</v>
      </c>
      <c r="C143" s="89">
        <f ca="1" xml:space="preserve"> VLOOKUP(B143, INDIRECT("'"&amp;'Drop Down Inputs'!$B$10&amp;"'!"&amp;" $A:$F"),MATCH($C$1, INDIRECT("'"&amp;'Drop Down Inputs'!$B$10&amp;"'!"&amp;"$A$1:$F$1"),0), FALSE)</f>
        <v>20325523</v>
      </c>
      <c r="D143" s="252" t="str">
        <f>VLOOKUP($B143, 'Exit Prices'!$A$3:$B$222, 2, 0)</f>
        <v>DNO</v>
      </c>
    </row>
    <row r="144" spans="1:4">
      <c r="A144" t="str">
        <f>VLOOKUP(B144, 'Exit Prices'!$A$3:$B$222, 2, 0)</f>
        <v>DNO</v>
      </c>
      <c r="B144" s="2" t="s">
        <v>163</v>
      </c>
      <c r="C144" s="89">
        <f ca="1" xml:space="preserve"> VLOOKUP(B144, INDIRECT("'"&amp;'Drop Down Inputs'!$B$10&amp;"'!"&amp;" $A:$F"),MATCH($C$1, INDIRECT("'"&amp;'Drop Down Inputs'!$B$10&amp;"'!"&amp;"$A$1:$F$1"),0), FALSE)</f>
        <v>111963144</v>
      </c>
      <c r="D144" s="252" t="str">
        <f>VLOOKUP($B144, 'Exit Prices'!$A$3:$B$222, 2, 0)</f>
        <v>DNO</v>
      </c>
    </row>
    <row r="145" spans="1:4">
      <c r="A145" t="str">
        <f>VLOOKUP(B145, 'Exit Prices'!$A$3:$B$222, 2, 0)</f>
        <v>DNO</v>
      </c>
      <c r="B145" s="2" t="s">
        <v>164</v>
      </c>
      <c r="C145" s="89">
        <f ca="1" xml:space="preserve"> VLOOKUP(B145, INDIRECT("'"&amp;'Drop Down Inputs'!$B$10&amp;"'!"&amp;" $A:$F"),MATCH($C$1, INDIRECT("'"&amp;'Drop Down Inputs'!$B$10&amp;"'!"&amp;"$A$1:$F$1"),0), FALSE)</f>
        <v>164876045</v>
      </c>
      <c r="D145" s="252" t="str">
        <f>VLOOKUP($B145, 'Exit Prices'!$A$3:$B$222, 2, 0)</f>
        <v>DNO</v>
      </c>
    </row>
    <row r="146" spans="1:4">
      <c r="A146" t="str">
        <f>VLOOKUP(B146, 'Exit Prices'!$A$3:$B$222, 2, 0)</f>
        <v>INDUSTRIAL</v>
      </c>
      <c r="B146" s="2" t="s">
        <v>165</v>
      </c>
      <c r="C146" s="89">
        <f ca="1" xml:space="preserve"> VLOOKUP(B146, INDIRECT("'"&amp;'Drop Down Inputs'!$B$10&amp;"'!"&amp;" $A:$F"),MATCH($C$1, INDIRECT("'"&amp;'Drop Down Inputs'!$B$10&amp;"'!"&amp;"$A$1:$F$1"),0), FALSE)</f>
        <v>3690000</v>
      </c>
      <c r="D146" s="252" t="str">
        <f>VLOOKUP($B146, 'Exit Prices'!$A$3:$B$222, 2, 0)</f>
        <v>INDUSTRIAL</v>
      </c>
    </row>
    <row r="147" spans="1:4">
      <c r="A147" t="str">
        <f>VLOOKUP(B147, 'Exit Prices'!$A$3:$B$222, 2, 0)</f>
        <v>DNO</v>
      </c>
      <c r="B147" s="2" t="s">
        <v>166</v>
      </c>
      <c r="C147" s="89">
        <f ca="1" xml:space="preserve"> VLOOKUP(B147, INDIRECT("'"&amp;'Drop Down Inputs'!$B$10&amp;"'!"&amp;" $A:$F"),MATCH($C$1, INDIRECT("'"&amp;'Drop Down Inputs'!$B$10&amp;"'!"&amp;"$A$1:$F$1"),0), FALSE)</f>
        <v>8332710</v>
      </c>
      <c r="D147" s="252" t="str">
        <f>VLOOKUP($B147, 'Exit Prices'!$A$3:$B$222, 2, 0)</f>
        <v>DNO</v>
      </c>
    </row>
    <row r="148" spans="1:4">
      <c r="A148" t="str">
        <f>VLOOKUP(B148, 'Exit Prices'!$A$3:$B$222, 2, 0)</f>
        <v>INDUSTRIAL</v>
      </c>
      <c r="B148" s="2" t="s">
        <v>167</v>
      </c>
      <c r="C148" s="89">
        <f ca="1" xml:space="preserve"> VLOOKUP(B148, INDIRECT("'"&amp;'Drop Down Inputs'!$B$10&amp;"'!"&amp;" $A:$F"),MATCH($C$1, INDIRECT("'"&amp;'Drop Down Inputs'!$B$10&amp;"'!"&amp;"$A$1:$F$1"),0), FALSE)</f>
        <v>8000000</v>
      </c>
      <c r="D148" s="252" t="str">
        <f>VLOOKUP($B148, 'Exit Prices'!$A$3:$B$222, 2, 0)</f>
        <v>INDUSTRIAL</v>
      </c>
    </row>
    <row r="149" spans="1:4">
      <c r="A149" t="str">
        <f>VLOOKUP(B149, 'Exit Prices'!$A$3:$B$222, 2, 0)</f>
        <v>DNO</v>
      </c>
      <c r="B149" s="2" t="s">
        <v>168</v>
      </c>
      <c r="C149" s="89">
        <f ca="1" xml:space="preserve"> VLOOKUP(B149, INDIRECT("'"&amp;'Drop Down Inputs'!$B$10&amp;"'!"&amp;" $A:$F"),MATCH($C$1, INDIRECT("'"&amp;'Drop Down Inputs'!$B$10&amp;"'!"&amp;"$A$1:$F$1"),0), FALSE)</f>
        <v>1915791</v>
      </c>
      <c r="D149" s="252" t="str">
        <f>VLOOKUP($B149, 'Exit Prices'!$A$3:$B$222, 2, 0)</f>
        <v>DNO</v>
      </c>
    </row>
    <row r="150" spans="1:4">
      <c r="A150" t="str">
        <f>VLOOKUP(B150, 'Exit Prices'!$A$3:$B$222, 2, 0)</f>
        <v>DNO</v>
      </c>
      <c r="B150" s="2" t="s">
        <v>169</v>
      </c>
      <c r="C150" s="89">
        <f ca="1" xml:space="preserve"> VLOOKUP(B150, INDIRECT("'"&amp;'Drop Down Inputs'!$B$10&amp;"'!"&amp;" $A:$F"),MATCH($C$1, INDIRECT("'"&amp;'Drop Down Inputs'!$B$10&amp;"'!"&amp;"$A$1:$F$1"),0), FALSE)</f>
        <v>25023750</v>
      </c>
      <c r="D150" s="252" t="str">
        <f>VLOOKUP($B150, 'Exit Prices'!$A$3:$B$222, 2, 0)</f>
        <v>DNO</v>
      </c>
    </row>
    <row r="151" spans="1:4">
      <c r="A151" t="str">
        <f>VLOOKUP(B151, 'Exit Prices'!$A$3:$B$222, 2, 0)</f>
        <v>DNO</v>
      </c>
      <c r="B151" s="2" t="s">
        <v>170</v>
      </c>
      <c r="C151" s="89">
        <f ca="1" xml:space="preserve"> VLOOKUP(B151, INDIRECT("'"&amp;'Drop Down Inputs'!$B$10&amp;"'!"&amp;" $A:$F"),MATCH($C$1, INDIRECT("'"&amp;'Drop Down Inputs'!$B$10&amp;"'!"&amp;"$A$1:$F$1"),0), FALSE)</f>
        <v>5080452</v>
      </c>
      <c r="D151" s="252" t="str">
        <f>VLOOKUP($B151, 'Exit Prices'!$A$3:$B$222, 2, 0)</f>
        <v>DNO</v>
      </c>
    </row>
    <row r="152" spans="1:4">
      <c r="A152" t="str">
        <f>VLOOKUP(B152, 'Exit Prices'!$A$3:$B$222, 2, 0)</f>
        <v>INDUSTRIAL</v>
      </c>
      <c r="B152" s="2" t="s">
        <v>546</v>
      </c>
      <c r="C152" s="89">
        <f ca="1" xml:space="preserve"> VLOOKUP(B152, INDIRECT("'"&amp;'Drop Down Inputs'!$B$10&amp;"'!"&amp;" $A:$F"),MATCH($C$1, INDIRECT("'"&amp;'Drop Down Inputs'!$B$10&amp;"'!"&amp;"$A$1:$F$1"),0), FALSE)</f>
        <v>0</v>
      </c>
      <c r="D152" s="252" t="str">
        <f>VLOOKUP($B152, 'Exit Prices'!$A$3:$B$222, 2, 0)</f>
        <v>INDUSTRIAL</v>
      </c>
    </row>
    <row r="153" spans="1:4">
      <c r="A153" t="str">
        <f>VLOOKUP(B153, 'Exit Prices'!$A$3:$B$222, 2, 0)</f>
        <v>POWER STATION</v>
      </c>
      <c r="B153" s="2" t="s">
        <v>171</v>
      </c>
      <c r="C153" s="89">
        <f ca="1" xml:space="preserve"> VLOOKUP(B153, INDIRECT("'"&amp;'Drop Down Inputs'!$B$10&amp;"'!"&amp;" $A:$F"),MATCH($C$1, INDIRECT("'"&amp;'Drop Down Inputs'!$B$10&amp;"'!"&amp;"$A$1:$F$1"),0), FALSE)</f>
        <v>0</v>
      </c>
      <c r="D153" s="252" t="str">
        <f>VLOOKUP($B153, 'Exit Prices'!$A$3:$B$222, 2, 0)</f>
        <v>POWER STATION</v>
      </c>
    </row>
    <row r="154" spans="1:4">
      <c r="A154" t="str">
        <f>VLOOKUP(B154, 'Exit Prices'!$A$3:$B$222, 2, 0)</f>
        <v>POWER STATION</v>
      </c>
      <c r="B154" s="2" t="s">
        <v>172</v>
      </c>
      <c r="C154" s="89">
        <f ca="1" xml:space="preserve"> VLOOKUP(B154, INDIRECT("'"&amp;'Drop Down Inputs'!$B$10&amp;"'!"&amp;" $A:$F"),MATCH($C$1, INDIRECT("'"&amp;'Drop Down Inputs'!$B$10&amp;"'!"&amp;"$A$1:$F$1"),0), FALSE)</f>
        <v>57830000</v>
      </c>
      <c r="D154" s="252" t="str">
        <f>VLOOKUP($B154, 'Exit Prices'!$A$3:$B$222, 2, 0)</f>
        <v>POWER STATION</v>
      </c>
    </row>
    <row r="155" spans="1:4">
      <c r="A155" t="str">
        <f>VLOOKUP(B155, 'Exit Prices'!$A$3:$B$222, 2, 0)</f>
        <v>DNO</v>
      </c>
      <c r="B155" s="2" t="s">
        <v>173</v>
      </c>
      <c r="C155" s="89">
        <f ca="1" xml:space="preserve"> VLOOKUP(B155, INDIRECT("'"&amp;'Drop Down Inputs'!$B$10&amp;"'!"&amp;" $A:$F"),MATCH($C$1, INDIRECT("'"&amp;'Drop Down Inputs'!$B$10&amp;"'!"&amp;"$A$1:$F$1"),0), FALSE)</f>
        <v>4023357</v>
      </c>
      <c r="D155" s="252" t="str">
        <f>VLOOKUP($B155, 'Exit Prices'!$A$3:$B$222, 2, 0)</f>
        <v>DNO</v>
      </c>
    </row>
    <row r="156" spans="1:4">
      <c r="A156" t="str">
        <f>VLOOKUP(B156, 'Exit Prices'!$A$3:$B$222, 2, 0)</f>
        <v>DNO</v>
      </c>
      <c r="B156" s="2" t="s">
        <v>174</v>
      </c>
      <c r="C156" s="89">
        <f ca="1" xml:space="preserve"> VLOOKUP(B156, INDIRECT("'"&amp;'Drop Down Inputs'!$B$10&amp;"'!"&amp;" $A:$F"),MATCH($C$1, INDIRECT("'"&amp;'Drop Down Inputs'!$B$10&amp;"'!"&amp;"$A$1:$F$1"),0), FALSE)</f>
        <v>9937704</v>
      </c>
      <c r="D156" s="252" t="str">
        <f>VLOOKUP($B156, 'Exit Prices'!$A$3:$B$222, 2, 0)</f>
        <v>DNO</v>
      </c>
    </row>
    <row r="157" spans="1:4">
      <c r="A157" t="str">
        <f>VLOOKUP(B157, 'Exit Prices'!$A$3:$B$222, 2, 0)</f>
        <v>DNO</v>
      </c>
      <c r="B157" s="2" t="s">
        <v>175</v>
      </c>
      <c r="C157" s="89">
        <f ca="1" xml:space="preserve"> VLOOKUP(B157, INDIRECT("'"&amp;'Drop Down Inputs'!$B$10&amp;"'!"&amp;" $A:$F"),MATCH($C$1, INDIRECT("'"&amp;'Drop Down Inputs'!$B$10&amp;"'!"&amp;"$A$1:$F$1"),0), FALSE)</f>
        <v>20129094</v>
      </c>
      <c r="D157" s="252" t="str">
        <f>VLOOKUP($B157, 'Exit Prices'!$A$3:$B$222, 2, 0)</f>
        <v>DNO</v>
      </c>
    </row>
    <row r="158" spans="1:4">
      <c r="A158" t="str">
        <f>VLOOKUP(B158, 'Exit Prices'!$A$3:$B$222, 2, 0)</f>
        <v>DNO</v>
      </c>
      <c r="B158" s="2" t="s">
        <v>177</v>
      </c>
      <c r="C158" s="89">
        <f ca="1" xml:space="preserve"> VLOOKUP(B158, INDIRECT("'"&amp;'Drop Down Inputs'!$B$10&amp;"'!"&amp;" $A:$F"),MATCH($C$1, INDIRECT("'"&amp;'Drop Down Inputs'!$B$10&amp;"'!"&amp;"$A$1:$F$1"),0), FALSE)</f>
        <v>2367780</v>
      </c>
      <c r="D158" s="252" t="str">
        <f>VLOOKUP($B158, 'Exit Prices'!$A$3:$B$222, 2, 0)</f>
        <v>DNO</v>
      </c>
    </row>
    <row r="159" spans="1:4">
      <c r="A159" t="str">
        <f>VLOOKUP(B159, 'Exit Prices'!$A$3:$B$222, 2, 0)</f>
        <v>DNO</v>
      </c>
      <c r="B159" s="2" t="s">
        <v>178</v>
      </c>
      <c r="C159" s="89">
        <f ca="1" xml:space="preserve"> VLOOKUP(B159, INDIRECT("'"&amp;'Drop Down Inputs'!$B$10&amp;"'!"&amp;" $A:$F"),MATCH($C$1, INDIRECT("'"&amp;'Drop Down Inputs'!$B$10&amp;"'!"&amp;"$A$1:$F$1"),0), FALSE)</f>
        <v>60380901</v>
      </c>
      <c r="D159" s="252" t="str">
        <f>VLOOKUP($B159, 'Exit Prices'!$A$3:$B$222, 2, 0)</f>
        <v>DNO</v>
      </c>
    </row>
    <row r="160" spans="1:4">
      <c r="A160" t="str">
        <f>VLOOKUP(B160, 'Exit Prices'!$A$3:$B$222, 2, 0)</f>
        <v>POWER STATION</v>
      </c>
      <c r="B160" s="2" t="s">
        <v>179</v>
      </c>
      <c r="C160" s="89">
        <f ca="1" xml:space="preserve"> VLOOKUP(B160, INDIRECT("'"&amp;'Drop Down Inputs'!$B$10&amp;"'!"&amp;" $A:$F"),MATCH($C$1, INDIRECT("'"&amp;'Drop Down Inputs'!$B$10&amp;"'!"&amp;"$A$1:$F$1"),0), FALSE)</f>
        <v>38660000</v>
      </c>
      <c r="D160" s="252" t="str">
        <f>VLOOKUP($B160, 'Exit Prices'!$A$3:$B$222, 2, 0)</f>
        <v>POWER STATION</v>
      </c>
    </row>
    <row r="161" spans="1:4">
      <c r="A161" t="str">
        <f>VLOOKUP(B161, 'Exit Prices'!$A$3:$B$222, 2, 0)</f>
        <v>POWER STATION</v>
      </c>
      <c r="B161" s="2" t="s">
        <v>180</v>
      </c>
      <c r="C161" s="89">
        <f ca="1" xml:space="preserve"> VLOOKUP(B161, INDIRECT("'"&amp;'Drop Down Inputs'!$B$10&amp;"'!"&amp;" $A:$F"),MATCH($C$1, INDIRECT("'"&amp;'Drop Down Inputs'!$B$10&amp;"'!"&amp;"$A$1:$F$1"),0), FALSE)</f>
        <v>17980000</v>
      </c>
      <c r="D161" s="252" t="str">
        <f>VLOOKUP($B161, 'Exit Prices'!$A$3:$B$222, 2, 0)</f>
        <v>POWER STATION</v>
      </c>
    </row>
    <row r="162" spans="1:4">
      <c r="A162" t="str">
        <f>VLOOKUP(B162, 'Exit Prices'!$A$3:$B$222, 2, 0)</f>
        <v>INDUSTRIAL</v>
      </c>
      <c r="B162" s="2" t="s">
        <v>181</v>
      </c>
      <c r="C162" s="89">
        <f ca="1" xml:space="preserve"> VLOOKUP(B162, INDIRECT("'"&amp;'Drop Down Inputs'!$B$10&amp;"'!"&amp;" $A:$F"),MATCH($C$1, INDIRECT("'"&amp;'Drop Down Inputs'!$B$10&amp;"'!"&amp;"$A$1:$F$1"),0), FALSE)</f>
        <v>9055895</v>
      </c>
      <c r="D162" s="252" t="str">
        <f>VLOOKUP($B162, 'Exit Prices'!$A$3:$B$222, 2, 0)</f>
        <v>INDUSTRIAL</v>
      </c>
    </row>
    <row r="163" spans="1:4">
      <c r="A163" t="str">
        <f>VLOOKUP(B163, 'Exit Prices'!$A$3:$B$222, 2, 0)</f>
        <v>STORAGE SITE</v>
      </c>
      <c r="B163" s="2" t="s">
        <v>182</v>
      </c>
      <c r="C163" s="89">
        <f ca="1" xml:space="preserve"> VLOOKUP(B163, INDIRECT("'"&amp;'Drop Down Inputs'!$B$10&amp;"'!"&amp;" $A:$F"),MATCH($C$1, INDIRECT("'"&amp;'Drop Down Inputs'!$B$10&amp;"'!"&amp;"$A$1:$F$1"),0), FALSE)</f>
        <v>0</v>
      </c>
      <c r="D163" s="252" t="str">
        <f>VLOOKUP($B163, 'Exit Prices'!$A$3:$B$222, 2, 0)</f>
        <v>STORAGE SITE</v>
      </c>
    </row>
    <row r="164" spans="1:4">
      <c r="A164" t="str">
        <f>VLOOKUP(B164, 'Exit Prices'!$A$3:$B$222, 2, 0)</f>
        <v>DNO</v>
      </c>
      <c r="B164" s="2" t="s">
        <v>183</v>
      </c>
      <c r="C164" s="89">
        <f ca="1" xml:space="preserve"> VLOOKUP(B164, INDIRECT("'"&amp;'Drop Down Inputs'!$B$10&amp;"'!"&amp;" $A:$F"),MATCH($C$1, INDIRECT("'"&amp;'Drop Down Inputs'!$B$10&amp;"'!"&amp;"$A$1:$F$1"),0), FALSE)</f>
        <v>0</v>
      </c>
      <c r="D164" s="252" t="str">
        <f>VLOOKUP($B164, 'Exit Prices'!$A$3:$B$222, 2, 0)</f>
        <v>DNO</v>
      </c>
    </row>
    <row r="165" spans="1:4">
      <c r="A165" t="str">
        <f>VLOOKUP(B165, 'Exit Prices'!$A$3:$B$222, 2, 0)</f>
        <v>DNO</v>
      </c>
      <c r="B165" s="2" t="s">
        <v>184</v>
      </c>
      <c r="C165" s="89">
        <f ca="1" xml:space="preserve"> VLOOKUP(B165, INDIRECT("'"&amp;'Drop Down Inputs'!$B$10&amp;"'!"&amp;" $A:$F"),MATCH($C$1, INDIRECT("'"&amp;'Drop Down Inputs'!$B$10&amp;"'!"&amp;"$A$1:$F$1"),0), FALSE)</f>
        <v>39506950</v>
      </c>
      <c r="D165" s="252" t="str">
        <f>VLOOKUP($B165, 'Exit Prices'!$A$3:$B$222, 2, 0)</f>
        <v>DNO</v>
      </c>
    </row>
    <row r="166" spans="1:4">
      <c r="A166" t="str">
        <f>VLOOKUP(B166, 'Exit Prices'!$A$3:$B$222, 2, 0)</f>
        <v>DNO</v>
      </c>
      <c r="B166" s="2" t="s">
        <v>185</v>
      </c>
      <c r="C166" s="89">
        <f ca="1" xml:space="preserve"> VLOOKUP(B166, INDIRECT("'"&amp;'Drop Down Inputs'!$B$10&amp;"'!"&amp;" $A:$F"),MATCH($C$1, INDIRECT("'"&amp;'Drop Down Inputs'!$B$10&amp;"'!"&amp;"$A$1:$F$1"),0), FALSE)</f>
        <v>99858652</v>
      </c>
      <c r="D166" s="252" t="str">
        <f>VLOOKUP($B166, 'Exit Prices'!$A$3:$B$222, 2, 0)</f>
        <v>DNO</v>
      </c>
    </row>
    <row r="167" spans="1:4">
      <c r="A167" t="str">
        <f>VLOOKUP(B167, 'Exit Prices'!$A$3:$B$222, 2, 0)</f>
        <v>INDUSTRIAL</v>
      </c>
      <c r="B167" s="2" t="s">
        <v>186</v>
      </c>
      <c r="C167" s="89">
        <f ca="1" xml:space="preserve"> VLOOKUP(B167, INDIRECT("'"&amp;'Drop Down Inputs'!$B$10&amp;"'!"&amp;" $A:$F"),MATCH($C$1, INDIRECT("'"&amp;'Drop Down Inputs'!$B$10&amp;"'!"&amp;"$A$1:$F$1"),0), FALSE)</f>
        <v>3433103</v>
      </c>
      <c r="D167" s="252" t="str">
        <f>VLOOKUP($B167, 'Exit Prices'!$A$3:$B$222, 2, 0)</f>
        <v>INDUSTRIAL</v>
      </c>
    </row>
    <row r="168" spans="1:4">
      <c r="A168" t="str">
        <f>VLOOKUP(B168, 'Exit Prices'!$A$3:$B$222, 2, 0)</f>
        <v>DNO</v>
      </c>
      <c r="B168" s="2" t="s">
        <v>187</v>
      </c>
      <c r="C168" s="89">
        <f ca="1" xml:space="preserve"> VLOOKUP(B168, INDIRECT("'"&amp;'Drop Down Inputs'!$B$10&amp;"'!"&amp;" $A:$F"),MATCH($C$1, INDIRECT("'"&amp;'Drop Down Inputs'!$B$10&amp;"'!"&amp;"$A$1:$F$1"),0), FALSE)</f>
        <v>53316903</v>
      </c>
      <c r="D168" s="252" t="str">
        <f>VLOOKUP($B168, 'Exit Prices'!$A$3:$B$222, 2, 0)</f>
        <v>DNO</v>
      </c>
    </row>
    <row r="169" spans="1:4">
      <c r="A169" t="str">
        <f>VLOOKUP(B169, 'Exit Prices'!$A$3:$B$222, 2, 0)</f>
        <v>POWER STATION</v>
      </c>
      <c r="B169" s="2" t="s">
        <v>188</v>
      </c>
      <c r="C169" s="89">
        <f ca="1" xml:space="preserve"> VLOOKUP(B169, INDIRECT("'"&amp;'Drop Down Inputs'!$B$10&amp;"'!"&amp;" $A:$F"),MATCH($C$1, INDIRECT("'"&amp;'Drop Down Inputs'!$B$10&amp;"'!"&amp;"$A$1:$F$1"),0), FALSE)</f>
        <v>18316938</v>
      </c>
      <c r="D169" s="252" t="str">
        <f>VLOOKUP($B169, 'Exit Prices'!$A$3:$B$222, 2, 0)</f>
        <v>POWER STATION</v>
      </c>
    </row>
    <row r="170" spans="1:4">
      <c r="A170" t="str">
        <f>VLOOKUP(B170, 'Exit Prices'!$A$3:$B$222, 2, 0)</f>
        <v>INDUSTRIAL</v>
      </c>
      <c r="B170" s="2" t="s">
        <v>241</v>
      </c>
      <c r="C170" s="89">
        <f ca="1" xml:space="preserve"> VLOOKUP(B170, INDIRECT("'"&amp;'Drop Down Inputs'!$B$10&amp;"'!"&amp;" $A:$F"),MATCH($C$1, INDIRECT("'"&amp;'Drop Down Inputs'!$B$10&amp;"'!"&amp;"$A$1:$F$1"),0), FALSE)</f>
        <v>49277.068991780827</v>
      </c>
      <c r="D170" s="252" t="str">
        <f>VLOOKUP($B170, 'Exit Prices'!$A$3:$B$222, 2, 0)</f>
        <v>INDUSTRIAL</v>
      </c>
    </row>
    <row r="171" spans="1:4">
      <c r="A171" t="str">
        <f>VLOOKUP(B171, 'Exit Prices'!$A$3:$B$222, 2, 0)</f>
        <v>POWER STATION</v>
      </c>
      <c r="B171" s="2" t="s">
        <v>189</v>
      </c>
      <c r="C171" s="89">
        <f ca="1" xml:space="preserve"> VLOOKUP(B171, INDIRECT("'"&amp;'Drop Down Inputs'!$B$10&amp;"'!"&amp;" $A:$F"),MATCH($C$1, INDIRECT("'"&amp;'Drop Down Inputs'!$B$10&amp;"'!"&amp;"$A$1:$F$1"),0), FALSE)</f>
        <v>12349999</v>
      </c>
      <c r="D171" s="252" t="str">
        <f>VLOOKUP($B171, 'Exit Prices'!$A$3:$B$222, 2, 0)</f>
        <v>POWER STATION</v>
      </c>
    </row>
    <row r="172" spans="1:4">
      <c r="A172" t="str">
        <f>VLOOKUP(B172, 'Exit Prices'!$A$3:$B$222, 2, 0)</f>
        <v>INDUSTRIAL</v>
      </c>
      <c r="B172" s="2" t="s">
        <v>190</v>
      </c>
      <c r="C172" s="89">
        <f ca="1" xml:space="preserve"> VLOOKUP(B172, INDIRECT("'"&amp;'Drop Down Inputs'!$B$10&amp;"'!"&amp;" $A:$F"),MATCH($C$1, INDIRECT("'"&amp;'Drop Down Inputs'!$B$10&amp;"'!"&amp;"$A$1:$F$1"),0), FALSE)</f>
        <v>11732444</v>
      </c>
      <c r="D172" s="252" t="str">
        <f>VLOOKUP($B172, 'Exit Prices'!$A$3:$B$222, 2, 0)</f>
        <v>INDUSTRIAL</v>
      </c>
    </row>
    <row r="173" spans="1:4">
      <c r="A173" t="str">
        <f>VLOOKUP(B173, 'Exit Prices'!$A$3:$B$222, 2, 0)</f>
        <v>DNO</v>
      </c>
      <c r="B173" s="2" t="s">
        <v>191</v>
      </c>
      <c r="C173" s="89">
        <f ca="1" xml:space="preserve"> VLOOKUP(B173, INDIRECT("'"&amp;'Drop Down Inputs'!$B$10&amp;"'!"&amp;" $A:$F"),MATCH($C$1, INDIRECT("'"&amp;'Drop Down Inputs'!$B$10&amp;"'!"&amp;"$A$1:$F$1"),0), FALSE)</f>
        <v>29781236</v>
      </c>
      <c r="D173" s="252" t="str">
        <f>VLOOKUP($B173, 'Exit Prices'!$A$3:$B$222, 2, 0)</f>
        <v>DNO</v>
      </c>
    </row>
    <row r="174" spans="1:4">
      <c r="A174" t="str">
        <f>VLOOKUP(B174, 'Exit Prices'!$A$3:$B$222, 2, 0)</f>
        <v>INDUSTRIAL</v>
      </c>
      <c r="B174" s="2" t="s">
        <v>192</v>
      </c>
      <c r="C174" s="89">
        <f ca="1" xml:space="preserve"> VLOOKUP(B174, INDIRECT("'"&amp;'Drop Down Inputs'!$B$10&amp;"'!"&amp;" $A:$F"),MATCH($C$1, INDIRECT("'"&amp;'Drop Down Inputs'!$B$10&amp;"'!"&amp;"$A$1:$F$1"),0), FALSE)</f>
        <v>247671.23287671234</v>
      </c>
      <c r="D174" s="252" t="str">
        <f>VLOOKUP($B174, 'Exit Prices'!$A$3:$B$222, 2, 0)</f>
        <v>INDUSTRIAL</v>
      </c>
    </row>
    <row r="175" spans="1:4">
      <c r="A175" t="str">
        <f>VLOOKUP(B175, 'Exit Prices'!$A$3:$B$222, 2, 0)</f>
        <v>DNO</v>
      </c>
      <c r="B175" s="2" t="s">
        <v>193</v>
      </c>
      <c r="C175" s="89">
        <f ca="1" xml:space="preserve"> VLOOKUP(B175, INDIRECT("'"&amp;'Drop Down Inputs'!$B$10&amp;"'!"&amp;" $A:$F"),MATCH($C$1, INDIRECT("'"&amp;'Drop Down Inputs'!$B$10&amp;"'!"&amp;"$A$1:$F$1"),0), FALSE)</f>
        <v>100000</v>
      </c>
      <c r="D175" s="252" t="str">
        <f>VLOOKUP($B175, 'Exit Prices'!$A$3:$B$222, 2, 0)</f>
        <v>DNO</v>
      </c>
    </row>
    <row r="176" spans="1:4">
      <c r="A176" t="str">
        <f>VLOOKUP(B176, 'Exit Prices'!$A$3:$B$222, 2, 0)</f>
        <v>DNO</v>
      </c>
      <c r="B176" s="2" t="s">
        <v>194</v>
      </c>
      <c r="C176" s="89">
        <f ca="1" xml:space="preserve"> VLOOKUP(B176, INDIRECT("'"&amp;'Drop Down Inputs'!$B$10&amp;"'!"&amp;" $A:$F"),MATCH($C$1, INDIRECT("'"&amp;'Drop Down Inputs'!$B$10&amp;"'!"&amp;"$A$1:$F$1"),0), FALSE)</f>
        <v>2203090</v>
      </c>
      <c r="D176" s="252" t="str">
        <f>VLOOKUP($B176, 'Exit Prices'!$A$3:$B$222, 2, 0)</f>
        <v>DNO</v>
      </c>
    </row>
    <row r="177" spans="1:4">
      <c r="A177" t="str">
        <f>VLOOKUP(B177, 'Exit Prices'!$A$3:$B$222, 2, 0)</f>
        <v>DNO</v>
      </c>
      <c r="B177" s="2" t="s">
        <v>195</v>
      </c>
      <c r="C177" s="89">
        <f ca="1" xml:space="preserve"> VLOOKUP(B177, INDIRECT("'"&amp;'Drop Down Inputs'!$B$10&amp;"'!"&amp;" $A:$F"),MATCH($C$1, INDIRECT("'"&amp;'Drop Down Inputs'!$B$10&amp;"'!"&amp;"$A$1:$F$1"),0), FALSE)</f>
        <v>10726995</v>
      </c>
      <c r="D177" s="252" t="str">
        <f>VLOOKUP($B177, 'Exit Prices'!$A$3:$B$222, 2, 0)</f>
        <v>DNO</v>
      </c>
    </row>
    <row r="178" spans="1:4">
      <c r="A178" t="str">
        <f>VLOOKUP(B178, 'Exit Prices'!$A$3:$B$222, 2, 0)</f>
        <v>POWER STATION</v>
      </c>
      <c r="B178" s="2" t="s">
        <v>196</v>
      </c>
      <c r="C178" s="89">
        <f ca="1" xml:space="preserve"> VLOOKUP(B178, INDIRECT("'"&amp;'Drop Down Inputs'!$B$10&amp;"'!"&amp;" $A:$F"),MATCH($C$1, INDIRECT("'"&amp;'Drop Down Inputs'!$B$10&amp;"'!"&amp;"$A$1:$F$1"),0), FALSE)</f>
        <v>178806.35616438361</v>
      </c>
      <c r="D178" s="252" t="str">
        <f>VLOOKUP($B178, 'Exit Prices'!$A$3:$B$222, 2, 0)</f>
        <v>POWER STATION</v>
      </c>
    </row>
    <row r="179" spans="1:4">
      <c r="A179" t="str">
        <f>VLOOKUP(B179, 'Exit Prices'!$A$3:$B$222, 2, 0)</f>
        <v>DNO</v>
      </c>
      <c r="B179" s="2" t="s">
        <v>21</v>
      </c>
      <c r="C179" s="89">
        <f ca="1" xml:space="preserve"> VLOOKUP(B179, INDIRECT("'"&amp;'Drop Down Inputs'!$B$10&amp;"'!"&amp;" $A:$F"),MATCH($C$1, INDIRECT("'"&amp;'Drop Down Inputs'!$B$10&amp;"'!"&amp;"$A$1:$F$1"),0), FALSE)</f>
        <v>1316850</v>
      </c>
      <c r="D179" s="252" t="str">
        <f>VLOOKUP($B179, 'Exit Prices'!$A$3:$B$222, 2, 0)</f>
        <v>DNO</v>
      </c>
    </row>
    <row r="180" spans="1:4">
      <c r="A180" t="str">
        <f>VLOOKUP(B180, 'Exit Prices'!$A$3:$B$222, 2, 0)</f>
        <v>POWER STATION</v>
      </c>
      <c r="B180" s="2" t="s">
        <v>197</v>
      </c>
      <c r="C180" s="89">
        <f ca="1" xml:space="preserve"> VLOOKUP(B180, INDIRECT("'"&amp;'Drop Down Inputs'!$B$10&amp;"'!"&amp;" $A:$F"),MATCH($C$1, INDIRECT("'"&amp;'Drop Down Inputs'!$B$10&amp;"'!"&amp;"$A$1:$F$1"),0), FALSE)</f>
        <v>73267750</v>
      </c>
      <c r="D180" s="252" t="str">
        <f>VLOOKUP($B180, 'Exit Prices'!$A$3:$B$222, 2, 0)</f>
        <v>POWER STATION</v>
      </c>
    </row>
    <row r="181" spans="1:4">
      <c r="A181" t="str">
        <f>VLOOKUP(B181, 'Exit Prices'!$A$3:$B$222, 2, 0)</f>
        <v>INDUSTRIAL</v>
      </c>
      <c r="B181" s="2" t="s">
        <v>198</v>
      </c>
      <c r="C181" s="89">
        <f ca="1" xml:space="preserve"> VLOOKUP(B181, INDIRECT("'"&amp;'Drop Down Inputs'!$B$10&amp;"'!"&amp;" $A:$F"),MATCH($C$1, INDIRECT("'"&amp;'Drop Down Inputs'!$B$10&amp;"'!"&amp;"$A$1:$F$1"),0), FALSE)</f>
        <v>2583336</v>
      </c>
      <c r="D181" s="252" t="str">
        <f>VLOOKUP($B181, 'Exit Prices'!$A$3:$B$222, 2, 0)</f>
        <v>INDUSTRIAL</v>
      </c>
    </row>
    <row r="182" spans="1:4">
      <c r="A182" t="str">
        <f>VLOOKUP(B182, 'Exit Prices'!$A$3:$B$222, 2, 0)</f>
        <v>POWER STATION</v>
      </c>
      <c r="B182" s="2" t="s">
        <v>199</v>
      </c>
      <c r="C182" s="89">
        <f ca="1" xml:space="preserve"> VLOOKUP(B182, INDIRECT("'"&amp;'Drop Down Inputs'!$B$10&amp;"'!"&amp;" $A:$F"),MATCH($C$1, INDIRECT("'"&amp;'Drop Down Inputs'!$B$10&amp;"'!"&amp;"$A$1:$F$1"),0), FALSE)</f>
        <v>17811878.082191776</v>
      </c>
      <c r="D182" s="252" t="str">
        <f>VLOOKUP($B182, 'Exit Prices'!$A$3:$B$222, 2, 0)</f>
        <v>POWER STATION</v>
      </c>
    </row>
    <row r="183" spans="1:4">
      <c r="A183" t="str">
        <f>VLOOKUP(B183, 'Exit Prices'!$A$3:$B$222, 2, 0)</f>
        <v>POWER STATION</v>
      </c>
      <c r="B183" s="2" t="s">
        <v>200</v>
      </c>
      <c r="C183" s="89">
        <f ca="1" xml:space="preserve"> VLOOKUP(B183, INDIRECT("'"&amp;'Drop Down Inputs'!$B$10&amp;"'!"&amp;" $A:$F"),MATCH($C$1, INDIRECT("'"&amp;'Drop Down Inputs'!$B$10&amp;"'!"&amp;"$A$1:$F$1"),0), FALSE)</f>
        <v>52700000</v>
      </c>
      <c r="D183" s="252" t="str">
        <f>VLOOKUP($B183, 'Exit Prices'!$A$3:$B$222, 2, 0)</f>
        <v>POWER STATION</v>
      </c>
    </row>
    <row r="184" spans="1:4">
      <c r="A184" t="str">
        <f>VLOOKUP(B184, 'Exit Prices'!$A$3:$B$222, 2, 0)</f>
        <v>POWER STATION</v>
      </c>
      <c r="B184" s="2" t="s">
        <v>201</v>
      </c>
      <c r="C184" s="89">
        <f ca="1" xml:space="preserve"> VLOOKUP(B184, INDIRECT("'"&amp;'Drop Down Inputs'!$B$10&amp;"'!"&amp;" $A:$F"),MATCH($C$1, INDIRECT("'"&amp;'Drop Down Inputs'!$B$10&amp;"'!"&amp;"$A$1:$F$1"),0), FALSE)</f>
        <v>11676634.109589024</v>
      </c>
      <c r="D184" s="252" t="str">
        <f>VLOOKUP($B184, 'Exit Prices'!$A$3:$B$222, 2, 0)</f>
        <v>POWER STATION</v>
      </c>
    </row>
    <row r="185" spans="1:4">
      <c r="A185" t="str">
        <f>VLOOKUP(B185, 'Exit Prices'!$A$3:$B$222, 2, 0)</f>
        <v>POWER STATION</v>
      </c>
      <c r="B185" s="2" t="s">
        <v>202</v>
      </c>
      <c r="C185" s="89">
        <f ca="1" xml:space="preserve"> VLOOKUP(B185, INDIRECT("'"&amp;'Drop Down Inputs'!$B$10&amp;"'!"&amp;" $A:$F"),MATCH($C$1, INDIRECT("'"&amp;'Drop Down Inputs'!$B$10&amp;"'!"&amp;"$A$1:$F$1"),0), FALSE)</f>
        <v>61331506.84931507</v>
      </c>
      <c r="D185" s="252" t="str">
        <f>VLOOKUP($B185, 'Exit Prices'!$A$3:$B$222, 2, 0)</f>
        <v>POWER STATION</v>
      </c>
    </row>
    <row r="186" spans="1:4">
      <c r="A186" t="str">
        <f>VLOOKUP(B186, 'Exit Prices'!$A$3:$B$222, 2, 0)</f>
        <v>DNO</v>
      </c>
      <c r="B186" s="2" t="s">
        <v>203</v>
      </c>
      <c r="C186" s="89">
        <f ca="1" xml:space="preserve"> VLOOKUP(B186, INDIRECT("'"&amp;'Drop Down Inputs'!$B$10&amp;"'!"&amp;" $A:$F"),MATCH($C$1, INDIRECT("'"&amp;'Drop Down Inputs'!$B$10&amp;"'!"&amp;"$A$1:$F$1"),0), FALSE)</f>
        <v>917516</v>
      </c>
      <c r="D186" s="252" t="str">
        <f>VLOOKUP($B186, 'Exit Prices'!$A$3:$B$222, 2, 0)</f>
        <v>DNO</v>
      </c>
    </row>
    <row r="187" spans="1:4">
      <c r="A187" t="str">
        <f>VLOOKUP(B187, 'Exit Prices'!$A$3:$B$222, 2, 0)</f>
        <v>DNO</v>
      </c>
      <c r="B187" s="2" t="s">
        <v>204</v>
      </c>
      <c r="C187" s="89">
        <f ca="1" xml:space="preserve"> VLOOKUP(B187, INDIRECT("'"&amp;'Drop Down Inputs'!$B$10&amp;"'!"&amp;" $A:$F"),MATCH($C$1, INDIRECT("'"&amp;'Drop Down Inputs'!$B$10&amp;"'!"&amp;"$A$1:$F$1"),0), FALSE)</f>
        <v>3735040</v>
      </c>
      <c r="D187" s="252" t="str">
        <f>VLOOKUP($B187, 'Exit Prices'!$A$3:$B$222, 2, 0)</f>
        <v>DNO</v>
      </c>
    </row>
    <row r="188" spans="1:4">
      <c r="A188" t="str">
        <f>VLOOKUP(B188, 'Exit Prices'!$A$3:$B$222, 2, 0)</f>
        <v>STORAGE SITE</v>
      </c>
      <c r="B188" s="2" t="s">
        <v>205</v>
      </c>
      <c r="C188" s="89">
        <f ca="1" xml:space="preserve"> VLOOKUP(B188, INDIRECT("'"&amp;'Drop Down Inputs'!$B$10&amp;"'!"&amp;" $A:$F"),MATCH($C$1, INDIRECT("'"&amp;'Drop Down Inputs'!$B$10&amp;"'!"&amp;"$A$1:$F$1"),0), FALSE)</f>
        <v>29584634.410958912</v>
      </c>
      <c r="D188" s="252" t="str">
        <f>VLOOKUP($B188, 'Exit Prices'!$A$3:$B$222, 2, 0)</f>
        <v>STORAGE SITE</v>
      </c>
    </row>
    <row r="189" spans="1:4">
      <c r="A189" t="str">
        <f>VLOOKUP(B189, 'Exit Prices'!$A$3:$B$222, 2, 0)</f>
        <v>DNO</v>
      </c>
      <c r="B189" s="2" t="s">
        <v>206</v>
      </c>
      <c r="C189" s="89">
        <f ca="1" xml:space="preserve"> VLOOKUP(B189, INDIRECT("'"&amp;'Drop Down Inputs'!$B$10&amp;"'!"&amp;" $A:$F"),MATCH($C$1, INDIRECT("'"&amp;'Drop Down Inputs'!$B$10&amp;"'!"&amp;"$A$1:$F$1"),0), FALSE)</f>
        <v>1079269</v>
      </c>
      <c r="D189" s="252" t="str">
        <f>VLOOKUP($B189, 'Exit Prices'!$A$3:$B$222, 2, 0)</f>
        <v>DNO</v>
      </c>
    </row>
    <row r="190" spans="1:4">
      <c r="A190" t="str">
        <f>VLOOKUP(B190, 'Exit Prices'!$A$3:$B$222, 2, 0)</f>
        <v>POWER STATION</v>
      </c>
      <c r="B190" s="2" t="s">
        <v>207</v>
      </c>
      <c r="C190" s="89">
        <f ca="1" xml:space="preserve"> VLOOKUP(B190, INDIRECT("'"&amp;'Drop Down Inputs'!$B$10&amp;"'!"&amp;" $A:$F"),MATCH($C$1, INDIRECT("'"&amp;'Drop Down Inputs'!$B$10&amp;"'!"&amp;"$A$1:$F$1"),0), FALSE)</f>
        <v>42637000</v>
      </c>
      <c r="D190" s="252" t="str">
        <f>VLOOKUP($B190, 'Exit Prices'!$A$3:$B$222, 2, 0)</f>
        <v>POWER STATION</v>
      </c>
    </row>
    <row r="191" spans="1:4">
      <c r="A191" t="str">
        <f>VLOOKUP(B191, 'Exit Prices'!$A$3:$B$222, 2, 0)</f>
        <v>DNO</v>
      </c>
      <c r="B191" s="2" t="s">
        <v>208</v>
      </c>
      <c r="C191" s="89">
        <f ca="1" xml:space="preserve"> VLOOKUP(B191, INDIRECT("'"&amp;'Drop Down Inputs'!$B$10&amp;"'!"&amp;" $A:$F"),MATCH($C$1, INDIRECT("'"&amp;'Drop Down Inputs'!$B$10&amp;"'!"&amp;"$A$1:$F$1"),0), FALSE)</f>
        <v>207723314</v>
      </c>
      <c r="D191" s="252" t="str">
        <f>VLOOKUP($B191, 'Exit Prices'!$A$3:$B$222, 2, 0)</f>
        <v>DNO</v>
      </c>
    </row>
    <row r="192" spans="1:4">
      <c r="A192" t="str">
        <f>VLOOKUP(B192, 'Exit Prices'!$A$3:$B$222, 2, 0)</f>
        <v>INDUSTRIAL</v>
      </c>
      <c r="B192" s="2" t="s">
        <v>209</v>
      </c>
      <c r="C192" s="89">
        <f ca="1" xml:space="preserve"> VLOOKUP(B192, INDIRECT("'"&amp;'Drop Down Inputs'!$B$10&amp;"'!"&amp;" $A:$F"),MATCH($C$1, INDIRECT("'"&amp;'Drop Down Inputs'!$B$10&amp;"'!"&amp;"$A$1:$F$1"),0), FALSE)</f>
        <v>8369000</v>
      </c>
      <c r="D192" s="252" t="str">
        <f>VLOOKUP($B192, 'Exit Prices'!$A$3:$B$222, 2, 0)</f>
        <v>INDUSTRIAL</v>
      </c>
    </row>
    <row r="193" spans="1:4">
      <c r="A193" t="str">
        <f>VLOOKUP(B193, 'Exit Prices'!$A$3:$B$222, 2, 0)</f>
        <v>INDUSTRIAL</v>
      </c>
      <c r="B193" s="2" t="s">
        <v>210</v>
      </c>
      <c r="C193" s="89">
        <f ca="1" xml:space="preserve"> VLOOKUP(B193, INDIRECT("'"&amp;'Drop Down Inputs'!$B$10&amp;"'!"&amp;" $A:$F"),MATCH($C$1, INDIRECT("'"&amp;'Drop Down Inputs'!$B$10&amp;"'!"&amp;"$A$1:$F$1"),0), FALSE)</f>
        <v>13276800</v>
      </c>
      <c r="D193" s="252" t="str">
        <f>VLOOKUP($B193, 'Exit Prices'!$A$3:$B$222, 2, 0)</f>
        <v>INDUSTRIAL</v>
      </c>
    </row>
    <row r="194" spans="1:4">
      <c r="A194" t="str">
        <f>VLOOKUP(B194, 'Exit Prices'!$A$3:$B$222, 2, 0)</f>
        <v>INDUSTRIAL</v>
      </c>
      <c r="B194" s="2" t="s">
        <v>211</v>
      </c>
      <c r="C194" s="89">
        <f ca="1" xml:space="preserve"> VLOOKUP(B194, INDIRECT("'"&amp;'Drop Down Inputs'!$B$10&amp;"'!"&amp;" $A:$F"),MATCH($C$1, INDIRECT("'"&amp;'Drop Down Inputs'!$B$10&amp;"'!"&amp;"$A$1:$F$1"),0), FALSE)</f>
        <v>0</v>
      </c>
      <c r="D194" s="252" t="str">
        <f>VLOOKUP($B194, 'Exit Prices'!$A$3:$B$222, 2, 0)</f>
        <v>INDUSTRIAL</v>
      </c>
    </row>
    <row r="195" spans="1:4">
      <c r="A195" t="str">
        <f>VLOOKUP(B195, 'Exit Prices'!$A$3:$B$222, 2, 0)</f>
        <v>DNO</v>
      </c>
      <c r="B195" s="2" t="s">
        <v>212</v>
      </c>
      <c r="C195" s="89">
        <f ca="1" xml:space="preserve"> VLOOKUP(B195, INDIRECT("'"&amp;'Drop Down Inputs'!$B$10&amp;"'!"&amp;" $A:$F"),MATCH($C$1, INDIRECT("'"&amp;'Drop Down Inputs'!$B$10&amp;"'!"&amp;"$A$1:$F$1"),0), FALSE)</f>
        <v>118190411</v>
      </c>
      <c r="D195" s="252" t="str">
        <f>VLOOKUP($B195, 'Exit Prices'!$A$3:$B$222, 2, 0)</f>
        <v>DNO</v>
      </c>
    </row>
    <row r="196" spans="1:4">
      <c r="A196" t="str">
        <f>VLOOKUP(B196, 'Exit Prices'!$A$3:$B$222, 2, 0)</f>
        <v>INDUSTRIAL</v>
      </c>
      <c r="B196" s="2" t="s">
        <v>213</v>
      </c>
      <c r="C196" s="89">
        <f ca="1" xml:space="preserve"> VLOOKUP(B196, INDIRECT("'"&amp;'Drop Down Inputs'!$B$10&amp;"'!"&amp;" $A:$F"),MATCH($C$1, INDIRECT("'"&amp;'Drop Down Inputs'!$B$10&amp;"'!"&amp;"$A$1:$F$1"),0), FALSE)</f>
        <v>67000000</v>
      </c>
      <c r="D196" s="252" t="str">
        <f>VLOOKUP($B196, 'Exit Prices'!$A$3:$B$222, 2, 0)</f>
        <v>INDUSTRIAL</v>
      </c>
    </row>
    <row r="197" spans="1:4">
      <c r="A197" t="str">
        <f>VLOOKUP(B197, 'Exit Prices'!$A$3:$B$222, 2, 0)</f>
        <v>POWER STATION</v>
      </c>
      <c r="B197" s="2" t="s">
        <v>214</v>
      </c>
      <c r="C197" s="89">
        <f ca="1" xml:space="preserve"> VLOOKUP(B197, INDIRECT("'"&amp;'Drop Down Inputs'!$B$10&amp;"'!"&amp;" $A:$F"),MATCH($C$1, INDIRECT("'"&amp;'Drop Down Inputs'!$B$10&amp;"'!"&amp;"$A$1:$F$1"),0), FALSE)</f>
        <v>40032876.712328769</v>
      </c>
      <c r="D197" s="252" t="str">
        <f>VLOOKUP($B197, 'Exit Prices'!$A$3:$B$222, 2, 0)</f>
        <v>POWER STATION</v>
      </c>
    </row>
    <row r="198" spans="1:4">
      <c r="A198" t="str">
        <f>VLOOKUP(B198, 'Exit Prices'!$A$3:$B$222, 2, 0)</f>
        <v>DNO</v>
      </c>
      <c r="B198" s="2" t="s">
        <v>215</v>
      </c>
      <c r="C198" s="89">
        <f ca="1" xml:space="preserve"> VLOOKUP(B198, INDIRECT("'"&amp;'Drop Down Inputs'!$B$10&amp;"'!"&amp;" $A:$F"),MATCH($C$1, INDIRECT("'"&amp;'Drop Down Inputs'!$B$10&amp;"'!"&amp;"$A$1:$F$1"),0), FALSE)</f>
        <v>4490616</v>
      </c>
      <c r="D198" s="252" t="str">
        <f>VLOOKUP($B198, 'Exit Prices'!$A$3:$B$222, 2, 0)</f>
        <v>DNO</v>
      </c>
    </row>
    <row r="199" spans="1:4">
      <c r="A199" t="str">
        <f>VLOOKUP(B199, 'Exit Prices'!$A$3:$B$222, 2, 0)</f>
        <v>POWER STATION</v>
      </c>
      <c r="B199" s="2" t="s">
        <v>216</v>
      </c>
      <c r="C199" s="89">
        <f ca="1" xml:space="preserve"> VLOOKUP(B199, INDIRECT("'"&amp;'Drop Down Inputs'!$B$10&amp;"'!"&amp;" $A:$F"),MATCH($C$1, INDIRECT("'"&amp;'Drop Down Inputs'!$B$10&amp;"'!"&amp;"$A$1:$F$1"),0), FALSE)</f>
        <v>0</v>
      </c>
      <c r="D199" s="252" t="str">
        <f>VLOOKUP($B199, 'Exit Prices'!$A$3:$B$222, 2, 0)</f>
        <v>POWER STATION</v>
      </c>
    </row>
    <row r="200" spans="1:4">
      <c r="A200" t="str">
        <f>VLOOKUP(B200, 'Exit Prices'!$A$3:$B$222, 2, 0)</f>
        <v>POWER STATION</v>
      </c>
      <c r="B200" s="2" t="s">
        <v>217</v>
      </c>
      <c r="C200" s="89">
        <f ca="1" xml:space="preserve"> VLOOKUP(B200, INDIRECT("'"&amp;'Drop Down Inputs'!$B$10&amp;"'!"&amp;" $A:$F"),MATCH($C$1, INDIRECT("'"&amp;'Drop Down Inputs'!$B$10&amp;"'!"&amp;"$A$1:$F$1"),0), FALSE)</f>
        <v>26750000</v>
      </c>
      <c r="D200" s="252" t="str">
        <f>VLOOKUP($B200, 'Exit Prices'!$A$3:$B$222, 2, 0)</f>
        <v>POWER STATION</v>
      </c>
    </row>
    <row r="201" spans="1:4">
      <c r="A201" t="str">
        <f>VLOOKUP(B201, 'Exit Prices'!$A$3:$B$222, 2, 0)</f>
        <v>DNO</v>
      </c>
      <c r="B201" s="2" t="s">
        <v>218</v>
      </c>
      <c r="C201" s="89">
        <f ca="1" xml:space="preserve"> VLOOKUP(B201, INDIRECT("'"&amp;'Drop Down Inputs'!$B$10&amp;"'!"&amp;" $A:$F"),MATCH($C$1, INDIRECT("'"&amp;'Drop Down Inputs'!$B$10&amp;"'!"&amp;"$A$1:$F$1"),0), FALSE)</f>
        <v>572053</v>
      </c>
      <c r="D201" s="252" t="str">
        <f>VLOOKUP($B201, 'Exit Prices'!$A$3:$B$222, 2, 0)</f>
        <v>DNO</v>
      </c>
    </row>
    <row r="202" spans="1:4">
      <c r="A202" t="str">
        <f>VLOOKUP(B202, 'Exit Prices'!$A$3:$B$222, 2, 0)</f>
        <v>DNO</v>
      </c>
      <c r="B202" s="2" t="s">
        <v>219</v>
      </c>
      <c r="C202" s="89">
        <f ca="1" xml:space="preserve"> VLOOKUP(B202, INDIRECT("'"&amp;'Drop Down Inputs'!$B$10&amp;"'!"&amp;" $A:$F"),MATCH($C$1, INDIRECT("'"&amp;'Drop Down Inputs'!$B$10&amp;"'!"&amp;"$A$1:$F$1"),0), FALSE)</f>
        <v>59564671</v>
      </c>
      <c r="D202" s="252" t="str">
        <f>VLOOKUP($B202, 'Exit Prices'!$A$3:$B$222, 2, 0)</f>
        <v>DNO</v>
      </c>
    </row>
    <row r="203" spans="1:4">
      <c r="A203" t="str">
        <f>VLOOKUP(B203, 'Exit Prices'!$A$3:$B$222, 2, 0)</f>
        <v>POWER STATION</v>
      </c>
      <c r="B203" s="2" t="s">
        <v>239</v>
      </c>
      <c r="C203" s="89">
        <f ca="1" xml:space="preserve"> VLOOKUP(B203, INDIRECT("'"&amp;'Drop Down Inputs'!$B$10&amp;"'!"&amp;" $A:$F"),MATCH($C$1, INDIRECT("'"&amp;'Drop Down Inputs'!$B$10&amp;"'!"&amp;"$A$1:$F$1"),0), FALSE)</f>
        <v>0</v>
      </c>
      <c r="D203" s="252" t="str">
        <f>VLOOKUP($B203, 'Exit Prices'!$A$3:$B$222, 2, 0)</f>
        <v>POWER STATION</v>
      </c>
    </row>
    <row r="204" spans="1:4">
      <c r="A204" t="str">
        <f>VLOOKUP(B204, 'Exit Prices'!$A$3:$B$222, 2, 0)</f>
        <v>DNO</v>
      </c>
      <c r="B204" s="2" t="s">
        <v>220</v>
      </c>
      <c r="C204" s="89">
        <f ca="1" xml:space="preserve"> VLOOKUP(B204, INDIRECT("'"&amp;'Drop Down Inputs'!$B$10&amp;"'!"&amp;" $A:$F"),MATCH($C$1, INDIRECT("'"&amp;'Drop Down Inputs'!$B$10&amp;"'!"&amp;"$A$1:$F$1"),0), FALSE)</f>
        <v>64479276</v>
      </c>
      <c r="D204" s="252" t="str">
        <f>VLOOKUP($B204, 'Exit Prices'!$A$3:$B$222, 2, 0)</f>
        <v>DNO</v>
      </c>
    </row>
    <row r="205" spans="1:4">
      <c r="A205" t="str">
        <f>VLOOKUP(B205, 'Exit Prices'!$A$3:$B$222, 2, 0)</f>
        <v>INDUSTRIAL</v>
      </c>
      <c r="B205" s="2" t="s">
        <v>221</v>
      </c>
      <c r="C205" s="89">
        <f ca="1" xml:space="preserve"> VLOOKUP(B205, INDIRECT("'"&amp;'Drop Down Inputs'!$B$10&amp;"'!"&amp;" $A:$F"),MATCH($C$1, INDIRECT("'"&amp;'Drop Down Inputs'!$B$10&amp;"'!"&amp;"$A$1:$F$1"),0), FALSE)</f>
        <v>8300000</v>
      </c>
      <c r="D205" s="252" t="str">
        <f>VLOOKUP($B205, 'Exit Prices'!$A$3:$B$222, 2, 0)</f>
        <v>INDUSTRIAL</v>
      </c>
    </row>
    <row r="206" spans="1:4">
      <c r="A206" t="str">
        <f>VLOOKUP(B206, 'Exit Prices'!$A$3:$B$222, 2, 0)</f>
        <v>DNO</v>
      </c>
      <c r="B206" s="2" t="s">
        <v>222</v>
      </c>
      <c r="C206" s="89">
        <f ca="1" xml:space="preserve"> VLOOKUP(B206, INDIRECT("'"&amp;'Drop Down Inputs'!$B$10&amp;"'!"&amp;" $A:$F"),MATCH($C$1, INDIRECT("'"&amp;'Drop Down Inputs'!$B$10&amp;"'!"&amp;"$A$1:$F$1"),0), FALSE)</f>
        <v>806402</v>
      </c>
      <c r="D206" s="252" t="str">
        <f>VLOOKUP($B206, 'Exit Prices'!$A$3:$B$222, 2, 0)</f>
        <v>DNO</v>
      </c>
    </row>
    <row r="207" spans="1:4">
      <c r="A207" t="str">
        <f>VLOOKUP(B207, 'Exit Prices'!$A$3:$B$222, 2, 0)</f>
        <v>DNO</v>
      </c>
      <c r="B207" s="2" t="s">
        <v>223</v>
      </c>
      <c r="C207" s="89">
        <f ca="1" xml:space="preserve"> VLOOKUP(B207, INDIRECT("'"&amp;'Drop Down Inputs'!$B$10&amp;"'!"&amp;" $A:$F"),MATCH($C$1, INDIRECT("'"&amp;'Drop Down Inputs'!$B$10&amp;"'!"&amp;"$A$1:$F$1"),0), FALSE)</f>
        <v>92041489</v>
      </c>
      <c r="D207" s="252" t="str">
        <f>VLOOKUP($B207, 'Exit Prices'!$A$3:$B$222, 2, 0)</f>
        <v>DNO</v>
      </c>
    </row>
    <row r="208" spans="1:4">
      <c r="A208" t="str">
        <f>VLOOKUP(B208, 'Exit Prices'!$A$3:$B$222, 2, 0)</f>
        <v>POWER STATION</v>
      </c>
      <c r="B208" s="2" t="s">
        <v>224</v>
      </c>
      <c r="C208" s="89">
        <f ca="1" xml:space="preserve"> VLOOKUP(B208, INDIRECT("'"&amp;'Drop Down Inputs'!$B$10&amp;"'!"&amp;" $A:$F"),MATCH($C$1, INDIRECT("'"&amp;'Drop Down Inputs'!$B$10&amp;"'!"&amp;"$A$1:$F$1"),0), FALSE)</f>
        <v>37530627.863013692</v>
      </c>
      <c r="D208" s="252" t="str">
        <f>VLOOKUP($B208, 'Exit Prices'!$A$3:$B$222, 2, 0)</f>
        <v>POWER STATION</v>
      </c>
    </row>
    <row r="209" spans="1:4">
      <c r="A209" t="str">
        <f>VLOOKUP(B209, 'Exit Prices'!$A$3:$B$222, 2, 0)</f>
        <v>DNO</v>
      </c>
      <c r="B209" s="2" t="s">
        <v>225</v>
      </c>
      <c r="C209" s="89">
        <f ca="1" xml:space="preserve"> VLOOKUP(B209, INDIRECT("'"&amp;'Drop Down Inputs'!$B$10&amp;"'!"&amp;" $A:$F"),MATCH($C$1, INDIRECT("'"&amp;'Drop Down Inputs'!$B$10&amp;"'!"&amp;"$A$1:$F$1"),0), FALSE)</f>
        <v>10086940</v>
      </c>
      <c r="D209" s="252" t="str">
        <f>VLOOKUP($B209, 'Exit Prices'!$A$3:$B$222, 2, 0)</f>
        <v>DNO</v>
      </c>
    </row>
    <row r="210" spans="1:4">
      <c r="A210" t="str">
        <f>VLOOKUP(B210, 'Exit Prices'!$A$3:$B$222, 2, 0)</f>
        <v>DNO</v>
      </c>
      <c r="B210" s="2" t="s">
        <v>226</v>
      </c>
      <c r="C210" s="89">
        <f ca="1" xml:space="preserve"> VLOOKUP(B210, INDIRECT("'"&amp;'Drop Down Inputs'!$B$10&amp;"'!"&amp;" $A:$F"),MATCH($C$1, INDIRECT("'"&amp;'Drop Down Inputs'!$B$10&amp;"'!"&amp;"$A$1:$F$1"),0), FALSE)</f>
        <v>4076123</v>
      </c>
      <c r="D210" s="252" t="str">
        <f>VLOOKUP($B210, 'Exit Prices'!$A$3:$B$222, 2, 0)</f>
        <v>DNO</v>
      </c>
    </row>
    <row r="211" spans="1:4">
      <c r="A211" t="str">
        <f>VLOOKUP(B211, 'Exit Prices'!$A$3:$B$222, 2, 0)</f>
        <v>INDUSTRIAL</v>
      </c>
      <c r="B211" s="2" t="s">
        <v>227</v>
      </c>
      <c r="C211" s="89">
        <f ca="1" xml:space="preserve"> VLOOKUP(B211, INDIRECT("'"&amp;'Drop Down Inputs'!$B$10&amp;"'!"&amp;" $A:$F"),MATCH($C$1, INDIRECT("'"&amp;'Drop Down Inputs'!$B$10&amp;"'!"&amp;"$A$1:$F$1"),0), FALSE)</f>
        <v>472084.46416438359</v>
      </c>
      <c r="D211" s="252" t="str">
        <f>VLOOKUP($B211, 'Exit Prices'!$A$3:$B$222, 2, 0)</f>
        <v>INDUSTRIAL</v>
      </c>
    </row>
    <row r="212" spans="1:4">
      <c r="A212" t="str">
        <f>VLOOKUP(B212, 'Exit Prices'!$A$3:$B$222, 2, 0)</f>
        <v>POWER STATION</v>
      </c>
      <c r="B212" s="2" t="s">
        <v>228</v>
      </c>
      <c r="C212" s="89">
        <f ca="1" xml:space="preserve"> VLOOKUP(B212, INDIRECT("'"&amp;'Drop Down Inputs'!$B$10&amp;"'!"&amp;" $A:$F"),MATCH($C$1, INDIRECT("'"&amp;'Drop Down Inputs'!$B$10&amp;"'!"&amp;"$A$1:$F$1"),0), FALSE)</f>
        <v>20599801.260273974</v>
      </c>
      <c r="D212" s="252" t="str">
        <f>VLOOKUP($B212, 'Exit Prices'!$A$3:$B$222, 2, 0)</f>
        <v>POWER STATION</v>
      </c>
    </row>
    <row r="213" spans="1:4">
      <c r="A213" t="str">
        <f>VLOOKUP(B213, 'Exit Prices'!$A$3:$B$222, 2, 0)</f>
        <v>DNO</v>
      </c>
      <c r="B213" s="2" t="s">
        <v>229</v>
      </c>
      <c r="C213" s="89">
        <f ca="1" xml:space="preserve"> VLOOKUP(B213, INDIRECT("'"&amp;'Drop Down Inputs'!$B$10&amp;"'!"&amp;" $A:$F"),MATCH($C$1, INDIRECT("'"&amp;'Drop Down Inputs'!$B$10&amp;"'!"&amp;"$A$1:$F$1"),0), FALSE)</f>
        <v>21081755</v>
      </c>
      <c r="D213" s="252" t="str">
        <f>VLOOKUP($B213, 'Exit Prices'!$A$3:$B$222, 2, 0)</f>
        <v>DNO</v>
      </c>
    </row>
    <row r="214" spans="1:4">
      <c r="A214" t="str">
        <f>VLOOKUP(B214, 'Exit Prices'!$A$3:$B$222, 2, 0)</f>
        <v>DNO</v>
      </c>
      <c r="B214" s="2" t="s">
        <v>230</v>
      </c>
      <c r="C214" s="89">
        <f ca="1" xml:space="preserve"> VLOOKUP(B214, INDIRECT("'"&amp;'Drop Down Inputs'!$B$10&amp;"'!"&amp;" $A:$F"),MATCH($C$1, INDIRECT("'"&amp;'Drop Down Inputs'!$B$10&amp;"'!"&amp;"$A$1:$F$1"),0), FALSE)</f>
        <v>107742621</v>
      </c>
      <c r="D214" s="252" t="str">
        <f>VLOOKUP($B214, 'Exit Prices'!$A$3:$B$222, 2, 0)</f>
        <v>DNO</v>
      </c>
    </row>
    <row r="215" spans="1:4">
      <c r="A215" t="str">
        <f>VLOOKUP(B215, 'Exit Prices'!$A$3:$B$222, 2, 0)</f>
        <v>POWER STATION</v>
      </c>
      <c r="B215" s="2" t="s">
        <v>231</v>
      </c>
      <c r="C215" s="89">
        <f ca="1" xml:space="preserve"> VLOOKUP(B215, INDIRECT("'"&amp;'Drop Down Inputs'!$B$10&amp;"'!"&amp;" $A:$F"),MATCH($C$1, INDIRECT("'"&amp;'Drop Down Inputs'!$B$10&amp;"'!"&amp;"$A$1:$F$1"),0), FALSE)</f>
        <v>0</v>
      </c>
      <c r="D215" s="252" t="str">
        <f>VLOOKUP($B215, 'Exit Prices'!$A$3:$B$222, 2, 0)</f>
        <v>POWER STATION</v>
      </c>
    </row>
    <row r="216" spans="1:4">
      <c r="A216" t="str">
        <f>VLOOKUP(B216, 'Exit Prices'!$A$3:$B$222, 2, 0)</f>
        <v>DNO</v>
      </c>
      <c r="B216" s="2" t="s">
        <v>232</v>
      </c>
      <c r="C216" s="89">
        <f ca="1" xml:space="preserve"> VLOOKUP(B216, INDIRECT("'"&amp;'Drop Down Inputs'!$B$10&amp;"'!"&amp;" $A:$F"),MATCH($C$1, INDIRECT("'"&amp;'Drop Down Inputs'!$B$10&amp;"'!"&amp;"$A$1:$F$1"),0), FALSE)</f>
        <v>100000</v>
      </c>
      <c r="D216" s="252" t="str">
        <f>VLOOKUP($B216, 'Exit Prices'!$A$3:$B$222, 2, 0)</f>
        <v>DNO</v>
      </c>
    </row>
    <row r="217" spans="1:4">
      <c r="A217" t="str">
        <f>VLOOKUP(B217, 'Exit Prices'!$A$3:$B$222, 2, 0)</f>
        <v>DNO</v>
      </c>
      <c r="B217" s="2" t="s">
        <v>233</v>
      </c>
      <c r="C217" s="89">
        <f ca="1" xml:space="preserve"> VLOOKUP(B217, INDIRECT("'"&amp;'Drop Down Inputs'!$B$10&amp;"'!"&amp;" $A:$F"),MATCH($C$1, INDIRECT("'"&amp;'Drop Down Inputs'!$B$10&amp;"'!"&amp;"$A$1:$F$1"),0), FALSE)</f>
        <v>106260000</v>
      </c>
      <c r="D217" s="252" t="str">
        <f>VLOOKUP($B217, 'Exit Prices'!$A$3:$B$222, 2, 0)</f>
        <v>DNO</v>
      </c>
    </row>
    <row r="218" spans="1:4">
      <c r="A218" t="str">
        <f>VLOOKUP(B218, 'Exit Prices'!$A$3:$B$222, 2, 0)</f>
        <v>DNO</v>
      </c>
      <c r="B218" s="2" t="s">
        <v>234</v>
      </c>
      <c r="C218" s="89">
        <f ca="1" xml:space="preserve"> VLOOKUP(B218, INDIRECT("'"&amp;'Drop Down Inputs'!$B$10&amp;"'!"&amp;" $A:$F"),MATCH($C$1, INDIRECT("'"&amp;'Drop Down Inputs'!$B$10&amp;"'!"&amp;"$A$1:$F$1"),0), FALSE)</f>
        <v>36499431</v>
      </c>
      <c r="D218" s="252" t="str">
        <f>VLOOKUP($B218, 'Exit Prices'!$A$3:$B$222, 2, 0)</f>
        <v>DNO</v>
      </c>
    </row>
    <row r="219" spans="1:4">
      <c r="A219" t="str">
        <f>VLOOKUP(B219, 'Exit Prices'!$A$3:$B$222, 2, 0)</f>
        <v>POWER STATION</v>
      </c>
      <c r="B219" s="2" t="s">
        <v>235</v>
      </c>
      <c r="C219" s="89">
        <f ca="1" xml:space="preserve"> VLOOKUP(B219, INDIRECT("'"&amp;'Drop Down Inputs'!$B$10&amp;"'!"&amp;" $A:$F"),MATCH($C$1, INDIRECT("'"&amp;'Drop Down Inputs'!$B$10&amp;"'!"&amp;"$A$1:$F$1"),0), FALSE)</f>
        <v>19188380.10958904</v>
      </c>
      <c r="D219" s="252" t="str">
        <f>VLOOKUP($B219, 'Exit Prices'!$A$3:$B$222, 2, 0)</f>
        <v>POWER STATION</v>
      </c>
    </row>
    <row r="220" spans="1:4">
      <c r="A220" t="str">
        <f>VLOOKUP(B220, 'Exit Prices'!$A$3:$B$222, 2, 0)</f>
        <v>POWER STATION</v>
      </c>
      <c r="B220" s="2" t="s">
        <v>236</v>
      </c>
      <c r="C220" s="89">
        <f ca="1" xml:space="preserve"> VLOOKUP(B220, INDIRECT("'"&amp;'Drop Down Inputs'!$B$10&amp;"'!"&amp;" $A:$F"),MATCH($C$1, INDIRECT("'"&amp;'Drop Down Inputs'!$B$10&amp;"'!"&amp;"$A$1:$F$1"),0), FALSE)</f>
        <v>0</v>
      </c>
      <c r="D220" s="252" t="str">
        <f>VLOOKUP($B220, 'Exit Prices'!$A$3:$B$222, 2, 0)</f>
        <v>POWER STATION</v>
      </c>
    </row>
    <row r="221" spans="1:4">
      <c r="A221" t="str">
        <f>VLOOKUP(B221, 'Exit Prices'!$A$3:$B$222, 2, 0)</f>
        <v>DNO</v>
      </c>
      <c r="B221" s="2" t="s">
        <v>237</v>
      </c>
      <c r="C221" s="89">
        <f ca="1" xml:space="preserve"> VLOOKUP(B221, INDIRECT("'"&amp;'Drop Down Inputs'!$B$10&amp;"'!"&amp;" $A:$F"),MATCH($C$1, INDIRECT("'"&amp;'Drop Down Inputs'!$B$10&amp;"'!"&amp;"$A$1:$F$1"),0), FALSE)</f>
        <v>72938900</v>
      </c>
      <c r="D221" s="252" t="str">
        <f>VLOOKUP($B221, 'Exit Prices'!$A$3:$B$222, 2, 0)</f>
        <v>DNO</v>
      </c>
    </row>
    <row r="222" spans="1:4">
      <c r="A222" t="str">
        <f>VLOOKUP(B222, 'Exit Prices'!$A$3:$B$222, 2, 0)</f>
        <v>INDUSTRIAL</v>
      </c>
      <c r="B222" s="2" t="s">
        <v>238</v>
      </c>
      <c r="C222" s="89">
        <f ca="1" xml:space="preserve"> VLOOKUP(B222, INDIRECT("'"&amp;'Drop Down Inputs'!$B$10&amp;"'!"&amp;" $A:$F"),MATCH($C$1, INDIRECT("'"&amp;'Drop Down Inputs'!$B$10&amp;"'!"&amp;"$A$1:$F$1"),0), FALSE)</f>
        <v>278415.38161643839</v>
      </c>
      <c r="D222" s="252" t="str">
        <f>VLOOKUP($B222, 'Exit Prices'!$A$3:$B$222, 2, 0)</f>
        <v>INDUSTRIAL</v>
      </c>
    </row>
    <row r="223" spans="1:4">
      <c r="B223" s="2" t="s">
        <v>534</v>
      </c>
      <c r="C223" s="89">
        <f ca="1" xml:space="preserve"> VLOOKUP(B223, INDIRECT("'"&amp;'Drop Down Inputs'!$B$10&amp;"'!"&amp;" $A:$F"),MATCH($C$1, INDIRECT("'"&amp;'Drop Down Inputs'!$B$10&amp;"'!"&amp;"$A$1:$F$1"),0), FALSE)</f>
        <v>0</v>
      </c>
      <c r="D223" s="339"/>
    </row>
    <row r="224" spans="1:4">
      <c r="B224" s="2" t="s">
        <v>535</v>
      </c>
      <c r="C224" s="89">
        <f ca="1" xml:space="preserve"> VLOOKUP(B224, INDIRECT("'"&amp;'Drop Down Inputs'!$B$10&amp;"'!"&amp;" $A:$F"),MATCH($C$1, INDIRECT("'"&amp;'Drop Down Inputs'!$B$10&amp;"'!"&amp;"$A$1:$F$1"),0), FALSE)</f>
        <v>1173840</v>
      </c>
      <c r="D224" s="339"/>
    </row>
    <row r="225" spans="2:4">
      <c r="B225" s="2" t="s">
        <v>536</v>
      </c>
      <c r="C225" s="89">
        <f ca="1" xml:space="preserve"> VLOOKUP(B225, INDIRECT("'"&amp;'Drop Down Inputs'!$B$10&amp;"'!"&amp;" $A:$F"),MATCH($C$1, INDIRECT("'"&amp;'Drop Down Inputs'!$B$10&amp;"'!"&amp;"$A$1:$F$1"),0), FALSE)</f>
        <v>4200000</v>
      </c>
      <c r="D225" s="339"/>
    </row>
    <row r="226" spans="2:4">
      <c r="B226" s="2" t="s">
        <v>537</v>
      </c>
      <c r="C226" s="89">
        <f ca="1" xml:space="preserve"> VLOOKUP(B226, INDIRECT("'"&amp;'Drop Down Inputs'!$B$10&amp;"'!"&amp;" $A:$F"),MATCH($C$1, INDIRECT("'"&amp;'Drop Down Inputs'!$B$10&amp;"'!"&amp;"$A$1:$F$1"),0), FALSE)</f>
        <v>3779832.6575342491</v>
      </c>
      <c r="D226" s="339"/>
    </row>
    <row r="227" spans="2:4">
      <c r="B227" s="2" t="s">
        <v>538</v>
      </c>
      <c r="C227" s="89">
        <f ca="1" xml:space="preserve"> VLOOKUP(B227, INDIRECT("'"&amp;'Drop Down Inputs'!$B$10&amp;"'!"&amp;" $A:$F"),MATCH($C$1, INDIRECT("'"&amp;'Drop Down Inputs'!$B$10&amp;"'!"&amp;"$A$1:$F$1"),0), FALSE)</f>
        <v>0</v>
      </c>
      <c r="D227" s="339"/>
    </row>
    <row r="228" spans="2:4">
      <c r="B228" s="2" t="s">
        <v>545</v>
      </c>
      <c r="C228" s="89">
        <f ca="1" xml:space="preserve"> VLOOKUP(B228, INDIRECT("'"&amp;'Drop Down Inputs'!$B$10&amp;"'!"&amp;" $A:$F"),MATCH($C$1, INDIRECT("'"&amp;'Drop Down Inputs'!$B$10&amp;"'!"&amp;"$A$1:$F$1"),0), FALSE)</f>
        <v>7310160</v>
      </c>
      <c r="D228" s="339"/>
    </row>
    <row r="229" spans="2:4">
      <c r="B229" s="2" t="s">
        <v>539</v>
      </c>
      <c r="C229" s="89">
        <f ca="1" xml:space="preserve"> VLOOKUP(B229, INDIRECT("'"&amp;'Drop Down Inputs'!$B$10&amp;"'!"&amp;" $A:$F"),MATCH($C$1, INDIRECT("'"&amp;'Drop Down Inputs'!$B$10&amp;"'!"&amp;"$A$1:$F$1"),0), FALSE)</f>
        <v>0</v>
      </c>
      <c r="D229" s="339"/>
    </row>
    <row r="230" spans="2:4">
      <c r="B230" s="2" t="s">
        <v>540</v>
      </c>
      <c r="C230" s="89">
        <f ca="1" xml:space="preserve"> VLOOKUP(B230, INDIRECT("'"&amp;'Drop Down Inputs'!$B$10&amp;"'!"&amp;" $A:$F"),MATCH($C$1, INDIRECT("'"&amp;'Drop Down Inputs'!$B$10&amp;"'!"&amp;"$A$1:$F$1"),0), FALSE)</f>
        <v>33128628.208219178</v>
      </c>
      <c r="D230" s="339"/>
    </row>
    <row r="231" spans="2:4" ht="15.75" thickBot="1">
      <c r="B231" s="2" t="s">
        <v>176</v>
      </c>
      <c r="C231" s="89">
        <f ca="1" xml:space="preserve"> VLOOKUP(B231, INDIRECT("'"&amp;'Drop Down Inputs'!$B$10&amp;"'!"&amp;" $A:$F"),MATCH($C$1, INDIRECT("'"&amp;'Drop Down Inputs'!$B$10&amp;"'!"&amp;"$A$1:$F$1"),0), FALSE)</f>
        <v>6538325.5616438352</v>
      </c>
      <c r="D231" s="339"/>
    </row>
    <row r="232" spans="2:4">
      <c r="B232" s="168" t="s">
        <v>370</v>
      </c>
      <c r="C232" s="167">
        <f ca="1">SUM(C3:C231)</f>
        <v>6494998689.1888266</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4" r:id="rId4" name="Button 4">
              <controlPr defaultSize="0" print="0" autoFill="0" autoPict="0" macro="[0]!anticipated_exit_revenue_recovery">
                <anchor moveWithCells="1" sizeWithCells="1">
                  <from>
                    <xdr:col>4</xdr:col>
                    <xdr:colOff>409575</xdr:colOff>
                    <xdr:row>1</xdr:row>
                    <xdr:rowOff>161925</xdr:rowOff>
                  </from>
                  <to>
                    <xdr:col>6</xdr:col>
                    <xdr:colOff>447675</xdr:colOff>
                    <xdr:row>5</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39997558519241921"/>
  </sheetPr>
  <dimension ref="A1:F23"/>
  <sheetViews>
    <sheetView topLeftCell="A10" workbookViewId="0">
      <selection activeCell="E13" sqref="E13"/>
    </sheetView>
  </sheetViews>
  <sheetFormatPr defaultColWidth="8.85546875" defaultRowHeight="15"/>
  <cols>
    <col min="1" max="1" width="52" customWidth="1"/>
    <col min="2" max="2" width="41.85546875" customWidth="1"/>
    <col min="3" max="3" width="32.85546875" customWidth="1"/>
    <col min="4" max="4" width="5.42578125" customWidth="1"/>
    <col min="5" max="5" width="30.85546875" customWidth="1"/>
    <col min="6" max="6" width="22.42578125" customWidth="1"/>
  </cols>
  <sheetData>
    <row r="1" spans="1:6" ht="15.75" thickBot="1">
      <c r="A1" s="1" t="s">
        <v>251</v>
      </c>
    </row>
    <row r="2" spans="1:6" ht="30.75" thickBot="1">
      <c r="A2" s="11" t="s">
        <v>249</v>
      </c>
      <c r="B2" s="155">
        <f>'User Inputs'!$C$10</f>
        <v>948.83282399999996</v>
      </c>
      <c r="C2" s="9"/>
      <c r="E2" s="161"/>
      <c r="F2" s="162"/>
    </row>
    <row r="3" spans="1:6" ht="30">
      <c r="A3" s="7" t="s">
        <v>250</v>
      </c>
      <c r="B3" s="156">
        <f>B2*1000000</f>
        <v>948832824</v>
      </c>
      <c r="E3" s="7" t="s">
        <v>510</v>
      </c>
      <c r="F3" s="158">
        <f>HLOOKUP('User Inputs'!$C$7,'Existing Contracts - Entry'!$A$1:$N$31,31,FALSE)</f>
        <v>60021774.283854999</v>
      </c>
    </row>
    <row r="4" spans="1:6" ht="30">
      <c r="A4" s="7" t="s">
        <v>252</v>
      </c>
      <c r="B4" s="157">
        <f>B3*100</f>
        <v>94883282400</v>
      </c>
      <c r="E4" s="7" t="s">
        <v>511</v>
      </c>
      <c r="F4" s="158">
        <f>F3*100</f>
        <v>6002177428.3855</v>
      </c>
    </row>
    <row r="5" spans="1:6" ht="60">
      <c r="A5" s="10" t="s">
        <v>351</v>
      </c>
      <c r="B5" s="157">
        <f>(IF('User Inputs'!C23="Yes",((('User Inputs'!C13/100)*B4)-F4),('User Inputs'!C13/100)*B4))+100*(F6+'User Inputs'!C16)</f>
        <v>46589863528.250275</v>
      </c>
    </row>
    <row r="6" spans="1:6" ht="42.75" customHeight="1">
      <c r="A6" s="10" t="s">
        <v>350</v>
      </c>
      <c r="B6" s="157">
        <f>(('User Inputs'!D13/100)*B4)+100*(F7+'User Inputs'!D16)</f>
        <v>46987535062.286476</v>
      </c>
      <c r="E6" s="2" t="s">
        <v>353</v>
      </c>
      <c r="F6" s="30">
        <f>'User Inputs'!C64</f>
        <v>20993751.413537137</v>
      </c>
    </row>
    <row r="7" spans="1:6">
      <c r="E7" s="2" t="s">
        <v>354</v>
      </c>
      <c r="F7" s="30">
        <f>'User Inputs'!D64</f>
        <v>25969184.775685318</v>
      </c>
    </row>
    <row r="9" spans="1:6">
      <c r="B9" s="65"/>
    </row>
    <row r="10" spans="1:6" ht="45">
      <c r="A10" s="133" t="s">
        <v>359</v>
      </c>
      <c r="B10" s="10" t="s">
        <v>249</v>
      </c>
    </row>
    <row r="11" spans="1:6">
      <c r="A11" s="134" t="s">
        <v>363</v>
      </c>
      <c r="B11" s="146">
        <v>657.55684826082836</v>
      </c>
      <c r="C11" s="2"/>
      <c r="E11" t="s">
        <v>550</v>
      </c>
    </row>
    <row r="12" spans="1:6">
      <c r="A12" s="134" t="s">
        <v>406</v>
      </c>
      <c r="B12" s="146">
        <v>675.64638118062737</v>
      </c>
      <c r="C12" s="2"/>
    </row>
    <row r="13" spans="1:6">
      <c r="A13" s="134" t="s">
        <v>465</v>
      </c>
      <c r="B13" s="371">
        <v>948.83282399999996</v>
      </c>
      <c r="C13" s="371"/>
      <c r="D13" s="295"/>
      <c r="E13" s="295">
        <v>53.215555510000002</v>
      </c>
    </row>
    <row r="14" spans="1:6">
      <c r="A14" s="134" t="s">
        <v>466</v>
      </c>
      <c r="B14" s="371">
        <v>876.78612799999996</v>
      </c>
      <c r="C14" s="371"/>
      <c r="D14" s="295"/>
      <c r="E14" s="295">
        <v>48.360464899999997</v>
      </c>
    </row>
    <row r="15" spans="1:6">
      <c r="A15" s="2" t="s">
        <v>480</v>
      </c>
      <c r="B15" s="371">
        <v>969.52701300000001</v>
      </c>
      <c r="C15" s="371"/>
      <c r="D15" s="295"/>
      <c r="E15" s="295">
        <v>51.143977130000003</v>
      </c>
    </row>
    <row r="16" spans="1:6">
      <c r="A16" s="2" t="s">
        <v>481</v>
      </c>
      <c r="B16" s="372">
        <v>1044.24721</v>
      </c>
      <c r="C16" s="371"/>
      <c r="D16" s="295"/>
      <c r="E16" s="295">
        <v>48.843903730000001</v>
      </c>
    </row>
    <row r="17" spans="1:5">
      <c r="A17" s="2" t="s">
        <v>482</v>
      </c>
      <c r="B17" s="372">
        <v>1025.809045</v>
      </c>
      <c r="C17" s="371"/>
      <c r="D17" s="295"/>
      <c r="E17" s="295">
        <v>51.133668210000003</v>
      </c>
    </row>
    <row r="18" spans="1:5">
      <c r="A18" s="2" t="s">
        <v>483</v>
      </c>
      <c r="B18" s="270">
        <f t="shared" ref="B18:B23" si="0">B17*C18</f>
        <v>1025.809045</v>
      </c>
      <c r="C18" s="2">
        <v>1</v>
      </c>
    </row>
    <row r="19" spans="1:5">
      <c r="A19" s="2" t="s">
        <v>484</v>
      </c>
      <c r="B19" s="270">
        <f t="shared" si="0"/>
        <v>1025.809045</v>
      </c>
      <c r="C19" s="2">
        <v>1</v>
      </c>
    </row>
    <row r="20" spans="1:5">
      <c r="A20" s="2" t="s">
        <v>485</v>
      </c>
      <c r="B20" s="270">
        <f t="shared" si="0"/>
        <v>1025.809045</v>
      </c>
      <c r="C20" s="2">
        <v>1</v>
      </c>
    </row>
    <row r="21" spans="1:5">
      <c r="A21" s="2" t="s">
        <v>486</v>
      </c>
      <c r="B21" s="270">
        <f t="shared" si="0"/>
        <v>1025.809045</v>
      </c>
      <c r="C21" s="2">
        <v>1</v>
      </c>
    </row>
    <row r="22" spans="1:5">
      <c r="A22" s="2" t="s">
        <v>487</v>
      </c>
      <c r="B22" s="270">
        <f t="shared" si="0"/>
        <v>1025.809045</v>
      </c>
      <c r="C22" s="2">
        <v>1</v>
      </c>
    </row>
    <row r="23" spans="1:5">
      <c r="A23" s="2" t="s">
        <v>488</v>
      </c>
      <c r="B23" s="270">
        <f t="shared" si="0"/>
        <v>1025.809045</v>
      </c>
      <c r="C23" s="2">
        <v>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39997558519241921"/>
    <pageSetUpPr fitToPage="1"/>
  </sheetPr>
  <dimension ref="A1:J73"/>
  <sheetViews>
    <sheetView zoomScale="80" zoomScaleNormal="80" workbookViewId="0">
      <selection activeCell="E17" sqref="E17"/>
    </sheetView>
  </sheetViews>
  <sheetFormatPr defaultColWidth="8.85546875" defaultRowHeight="15"/>
  <cols>
    <col min="1" max="1" width="29.28515625" customWidth="1"/>
    <col min="2" max="2" width="40.140625" customWidth="1"/>
    <col min="3" max="3" width="47.7109375" customWidth="1"/>
    <col min="4" max="4" width="49" customWidth="1"/>
    <col min="6" max="6" width="10.7109375" bestFit="1" customWidth="1"/>
    <col min="7" max="7" width="5.42578125" bestFit="1" customWidth="1"/>
    <col min="8" max="8" width="8.42578125" bestFit="1" customWidth="1"/>
    <col min="9" max="9" width="18.42578125" bestFit="1" customWidth="1"/>
    <col min="10" max="10" width="27.140625" bestFit="1" customWidth="1"/>
    <col min="11" max="11" width="21.140625" bestFit="1" customWidth="1"/>
    <col min="12" max="12" width="9.28515625" bestFit="1" customWidth="1"/>
    <col min="13" max="13" width="18.85546875" bestFit="1" customWidth="1"/>
    <col min="14" max="14" width="8" bestFit="1" customWidth="1"/>
    <col min="15" max="15" width="17.42578125" bestFit="1" customWidth="1"/>
    <col min="16" max="16" width="24.28515625" bestFit="1" customWidth="1"/>
    <col min="17" max="17" width="27.28515625" bestFit="1" customWidth="1"/>
    <col min="18" max="18" width="29.42578125" bestFit="1" customWidth="1"/>
    <col min="19" max="19" width="31.140625" bestFit="1" customWidth="1"/>
    <col min="20" max="20" width="25" bestFit="1" customWidth="1"/>
    <col min="21" max="21" width="26.42578125" bestFit="1" customWidth="1"/>
    <col min="22" max="22" width="25.28515625" bestFit="1" customWidth="1"/>
    <col min="23" max="23" width="22.28515625" bestFit="1" customWidth="1"/>
    <col min="24" max="24" width="27.85546875" bestFit="1" customWidth="1"/>
    <col min="25" max="25" width="25" bestFit="1" customWidth="1"/>
    <col min="26" max="26" width="24" bestFit="1" customWidth="1"/>
    <col min="27" max="27" width="20.85546875" bestFit="1" customWidth="1"/>
    <col min="28" max="28" width="26.42578125" bestFit="1" customWidth="1"/>
    <col min="29" max="29" width="21.140625" bestFit="1" customWidth="1"/>
    <col min="30" max="30" width="19.85546875" bestFit="1" customWidth="1"/>
    <col min="31" max="31" width="18" bestFit="1" customWidth="1"/>
    <col min="32" max="32" width="16" bestFit="1" customWidth="1"/>
    <col min="33" max="33" width="14.7109375" bestFit="1" customWidth="1"/>
    <col min="34" max="34" width="37.7109375" bestFit="1" customWidth="1"/>
  </cols>
  <sheetData>
    <row r="1" spans="1:10" ht="21">
      <c r="A1" s="60" t="s">
        <v>551</v>
      </c>
      <c r="B1" s="22"/>
      <c r="C1" s="22"/>
      <c r="D1" s="22"/>
    </row>
    <row r="2" spans="1:10">
      <c r="A2" s="21"/>
      <c r="B2" s="21"/>
      <c r="C2" s="21"/>
      <c r="D2" s="21"/>
    </row>
    <row r="3" spans="1:10" ht="15.75" thickBot="1">
      <c r="A3" s="21"/>
      <c r="B3" s="21"/>
      <c r="C3" s="26" t="s">
        <v>492</v>
      </c>
      <c r="D3" s="26" t="s">
        <v>490</v>
      </c>
    </row>
    <row r="4" spans="1:10" ht="45.75" thickBot="1">
      <c r="A4" s="25" t="s">
        <v>366</v>
      </c>
      <c r="B4" s="40" t="s">
        <v>530</v>
      </c>
      <c r="C4" s="27"/>
      <c r="D4" s="27" t="s">
        <v>493</v>
      </c>
    </row>
    <row r="5" spans="1:10" ht="15.75" thickBot="1">
      <c r="A5" s="21"/>
      <c r="B5" s="21"/>
      <c r="C5" s="21"/>
      <c r="D5" s="21"/>
    </row>
    <row r="6" spans="1:10" ht="15.75" thickBot="1">
      <c r="A6" s="21"/>
      <c r="B6" s="21"/>
      <c r="C6" s="223" t="s">
        <v>359</v>
      </c>
      <c r="D6" s="223" t="s">
        <v>365</v>
      </c>
    </row>
    <row r="7" spans="1:10" ht="30.75" thickBot="1">
      <c r="A7" s="25" t="s">
        <v>359</v>
      </c>
      <c r="B7" s="40" t="s">
        <v>364</v>
      </c>
      <c r="C7" s="27" t="s">
        <v>465</v>
      </c>
      <c r="D7" s="224">
        <f>VLOOKUP(C7,'Drop Down Inputs'!$A$14:$D$29,4,FALSE)</f>
        <v>365</v>
      </c>
      <c r="F7" s="401"/>
      <c r="G7" s="401"/>
      <c r="H7" s="401"/>
      <c r="I7" s="401"/>
      <c r="J7" s="401"/>
    </row>
    <row r="8" spans="1:10" ht="15.75" thickBot="1">
      <c r="A8" s="21"/>
      <c r="B8" s="21"/>
      <c r="C8" s="21"/>
      <c r="D8" s="21"/>
      <c r="F8" s="401"/>
      <c r="G8" s="401"/>
      <c r="H8" s="401"/>
      <c r="I8" s="401"/>
      <c r="J8" s="401"/>
    </row>
    <row r="9" spans="1:10" ht="15.75" thickBot="1">
      <c r="A9" s="21"/>
      <c r="B9" s="21"/>
      <c r="C9" s="223" t="s">
        <v>407</v>
      </c>
      <c r="D9" s="21"/>
      <c r="F9" s="401"/>
      <c r="G9" s="401"/>
      <c r="H9" s="401"/>
      <c r="I9" s="401"/>
      <c r="J9" s="401"/>
    </row>
    <row r="10" spans="1:10" ht="45.75" thickBot="1">
      <c r="A10" s="25" t="s">
        <v>257</v>
      </c>
      <c r="B10" s="40" t="s">
        <v>249</v>
      </c>
      <c r="C10" s="144">
        <f>VLOOKUP(C7,'Revenue Input'!A10:B25,2,FALSE)</f>
        <v>948.83282399999996</v>
      </c>
      <c r="D10" s="21"/>
      <c r="F10" s="401"/>
      <c r="G10" s="401"/>
      <c r="H10" s="401"/>
      <c r="I10" s="401"/>
      <c r="J10" s="401"/>
    </row>
    <row r="11" spans="1:10" ht="15.75" thickBot="1">
      <c r="A11" s="21"/>
      <c r="B11" s="21"/>
      <c r="C11" s="21"/>
      <c r="D11" s="21"/>
      <c r="F11" s="401"/>
      <c r="G11" s="401"/>
      <c r="H11" s="401"/>
      <c r="I11" s="401"/>
      <c r="J11" s="401"/>
    </row>
    <row r="12" spans="1:10" ht="15.75" thickBot="1">
      <c r="A12" s="21"/>
      <c r="B12" s="21"/>
      <c r="C12" s="223" t="s">
        <v>258</v>
      </c>
      <c r="D12" s="223" t="s">
        <v>259</v>
      </c>
      <c r="F12" s="401"/>
      <c r="G12" s="401"/>
      <c r="H12" s="401"/>
      <c r="I12" s="401"/>
      <c r="J12" s="401"/>
    </row>
    <row r="13" spans="1:10" ht="75.75" thickBot="1">
      <c r="A13" s="25" t="s">
        <v>391</v>
      </c>
      <c r="B13" s="24" t="s">
        <v>333</v>
      </c>
      <c r="C13" s="27">
        <v>53.215555510000002</v>
      </c>
      <c r="D13" s="224">
        <f>100-C13</f>
        <v>46.784444489999998</v>
      </c>
      <c r="F13" s="401"/>
      <c r="G13" s="401"/>
      <c r="H13" s="401"/>
      <c r="I13" s="401"/>
      <c r="J13" s="401"/>
    </row>
    <row r="14" spans="1:10" ht="15.75" thickBot="1">
      <c r="A14" s="21"/>
      <c r="B14" s="21"/>
      <c r="C14" s="28"/>
      <c r="D14" s="28"/>
      <c r="F14" s="401"/>
      <c r="G14" s="401"/>
      <c r="H14" s="401"/>
      <c r="I14" s="401"/>
      <c r="J14" s="401"/>
    </row>
    <row r="15" spans="1:10" ht="15.75" thickBot="1">
      <c r="A15" s="21"/>
      <c r="B15" s="21"/>
      <c r="C15" s="223" t="s">
        <v>258</v>
      </c>
      <c r="D15" s="223" t="s">
        <v>259</v>
      </c>
      <c r="F15" s="401"/>
      <c r="G15" s="401"/>
      <c r="H15" s="401"/>
      <c r="I15" s="401"/>
      <c r="J15" s="401"/>
    </row>
    <row r="16" spans="1:10" ht="30.75" thickBot="1">
      <c r="A16" s="25" t="s">
        <v>367</v>
      </c>
      <c r="B16" s="40" t="s">
        <v>368</v>
      </c>
      <c r="C16" s="61">
        <v>0</v>
      </c>
      <c r="D16" s="61">
        <v>0</v>
      </c>
      <c r="F16" s="401"/>
      <c r="G16" s="401"/>
      <c r="H16" s="401"/>
      <c r="I16" s="401"/>
      <c r="J16" s="401"/>
    </row>
    <row r="17" spans="1:10" ht="15.75" thickBot="1">
      <c r="A17" s="21"/>
      <c r="B17" s="21"/>
      <c r="C17" s="28"/>
      <c r="D17" s="28"/>
      <c r="F17" s="401"/>
      <c r="G17" s="401"/>
      <c r="H17" s="401"/>
      <c r="I17" s="401"/>
      <c r="J17" s="401"/>
    </row>
    <row r="18" spans="1:10" ht="15.75" thickBot="1">
      <c r="A18" s="21"/>
      <c r="B18" s="21"/>
      <c r="C18" s="223" t="s">
        <v>258</v>
      </c>
      <c r="D18" s="223" t="s">
        <v>259</v>
      </c>
    </row>
    <row r="19" spans="1:10" ht="20.25" customHeight="1" thickBot="1">
      <c r="A19" s="449" t="s">
        <v>264</v>
      </c>
      <c r="B19" s="23" t="s">
        <v>334</v>
      </c>
      <c r="C19" s="27" t="s">
        <v>516</v>
      </c>
      <c r="D19" s="29" t="s">
        <v>516</v>
      </c>
    </row>
    <row r="20" spans="1:10" ht="30.75" thickBot="1">
      <c r="A20" s="449"/>
      <c r="B20" s="40" t="s">
        <v>410</v>
      </c>
      <c r="C20" s="61">
        <v>100</v>
      </c>
      <c r="D20" s="61">
        <v>100</v>
      </c>
    </row>
    <row r="21" spans="1:10" ht="20.25" customHeight="1" thickBot="1">
      <c r="A21" s="21"/>
      <c r="B21" s="21"/>
      <c r="C21" s="28"/>
      <c r="D21" s="28"/>
    </row>
    <row r="22" spans="1:10" ht="15.75" thickBot="1">
      <c r="A22" s="21"/>
      <c r="B22" s="21"/>
      <c r="C22" s="223" t="s">
        <v>258</v>
      </c>
      <c r="D22" s="223" t="s">
        <v>259</v>
      </c>
    </row>
    <row r="23" spans="1:10" ht="123" customHeight="1" thickBot="1">
      <c r="A23" s="25" t="s">
        <v>543</v>
      </c>
      <c r="B23" s="40" t="s">
        <v>529</v>
      </c>
      <c r="C23" s="31" t="s">
        <v>336</v>
      </c>
      <c r="D23" s="163" t="s">
        <v>335</v>
      </c>
    </row>
    <row r="24" spans="1:10" ht="15.75" thickBot="1">
      <c r="A24" s="21"/>
      <c r="B24" s="21"/>
      <c r="C24" s="28"/>
      <c r="D24" s="28"/>
    </row>
    <row r="25" spans="1:10" ht="15.75" thickBot="1">
      <c r="A25" s="21"/>
      <c r="B25" s="21"/>
      <c r="C25" s="223" t="s">
        <v>258</v>
      </c>
      <c r="D25" s="223" t="s">
        <v>259</v>
      </c>
    </row>
    <row r="26" spans="1:10" ht="15.75" thickBot="1">
      <c r="A26" s="449" t="s">
        <v>383</v>
      </c>
      <c r="B26" s="24" t="s">
        <v>424</v>
      </c>
      <c r="C26" s="27">
        <v>1</v>
      </c>
      <c r="D26" s="163" t="s">
        <v>335</v>
      </c>
    </row>
    <row r="27" spans="1:10" ht="30.75" thickBot="1">
      <c r="A27" s="449"/>
      <c r="B27" s="24" t="s">
        <v>425</v>
      </c>
      <c r="C27" s="27">
        <v>1</v>
      </c>
      <c r="D27" s="27">
        <v>1</v>
      </c>
    </row>
    <row r="28" spans="1:10" ht="15.75" thickBot="1">
      <c r="A28" s="449"/>
      <c r="B28" s="24" t="s">
        <v>426</v>
      </c>
      <c r="C28" s="27">
        <v>1</v>
      </c>
      <c r="D28" s="163" t="s">
        <v>335</v>
      </c>
    </row>
    <row r="29" spans="1:10" ht="15.75" thickBot="1">
      <c r="A29" s="21"/>
      <c r="B29" s="21"/>
      <c r="C29" s="28"/>
      <c r="D29" s="28"/>
    </row>
    <row r="30" spans="1:10" ht="15.75" thickBot="1">
      <c r="A30" s="21"/>
      <c r="B30" s="21"/>
      <c r="C30" s="223" t="s">
        <v>258</v>
      </c>
      <c r="D30" s="223" t="s">
        <v>259</v>
      </c>
    </row>
    <row r="31" spans="1:10" ht="15.75" thickBot="1">
      <c r="A31" s="449" t="s">
        <v>382</v>
      </c>
      <c r="B31" s="22" t="s">
        <v>260</v>
      </c>
      <c r="C31" s="27">
        <v>1</v>
      </c>
      <c r="D31" s="27">
        <v>1</v>
      </c>
    </row>
    <row r="32" spans="1:10" ht="15.75" thickBot="1">
      <c r="A32" s="449"/>
      <c r="B32" s="22" t="s">
        <v>261</v>
      </c>
      <c r="C32" s="27">
        <v>1</v>
      </c>
      <c r="D32" s="27">
        <v>1</v>
      </c>
    </row>
    <row r="33" spans="1:4" ht="15.75" thickBot="1">
      <c r="A33" s="449"/>
      <c r="B33" s="22" t="s">
        <v>262</v>
      </c>
      <c r="C33" s="27">
        <v>1</v>
      </c>
      <c r="D33" s="27">
        <v>1</v>
      </c>
    </row>
    <row r="34" spans="1:4" ht="15.75" thickBot="1">
      <c r="A34" s="449"/>
      <c r="B34" s="22" t="s">
        <v>263</v>
      </c>
      <c r="C34" s="27">
        <v>1</v>
      </c>
      <c r="D34" s="27">
        <v>1</v>
      </c>
    </row>
    <row r="35" spans="1:4" ht="15.75" thickBot="1">
      <c r="A35" s="21"/>
      <c r="B35" s="21"/>
      <c r="C35" s="28"/>
      <c r="D35" s="28"/>
    </row>
    <row r="36" spans="1:4" ht="15.75" thickBot="1">
      <c r="A36" s="21"/>
      <c r="B36" s="21"/>
      <c r="C36" s="223" t="s">
        <v>258</v>
      </c>
      <c r="D36" s="223" t="s">
        <v>259</v>
      </c>
    </row>
    <row r="37" spans="1:4" ht="15.75" thickBot="1">
      <c r="A37" s="25" t="s">
        <v>265</v>
      </c>
      <c r="B37" s="23" t="s">
        <v>332</v>
      </c>
      <c r="C37" s="27">
        <v>50</v>
      </c>
      <c r="D37" s="27">
        <v>50</v>
      </c>
    </row>
    <row r="38" spans="1:4" ht="15.75" thickBot="1">
      <c r="A38" s="25" t="s">
        <v>421</v>
      </c>
      <c r="B38" s="23" t="s">
        <v>332</v>
      </c>
      <c r="C38" s="27">
        <v>0</v>
      </c>
      <c r="D38" s="163" t="s">
        <v>335</v>
      </c>
    </row>
    <row r="39" spans="1:4">
      <c r="A39" s="21"/>
      <c r="B39" s="21"/>
      <c r="C39" s="21"/>
      <c r="D39" s="21"/>
    </row>
    <row r="40" spans="1:4" ht="15.75" thickBot="1">
      <c r="A40" s="21"/>
      <c r="B40" s="21"/>
      <c r="C40" s="21"/>
      <c r="D40" s="21"/>
    </row>
    <row r="41" spans="1:4" ht="15.75" thickBot="1">
      <c r="A41" s="21"/>
      <c r="B41" s="21"/>
      <c r="C41" s="223" t="s">
        <v>258</v>
      </c>
      <c r="D41" s="223" t="s">
        <v>259</v>
      </c>
    </row>
    <row r="42" spans="1:4" ht="30.75" thickBot="1">
      <c r="A42" s="25" t="s">
        <v>415</v>
      </c>
      <c r="B42" s="40" t="s">
        <v>416</v>
      </c>
      <c r="C42" s="27"/>
      <c r="D42" s="27"/>
    </row>
    <row r="43" spans="1:4">
      <c r="A43" s="21"/>
      <c r="B43" s="21"/>
      <c r="C43" s="21"/>
      <c r="D43" s="21"/>
    </row>
    <row r="44" spans="1:4" ht="15.75" thickBot="1">
      <c r="A44" s="21"/>
      <c r="B44" s="21"/>
      <c r="C44" s="21"/>
      <c r="D44" s="21"/>
    </row>
    <row r="45" spans="1:4" ht="60.75" thickBot="1">
      <c r="A45" s="449" t="s">
        <v>389</v>
      </c>
      <c r="B45" s="40" t="s">
        <v>390</v>
      </c>
      <c r="C45" s="450"/>
      <c r="D45" s="451"/>
    </row>
    <row r="46" spans="1:4" ht="90.75" thickBot="1">
      <c r="A46" s="449"/>
      <c r="B46" s="40" t="s">
        <v>459</v>
      </c>
      <c r="C46" s="27"/>
      <c r="D46" s="27"/>
    </row>
    <row r="47" spans="1:4" ht="15.75" thickBot="1">
      <c r="A47" s="21"/>
      <c r="B47" s="21"/>
      <c r="C47" s="21"/>
      <c r="D47" s="21"/>
    </row>
    <row r="48" spans="1:4" ht="15.75" thickBot="1">
      <c r="A48" s="21"/>
      <c r="B48" s="21"/>
      <c r="C48" s="223" t="s">
        <v>258</v>
      </c>
      <c r="D48" s="222" t="s">
        <v>259</v>
      </c>
    </row>
    <row r="49" spans="1:4" ht="48" customHeight="1" thickBot="1">
      <c r="A49" s="221" t="s">
        <v>369</v>
      </c>
      <c r="B49" s="40" t="s">
        <v>544</v>
      </c>
      <c r="C49" s="61"/>
      <c r="D49" s="61"/>
    </row>
    <row r="50" spans="1:4" ht="15.75" thickBot="1">
      <c r="A50" s="21"/>
      <c r="B50" s="21"/>
      <c r="C50" s="21"/>
      <c r="D50" s="21"/>
    </row>
    <row r="51" spans="1:4" ht="15.75" thickBot="1">
      <c r="A51" s="21"/>
      <c r="B51" s="21"/>
      <c r="C51" s="223" t="s">
        <v>258</v>
      </c>
      <c r="D51" s="223" t="s">
        <v>259</v>
      </c>
    </row>
    <row r="52" spans="1:4" ht="15.75" thickBot="1">
      <c r="A52" s="454" t="s">
        <v>411</v>
      </c>
      <c r="B52" s="141" t="s">
        <v>340</v>
      </c>
      <c r="C52" s="226">
        <f ca="1">SUM('Entry Anticipated Rev. Recovery'!Y:Y)+('Revenue Input'!$F$3)</f>
        <v>504926658.15282029</v>
      </c>
      <c r="D52" s="226">
        <f ca="1">SUM('Exit Anticipated Rev. Recovery'!Y:Y)</f>
        <v>443906165.84718019</v>
      </c>
    </row>
    <row r="53" spans="1:4" ht="15" customHeight="1" thickBot="1">
      <c r="A53" s="454"/>
      <c r="B53" s="141" t="s">
        <v>413</v>
      </c>
      <c r="C53" s="227">
        <f>($C$13/100)* 'Revenue Input'!$B$3+C16</f>
        <v>504926658.15282059</v>
      </c>
      <c r="D53" s="227">
        <f>($D$13/100)* 'Revenue Input'!$B$3+$D$16</f>
        <v>443906165.84717941</v>
      </c>
    </row>
    <row r="54" spans="1:4" ht="15" customHeight="1" thickBot="1">
      <c r="A54" s="454"/>
      <c r="B54" s="141" t="s">
        <v>339</v>
      </c>
      <c r="C54" s="230">
        <f ca="1">C52-C53</f>
        <v>0</v>
      </c>
      <c r="D54" s="231">
        <f ca="1">D52-D53</f>
        <v>7.7486038208007813E-7</v>
      </c>
    </row>
    <row r="55" spans="1:4" ht="15" customHeight="1" thickBot="1">
      <c r="A55" s="454"/>
      <c r="B55" s="141" t="s">
        <v>341</v>
      </c>
      <c r="C55" s="228">
        <f ca="1">C54/1000000</f>
        <v>0</v>
      </c>
      <c r="D55" s="229">
        <f ca="1">D54/1000000</f>
        <v>7.7486038208007808E-13</v>
      </c>
    </row>
    <row r="56" spans="1:4" ht="15.75" thickBot="1">
      <c r="A56" s="21"/>
      <c r="B56" s="21"/>
      <c r="C56" s="21"/>
      <c r="D56" s="21"/>
    </row>
    <row r="57" spans="1:4" ht="15.75" thickBot="1">
      <c r="A57" s="21"/>
      <c r="B57" s="21"/>
      <c r="C57" s="223" t="s">
        <v>258</v>
      </c>
      <c r="D57" s="223" t="s">
        <v>259</v>
      </c>
    </row>
    <row r="58" spans="1:4">
      <c r="A58" s="25" t="s">
        <v>412</v>
      </c>
      <c r="B58" s="141" t="s">
        <v>357</v>
      </c>
      <c r="C58" s="232" t="s">
        <v>257</v>
      </c>
      <c r="D58" s="232" t="s">
        <v>257</v>
      </c>
    </row>
    <row r="59" spans="1:4">
      <c r="A59" s="25"/>
      <c r="B59" s="141"/>
      <c r="C59" s="141"/>
      <c r="D59" s="141"/>
    </row>
    <row r="60" spans="1:4" ht="15.75" thickBot="1">
      <c r="A60" s="25"/>
      <c r="B60" s="141"/>
      <c r="C60" s="141"/>
      <c r="D60" s="141"/>
    </row>
    <row r="61" spans="1:4" ht="36" customHeight="1" thickBot="1">
      <c r="A61" s="25"/>
      <c r="B61" s="225" t="s">
        <v>414</v>
      </c>
      <c r="C61" s="450" t="s">
        <v>337</v>
      </c>
      <c r="D61" s="451"/>
    </row>
    <row r="62" spans="1:4" ht="27" customHeight="1" thickBot="1">
      <c r="A62" s="455"/>
      <c r="B62" s="455"/>
      <c r="C62" s="21"/>
      <c r="D62" s="21"/>
    </row>
    <row r="63" spans="1:4" ht="15.75" thickBot="1">
      <c r="A63" s="21"/>
      <c r="B63" s="21"/>
      <c r="C63" s="223" t="s">
        <v>258</v>
      </c>
      <c r="D63" s="223" t="s">
        <v>259</v>
      </c>
    </row>
    <row r="64" spans="1:4" ht="15" customHeight="1" thickBot="1">
      <c r="A64" s="25" t="s">
        <v>356</v>
      </c>
      <c r="B64" s="141" t="s">
        <v>355</v>
      </c>
      <c r="C64" s="318">
        <v>20993751.413537137</v>
      </c>
      <c r="D64" s="318">
        <v>25969184.775685318</v>
      </c>
    </row>
    <row r="65" spans="1:4">
      <c r="A65" s="21"/>
      <c r="B65" s="21"/>
      <c r="C65" s="240"/>
      <c r="D65" s="240"/>
    </row>
    <row r="66" spans="1:4" ht="15.75" thickBot="1">
      <c r="A66" s="21"/>
      <c r="B66" s="21"/>
      <c r="C66" s="240"/>
      <c r="D66" s="240"/>
    </row>
    <row r="67" spans="1:4" ht="15.75" thickBot="1">
      <c r="A67" s="21"/>
      <c r="B67" s="21"/>
      <c r="C67" s="223"/>
      <c r="D67" s="222"/>
    </row>
    <row r="68" spans="1:4" ht="48" customHeight="1" thickBot="1">
      <c r="A68" s="25" t="s">
        <v>417</v>
      </c>
      <c r="B68" s="40" t="s">
        <v>418</v>
      </c>
      <c r="C68" s="27"/>
      <c r="D68" s="27"/>
    </row>
    <row r="69" spans="1:4">
      <c r="A69" s="21"/>
      <c r="B69" s="21"/>
      <c r="C69" s="21"/>
      <c r="D69" s="21"/>
    </row>
    <row r="70" spans="1:4" ht="15.75" thickBot="1">
      <c r="A70" s="21"/>
      <c r="B70" s="21"/>
      <c r="C70" s="21"/>
      <c r="D70" s="21"/>
    </row>
    <row r="71" spans="1:4" ht="15.75" thickBot="1">
      <c r="A71" s="21"/>
      <c r="B71" s="21"/>
      <c r="C71" s="223" t="s">
        <v>258</v>
      </c>
      <c r="D71" s="223" t="s">
        <v>259</v>
      </c>
    </row>
    <row r="72" spans="1:4" ht="48" customHeight="1" thickBot="1">
      <c r="A72" s="452" t="s">
        <v>419</v>
      </c>
      <c r="B72" s="453"/>
      <c r="C72" s="27"/>
      <c r="D72" s="27"/>
    </row>
    <row r="73" spans="1:4">
      <c r="A73" s="21"/>
      <c r="B73" s="21"/>
      <c r="C73" s="21"/>
      <c r="D73" s="21"/>
    </row>
  </sheetData>
  <mergeCells count="9">
    <mergeCell ref="A19:A20"/>
    <mergeCell ref="A45:A46"/>
    <mergeCell ref="C45:D45"/>
    <mergeCell ref="A26:A28"/>
    <mergeCell ref="A72:B72"/>
    <mergeCell ref="A52:A55"/>
    <mergeCell ref="C61:D61"/>
    <mergeCell ref="A62:B62"/>
    <mergeCell ref="A31:A34"/>
  </mergeCells>
  <conditionalFormatting sqref="C54:C55">
    <cfRule type="cellIs" dxfId="29" priority="7" operator="greaterThan">
      <formula>0</formula>
    </cfRule>
    <cfRule type="cellIs" dxfId="28" priority="8" operator="lessThan">
      <formula>0</formula>
    </cfRule>
    <cfRule type="cellIs" dxfId="27" priority="9" operator="equal">
      <formula>0</formula>
    </cfRule>
  </conditionalFormatting>
  <conditionalFormatting sqref="D54:D55">
    <cfRule type="cellIs" dxfId="26" priority="4" operator="greaterThan">
      <formula>0</formula>
    </cfRule>
    <cfRule type="cellIs" dxfId="25" priority="5" operator="lessThan">
      <formula>0</formula>
    </cfRule>
    <cfRule type="cellIs" dxfId="24" priority="6" operator="equal">
      <formula>0</formula>
    </cfRule>
  </conditionalFormatting>
  <dataValidations count="19">
    <dataValidation type="decimal" errorStyle="warning" allowBlank="1" showInputMessage="1" showErrorMessage="1" error="Multipliers for quarterly standard products should be no less than 1 (or in duly justified cases, higher than 0) and no more than 1.5." prompt="Please enter a value between 1 and 1.5." sqref="C31:D34">
      <formula1>1</formula1>
      <formula2>1.5</formula2>
    </dataValidation>
    <dataValidation type="decimal" errorStyle="warning" allowBlank="1" showInputMessage="1" showErrorMessage="1" error="Multipliers for monthly standard products should be no less than 1 (or in duly justified cases, higher than 0) and no more than 1.5." prompt="Please enter a value between 1 and 1.5." sqref="C26">
      <formula1>1</formula1>
      <formula2>1.5</formula2>
    </dataValidation>
    <dataValidation type="decimal" errorStyle="warning" allowBlank="1" showInputMessage="1" showErrorMessage="1" error="Multipliers for daily standard products should be no less than 1 (or in duly justified cases, higher than 0) and no more than 3." prompt="Please enter a value between 1 and 3." sqref="C27:D27">
      <formula1>1</formula1>
      <formula2>3</formula2>
    </dataValidation>
    <dataValidation type="decimal" errorStyle="warning" allowBlank="1" showInputMessage="1" showErrorMessage="1" error="Multipliers for within-day standard products should be no less than 1 (or in duly justified cases, higher than 0) and no more than 3." prompt="Please enter a value between 1 and 3." sqref="C28">
      <formula1>1</formula1>
      <formula2>3</formula2>
    </dataValidation>
    <dataValidation type="decimal" allowBlank="1" showInputMessage="1" showErrorMessage="1" error="Please enter a value between 0% and 100%." sqref="C13 C4 C45:C46 D46 C38:C39 D39">
      <formula1>0</formula1>
      <formula2>100</formula2>
    </dataValidation>
    <dataValidation type="list" showInputMessage="1" showErrorMessage="1" sqref="C19">
      <formula1>Entry_Forecast_Inputs</formula1>
    </dataValidation>
    <dataValidation type="list" showInputMessage="1" showErrorMessage="1" sqref="D19">
      <formula1>Exit_Forecast_Inputs</formula1>
    </dataValidation>
    <dataValidation type="list" allowBlank="1" showInputMessage="1" showErrorMessage="1" sqref="C23 C60">
      <formula1>Yes_or_No</formula1>
    </dataValidation>
    <dataValidation type="list" showInputMessage="1" showErrorMessage="1" sqref="C7">
      <formula1>Gas_Year</formula1>
    </dataValidation>
    <dataValidation showInputMessage="1" showErrorMessage="1" sqref="C10"/>
    <dataValidation type="whole" allowBlank="1" showInputMessage="1" showErrorMessage="1" error="Please enter a value between 0% and 100%." sqref="C20:D20">
      <formula1>0</formula1>
      <formula2>100</formula2>
    </dataValidation>
    <dataValidation type="list" allowBlank="1" showInputMessage="1" showErrorMessage="1" sqref="C58:D58">
      <formula1>Adjustment_Types</formula1>
    </dataValidation>
    <dataValidation type="list" allowBlank="1" showInputMessage="1" showErrorMessage="1" sqref="C59">
      <formula1>Entry_CRRC_Denominators</formula1>
    </dataValidation>
    <dataValidation type="list" allowBlank="1" showInputMessage="1" showErrorMessage="1" sqref="D59">
      <formula1>Exit_CRRC_Denominators</formula1>
    </dataValidation>
    <dataValidation allowBlank="1" showInputMessage="1" showErrorMessage="1" error="Please enter a value between 50% and 100%." sqref="C42:D42 C68:D68 C72:D72"/>
    <dataValidation type="list" allowBlank="1" showInputMessage="1" showErrorMessage="1" sqref="D4">
      <formula1>Model_Type</formula1>
    </dataValidation>
    <dataValidation type="decimal" allowBlank="1" showInputMessage="1" showErrorMessage="1" sqref="C37 D37">
      <formula1>0</formula1>
      <formula2>100</formula2>
    </dataValidation>
    <dataValidation type="list" allowBlank="1" showInputMessage="1" showErrorMessage="1" sqref="J4">
      <formula1>Gas_Year</formula1>
    </dataValidation>
    <dataValidation type="list" allowBlank="1" showInputMessage="1" showErrorMessage="1" sqref="J2">
      <formula1>"CWD,PS"</formula1>
    </dataValidation>
  </dataValidations>
  <pageMargins left="0.70866141732283472" right="0.70866141732283472" top="0.74803149606299213" bottom="0.74803149606299213" header="0.31496062992125984" footer="0.31496062992125984"/>
  <pageSetup paperSize="9" scale="52"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55" r:id="rId4" name="Button 1035">
              <controlPr defaultSize="0" print="0" autoFill="0" autoPict="0" macro="[0]!EntryCapacitySplit">
                <anchor moveWithCells="1" sizeWithCells="1">
                  <from>
                    <xdr:col>2</xdr:col>
                    <xdr:colOff>104775</xdr:colOff>
                    <xdr:row>48</xdr:row>
                    <xdr:rowOff>85725</xdr:rowOff>
                  </from>
                  <to>
                    <xdr:col>2</xdr:col>
                    <xdr:colOff>3124200</xdr:colOff>
                    <xdr:row>48</xdr:row>
                    <xdr:rowOff>466725</xdr:rowOff>
                  </to>
                </anchor>
              </controlPr>
            </control>
          </mc:Choice>
        </mc:AlternateContent>
        <mc:AlternateContent xmlns:mc="http://schemas.openxmlformats.org/markup-compatibility/2006">
          <mc:Choice Requires="x14">
            <control shapeId="82956" r:id="rId5" name="Button 1036">
              <controlPr defaultSize="0" print="0" autoFill="0" autoPict="0" macro="[0]!ExitCapacitySplit">
                <anchor moveWithCells="1" sizeWithCells="1">
                  <from>
                    <xdr:col>3</xdr:col>
                    <xdr:colOff>47625</xdr:colOff>
                    <xdr:row>48</xdr:row>
                    <xdr:rowOff>85725</xdr:rowOff>
                  </from>
                  <to>
                    <xdr:col>3</xdr:col>
                    <xdr:colOff>3152775</xdr:colOff>
                    <xdr:row>48</xdr:row>
                    <xdr:rowOff>485775</xdr:rowOff>
                  </to>
                </anchor>
              </controlPr>
            </control>
          </mc:Choice>
        </mc:AlternateContent>
        <mc:AlternateContent xmlns:mc="http://schemas.openxmlformats.org/markup-compatibility/2006">
          <mc:Choice Requires="x14">
            <control shapeId="82961" r:id="rId6" name="Button 1041">
              <controlPr defaultSize="0" print="0" autoFill="0" autoPict="0" macro="[0]!reset_parameters">
                <anchor moveWithCells="1" sizeWithCells="1">
                  <from>
                    <xdr:col>2</xdr:col>
                    <xdr:colOff>114300</xdr:colOff>
                    <xdr:row>3</xdr:row>
                    <xdr:rowOff>57150</xdr:rowOff>
                  </from>
                  <to>
                    <xdr:col>2</xdr:col>
                    <xdr:colOff>3086100</xdr:colOff>
                    <xdr:row>3</xdr:row>
                    <xdr:rowOff>485775</xdr:rowOff>
                  </to>
                </anchor>
              </controlPr>
            </control>
          </mc:Choice>
        </mc:AlternateContent>
        <mc:AlternateContent xmlns:mc="http://schemas.openxmlformats.org/markup-compatibility/2006">
          <mc:Choice Requires="x14">
            <control shapeId="82965" r:id="rId7" name="Button 1045">
              <controlPr defaultSize="0" print="0" autoFill="0" autoPict="0" macro="[0]!entry_interruption">
                <anchor moveWithCells="1" sizeWithCells="1">
                  <from>
                    <xdr:col>2</xdr:col>
                    <xdr:colOff>123825</xdr:colOff>
                    <xdr:row>41</xdr:row>
                    <xdr:rowOff>47625</xdr:rowOff>
                  </from>
                  <to>
                    <xdr:col>2</xdr:col>
                    <xdr:colOff>3000375</xdr:colOff>
                    <xdr:row>41</xdr:row>
                    <xdr:rowOff>333375</xdr:rowOff>
                  </to>
                </anchor>
              </controlPr>
            </control>
          </mc:Choice>
        </mc:AlternateContent>
        <mc:AlternateContent xmlns:mc="http://schemas.openxmlformats.org/markup-compatibility/2006">
          <mc:Choice Requires="x14">
            <control shapeId="82966" r:id="rId8" name="Button 1046">
              <controlPr defaultSize="0" print="0" autoFill="0" autoPict="0" macro="[0]!exit_interruption">
                <anchor moveWithCells="1" sizeWithCells="1">
                  <from>
                    <xdr:col>3</xdr:col>
                    <xdr:colOff>190500</xdr:colOff>
                    <xdr:row>41</xdr:row>
                    <xdr:rowOff>47625</xdr:rowOff>
                  </from>
                  <to>
                    <xdr:col>3</xdr:col>
                    <xdr:colOff>3076575</xdr:colOff>
                    <xdr:row>41</xdr:row>
                    <xdr:rowOff>333375</xdr:rowOff>
                  </to>
                </anchor>
              </controlPr>
            </control>
          </mc:Choice>
        </mc:AlternateContent>
        <mc:AlternateContent xmlns:mc="http://schemas.openxmlformats.org/markup-compatibility/2006">
          <mc:Choice Requires="x14">
            <control shapeId="82968" r:id="rId9" name="Button 1048">
              <controlPr defaultSize="0" print="0" autoFill="0" autoPict="0" macro="[0]!calculate_prices">
                <anchor moveWithCells="1" sizeWithCells="1">
                  <from>
                    <xdr:col>2</xdr:col>
                    <xdr:colOff>1066800</xdr:colOff>
                    <xdr:row>44</xdr:row>
                    <xdr:rowOff>161925</xdr:rowOff>
                  </from>
                  <to>
                    <xdr:col>3</xdr:col>
                    <xdr:colOff>2238375</xdr:colOff>
                    <xdr:row>44</xdr:row>
                    <xdr:rowOff>600075</xdr:rowOff>
                  </to>
                </anchor>
              </controlPr>
            </control>
          </mc:Choice>
        </mc:AlternateContent>
        <mc:AlternateContent xmlns:mc="http://schemas.openxmlformats.org/markup-compatibility/2006">
          <mc:Choice Requires="x14">
            <control shapeId="82969" r:id="rId10" name="Model_Type">
              <controlPr defaultSize="0" print="0" autoFill="0" autoPict="0" macro="[0]!entry_prices">
                <anchor moveWithCells="1" sizeWithCells="1">
                  <from>
                    <xdr:col>2</xdr:col>
                    <xdr:colOff>161925</xdr:colOff>
                    <xdr:row>45</xdr:row>
                    <xdr:rowOff>219075</xdr:rowOff>
                  </from>
                  <to>
                    <xdr:col>2</xdr:col>
                    <xdr:colOff>3038475</xdr:colOff>
                    <xdr:row>45</xdr:row>
                    <xdr:rowOff>942975</xdr:rowOff>
                  </to>
                </anchor>
              </controlPr>
            </control>
          </mc:Choice>
        </mc:AlternateContent>
        <mc:AlternateContent xmlns:mc="http://schemas.openxmlformats.org/markup-compatibility/2006">
          <mc:Choice Requires="x14">
            <control shapeId="82970" r:id="rId11" name="Button 1050">
              <controlPr defaultSize="0" print="0" autoFill="0" autoPict="0" macro="[0]!exit_prices">
                <anchor moveWithCells="1" sizeWithCells="1">
                  <from>
                    <xdr:col>3</xdr:col>
                    <xdr:colOff>142875</xdr:colOff>
                    <xdr:row>45</xdr:row>
                    <xdr:rowOff>200025</xdr:rowOff>
                  </from>
                  <to>
                    <xdr:col>3</xdr:col>
                    <xdr:colOff>3019425</xdr:colOff>
                    <xdr:row>45</xdr:row>
                    <xdr:rowOff>923925</xdr:rowOff>
                  </to>
                </anchor>
              </controlPr>
            </control>
          </mc:Choice>
        </mc:AlternateContent>
        <mc:AlternateContent xmlns:mc="http://schemas.openxmlformats.org/markup-compatibility/2006">
          <mc:Choice Requires="x14">
            <control shapeId="82971" r:id="rId12" name="Button 1051">
              <controlPr defaultSize="0" print="0" autoFill="0" autoPict="0" macro="[0]!entry_prices">
                <anchor moveWithCells="1" sizeWithCells="1">
                  <from>
                    <xdr:col>2</xdr:col>
                    <xdr:colOff>104775</xdr:colOff>
                    <xdr:row>67</xdr:row>
                    <xdr:rowOff>76200</xdr:rowOff>
                  </from>
                  <to>
                    <xdr:col>2</xdr:col>
                    <xdr:colOff>3038475</xdr:colOff>
                    <xdr:row>67</xdr:row>
                    <xdr:rowOff>504825</xdr:rowOff>
                  </to>
                </anchor>
              </controlPr>
            </control>
          </mc:Choice>
        </mc:AlternateContent>
        <mc:AlternateContent xmlns:mc="http://schemas.openxmlformats.org/markup-compatibility/2006">
          <mc:Choice Requires="x14">
            <control shapeId="82972" r:id="rId13" name="Button 1052">
              <controlPr defaultSize="0" print="0" autoFill="0" autoPict="0" macro="[0]!exit_prices">
                <anchor moveWithCells="1" sizeWithCells="1">
                  <from>
                    <xdr:col>3</xdr:col>
                    <xdr:colOff>123825</xdr:colOff>
                    <xdr:row>67</xdr:row>
                    <xdr:rowOff>85725</xdr:rowOff>
                  </from>
                  <to>
                    <xdr:col>3</xdr:col>
                    <xdr:colOff>3095625</xdr:colOff>
                    <xdr:row>67</xdr:row>
                    <xdr:rowOff>495300</xdr:rowOff>
                  </to>
                </anchor>
              </controlPr>
            </control>
          </mc:Choice>
        </mc:AlternateContent>
        <mc:AlternateContent xmlns:mc="http://schemas.openxmlformats.org/markup-compatibility/2006">
          <mc:Choice Requires="x14">
            <control shapeId="82973" r:id="rId14" name="Button 1053">
              <controlPr defaultSize="0" print="0" autoFill="0" autoPict="0" macro="[0]!calculate_adjustments">
                <anchor moveWithCells="1" sizeWithCells="1">
                  <from>
                    <xdr:col>2</xdr:col>
                    <xdr:colOff>495300</xdr:colOff>
                    <xdr:row>60</xdr:row>
                    <xdr:rowOff>38100</xdr:rowOff>
                  </from>
                  <to>
                    <xdr:col>3</xdr:col>
                    <xdr:colOff>2714625</xdr:colOff>
                    <xdr:row>60</xdr:row>
                    <xdr:rowOff>409575</xdr:rowOff>
                  </to>
                </anchor>
              </controlPr>
            </control>
          </mc:Choice>
        </mc:AlternateContent>
        <mc:AlternateContent xmlns:mc="http://schemas.openxmlformats.org/markup-compatibility/2006">
          <mc:Choice Requires="x14">
            <control shapeId="82974" r:id="rId15" name="Button 1054">
              <controlPr defaultSize="0" print="0" autoFill="0" autoPict="0" macro="[0]!anticipated_entry_revenue_recovery">
                <anchor moveWithCells="1" sizeWithCells="1">
                  <from>
                    <xdr:col>2</xdr:col>
                    <xdr:colOff>142875</xdr:colOff>
                    <xdr:row>71</xdr:row>
                    <xdr:rowOff>85725</xdr:rowOff>
                  </from>
                  <to>
                    <xdr:col>2</xdr:col>
                    <xdr:colOff>3038475</xdr:colOff>
                    <xdr:row>71</xdr:row>
                    <xdr:rowOff>523875</xdr:rowOff>
                  </to>
                </anchor>
              </controlPr>
            </control>
          </mc:Choice>
        </mc:AlternateContent>
        <mc:AlternateContent xmlns:mc="http://schemas.openxmlformats.org/markup-compatibility/2006">
          <mc:Choice Requires="x14">
            <control shapeId="82975" r:id="rId16" name="Button 1055">
              <controlPr defaultSize="0" print="0" autoFill="0" autoPict="0" macro="[0]!anticipated_exit_revenue_recovery">
                <anchor moveWithCells="1" sizeWithCells="1">
                  <from>
                    <xdr:col>3</xdr:col>
                    <xdr:colOff>85725</xdr:colOff>
                    <xdr:row>71</xdr:row>
                    <xdr:rowOff>76200</xdr:rowOff>
                  </from>
                  <to>
                    <xdr:col>3</xdr:col>
                    <xdr:colOff>3171825</xdr:colOff>
                    <xdr:row>71</xdr:row>
                    <xdr:rowOff>504825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6" tint="0.39997558519241921"/>
  </sheetPr>
  <dimension ref="A1:E28"/>
  <sheetViews>
    <sheetView workbookViewId="0">
      <selection activeCell="H24" sqref="H24"/>
    </sheetView>
  </sheetViews>
  <sheetFormatPr defaultColWidth="8.85546875" defaultRowHeight="15"/>
  <cols>
    <col min="1" max="1" width="27.85546875" customWidth="1"/>
    <col min="2" max="2" width="29" hidden="1" customWidth="1"/>
    <col min="5" max="5" width="14.28515625" bestFit="1" customWidth="1"/>
  </cols>
  <sheetData>
    <row r="1" spans="1:5">
      <c r="A1" s="66" t="s">
        <v>25</v>
      </c>
      <c r="B1" s="66" t="s">
        <v>323</v>
      </c>
      <c r="C1" s="66" t="s">
        <v>371</v>
      </c>
      <c r="D1" s="66" t="s">
        <v>372</v>
      </c>
      <c r="E1" s="66" t="s">
        <v>373</v>
      </c>
    </row>
    <row r="2" spans="1:5">
      <c r="A2" s="15" t="s">
        <v>1</v>
      </c>
      <c r="B2" s="15" t="str">
        <f>VLOOKUP(A2,'Locations &amp; Types'!$A:$B,2,FALSE)</f>
        <v>STORAGE SITE</v>
      </c>
      <c r="C2" s="2">
        <v>0.1</v>
      </c>
      <c r="D2" s="2">
        <v>1</v>
      </c>
      <c r="E2" s="80">
        <f>C2*D2*100</f>
        <v>10</v>
      </c>
    </row>
    <row r="3" spans="1:5">
      <c r="A3" s="14" t="s">
        <v>2</v>
      </c>
      <c r="B3" s="15" t="str">
        <f>VLOOKUP(A3,'Locations &amp; Types'!$A:$B,2,FALSE)</f>
        <v>INTERCONNECTION POINT</v>
      </c>
      <c r="C3" s="2">
        <v>0.1</v>
      </c>
      <c r="D3" s="2">
        <v>1</v>
      </c>
      <c r="E3" s="80">
        <f t="shared" ref="E3:E28" si="0">C3*D3*100</f>
        <v>10</v>
      </c>
    </row>
    <row r="4" spans="1:5">
      <c r="A4" s="16" t="s">
        <v>3</v>
      </c>
      <c r="B4" s="15" t="str">
        <f>VLOOKUP(A4,'Locations &amp; Types'!$A:$B,2,FALSE)</f>
        <v>BEACH TERMINAL</v>
      </c>
      <c r="C4" s="2">
        <v>0.1</v>
      </c>
      <c r="D4" s="2">
        <v>1</v>
      </c>
      <c r="E4" s="80">
        <f t="shared" si="0"/>
        <v>10</v>
      </c>
    </row>
    <row r="5" spans="1:5">
      <c r="A5" s="14" t="s">
        <v>4</v>
      </c>
      <c r="B5" s="15" t="str">
        <f>VLOOKUP(A5,'Locations &amp; Types'!$A:$B,2,FALSE)</f>
        <v>ONSHORE FIELD</v>
      </c>
      <c r="C5" s="2">
        <v>0.1</v>
      </c>
      <c r="D5" s="2">
        <v>1</v>
      </c>
      <c r="E5" s="80">
        <f t="shared" si="0"/>
        <v>10</v>
      </c>
    </row>
    <row r="6" spans="1:5">
      <c r="A6" s="14" t="s">
        <v>5</v>
      </c>
      <c r="B6" s="15" t="str">
        <f>VLOOKUP(A6,'Locations &amp; Types'!$A:$B,2,FALSE)</f>
        <v>BEACH TERMINAL</v>
      </c>
      <c r="C6" s="2">
        <v>0.1</v>
      </c>
      <c r="D6" s="2">
        <v>1</v>
      </c>
      <c r="E6" s="80">
        <f t="shared" si="0"/>
        <v>10</v>
      </c>
    </row>
    <row r="7" spans="1:5">
      <c r="A7" s="14" t="s">
        <v>6</v>
      </c>
      <c r="B7" s="15" t="str">
        <f>VLOOKUP(A7,'Locations &amp; Types'!$A:$B,2,FALSE)</f>
        <v>STORAGE SITE</v>
      </c>
      <c r="C7" s="2">
        <v>0.1</v>
      </c>
      <c r="D7" s="2">
        <v>1</v>
      </c>
      <c r="E7" s="80">
        <f t="shared" si="0"/>
        <v>10</v>
      </c>
    </row>
    <row r="8" spans="1:5">
      <c r="A8" s="14" t="s">
        <v>7</v>
      </c>
      <c r="B8" s="15" t="str">
        <f>VLOOKUP(A8,'Locations &amp; Types'!$A:$B,2,FALSE)</f>
        <v>ONSHORE FIELD</v>
      </c>
      <c r="C8" s="2">
        <v>0.1</v>
      </c>
      <c r="D8" s="2">
        <v>1</v>
      </c>
      <c r="E8" s="80">
        <f t="shared" si="0"/>
        <v>10</v>
      </c>
    </row>
    <row r="9" spans="1:5">
      <c r="A9" s="14" t="s">
        <v>8</v>
      </c>
      <c r="B9" s="15" t="str">
        <f>VLOOKUP(A9,'Locations &amp; Types'!$A:$B,2,FALSE)</f>
        <v>STORAGE SITE</v>
      </c>
      <c r="C9" s="2">
        <v>0.1</v>
      </c>
      <c r="D9" s="2">
        <v>1</v>
      </c>
      <c r="E9" s="80">
        <f t="shared" si="0"/>
        <v>10</v>
      </c>
    </row>
    <row r="10" spans="1:5">
      <c r="A10" s="14" t="s">
        <v>9</v>
      </c>
      <c r="B10" s="15" t="str">
        <f>VLOOKUP(A10,'Locations &amp; Types'!$A:$B,2,FALSE)</f>
        <v>STORAGE SITE</v>
      </c>
      <c r="C10" s="2">
        <v>0.1</v>
      </c>
      <c r="D10" s="2">
        <v>1</v>
      </c>
      <c r="E10" s="80">
        <f t="shared" si="0"/>
        <v>10</v>
      </c>
    </row>
    <row r="11" spans="1:5">
      <c r="A11" s="14" t="s">
        <v>10</v>
      </c>
      <c r="B11" s="15" t="str">
        <f>VLOOKUP(A11,'Locations &amp; Types'!$A:$B,2,FALSE)</f>
        <v>STORAGE SITE</v>
      </c>
      <c r="C11" s="2">
        <v>0.1</v>
      </c>
      <c r="D11" s="2">
        <v>1</v>
      </c>
      <c r="E11" s="80">
        <f t="shared" si="0"/>
        <v>10</v>
      </c>
    </row>
    <row r="12" spans="1:5">
      <c r="A12" s="14" t="s">
        <v>477</v>
      </c>
      <c r="B12" s="15" t="str">
        <f>VLOOKUP(A12,'Locations &amp; Types'!$A:$B,2,FALSE)</f>
        <v>BEACH TERMINAL</v>
      </c>
      <c r="C12" s="2">
        <v>0.1</v>
      </c>
      <c r="D12" s="2">
        <v>1</v>
      </c>
      <c r="E12" s="80">
        <f t="shared" si="0"/>
        <v>10</v>
      </c>
    </row>
    <row r="13" spans="1:5">
      <c r="A13" s="14" t="s">
        <v>11</v>
      </c>
      <c r="B13" s="15" t="str">
        <f>VLOOKUP(A13,'Locations &amp; Types'!$A:$B,2,FALSE)</f>
        <v>STORAGE SITE</v>
      </c>
      <c r="C13" s="2">
        <v>0.1</v>
      </c>
      <c r="D13" s="2">
        <v>1</v>
      </c>
      <c r="E13" s="80">
        <f t="shared" si="0"/>
        <v>10</v>
      </c>
    </row>
    <row r="14" spans="1:5">
      <c r="A14" s="14" t="s">
        <v>12</v>
      </c>
      <c r="B14" s="15" t="str">
        <f>VLOOKUP(A14,'Locations &amp; Types'!$A:$B,2,FALSE)</f>
        <v>STORAGE SITE</v>
      </c>
      <c r="C14" s="2">
        <v>0.1</v>
      </c>
      <c r="D14" s="2">
        <v>1</v>
      </c>
      <c r="E14" s="80">
        <f t="shared" si="0"/>
        <v>10</v>
      </c>
    </row>
    <row r="15" spans="1:5">
      <c r="A15" s="14" t="s">
        <v>13</v>
      </c>
      <c r="B15" s="15" t="str">
        <f>VLOOKUP(A15,'Locations &amp; Types'!$A:$B,2,FALSE)</f>
        <v>STORAGE SITE</v>
      </c>
      <c r="C15" s="2">
        <v>0.1</v>
      </c>
      <c r="D15" s="2">
        <v>1</v>
      </c>
      <c r="E15" s="80">
        <f t="shared" si="0"/>
        <v>10</v>
      </c>
    </row>
    <row r="16" spans="1:5">
      <c r="A16" s="14" t="s">
        <v>14</v>
      </c>
      <c r="B16" s="15" t="str">
        <f>VLOOKUP(A16,'Locations &amp; Types'!$A:$B,2,FALSE)</f>
        <v>STORAGE SITE</v>
      </c>
      <c r="C16" s="2">
        <v>0.1</v>
      </c>
      <c r="D16" s="2">
        <v>1</v>
      </c>
      <c r="E16" s="80">
        <f t="shared" si="0"/>
        <v>10</v>
      </c>
    </row>
    <row r="17" spans="1:5">
      <c r="A17" s="14" t="s">
        <v>15</v>
      </c>
      <c r="B17" s="15" t="str">
        <f>VLOOKUP(A17,'Locations &amp; Types'!$A:$B,2,FALSE)</f>
        <v>ONSHORE FIELD</v>
      </c>
      <c r="C17" s="2">
        <v>0.1</v>
      </c>
      <c r="D17" s="2">
        <v>1</v>
      </c>
      <c r="E17" s="80">
        <f t="shared" si="0"/>
        <v>10</v>
      </c>
    </row>
    <row r="18" spans="1:5">
      <c r="A18" s="14" t="s">
        <v>16</v>
      </c>
      <c r="B18" s="15" t="str">
        <f>VLOOKUP(A18,'Locations &amp; Types'!$A:$B,2,FALSE)</f>
        <v>STORAGE SITE</v>
      </c>
      <c r="C18" s="2">
        <v>0.1</v>
      </c>
      <c r="D18" s="2">
        <v>1</v>
      </c>
      <c r="E18" s="80">
        <f t="shared" si="0"/>
        <v>10</v>
      </c>
    </row>
    <row r="19" spans="1:5">
      <c r="A19" s="14" t="s">
        <v>17</v>
      </c>
      <c r="B19" s="15" t="str">
        <f>VLOOKUP(A19,'Locations &amp; Types'!$A:$B,2,FALSE)</f>
        <v>STORAGE SITE</v>
      </c>
      <c r="C19" s="2">
        <v>0.1</v>
      </c>
      <c r="D19" s="2">
        <v>1</v>
      </c>
      <c r="E19" s="80">
        <f t="shared" si="0"/>
        <v>10</v>
      </c>
    </row>
    <row r="20" spans="1:5">
      <c r="A20" s="14" t="s">
        <v>18</v>
      </c>
      <c r="B20" s="15" t="str">
        <f>VLOOKUP(A20,'Locations &amp; Types'!$A:$B,2,FALSE)</f>
        <v>LNG IMPORTATION TERMINAL</v>
      </c>
      <c r="C20" s="2">
        <v>0.1</v>
      </c>
      <c r="D20" s="2">
        <v>1</v>
      </c>
      <c r="E20" s="80">
        <f t="shared" si="0"/>
        <v>10</v>
      </c>
    </row>
    <row r="21" spans="1:5">
      <c r="A21" s="14" t="s">
        <v>19</v>
      </c>
      <c r="B21" s="15" t="str">
        <f>VLOOKUP(A21,'Locations &amp; Types'!$A:$B,2,FALSE)</f>
        <v>LNG IMPORTATION TERMINAL</v>
      </c>
      <c r="C21" s="2">
        <v>0.1</v>
      </c>
      <c r="D21" s="2">
        <v>1</v>
      </c>
      <c r="E21" s="80">
        <f t="shared" si="0"/>
        <v>10</v>
      </c>
    </row>
    <row r="22" spans="1:5">
      <c r="A22" s="14" t="s">
        <v>20</v>
      </c>
      <c r="B22" s="15" t="str">
        <f>VLOOKUP(A22,'Locations &amp; Types'!$A:$B,2,FALSE)</f>
        <v>STORAGE SITE</v>
      </c>
      <c r="C22" s="2">
        <v>0.1</v>
      </c>
      <c r="D22" s="2">
        <v>1</v>
      </c>
      <c r="E22" s="80">
        <f t="shared" si="0"/>
        <v>10</v>
      </c>
    </row>
    <row r="23" spans="1:5">
      <c r="A23" s="14" t="s">
        <v>478</v>
      </c>
      <c r="B23" s="15" t="str">
        <f>VLOOKUP(A23,'Locations &amp; Types'!$A:$B,2,FALSE)</f>
        <v>INTERCONNECTION POINT</v>
      </c>
      <c r="C23" s="2">
        <v>0.1</v>
      </c>
      <c r="D23" s="2">
        <v>1</v>
      </c>
      <c r="E23" s="80">
        <f t="shared" si="0"/>
        <v>10</v>
      </c>
    </row>
    <row r="24" spans="1:5">
      <c r="A24" s="14" t="s">
        <v>532</v>
      </c>
      <c r="B24" s="15"/>
      <c r="C24" s="2">
        <v>0.1</v>
      </c>
      <c r="D24" s="2">
        <v>1</v>
      </c>
      <c r="E24" s="80">
        <f>C24*D24*100</f>
        <v>10</v>
      </c>
    </row>
    <row r="25" spans="1:5">
      <c r="A25" s="14" t="s">
        <v>21</v>
      </c>
      <c r="B25" s="15" t="str">
        <f>VLOOKUP(A25,'Locations &amp; Types'!$A:$B,2,FALSE)</f>
        <v>BEACH TERMINAL</v>
      </c>
      <c r="C25" s="2">
        <v>0.1</v>
      </c>
      <c r="D25" s="2">
        <v>1</v>
      </c>
      <c r="E25" s="80">
        <f t="shared" si="0"/>
        <v>10</v>
      </c>
    </row>
    <row r="26" spans="1:5">
      <c r="A26" s="14" t="s">
        <v>22</v>
      </c>
      <c r="B26" s="15" t="str">
        <f>VLOOKUP(A26,'Locations &amp; Types'!$A:$B,2,FALSE)</f>
        <v>BEACH TERMINAL</v>
      </c>
      <c r="C26" s="2">
        <v>0.1</v>
      </c>
      <c r="D26" s="2">
        <v>1</v>
      </c>
      <c r="E26" s="80">
        <f t="shared" si="0"/>
        <v>10</v>
      </c>
    </row>
    <row r="27" spans="1:5">
      <c r="A27" s="14" t="s">
        <v>23</v>
      </c>
      <c r="B27" s="15" t="str">
        <f>VLOOKUP(A27,'Locations &amp; Types'!$A:$B,2,FALSE)</f>
        <v>BEACH TERMINAL</v>
      </c>
      <c r="C27" s="2">
        <v>0.1</v>
      </c>
      <c r="D27" s="2">
        <v>1</v>
      </c>
      <c r="E27" s="80">
        <f t="shared" si="0"/>
        <v>10</v>
      </c>
    </row>
    <row r="28" spans="1:5">
      <c r="A28" s="14" t="s">
        <v>24</v>
      </c>
      <c r="B28" s="15" t="str">
        <f>VLOOKUP(A28,'Locations &amp; Types'!$A:$B,2,FALSE)</f>
        <v>ONSHORE FIELD</v>
      </c>
      <c r="C28" s="2">
        <v>0.1</v>
      </c>
      <c r="D28" s="2">
        <v>1</v>
      </c>
      <c r="E28" s="80">
        <f t="shared" si="0"/>
        <v>10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4" r:id="rId3" name="Button 2">
              <controlPr defaultSize="0" print="0" autoFill="0" autoPict="0" macro="[0]!user_inputs">
                <anchor moveWithCells="1" sizeWithCells="1">
                  <from>
                    <xdr:col>6</xdr:col>
                    <xdr:colOff>0</xdr:colOff>
                    <xdr:row>0</xdr:row>
                    <xdr:rowOff>180975</xdr:rowOff>
                  </from>
                  <to>
                    <xdr:col>9</xdr:col>
                    <xdr:colOff>9525</xdr:colOff>
                    <xdr:row>2</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6" tint="0.39997558519241921"/>
  </sheetPr>
  <dimension ref="A1:F230"/>
  <sheetViews>
    <sheetView topLeftCell="A217" workbookViewId="0">
      <selection activeCell="A238" sqref="A238"/>
    </sheetView>
  </sheetViews>
  <sheetFormatPr defaultColWidth="9.140625" defaultRowHeight="15"/>
  <cols>
    <col min="1" max="1" width="57" bestFit="1" customWidth="1"/>
    <col min="2" max="2" width="57" hidden="1" customWidth="1"/>
    <col min="5" max="5" width="14.28515625" bestFit="1" customWidth="1"/>
  </cols>
  <sheetData>
    <row r="1" spans="1:6">
      <c r="A1" s="67" t="s">
        <v>242</v>
      </c>
      <c r="B1" s="68" t="s">
        <v>329</v>
      </c>
      <c r="C1" s="68" t="s">
        <v>371</v>
      </c>
      <c r="D1" s="68" t="s">
        <v>372</v>
      </c>
      <c r="E1" s="68" t="s">
        <v>373</v>
      </c>
      <c r="F1" s="78" t="s">
        <v>513</v>
      </c>
    </row>
    <row r="2" spans="1:6">
      <c r="A2" s="2" t="s">
        <v>26</v>
      </c>
      <c r="B2" s="12" t="str">
        <f>VLOOKUP(A2,'Locations &amp; Types'!$E:$F,2,FALSE)</f>
        <v>GDN (SC)</v>
      </c>
      <c r="C2" s="2">
        <v>0.1</v>
      </c>
      <c r="D2" s="2">
        <v>1</v>
      </c>
      <c r="E2" s="84">
        <f>C2*D2*100</f>
        <v>10</v>
      </c>
      <c r="F2" t="str">
        <f>VLOOKUP(A2,'Exit Prices'!$A:$B,2,FALSE)</f>
        <v>DNO</v>
      </c>
    </row>
    <row r="3" spans="1:6">
      <c r="A3" s="2" t="s">
        <v>27</v>
      </c>
      <c r="B3" s="12" t="str">
        <f>VLOOKUP(A3,'Locations &amp; Types'!$E:$F,2,FALSE)</f>
        <v>DC</v>
      </c>
      <c r="C3" s="2">
        <v>0.1</v>
      </c>
      <c r="D3" s="2">
        <v>1</v>
      </c>
      <c r="E3" s="84">
        <f t="shared" ref="E3:E66" si="0">C3*D3*100</f>
        <v>10</v>
      </c>
      <c r="F3" t="str">
        <f>VLOOKUP(A3,'Exit Prices'!$A:$B,2,FALSE)</f>
        <v>POWER STATION</v>
      </c>
    </row>
    <row r="4" spans="1:6">
      <c r="A4" s="2" t="s">
        <v>28</v>
      </c>
      <c r="B4" s="12" t="str">
        <f>VLOOKUP(A4,'Locations &amp; Types'!$E:$F,2,FALSE)</f>
        <v>GDN (EM)</v>
      </c>
      <c r="C4" s="2">
        <v>0.1</v>
      </c>
      <c r="D4" s="2">
        <v>1</v>
      </c>
      <c r="E4" s="84">
        <f t="shared" si="0"/>
        <v>10</v>
      </c>
      <c r="F4" t="str">
        <f>VLOOKUP(A4,'Exit Prices'!$A:$B,2,FALSE)</f>
        <v>DNO</v>
      </c>
    </row>
    <row r="5" spans="1:6">
      <c r="A5" s="2" t="s">
        <v>29</v>
      </c>
      <c r="B5" s="12" t="str">
        <f>VLOOKUP(A5,'Locations &amp; Types'!$E:$F,2,FALSE)</f>
        <v>GDN (WM)</v>
      </c>
      <c r="C5" s="2">
        <v>0.1</v>
      </c>
      <c r="D5" s="2">
        <v>1</v>
      </c>
      <c r="E5" s="84">
        <f t="shared" si="0"/>
        <v>10</v>
      </c>
      <c r="F5" t="str">
        <f>VLOOKUP(A5,'Exit Prices'!$A:$B,2,FALSE)</f>
        <v>DNO</v>
      </c>
    </row>
    <row r="6" spans="1:6">
      <c r="A6" s="2" t="s">
        <v>240</v>
      </c>
      <c r="B6" s="12" t="str">
        <f>VLOOKUP(A6,'Locations &amp; Types'!$E:$F,2,FALSE)</f>
        <v>DC</v>
      </c>
      <c r="C6" s="2">
        <v>0.1</v>
      </c>
      <c r="D6" s="2">
        <v>1</v>
      </c>
      <c r="E6" s="84">
        <f t="shared" si="0"/>
        <v>10</v>
      </c>
      <c r="F6" t="str">
        <f>VLOOKUP(A6,'Exit Prices'!$A:$B,2,FALSE)</f>
        <v>INDUSTRIAL</v>
      </c>
    </row>
    <row r="7" spans="1:6">
      <c r="A7" s="2" t="s">
        <v>30</v>
      </c>
      <c r="B7" s="12" t="str">
        <f>VLOOKUP(A7,'Locations &amp; Types'!$E:$F,2,FALSE)</f>
        <v>GDN (SC)</v>
      </c>
      <c r="C7" s="2">
        <v>0.1</v>
      </c>
      <c r="D7" s="2">
        <v>1</v>
      </c>
      <c r="E7" s="84">
        <f t="shared" si="0"/>
        <v>10</v>
      </c>
      <c r="F7" t="str">
        <f>VLOOKUP(A7,'Exit Prices'!$A:$B,2,FALSE)</f>
        <v>DNO</v>
      </c>
    </row>
    <row r="8" spans="1:6">
      <c r="A8" s="2" t="s">
        <v>31</v>
      </c>
      <c r="B8" s="12" t="str">
        <f>VLOOKUP(A8,'Locations &amp; Types'!$E:$F,2,FALSE)</f>
        <v>GDN (WM)</v>
      </c>
      <c r="C8" s="2">
        <v>0.1</v>
      </c>
      <c r="D8" s="2">
        <v>1</v>
      </c>
      <c r="E8" s="84">
        <f t="shared" si="0"/>
        <v>10</v>
      </c>
      <c r="F8" t="str">
        <f>VLOOKUP(A8,'Exit Prices'!$A:$B,2,FALSE)</f>
        <v>DNO</v>
      </c>
    </row>
    <row r="9" spans="1:6">
      <c r="A9" s="2" t="s">
        <v>32</v>
      </c>
      <c r="B9" s="12" t="str">
        <f>VLOOKUP(A9,'Locations &amp; Types'!$E:$F,2,FALSE)</f>
        <v>GDN (NE)</v>
      </c>
      <c r="C9" s="2">
        <v>0.1</v>
      </c>
      <c r="D9" s="2">
        <v>1</v>
      </c>
      <c r="E9" s="84">
        <f t="shared" si="0"/>
        <v>10</v>
      </c>
      <c r="F9" t="str">
        <f>VLOOKUP(A9,'Exit Prices'!$A:$B,2,FALSE)</f>
        <v>DNO</v>
      </c>
    </row>
    <row r="10" spans="1:6">
      <c r="A10" s="2" t="s">
        <v>33</v>
      </c>
      <c r="B10" s="12" t="str">
        <f>VLOOKUP(A10,'Locations &amp; Types'!$E:$F,2,FALSE)</f>
        <v>GDN (NW)</v>
      </c>
      <c r="C10" s="2">
        <v>0.1</v>
      </c>
      <c r="D10" s="2">
        <v>1</v>
      </c>
      <c r="E10" s="84">
        <f t="shared" si="0"/>
        <v>10</v>
      </c>
      <c r="F10" t="str">
        <f>VLOOKUP(A10,'Exit Prices'!$A:$B,2,FALSE)</f>
        <v>DNO</v>
      </c>
    </row>
    <row r="11" spans="1:6">
      <c r="A11" s="2" t="s">
        <v>34</v>
      </c>
      <c r="B11" s="12" t="str">
        <f>VLOOKUP(A11,'Locations &amp; Types'!$E:$F,2,FALSE)</f>
        <v>GDN (WM)</v>
      </c>
      <c r="C11" s="2">
        <v>0.1</v>
      </c>
      <c r="D11" s="2">
        <v>1</v>
      </c>
      <c r="E11" s="84">
        <f t="shared" si="0"/>
        <v>10</v>
      </c>
      <c r="F11" t="str">
        <f>VLOOKUP(A11,'Exit Prices'!$A:$B,2,FALSE)</f>
        <v>DNO</v>
      </c>
    </row>
    <row r="12" spans="1:6">
      <c r="A12" s="2" t="s">
        <v>35</v>
      </c>
      <c r="B12" s="12" t="str">
        <f>VLOOKUP(A12,'Locations &amp; Types'!$E:$F,2,FALSE)</f>
        <v>GDN (WM)</v>
      </c>
      <c r="C12" s="2">
        <v>0.1</v>
      </c>
      <c r="D12" s="2">
        <v>1</v>
      </c>
      <c r="E12" s="84">
        <f t="shared" si="0"/>
        <v>10</v>
      </c>
      <c r="F12" t="str">
        <f>VLOOKUP(A12,'Exit Prices'!$A:$B,2,FALSE)</f>
        <v>DNO</v>
      </c>
    </row>
    <row r="13" spans="1:6">
      <c r="A13" s="2" t="s">
        <v>36</v>
      </c>
      <c r="B13" s="12" t="str">
        <f>VLOOKUP(A13,'Locations &amp; Types'!$E:$F,2,FALSE)</f>
        <v>STORAGE SITE</v>
      </c>
      <c r="C13" s="2">
        <v>0.1</v>
      </c>
      <c r="D13" s="2">
        <v>1</v>
      </c>
      <c r="E13" s="84">
        <f t="shared" si="0"/>
        <v>10</v>
      </c>
      <c r="F13" t="str">
        <f>VLOOKUP(A13,'Exit Prices'!$A:$B,2,FALSE)</f>
        <v>STORAGE SITE</v>
      </c>
    </row>
    <row r="14" spans="1:6">
      <c r="A14" s="2" t="s">
        <v>37</v>
      </c>
      <c r="B14" s="12" t="str">
        <f>VLOOKUP(A14,'Locations &amp; Types'!$E:$F,2,FALSE)</f>
        <v>GDN (SW)</v>
      </c>
      <c r="C14" s="2">
        <v>0.1</v>
      </c>
      <c r="D14" s="2">
        <v>1</v>
      </c>
      <c r="E14" s="84">
        <f t="shared" si="0"/>
        <v>10</v>
      </c>
      <c r="F14" t="str">
        <f>VLOOKUP(A14,'Exit Prices'!$A:$B,2,FALSE)</f>
        <v>DNO</v>
      </c>
    </row>
    <row r="15" spans="1:6">
      <c r="A15" s="2" t="s">
        <v>38</v>
      </c>
      <c r="B15" s="12" t="str">
        <f>VLOOKUP(A15,'Locations &amp; Types'!$E:$F,2,FALSE)</f>
        <v>GDN (EA)</v>
      </c>
      <c r="C15" s="2">
        <v>0.1</v>
      </c>
      <c r="D15" s="2">
        <v>1</v>
      </c>
      <c r="E15" s="84">
        <f t="shared" si="0"/>
        <v>10</v>
      </c>
      <c r="F15" t="str">
        <f>VLOOKUP(A15,'Exit Prices'!$A:$B,2,FALSE)</f>
        <v>DNO</v>
      </c>
    </row>
    <row r="16" spans="1:6">
      <c r="A16" s="2" t="s">
        <v>39</v>
      </c>
      <c r="B16" s="12" t="str">
        <f>VLOOKUP(A16,'Locations &amp; Types'!$E:$F,2,FALSE)</f>
        <v>STORAGE SITE</v>
      </c>
      <c r="C16" s="2">
        <v>0.1</v>
      </c>
      <c r="D16" s="2">
        <v>1</v>
      </c>
      <c r="E16" s="84">
        <f t="shared" si="0"/>
        <v>10</v>
      </c>
      <c r="F16" t="str">
        <f>VLOOKUP(A16,'Exit Prices'!$A:$B,2,FALSE)</f>
        <v>STORAGE SITE</v>
      </c>
    </row>
    <row r="17" spans="1:6">
      <c r="A17" s="2" t="s">
        <v>40</v>
      </c>
      <c r="B17" s="12" t="str">
        <f>VLOOKUP(A17,'Locations &amp; Types'!$E:$F,2,FALSE)</f>
        <v>INTERCONNECTOR</v>
      </c>
      <c r="C17" s="2">
        <v>0.1</v>
      </c>
      <c r="D17" s="2">
        <v>1</v>
      </c>
      <c r="E17" s="84">
        <f t="shared" si="0"/>
        <v>10</v>
      </c>
      <c r="F17" t="str">
        <f>VLOOKUP(A17,'Exit Prices'!$A:$B,2,FALSE)</f>
        <v>INTERCONNECTOR</v>
      </c>
    </row>
    <row r="18" spans="1:6">
      <c r="A18" s="2" t="s">
        <v>41</v>
      </c>
      <c r="B18" s="12" t="str">
        <f>VLOOKUP(A18,'Locations &amp; Types'!$E:$F,2,FALSE)</f>
        <v>DC</v>
      </c>
      <c r="C18" s="2">
        <v>0.1</v>
      </c>
      <c r="D18" s="2">
        <v>1</v>
      </c>
      <c r="E18" s="84">
        <f t="shared" si="0"/>
        <v>10</v>
      </c>
      <c r="F18" t="str">
        <f>VLOOKUP(A18,'Exit Prices'!$A:$B,2,FALSE)</f>
        <v>POWER STATION</v>
      </c>
    </row>
    <row r="19" spans="1:6">
      <c r="A19" s="2" t="s">
        <v>42</v>
      </c>
      <c r="B19" s="12" t="str">
        <f>VLOOKUP(A19,'Locations &amp; Types'!$E:$F,2,FALSE)</f>
        <v>INTERCONNECTOR</v>
      </c>
      <c r="C19" s="2">
        <v>0.1</v>
      </c>
      <c r="D19" s="2">
        <v>1</v>
      </c>
      <c r="E19" s="84">
        <f t="shared" si="0"/>
        <v>10</v>
      </c>
      <c r="F19" t="str">
        <f>VLOOKUP(A19,'Exit Prices'!$A:$B,2,FALSE)</f>
        <v>INTERCONNECTOR</v>
      </c>
    </row>
    <row r="20" spans="1:6">
      <c r="A20" s="2" t="s">
        <v>43</v>
      </c>
      <c r="B20" s="12" t="str">
        <f>VLOOKUP(A20,'Locations &amp; Types'!$E:$F,2,FALSE)</f>
        <v>GDN (NE)</v>
      </c>
      <c r="C20" s="2">
        <v>0.1</v>
      </c>
      <c r="D20" s="2">
        <v>1</v>
      </c>
      <c r="E20" s="84">
        <f t="shared" si="0"/>
        <v>10</v>
      </c>
      <c r="F20" t="str">
        <f>VLOOKUP(A20,'Exit Prices'!$A:$B,2,FALSE)</f>
        <v>DNO</v>
      </c>
    </row>
    <row r="21" spans="1:6">
      <c r="A21" s="2" t="s">
        <v>44</v>
      </c>
      <c r="B21" s="12" t="str">
        <f>VLOOKUP(A21,'Locations &amp; Types'!$E:$F,2,FALSE)</f>
        <v>GDN (SC)</v>
      </c>
      <c r="C21" s="2">
        <v>0.1</v>
      </c>
      <c r="D21" s="2">
        <v>1</v>
      </c>
      <c r="E21" s="84">
        <f t="shared" si="0"/>
        <v>10</v>
      </c>
      <c r="F21" t="str">
        <f>VLOOKUP(A21,'Exit Prices'!$A:$B,2,FALSE)</f>
        <v>DNO</v>
      </c>
    </row>
    <row r="22" spans="1:6">
      <c r="A22" s="2" t="s">
        <v>45</v>
      </c>
      <c r="B22" s="12" t="str">
        <f>VLOOKUP(A22,'Locations &amp; Types'!$E:$F,2,FALSE)</f>
        <v>DC</v>
      </c>
      <c r="C22" s="2">
        <v>0.1</v>
      </c>
      <c r="D22" s="2">
        <v>1</v>
      </c>
      <c r="E22" s="84">
        <f t="shared" si="0"/>
        <v>10</v>
      </c>
      <c r="F22" t="str">
        <f>VLOOKUP(A22,'Exit Prices'!$A:$B,2,FALSE)</f>
        <v>POWER STATION</v>
      </c>
    </row>
    <row r="23" spans="1:6">
      <c r="A23" s="2" t="s">
        <v>46</v>
      </c>
      <c r="B23" s="12" t="str">
        <f>VLOOKUP(A23,'Locations &amp; Types'!$E:$F,2,FALSE)</f>
        <v>STORAGE SITE</v>
      </c>
      <c r="C23" s="2">
        <v>0.1</v>
      </c>
      <c r="D23" s="2">
        <v>1</v>
      </c>
      <c r="E23" s="84">
        <f t="shared" si="0"/>
        <v>10</v>
      </c>
      <c r="F23" t="str">
        <f>VLOOKUP(A23,'Exit Prices'!$A:$B,2,FALSE)</f>
        <v>STORAGE SITE</v>
      </c>
    </row>
    <row r="24" spans="1:6">
      <c r="A24" s="2" t="s">
        <v>47</v>
      </c>
      <c r="B24" s="12" t="str">
        <f>VLOOKUP(A24,'Locations &amp; Types'!$E:$F,2,FALSE)</f>
        <v>DC</v>
      </c>
      <c r="C24" s="2">
        <v>0.1</v>
      </c>
      <c r="D24" s="2">
        <v>1</v>
      </c>
      <c r="E24" s="84">
        <f t="shared" si="0"/>
        <v>10</v>
      </c>
      <c r="F24" t="str">
        <f>VLOOKUP(A24,'Exit Prices'!$A:$B,2,FALSE)</f>
        <v>INDUSTRIAL</v>
      </c>
    </row>
    <row r="25" spans="1:6">
      <c r="A25" s="2" t="s">
        <v>48</v>
      </c>
      <c r="B25" s="12" t="str">
        <f>VLOOKUP(A25,'Locations &amp; Types'!$E:$F,2,FALSE)</f>
        <v>STORAGE SITE</v>
      </c>
      <c r="C25" s="2">
        <v>0.1</v>
      </c>
      <c r="D25" s="2">
        <v>1</v>
      </c>
      <c r="E25" s="84">
        <f t="shared" si="0"/>
        <v>10</v>
      </c>
      <c r="F25" t="str">
        <f>VLOOKUP(A25,'Exit Prices'!$A:$B,2,FALSE)</f>
        <v>STORAGE SITE</v>
      </c>
    </row>
    <row r="26" spans="1:6">
      <c r="A26" s="2" t="s">
        <v>49</v>
      </c>
      <c r="B26" s="12" t="str">
        <f>VLOOKUP(A26,'Locations &amp; Types'!$E:$F,2,FALSE)</f>
        <v>STORAGE SITE</v>
      </c>
      <c r="C26" s="2">
        <v>0.1</v>
      </c>
      <c r="D26" s="2">
        <v>1</v>
      </c>
      <c r="E26" s="84">
        <f t="shared" si="0"/>
        <v>10</v>
      </c>
      <c r="F26" t="str">
        <f>VLOOKUP(A26,'Exit Prices'!$A:$B,2,FALSE)</f>
        <v>STORAGE SITE</v>
      </c>
    </row>
    <row r="27" spans="1:6">
      <c r="A27" s="2" t="s">
        <v>50</v>
      </c>
      <c r="B27" s="12" t="str">
        <f>VLOOKUP(A27,'Locations &amp; Types'!$E:$F,2,FALSE)</f>
        <v>GDN (SC)</v>
      </c>
      <c r="C27" s="2">
        <v>0.1</v>
      </c>
      <c r="D27" s="2">
        <v>1</v>
      </c>
      <c r="E27" s="84">
        <f t="shared" si="0"/>
        <v>10</v>
      </c>
      <c r="F27" t="str">
        <f>VLOOKUP(A27,'Exit Prices'!$A:$B,2,FALSE)</f>
        <v>DNO</v>
      </c>
    </row>
    <row r="28" spans="1:6">
      <c r="A28" s="2" t="s">
        <v>51</v>
      </c>
      <c r="B28" s="12" t="str">
        <f>VLOOKUP(A28,'Locations &amp; Types'!$E:$F,2,FALSE)</f>
        <v>DC</v>
      </c>
      <c r="C28" s="2">
        <v>0.1</v>
      </c>
      <c r="D28" s="2">
        <v>1</v>
      </c>
      <c r="E28" s="84">
        <f t="shared" si="0"/>
        <v>10</v>
      </c>
      <c r="F28" t="str">
        <f>VLOOKUP(A28,'Exit Prices'!$A:$B,2,FALSE)</f>
        <v>INDUSTRIAL</v>
      </c>
    </row>
    <row r="29" spans="1:6">
      <c r="A29" s="2" t="s">
        <v>52</v>
      </c>
      <c r="B29" s="12" t="str">
        <f>VLOOKUP(A29,'Locations &amp; Types'!$E:$F,2,FALSE)</f>
        <v>GDN (NO)</v>
      </c>
      <c r="C29" s="2">
        <v>0.1</v>
      </c>
      <c r="D29" s="2">
        <v>1</v>
      </c>
      <c r="E29" s="84">
        <f t="shared" si="0"/>
        <v>10</v>
      </c>
      <c r="F29" t="str">
        <f>VLOOKUP(A29,'Exit Prices'!$A:$B,2,FALSE)</f>
        <v>DNO</v>
      </c>
    </row>
    <row r="30" spans="1:6">
      <c r="A30" s="2" t="s">
        <v>53</v>
      </c>
      <c r="B30" s="12" t="str">
        <f>VLOOKUP(A30,'Locations &amp; Types'!$E:$F,2,FALSE)</f>
        <v>DC</v>
      </c>
      <c r="C30" s="2">
        <v>0.1</v>
      </c>
      <c r="D30" s="2">
        <v>1</v>
      </c>
      <c r="E30" s="84">
        <f t="shared" si="0"/>
        <v>10</v>
      </c>
      <c r="F30" t="str">
        <f>VLOOKUP(A30,'Exit Prices'!$A:$B,2,FALSE)</f>
        <v>INDUSTRIAL</v>
      </c>
    </row>
    <row r="31" spans="1:6">
      <c r="A31" s="2" t="s">
        <v>54</v>
      </c>
      <c r="B31" s="12" t="str">
        <f>VLOOKUP(A31,'Locations &amp; Types'!$E:$F,2,FALSE)</f>
        <v>GDN (EM)</v>
      </c>
      <c r="C31" s="2">
        <v>0.1</v>
      </c>
      <c r="D31" s="2">
        <v>1</v>
      </c>
      <c r="E31" s="84">
        <f t="shared" si="0"/>
        <v>10</v>
      </c>
      <c r="F31" t="str">
        <f>VLOOKUP(A31,'Exit Prices'!$A:$B,2,FALSE)</f>
        <v>DNO</v>
      </c>
    </row>
    <row r="32" spans="1:6">
      <c r="A32" s="2" t="s">
        <v>55</v>
      </c>
      <c r="B32" s="12" t="str">
        <f>VLOOKUP(A32,'Locations &amp; Types'!$E:$F,2,FALSE)</f>
        <v>DC</v>
      </c>
      <c r="C32" s="2">
        <v>0.1</v>
      </c>
      <c r="D32" s="2">
        <v>1</v>
      </c>
      <c r="E32" s="84">
        <f t="shared" si="0"/>
        <v>10</v>
      </c>
      <c r="F32" t="str">
        <f>VLOOKUP(A32,'Exit Prices'!$A:$B,2,FALSE)</f>
        <v>INDUSTRIAL</v>
      </c>
    </row>
    <row r="33" spans="1:6">
      <c r="A33" s="2" t="s">
        <v>56</v>
      </c>
      <c r="B33" s="12" t="str">
        <f>VLOOKUP(A33,'Locations &amp; Types'!$E:$F,2,FALSE)</f>
        <v>GDN (NW)</v>
      </c>
      <c r="C33" s="2">
        <v>0.1</v>
      </c>
      <c r="D33" s="2">
        <v>1</v>
      </c>
      <c r="E33" s="84">
        <f t="shared" si="0"/>
        <v>10</v>
      </c>
      <c r="F33" t="str">
        <f>VLOOKUP(A33,'Exit Prices'!$A:$B,2,FALSE)</f>
        <v>DNO</v>
      </c>
    </row>
    <row r="34" spans="1:6">
      <c r="A34" s="2" t="s">
        <v>57</v>
      </c>
      <c r="B34" s="12" t="str">
        <f>VLOOKUP(A34,'Locations &amp; Types'!$E:$F,2,FALSE)</f>
        <v>GDN (EM)</v>
      </c>
      <c r="C34" s="2">
        <v>0.1</v>
      </c>
      <c r="D34" s="2">
        <v>1</v>
      </c>
      <c r="E34" s="84">
        <f t="shared" si="0"/>
        <v>10</v>
      </c>
      <c r="F34" t="str">
        <f>VLOOKUP(A34,'Exit Prices'!$A:$B,2,FALSE)</f>
        <v>DNO</v>
      </c>
    </row>
    <row r="35" spans="1:6">
      <c r="A35" s="2" t="s">
        <v>58</v>
      </c>
      <c r="B35" s="12" t="str">
        <f>VLOOKUP(A35,'Locations &amp; Types'!$E:$F,2,FALSE)</f>
        <v>DC</v>
      </c>
      <c r="C35" s="2">
        <v>0.1</v>
      </c>
      <c r="D35" s="2">
        <v>1</v>
      </c>
      <c r="E35" s="84">
        <f t="shared" si="0"/>
        <v>10</v>
      </c>
      <c r="F35" t="str">
        <f>VLOOKUP(A35,'Exit Prices'!$A:$B,2,FALSE)</f>
        <v>POWER STATION</v>
      </c>
    </row>
    <row r="36" spans="1:6">
      <c r="A36" s="2" t="s">
        <v>59</v>
      </c>
      <c r="B36" s="12" t="str">
        <f>VLOOKUP(A36,'Locations &amp; Types'!$E:$F,2,FALSE)</f>
        <v>DC</v>
      </c>
      <c r="C36" s="2">
        <v>0.1</v>
      </c>
      <c r="D36" s="2">
        <v>1</v>
      </c>
      <c r="E36" s="84">
        <f t="shared" si="0"/>
        <v>10</v>
      </c>
      <c r="F36" t="str">
        <f>VLOOKUP(A36,'Exit Prices'!$A:$B,2,FALSE)</f>
        <v>POWER STATION</v>
      </c>
    </row>
    <row r="37" spans="1:6">
      <c r="A37" s="2" t="s">
        <v>60</v>
      </c>
      <c r="B37" s="12" t="str">
        <f>VLOOKUP(A37,'Locations &amp; Types'!$E:$F,2,FALSE)</f>
        <v>GDN (SO)</v>
      </c>
      <c r="C37" s="2">
        <v>0.1</v>
      </c>
      <c r="D37" s="2">
        <v>1</v>
      </c>
      <c r="E37" s="84">
        <f t="shared" si="0"/>
        <v>10</v>
      </c>
      <c r="F37" t="str">
        <f>VLOOKUP(A37,'Exit Prices'!$A:$B,2,FALSE)</f>
        <v>DNO</v>
      </c>
    </row>
    <row r="38" spans="1:6">
      <c r="A38" s="2" t="s">
        <v>61</v>
      </c>
      <c r="B38" s="12" t="str">
        <f>VLOOKUP(A38,'Locations &amp; Types'!$E:$F,2,FALSE)</f>
        <v>GDN (SO)</v>
      </c>
      <c r="C38" s="2">
        <v>0.1</v>
      </c>
      <c r="D38" s="2">
        <v>1</v>
      </c>
      <c r="E38" s="84">
        <f t="shared" si="0"/>
        <v>10</v>
      </c>
      <c r="F38" t="str">
        <f>VLOOKUP(A38,'Exit Prices'!$A:$B,2,FALSE)</f>
        <v>DNO</v>
      </c>
    </row>
    <row r="39" spans="1:6">
      <c r="A39" s="2" t="s">
        <v>62</v>
      </c>
      <c r="B39" s="12" t="str">
        <f>VLOOKUP(A39,'Locations &amp; Types'!$E:$F,2,FALSE)</f>
        <v>DC</v>
      </c>
      <c r="C39" s="2">
        <v>0.1</v>
      </c>
      <c r="D39" s="2">
        <v>1</v>
      </c>
      <c r="E39" s="84">
        <f t="shared" si="0"/>
        <v>10</v>
      </c>
      <c r="F39" t="str">
        <f>VLOOKUP(A39,'Exit Prices'!$A:$B,2,FALSE)</f>
        <v>POWER STATION</v>
      </c>
    </row>
    <row r="40" spans="1:6">
      <c r="A40" s="2" t="s">
        <v>63</v>
      </c>
      <c r="B40" s="12" t="str">
        <f>VLOOKUP(A40,'Locations &amp; Types'!$E:$F,2,FALSE)</f>
        <v>GDN (EA)</v>
      </c>
      <c r="C40" s="2">
        <v>0.1</v>
      </c>
      <c r="D40" s="2">
        <v>1</v>
      </c>
      <c r="E40" s="84">
        <f t="shared" si="0"/>
        <v>10</v>
      </c>
      <c r="F40" t="str">
        <f>VLOOKUP(A40,'Exit Prices'!$A:$B,2,FALSE)</f>
        <v>DNO</v>
      </c>
    </row>
    <row r="41" spans="1:6">
      <c r="A41" s="2" t="s">
        <v>64</v>
      </c>
      <c r="B41" s="12" t="str">
        <f>VLOOKUP(A41,'Locations &amp; Types'!$E:$F,2,FALSE)</f>
        <v>GDN (SC)</v>
      </c>
      <c r="C41" s="2">
        <v>0.1</v>
      </c>
      <c r="D41" s="2">
        <v>1</v>
      </c>
      <c r="E41" s="84">
        <f t="shared" si="0"/>
        <v>10</v>
      </c>
      <c r="F41" t="str">
        <f>VLOOKUP(A41,'Exit Prices'!$A:$B,2,FALSE)</f>
        <v>DNO</v>
      </c>
    </row>
    <row r="42" spans="1:6">
      <c r="A42" s="2" t="s">
        <v>65</v>
      </c>
      <c r="B42" s="12" t="str">
        <f>VLOOKUP(A42,'Locations &amp; Types'!$E:$F,2,FALSE)</f>
        <v>GDN (NE)</v>
      </c>
      <c r="C42" s="2">
        <v>0.1</v>
      </c>
      <c r="D42" s="2">
        <v>1</v>
      </c>
      <c r="E42" s="84">
        <f t="shared" si="0"/>
        <v>10</v>
      </c>
      <c r="F42" t="str">
        <f>VLOOKUP(A42,'Exit Prices'!$A:$B,2,FALSE)</f>
        <v>DNO</v>
      </c>
    </row>
    <row r="43" spans="1:6">
      <c r="A43" s="2" t="s">
        <v>66</v>
      </c>
      <c r="B43" s="12" t="str">
        <f>VLOOKUP(A43,'Locations &amp; Types'!$E:$F,2,FALSE)</f>
        <v>GDN (SC)</v>
      </c>
      <c r="C43" s="2">
        <v>0.1</v>
      </c>
      <c r="D43" s="2">
        <v>1</v>
      </c>
      <c r="E43" s="84">
        <f t="shared" si="0"/>
        <v>10</v>
      </c>
      <c r="F43" t="str">
        <f>VLOOKUP(A43,'Exit Prices'!$A:$B,2,FALSE)</f>
        <v>DNO</v>
      </c>
    </row>
    <row r="44" spans="1:6">
      <c r="A44" s="2" t="s">
        <v>67</v>
      </c>
      <c r="B44" s="12" t="str">
        <f>VLOOKUP(A44,'Locations &amp; Types'!$E:$F,2,FALSE)</f>
        <v>DC</v>
      </c>
      <c r="C44" s="2">
        <v>0.1</v>
      </c>
      <c r="D44" s="2">
        <v>1</v>
      </c>
      <c r="E44" s="84">
        <f t="shared" si="0"/>
        <v>10</v>
      </c>
      <c r="F44" t="str">
        <f>VLOOKUP(A44,'Exit Prices'!$A:$B,2,FALSE)</f>
        <v>POWER STATION</v>
      </c>
    </row>
    <row r="45" spans="1:6">
      <c r="A45" s="2" t="s">
        <v>68</v>
      </c>
      <c r="B45" s="12" t="str">
        <f>VLOOKUP(A45,'Locations &amp; Types'!$E:$F,2,FALSE)</f>
        <v>GDN (EM)</v>
      </c>
      <c r="C45" s="2">
        <v>0.1</v>
      </c>
      <c r="D45" s="2">
        <v>1</v>
      </c>
      <c r="E45" s="84">
        <f t="shared" si="0"/>
        <v>10</v>
      </c>
      <c r="F45" t="str">
        <f>VLOOKUP(A45,'Exit Prices'!$A:$B,2,FALSE)</f>
        <v>DNO</v>
      </c>
    </row>
    <row r="46" spans="1:6">
      <c r="A46" s="2" t="s">
        <v>69</v>
      </c>
      <c r="B46" s="12" t="str">
        <f>VLOOKUP(A46,'Locations &amp; Types'!$E:$F,2,FALSE)</f>
        <v>DC</v>
      </c>
      <c r="C46" s="2">
        <v>0.1</v>
      </c>
      <c r="D46" s="2">
        <v>1</v>
      </c>
      <c r="E46" s="84">
        <f t="shared" si="0"/>
        <v>10</v>
      </c>
      <c r="F46" t="str">
        <f>VLOOKUP(A46,'Exit Prices'!$A:$B,2,FALSE)</f>
        <v>POWER STATION</v>
      </c>
    </row>
    <row r="47" spans="1:6">
      <c r="A47" s="2" t="s">
        <v>70</v>
      </c>
      <c r="B47" s="12" t="str">
        <f>VLOOKUP(A47,'Locations &amp; Types'!$E:$F,2,FALSE)</f>
        <v>GDN (EA)</v>
      </c>
      <c r="C47" s="2">
        <v>0.1</v>
      </c>
      <c r="D47" s="2">
        <v>1</v>
      </c>
      <c r="E47" s="84">
        <f t="shared" si="0"/>
        <v>10</v>
      </c>
      <c r="F47" t="str">
        <f>VLOOKUP(A47,'Exit Prices'!$A:$B,2,FALSE)</f>
        <v>DNO</v>
      </c>
    </row>
    <row r="48" spans="1:6">
      <c r="A48" s="2" t="s">
        <v>71</v>
      </c>
      <c r="B48" s="12" t="str">
        <f>VLOOKUP(A48,'Locations &amp; Types'!$E:$F,2,FALSE)</f>
        <v>GDN (SC)</v>
      </c>
      <c r="C48" s="2">
        <v>0.1</v>
      </c>
      <c r="D48" s="2">
        <v>1</v>
      </c>
      <c r="E48" s="84">
        <f t="shared" si="0"/>
        <v>10</v>
      </c>
      <c r="F48" t="str">
        <f>VLOOKUP(A48,'Exit Prices'!$A:$B,2,FALSE)</f>
        <v>DNO</v>
      </c>
    </row>
    <row r="49" spans="1:6">
      <c r="A49" s="2" t="s">
        <v>72</v>
      </c>
      <c r="B49" s="12" t="str">
        <f>VLOOKUP(A49,'Locations &amp; Types'!$E:$F,2,FALSE)</f>
        <v>DC</v>
      </c>
      <c r="C49" s="2">
        <v>0.1</v>
      </c>
      <c r="D49" s="2">
        <v>1</v>
      </c>
      <c r="E49" s="84">
        <f t="shared" si="0"/>
        <v>10</v>
      </c>
      <c r="F49" t="str">
        <f>VLOOKUP(A49,'Exit Prices'!$A:$B,2,FALSE)</f>
        <v>POWER STATION</v>
      </c>
    </row>
    <row r="50" spans="1:6">
      <c r="A50" s="2" t="s">
        <v>9</v>
      </c>
      <c r="B50" s="12" t="str">
        <f>VLOOKUP(A50,'Locations &amp; Types'!$E:$F,2,FALSE)</f>
        <v>STORAGE SITE</v>
      </c>
      <c r="C50" s="2">
        <v>0.1</v>
      </c>
      <c r="D50" s="2">
        <v>1</v>
      </c>
      <c r="E50" s="84">
        <f t="shared" si="0"/>
        <v>10</v>
      </c>
      <c r="F50" t="str">
        <f>VLOOKUP(A50,'Exit Prices'!$A:$B,2,FALSE)</f>
        <v>STORAGE SITE</v>
      </c>
    </row>
    <row r="51" spans="1:6">
      <c r="A51" s="2" t="s">
        <v>73</v>
      </c>
      <c r="B51" s="12" t="str">
        <f>VLOOKUP(A51,'Locations &amp; Types'!$E:$F,2,FALSE)</f>
        <v>DC</v>
      </c>
      <c r="C51" s="2">
        <v>0.1</v>
      </c>
      <c r="D51" s="2">
        <v>1</v>
      </c>
      <c r="E51" s="84">
        <f t="shared" si="0"/>
        <v>10</v>
      </c>
      <c r="F51" t="str">
        <f>VLOOKUP(A51,'Exit Prices'!$A:$B,2,FALSE)</f>
        <v>INDUSTRIAL</v>
      </c>
    </row>
    <row r="52" spans="1:6">
      <c r="A52" s="2" t="s">
        <v>74</v>
      </c>
      <c r="B52" s="12" t="str">
        <f>VLOOKUP(A52,'Locations &amp; Types'!$E:$F,2,FALSE)</f>
        <v>GDN (SW)</v>
      </c>
      <c r="C52" s="2">
        <v>0.1</v>
      </c>
      <c r="D52" s="2">
        <v>1</v>
      </c>
      <c r="E52" s="84">
        <f t="shared" si="0"/>
        <v>10</v>
      </c>
      <c r="F52" t="str">
        <f>VLOOKUP(A52,'Exit Prices'!$A:$B,2,FALSE)</f>
        <v>DNO</v>
      </c>
    </row>
    <row r="53" spans="1:6">
      <c r="A53" s="2" t="s">
        <v>75</v>
      </c>
      <c r="B53" s="12" t="str">
        <f>VLOOKUP(A53,'Locations &amp; Types'!$E:$F,2,FALSE)</f>
        <v>DC</v>
      </c>
      <c r="C53" s="2">
        <v>0.1</v>
      </c>
      <c r="D53" s="2">
        <v>1</v>
      </c>
      <c r="E53" s="84">
        <f t="shared" si="0"/>
        <v>10</v>
      </c>
      <c r="F53" t="str">
        <f>VLOOKUP(A53,'Exit Prices'!$A:$B,2,FALSE)</f>
        <v>POWER STATION</v>
      </c>
    </row>
    <row r="54" spans="1:6">
      <c r="A54" s="2" t="s">
        <v>76</v>
      </c>
      <c r="B54" s="12" t="str">
        <f>VLOOKUP(A54,'Locations &amp; Types'!$E:$F,2,FALSE)</f>
        <v>GDN (SW)</v>
      </c>
      <c r="C54" s="2">
        <v>0.1</v>
      </c>
      <c r="D54" s="2">
        <v>1</v>
      </c>
      <c r="E54" s="84">
        <f t="shared" si="0"/>
        <v>10</v>
      </c>
      <c r="F54" t="str">
        <f>VLOOKUP(A54,'Exit Prices'!$A:$B,2,FALSE)</f>
        <v>DNO</v>
      </c>
    </row>
    <row r="55" spans="1:6">
      <c r="A55" s="2" t="s">
        <v>77</v>
      </c>
      <c r="B55" s="12" t="str">
        <f>VLOOKUP(A55,'Locations &amp; Types'!$E:$F,2,FALSE)</f>
        <v>GDN (NO)</v>
      </c>
      <c r="C55" s="2">
        <v>0.1</v>
      </c>
      <c r="D55" s="2">
        <v>1</v>
      </c>
      <c r="E55" s="84">
        <f t="shared" si="0"/>
        <v>10</v>
      </c>
      <c r="F55" t="str">
        <f>VLOOKUP(A55,'Exit Prices'!$A:$B,2,FALSE)</f>
        <v>DNO</v>
      </c>
    </row>
    <row r="56" spans="1:6">
      <c r="A56" s="2" t="s">
        <v>78</v>
      </c>
      <c r="B56" s="12" t="str">
        <f>VLOOKUP(A56,'Locations &amp; Types'!$E:$F,2,FALSE)</f>
        <v>GDN (NO)</v>
      </c>
      <c r="C56" s="2">
        <v>0.1</v>
      </c>
      <c r="D56" s="2">
        <v>1</v>
      </c>
      <c r="E56" s="84">
        <f t="shared" si="0"/>
        <v>10</v>
      </c>
      <c r="F56" t="str">
        <f>VLOOKUP(A56,'Exit Prices'!$A:$B,2,FALSE)</f>
        <v>DNO</v>
      </c>
    </row>
    <row r="57" spans="1:6">
      <c r="A57" s="2" t="s">
        <v>79</v>
      </c>
      <c r="B57" s="12" t="str">
        <f>VLOOKUP(A57,'Locations &amp; Types'!$E:$F,2,FALSE)</f>
        <v>DC</v>
      </c>
      <c r="C57" s="2">
        <v>0.1</v>
      </c>
      <c r="D57" s="2">
        <v>1</v>
      </c>
      <c r="E57" s="84">
        <f t="shared" si="0"/>
        <v>10</v>
      </c>
      <c r="F57" t="str">
        <f>VLOOKUP(A57,'Exit Prices'!$A:$B,2,FALSE)</f>
        <v>POWER STATION</v>
      </c>
    </row>
    <row r="58" spans="1:6">
      <c r="A58" s="2" t="s">
        <v>80</v>
      </c>
      <c r="B58" s="12" t="str">
        <f>VLOOKUP(A58,'Locations &amp; Types'!$E:$F,2,FALSE)</f>
        <v>GDN (NO)</v>
      </c>
      <c r="C58" s="2">
        <v>0.1</v>
      </c>
      <c r="D58" s="2">
        <v>1</v>
      </c>
      <c r="E58" s="84">
        <f t="shared" si="0"/>
        <v>10</v>
      </c>
      <c r="F58" t="str">
        <f>VLOOKUP(A58,'Exit Prices'!$A:$B,2,FALSE)</f>
        <v>DNO</v>
      </c>
    </row>
    <row r="59" spans="1:6">
      <c r="A59" s="2" t="s">
        <v>81</v>
      </c>
      <c r="B59" s="12" t="str">
        <f>VLOOKUP(A59,'Locations &amp; Types'!$E:$F,2,FALSE)</f>
        <v>GDN (SO)</v>
      </c>
      <c r="C59" s="2">
        <v>0.1</v>
      </c>
      <c r="D59" s="2">
        <v>1</v>
      </c>
      <c r="E59" s="84">
        <f t="shared" si="0"/>
        <v>10</v>
      </c>
      <c r="F59" t="str">
        <f>VLOOKUP(A59,'Exit Prices'!$A:$B,2,FALSE)</f>
        <v>DNO</v>
      </c>
    </row>
    <row r="60" spans="1:6">
      <c r="A60" s="2" t="s">
        <v>82</v>
      </c>
      <c r="B60" s="12" t="str">
        <f>VLOOKUP(A60,'Locations &amp; Types'!$E:$F,2,FALSE)</f>
        <v>STORAGE SITE</v>
      </c>
      <c r="C60" s="2">
        <v>0.1</v>
      </c>
      <c r="D60" s="2">
        <v>1</v>
      </c>
      <c r="E60" s="84">
        <f t="shared" si="0"/>
        <v>10</v>
      </c>
      <c r="F60" t="str">
        <f>VLOOKUP(A60,'Exit Prices'!$A:$B,2,FALSE)</f>
        <v>STORAGE SITE</v>
      </c>
    </row>
    <row r="61" spans="1:6">
      <c r="A61" s="2" t="s">
        <v>83</v>
      </c>
      <c r="B61" s="12" t="str">
        <f>VLOOKUP(A61,'Locations &amp; Types'!$E:$F,2,FALSE)</f>
        <v>DC</v>
      </c>
      <c r="C61" s="2">
        <v>0.1</v>
      </c>
      <c r="D61" s="2">
        <v>1</v>
      </c>
      <c r="E61" s="84">
        <f t="shared" si="0"/>
        <v>10</v>
      </c>
      <c r="F61" t="str">
        <f>VLOOKUP(A61,'Exit Prices'!$A:$B,2,FALSE)</f>
        <v>POWER STATION</v>
      </c>
    </row>
    <row r="62" spans="1:6">
      <c r="A62" s="2" t="s">
        <v>84</v>
      </c>
      <c r="B62" s="12" t="str">
        <f>VLOOKUP(A62,'Locations &amp; Types'!$E:$F,2,FALSE)</f>
        <v>DC</v>
      </c>
      <c r="C62" s="2">
        <v>0.1</v>
      </c>
      <c r="D62" s="2">
        <v>1</v>
      </c>
      <c r="E62" s="84">
        <f t="shared" si="0"/>
        <v>10</v>
      </c>
      <c r="F62" t="str">
        <f>VLOOKUP(A62,'Exit Prices'!$A:$B,2,FALSE)</f>
        <v>POWER STATION</v>
      </c>
    </row>
    <row r="63" spans="1:6">
      <c r="A63" s="2" t="s">
        <v>85</v>
      </c>
      <c r="B63" s="12" t="str">
        <f>VLOOKUP(A63,'Locations &amp; Types'!$E:$F,2,FALSE)</f>
        <v>GDN (WS)</v>
      </c>
      <c r="C63" s="2">
        <v>0.1</v>
      </c>
      <c r="D63" s="2">
        <v>1</v>
      </c>
      <c r="E63" s="84">
        <f t="shared" si="0"/>
        <v>10</v>
      </c>
      <c r="F63" t="str">
        <f>VLOOKUP(A63,'Exit Prices'!$A:$B,2,FALSE)</f>
        <v>DNO</v>
      </c>
    </row>
    <row r="64" spans="1:6">
      <c r="A64" s="2" t="s">
        <v>86</v>
      </c>
      <c r="B64" s="12" t="str">
        <f>VLOOKUP(A64,'Locations &amp; Types'!$E:$F,2,FALSE)</f>
        <v>DC</v>
      </c>
      <c r="C64" s="2">
        <v>0.1</v>
      </c>
      <c r="D64" s="2">
        <v>1</v>
      </c>
      <c r="E64" s="84">
        <f t="shared" si="0"/>
        <v>10</v>
      </c>
      <c r="F64" t="str">
        <f>VLOOKUP(A64,'Exit Prices'!$A:$B,2,FALSE)</f>
        <v>POWER STATION</v>
      </c>
    </row>
    <row r="65" spans="1:6">
      <c r="A65" s="2" t="s">
        <v>87</v>
      </c>
      <c r="B65" s="12" t="str">
        <f>VLOOKUP(A65,'Locations &amp; Types'!$E:$F,2,FALSE)</f>
        <v>GDN (EM)</v>
      </c>
      <c r="C65" s="2">
        <v>0.1</v>
      </c>
      <c r="D65" s="2">
        <v>1</v>
      </c>
      <c r="E65" s="84">
        <f t="shared" si="0"/>
        <v>10</v>
      </c>
      <c r="F65" t="str">
        <f>VLOOKUP(A65,'Exit Prices'!$A:$B,2,FALSE)</f>
        <v>DNO</v>
      </c>
    </row>
    <row r="66" spans="1:6">
      <c r="A66" s="2" t="s">
        <v>88</v>
      </c>
      <c r="B66" s="12" t="str">
        <f>VLOOKUP(A66,'Locations &amp; Types'!$E:$F,2,FALSE)</f>
        <v>GDN (SC)</v>
      </c>
      <c r="C66" s="2">
        <v>0.1</v>
      </c>
      <c r="D66" s="2">
        <v>1</v>
      </c>
      <c r="E66" s="84">
        <f t="shared" si="0"/>
        <v>10</v>
      </c>
      <c r="F66" t="str">
        <f>VLOOKUP(A66,'Exit Prices'!$A:$B,2,FALSE)</f>
        <v>DNO</v>
      </c>
    </row>
    <row r="67" spans="1:6">
      <c r="A67" s="2" t="s">
        <v>89</v>
      </c>
      <c r="B67" s="12" t="str">
        <f>VLOOKUP(A67,'Locations &amp; Types'!$E:$F,2,FALSE)</f>
        <v>GDN (WS)</v>
      </c>
      <c r="C67" s="2">
        <v>0.1</v>
      </c>
      <c r="D67" s="2">
        <v>1</v>
      </c>
      <c r="E67" s="84">
        <f t="shared" ref="E67:E130" si="1">C67*D67*100</f>
        <v>10</v>
      </c>
      <c r="F67" t="str">
        <f>VLOOKUP(A67,'Exit Prices'!$A:$B,2,FALSE)</f>
        <v>DNO</v>
      </c>
    </row>
    <row r="68" spans="1:6">
      <c r="A68" s="2" t="s">
        <v>90</v>
      </c>
      <c r="B68" s="12" t="str">
        <f>VLOOKUP(A68,'Locations &amp; Types'!$E:$F,2,FALSE)</f>
        <v>STORAGE SITE</v>
      </c>
      <c r="C68" s="2">
        <v>0.1</v>
      </c>
      <c r="D68" s="2">
        <v>1</v>
      </c>
      <c r="E68" s="84">
        <f t="shared" si="1"/>
        <v>10</v>
      </c>
      <c r="F68" t="str">
        <f>VLOOKUP(A68,'Exit Prices'!$A:$B,2,FALSE)</f>
        <v>STORAGE SITE</v>
      </c>
    </row>
    <row r="69" spans="1:6">
      <c r="A69" s="2" t="s">
        <v>91</v>
      </c>
      <c r="B69" s="12" t="str">
        <f>VLOOKUP(A69,'Locations &amp; Types'!$E:$F,2,FALSE)</f>
        <v>DC</v>
      </c>
      <c r="C69" s="2">
        <v>0.1</v>
      </c>
      <c r="D69" s="2">
        <v>1</v>
      </c>
      <c r="E69" s="84">
        <f t="shared" si="1"/>
        <v>10</v>
      </c>
      <c r="F69" t="str">
        <f>VLOOKUP(A69,'Exit Prices'!$A:$B,2,FALSE)</f>
        <v>POWER STATION</v>
      </c>
    </row>
    <row r="70" spans="1:6">
      <c r="A70" s="2" t="s">
        <v>92</v>
      </c>
      <c r="B70" s="12" t="str">
        <f>VLOOKUP(A70,'Locations &amp; Types'!$E:$F,2,FALSE)</f>
        <v>DC</v>
      </c>
      <c r="C70" s="2">
        <v>0.1</v>
      </c>
      <c r="D70" s="2">
        <v>1</v>
      </c>
      <c r="E70" s="84">
        <f t="shared" si="1"/>
        <v>10</v>
      </c>
      <c r="F70" t="str">
        <f>VLOOKUP(A70,'Exit Prices'!$A:$B,2,FALSE)</f>
        <v>POWER STATION</v>
      </c>
    </row>
    <row r="71" spans="1:6">
      <c r="A71" s="2" t="s">
        <v>93</v>
      </c>
      <c r="B71" s="12" t="str">
        <f>VLOOKUP(A71,'Locations &amp; Types'!$E:$F,2,FALSE)</f>
        <v>GDN (SW)</v>
      </c>
      <c r="C71" s="2">
        <v>0.1</v>
      </c>
      <c r="D71" s="2">
        <v>1</v>
      </c>
      <c r="E71" s="84">
        <f t="shared" si="1"/>
        <v>10</v>
      </c>
      <c r="F71" t="str">
        <f>VLOOKUP(A71,'Exit Prices'!$A:$B,2,FALSE)</f>
        <v>DNO</v>
      </c>
    </row>
    <row r="72" spans="1:6">
      <c r="A72" s="2" t="s">
        <v>94</v>
      </c>
      <c r="B72" s="12" t="str">
        <f>VLOOKUP(A72,'Locations &amp; Types'!$E:$F,2,FALSE)</f>
        <v>GDN (NW)</v>
      </c>
      <c r="C72" s="2">
        <v>0.1</v>
      </c>
      <c r="D72" s="2">
        <v>1</v>
      </c>
      <c r="E72" s="84">
        <f t="shared" si="1"/>
        <v>10</v>
      </c>
      <c r="F72" t="str">
        <f>VLOOKUP(A72,'Exit Prices'!$A:$B,2,FALSE)</f>
        <v>DNO</v>
      </c>
    </row>
    <row r="73" spans="1:6">
      <c r="A73" s="2" t="s">
        <v>95</v>
      </c>
      <c r="B73" s="12" t="str">
        <f>VLOOKUP(A73,'Locations &amp; Types'!$E:$F,2,FALSE)</f>
        <v>GDN (NO)</v>
      </c>
      <c r="C73" s="2">
        <v>0.1</v>
      </c>
      <c r="D73" s="2">
        <v>1</v>
      </c>
      <c r="E73" s="84">
        <f t="shared" si="1"/>
        <v>10</v>
      </c>
      <c r="F73" t="str">
        <f>VLOOKUP(A73,'Exit Prices'!$A:$B,2,FALSE)</f>
        <v>DNO</v>
      </c>
    </row>
    <row r="74" spans="1:6">
      <c r="A74" s="2" t="s">
        <v>96</v>
      </c>
      <c r="B74" s="12" t="str">
        <f>VLOOKUP(A74,'Locations &amp; Types'!$E:$F,2,FALSE)</f>
        <v>DC</v>
      </c>
      <c r="C74" s="2">
        <v>0.1</v>
      </c>
      <c r="D74" s="2">
        <v>1</v>
      </c>
      <c r="E74" s="84">
        <f t="shared" si="1"/>
        <v>10</v>
      </c>
      <c r="F74" t="str">
        <f>VLOOKUP(A74,'Exit Prices'!$A:$B,2,FALSE)</f>
        <v>POWER STATION</v>
      </c>
    </row>
    <row r="75" spans="1:6">
      <c r="A75" s="2" t="s">
        <v>97</v>
      </c>
      <c r="B75" s="12" t="str">
        <f>VLOOKUP(A75,'Locations &amp; Types'!$E:$F,2,FALSE)</f>
        <v>DC</v>
      </c>
      <c r="C75" s="2">
        <v>0.1</v>
      </c>
      <c r="D75" s="2">
        <v>1</v>
      </c>
      <c r="E75" s="84">
        <f t="shared" si="1"/>
        <v>10</v>
      </c>
      <c r="F75" t="str">
        <f>VLOOKUP(A75,'Exit Prices'!$A:$B,2,FALSE)</f>
        <v>POWER STATION</v>
      </c>
    </row>
    <row r="76" spans="1:6">
      <c r="A76" s="2" t="s">
        <v>98</v>
      </c>
      <c r="B76" s="12" t="str">
        <f>VLOOKUP(A76,'Locations &amp; Types'!$E:$F,2,FALSE)</f>
        <v>GDN (SW)</v>
      </c>
      <c r="C76" s="2">
        <v>0.1</v>
      </c>
      <c r="D76" s="2">
        <v>1</v>
      </c>
      <c r="E76" s="84">
        <f t="shared" si="1"/>
        <v>10</v>
      </c>
      <c r="F76" t="str">
        <f>VLOOKUP(A76,'Exit Prices'!$A:$B,2,FALSE)</f>
        <v>DNO</v>
      </c>
    </row>
    <row r="77" spans="1:6">
      <c r="A77" s="2" t="s">
        <v>99</v>
      </c>
      <c r="B77" s="12" t="str">
        <f>VLOOKUP(A77,'Locations &amp; Types'!$E:$F,2,FALSE)</f>
        <v>GDN (SE)</v>
      </c>
      <c r="C77" s="2">
        <v>0.1</v>
      </c>
      <c r="D77" s="2">
        <v>1</v>
      </c>
      <c r="E77" s="84">
        <f t="shared" si="1"/>
        <v>10</v>
      </c>
      <c r="F77" t="str">
        <f>VLOOKUP(A77,'Exit Prices'!$A:$B,2,FALSE)</f>
        <v>DNO</v>
      </c>
    </row>
    <row r="78" spans="1:6">
      <c r="A78" s="2" t="s">
        <v>100</v>
      </c>
      <c r="B78" s="12" t="str">
        <f>VLOOKUP(A78,'Locations &amp; Types'!$E:$F,2,FALSE)</f>
        <v>GDN (SE)</v>
      </c>
      <c r="C78" s="2">
        <v>0.1</v>
      </c>
      <c r="D78" s="2">
        <v>1</v>
      </c>
      <c r="E78" s="84">
        <f t="shared" si="1"/>
        <v>10</v>
      </c>
      <c r="F78" t="str">
        <f>VLOOKUP(A78,'Exit Prices'!$A:$B,2,FALSE)</f>
        <v>DNO</v>
      </c>
    </row>
    <row r="79" spans="1:6">
      <c r="A79" s="2" t="s">
        <v>101</v>
      </c>
      <c r="B79" s="12" t="str">
        <f>VLOOKUP(A79,'Locations &amp; Types'!$E:$F,2,FALSE)</f>
        <v>DC</v>
      </c>
      <c r="C79" s="2">
        <v>0.1</v>
      </c>
      <c r="D79" s="2">
        <v>1</v>
      </c>
      <c r="E79" s="84">
        <f t="shared" si="1"/>
        <v>10</v>
      </c>
      <c r="F79" t="str">
        <f>VLOOKUP(A79,'Exit Prices'!$A:$B,2,FALSE)</f>
        <v>INDUSTRIAL</v>
      </c>
    </row>
    <row r="80" spans="1:6">
      <c r="A80" s="2" t="s">
        <v>102</v>
      </c>
      <c r="B80" s="12" t="str">
        <f>VLOOKUP(A80,'Locations &amp; Types'!$E:$F,2,FALSE)</f>
        <v>GDN (SW)</v>
      </c>
      <c r="C80" s="2">
        <v>0.1</v>
      </c>
      <c r="D80" s="2">
        <v>1</v>
      </c>
      <c r="E80" s="84">
        <f t="shared" si="1"/>
        <v>10</v>
      </c>
      <c r="F80" t="str">
        <f>VLOOKUP(A80,'Exit Prices'!$A:$B,2,FALSE)</f>
        <v>DNO</v>
      </c>
    </row>
    <row r="81" spans="1:6">
      <c r="A81" s="2" t="s">
        <v>103</v>
      </c>
      <c r="B81" s="12" t="str">
        <f>VLOOKUP(A81,'Locations &amp; Types'!$E:$F,2,FALSE)</f>
        <v>GDN (NE)</v>
      </c>
      <c r="C81" s="2">
        <v>0.1</v>
      </c>
      <c r="D81" s="2">
        <v>1</v>
      </c>
      <c r="E81" s="84">
        <f t="shared" si="1"/>
        <v>10</v>
      </c>
      <c r="F81" t="str">
        <f>VLOOKUP(A81,'Exit Prices'!$A:$B,2,FALSE)</f>
        <v>DNO</v>
      </c>
    </row>
    <row r="82" spans="1:6">
      <c r="A82" s="2" t="s">
        <v>104</v>
      </c>
      <c r="B82" s="12" t="str">
        <f>VLOOKUP(A82,'Locations &amp; Types'!$E:$F,2,FALSE)</f>
        <v>STORAGE SITE</v>
      </c>
      <c r="C82" s="2">
        <v>0.1</v>
      </c>
      <c r="D82" s="2">
        <v>1</v>
      </c>
      <c r="E82" s="84">
        <f t="shared" si="1"/>
        <v>10</v>
      </c>
      <c r="F82" t="str">
        <f>VLOOKUP(A82,'Exit Prices'!$A:$B,2,FALSE)</f>
        <v>STORAGE SITE</v>
      </c>
    </row>
    <row r="83" spans="1:6">
      <c r="A83" s="2" t="s">
        <v>105</v>
      </c>
      <c r="B83" s="12" t="str">
        <f>VLOOKUP(A83,'Locations &amp; Types'!$E:$F,2,FALSE)</f>
        <v>GDN (WS)</v>
      </c>
      <c r="C83" s="2">
        <v>0.1</v>
      </c>
      <c r="D83" s="2">
        <v>1</v>
      </c>
      <c r="E83" s="84">
        <f t="shared" si="1"/>
        <v>10</v>
      </c>
      <c r="F83" t="str">
        <f>VLOOKUP(A83,'Exit Prices'!$A:$B,2,FALSE)</f>
        <v>DNO</v>
      </c>
    </row>
    <row r="84" spans="1:6">
      <c r="A84" s="2" t="s">
        <v>12</v>
      </c>
      <c r="B84" s="12" t="str">
        <f>VLOOKUP(A84,'Locations &amp; Types'!$E:$F,2,FALSE)</f>
        <v>GDN (SC)</v>
      </c>
      <c r="C84" s="2">
        <v>0.1</v>
      </c>
      <c r="D84" s="2">
        <v>1</v>
      </c>
      <c r="E84" s="84">
        <f t="shared" si="1"/>
        <v>10</v>
      </c>
      <c r="F84" t="str">
        <f>VLOOKUP(A84,'Exit Prices'!$A:$B,2,FALSE)</f>
        <v>DNO</v>
      </c>
    </row>
    <row r="85" spans="1:6">
      <c r="A85" s="2" t="s">
        <v>106</v>
      </c>
      <c r="B85" s="12" t="str">
        <f>VLOOKUP(A85,'Locations &amp; Types'!$E:$F,2,FALSE)</f>
        <v>STORAGE SITE</v>
      </c>
      <c r="C85" s="2">
        <v>0.1</v>
      </c>
      <c r="D85" s="2">
        <v>1</v>
      </c>
      <c r="E85" s="84">
        <f t="shared" si="1"/>
        <v>10</v>
      </c>
      <c r="F85" t="str">
        <f>VLOOKUP(A85,'Exit Prices'!$A:$B,2,FALSE)</f>
        <v>STORAGE SITE</v>
      </c>
    </row>
    <row r="86" spans="1:6">
      <c r="A86" s="2" t="s">
        <v>107</v>
      </c>
      <c r="B86" s="12" t="str">
        <f>VLOOKUP(A86,'Locations &amp; Types'!$E:$F,2,FALSE)</f>
        <v>DC</v>
      </c>
      <c r="C86" s="2">
        <v>0.1</v>
      </c>
      <c r="D86" s="2">
        <v>1</v>
      </c>
      <c r="E86" s="84">
        <f t="shared" si="1"/>
        <v>10</v>
      </c>
      <c r="F86" t="str">
        <f>VLOOKUP(A86,'Exit Prices'!$A:$B,2,FALSE)</f>
        <v>INDUSTRIAL</v>
      </c>
    </row>
    <row r="87" spans="1:6">
      <c r="A87" s="2" t="s">
        <v>108</v>
      </c>
      <c r="B87" s="12" t="str">
        <f>VLOOKUP(A87,'Locations &amp; Types'!$E:$F,2,FALSE)</f>
        <v>GDN (EM)</v>
      </c>
      <c r="C87" s="2">
        <v>0.1</v>
      </c>
      <c r="D87" s="2">
        <v>1</v>
      </c>
      <c r="E87" s="84">
        <f t="shared" si="1"/>
        <v>10</v>
      </c>
      <c r="F87" t="str">
        <f>VLOOKUP(A87,'Exit Prices'!$A:$B,2,FALSE)</f>
        <v>DNO</v>
      </c>
    </row>
    <row r="88" spans="1:6">
      <c r="A88" s="2" t="s">
        <v>109</v>
      </c>
      <c r="B88" s="12" t="str">
        <f>VLOOKUP(A88,'Locations &amp; Types'!$E:$F,2,FALSE)</f>
        <v>DC</v>
      </c>
      <c r="C88" s="2">
        <v>0.1</v>
      </c>
      <c r="D88" s="2">
        <v>1</v>
      </c>
      <c r="E88" s="84">
        <f t="shared" si="1"/>
        <v>10</v>
      </c>
      <c r="F88" t="str">
        <f>VLOOKUP(A88,'Exit Prices'!$A:$B,2,FALSE)</f>
        <v>POWER STATION</v>
      </c>
    </row>
    <row r="89" spans="1:6">
      <c r="A89" s="2" t="s">
        <v>110</v>
      </c>
      <c r="B89" s="12" t="str">
        <f>VLOOKUP(A89,'Locations &amp; Types'!$E:$F,2,FALSE)</f>
        <v>DC</v>
      </c>
      <c r="C89" s="2">
        <v>0.1</v>
      </c>
      <c r="D89" s="2">
        <v>1</v>
      </c>
      <c r="E89" s="84">
        <f t="shared" si="1"/>
        <v>10</v>
      </c>
      <c r="F89" t="str">
        <f>VLOOKUP(A89,'Exit Prices'!$A:$B,2,FALSE)</f>
        <v>POWER STATION</v>
      </c>
    </row>
    <row r="90" spans="1:6">
      <c r="A90" s="2" t="s">
        <v>111</v>
      </c>
      <c r="B90" s="12" t="str">
        <f>VLOOKUP(A90,'Locations &amp; Types'!$E:$F,2,FALSE)</f>
        <v>GDN (EA)</v>
      </c>
      <c r="C90" s="2">
        <v>0.1</v>
      </c>
      <c r="D90" s="2">
        <v>1</v>
      </c>
      <c r="E90" s="84">
        <f t="shared" si="1"/>
        <v>10</v>
      </c>
      <c r="F90" t="str">
        <f>VLOOKUP(A90,'Exit Prices'!$A:$B,2,FALSE)</f>
        <v>DNO</v>
      </c>
    </row>
    <row r="91" spans="1:6">
      <c r="A91" s="2" t="s">
        <v>112</v>
      </c>
      <c r="B91" s="12" t="str">
        <f>VLOOKUP(A91,'Locations &amp; Types'!$E:$F,2,FALSE)</f>
        <v>GDN (NO)</v>
      </c>
      <c r="C91" s="2">
        <v>0.1</v>
      </c>
      <c r="D91" s="2">
        <v>1</v>
      </c>
      <c r="E91" s="84">
        <f t="shared" si="1"/>
        <v>10</v>
      </c>
      <c r="F91" t="str">
        <f>VLOOKUP(A91,'Exit Prices'!$A:$B,2,FALSE)</f>
        <v>DNO</v>
      </c>
    </row>
    <row r="92" spans="1:6">
      <c r="A92" s="2" t="s">
        <v>113</v>
      </c>
      <c r="B92" s="12" t="str">
        <f>VLOOKUP(A92,'Locations &amp; Types'!$E:$F,2,FALSE)</f>
        <v>GDN (SO)</v>
      </c>
      <c r="C92" s="2">
        <v>0.1</v>
      </c>
      <c r="D92" s="2">
        <v>1</v>
      </c>
      <c r="E92" s="84">
        <f t="shared" si="1"/>
        <v>10</v>
      </c>
      <c r="F92" t="str">
        <f>VLOOKUP(A92,'Exit Prices'!$A:$B,2,FALSE)</f>
        <v>DNO</v>
      </c>
    </row>
    <row r="93" spans="1:6">
      <c r="A93" s="2" t="s">
        <v>114</v>
      </c>
      <c r="B93" s="12" t="str">
        <f>VLOOKUP(A93,'Locations &amp; Types'!$E:$F,2,FALSE)</f>
        <v>DC</v>
      </c>
      <c r="C93" s="2">
        <v>0.1</v>
      </c>
      <c r="D93" s="2">
        <v>1</v>
      </c>
      <c r="E93" s="84">
        <f t="shared" si="1"/>
        <v>10</v>
      </c>
      <c r="F93" t="str">
        <f>VLOOKUP(A93,'Exit Prices'!$A:$B,2,FALSE)</f>
        <v>INDUSTRIAL</v>
      </c>
    </row>
    <row r="94" spans="1:6">
      <c r="A94" s="2" t="s">
        <v>115</v>
      </c>
      <c r="B94" s="12" t="str">
        <f>VLOOKUP(A94,'Locations &amp; Types'!$E:$F,2,FALSE)</f>
        <v>STORAGE SITE</v>
      </c>
      <c r="C94" s="2">
        <v>0.1</v>
      </c>
      <c r="D94" s="2">
        <v>1</v>
      </c>
      <c r="E94" s="84">
        <f t="shared" si="1"/>
        <v>10</v>
      </c>
      <c r="F94" t="str">
        <f>VLOOKUP(A94,'Exit Prices'!$A:$B,2,FALSE)</f>
        <v>STORAGE SITE</v>
      </c>
    </row>
    <row r="95" spans="1:6">
      <c r="A95" s="2" t="s">
        <v>116</v>
      </c>
      <c r="B95" s="12" t="str">
        <f>VLOOKUP(A95,'Locations &amp; Types'!$E:$F,2,FALSE)</f>
        <v>DC</v>
      </c>
      <c r="C95" s="2">
        <v>0.1</v>
      </c>
      <c r="D95" s="2">
        <v>1</v>
      </c>
      <c r="E95" s="84">
        <f t="shared" si="1"/>
        <v>10</v>
      </c>
      <c r="F95" t="str">
        <f>VLOOKUP(A95,'Exit Prices'!$A:$B,2,FALSE)</f>
        <v>POWER STATION</v>
      </c>
    </row>
    <row r="96" spans="1:6">
      <c r="A96" s="2" t="s">
        <v>117</v>
      </c>
      <c r="B96" s="12" t="str">
        <f>VLOOKUP(A96,'Locations &amp; Types'!$E:$F,2,FALSE)</f>
        <v>STORAGE SITE</v>
      </c>
      <c r="C96" s="2">
        <v>0.1</v>
      </c>
      <c r="D96" s="2">
        <v>1</v>
      </c>
      <c r="E96" s="84">
        <f t="shared" si="1"/>
        <v>10</v>
      </c>
      <c r="F96" t="str">
        <f>VLOOKUP(A96,'Exit Prices'!$A:$B,2,FALSE)</f>
        <v>STORAGE SITE</v>
      </c>
    </row>
    <row r="97" spans="1:6">
      <c r="A97" s="2" t="s">
        <v>118</v>
      </c>
      <c r="B97" s="12" t="str">
        <f>VLOOKUP(A97,'Locations &amp; Types'!$E:$F,2,FALSE)</f>
        <v>STORAGE SITE</v>
      </c>
      <c r="C97" s="2">
        <v>0.1</v>
      </c>
      <c r="D97" s="2">
        <v>1</v>
      </c>
      <c r="E97" s="84">
        <f t="shared" si="1"/>
        <v>10</v>
      </c>
      <c r="F97" t="str">
        <f>VLOOKUP(A97,'Exit Prices'!$A:$B,2,FALSE)</f>
        <v>STORAGE SITE</v>
      </c>
    </row>
    <row r="98" spans="1:6">
      <c r="A98" s="2" t="s">
        <v>119</v>
      </c>
      <c r="B98" s="12" t="str">
        <f>VLOOKUP(A98,'Locations &amp; Types'!$E:$F,2,FALSE)</f>
        <v>STORAGE SITE</v>
      </c>
      <c r="C98" s="2">
        <v>0.1</v>
      </c>
      <c r="D98" s="2">
        <v>1</v>
      </c>
      <c r="E98" s="84">
        <f t="shared" si="1"/>
        <v>10</v>
      </c>
      <c r="F98" t="str">
        <f>VLOOKUP(A98,'Exit Prices'!$A:$B,2,FALSE)</f>
        <v>STORAGE SITE</v>
      </c>
    </row>
    <row r="99" spans="1:6">
      <c r="A99" s="2" t="s">
        <v>120</v>
      </c>
      <c r="B99" s="12" t="str">
        <f>VLOOKUP(A99,'Locations &amp; Types'!$E:$F,2,FALSE)</f>
        <v>DC</v>
      </c>
      <c r="C99" s="2">
        <v>0.1</v>
      </c>
      <c r="D99" s="2">
        <v>1</v>
      </c>
      <c r="E99" s="84">
        <f t="shared" si="1"/>
        <v>10</v>
      </c>
      <c r="F99" t="str">
        <f>VLOOKUP(A99,'Exit Prices'!$A:$B,2,FALSE)</f>
        <v>INDUSTRIAL</v>
      </c>
    </row>
    <row r="100" spans="1:6">
      <c r="A100" s="2" t="s">
        <v>121</v>
      </c>
      <c r="B100" s="12" t="str">
        <f>VLOOKUP(A100,'Locations &amp; Types'!$E:$F,2,FALSE)</f>
        <v>GDN (NW)</v>
      </c>
      <c r="C100" s="2">
        <v>0.1</v>
      </c>
      <c r="D100" s="2">
        <v>1</v>
      </c>
      <c r="E100" s="84">
        <f t="shared" si="1"/>
        <v>10</v>
      </c>
      <c r="F100" t="str">
        <f>VLOOKUP(A100,'Exit Prices'!$A:$B,2,FALSE)</f>
        <v>DNO</v>
      </c>
    </row>
    <row r="101" spans="1:6">
      <c r="A101" s="2" t="s">
        <v>122</v>
      </c>
      <c r="B101" s="12" t="str">
        <f>VLOOKUP(A101,'Locations &amp; Types'!$E:$F,2,FALSE)</f>
        <v>GDN (NT)</v>
      </c>
      <c r="C101" s="2">
        <v>0.1</v>
      </c>
      <c r="D101" s="2">
        <v>1</v>
      </c>
      <c r="E101" s="84">
        <f t="shared" si="1"/>
        <v>10</v>
      </c>
      <c r="F101" t="str">
        <f>VLOOKUP(A101,'Exit Prices'!$A:$B,2,FALSE)</f>
        <v>DNO</v>
      </c>
    </row>
    <row r="102" spans="1:6">
      <c r="A102" s="2" t="s">
        <v>123</v>
      </c>
      <c r="B102" s="12" t="str">
        <f>VLOOKUP(A102,'Locations &amp; Types'!$E:$F,2,FALSE)</f>
        <v>STORAGE SITE</v>
      </c>
      <c r="C102" s="2">
        <v>0.1</v>
      </c>
      <c r="D102" s="2">
        <v>1</v>
      </c>
      <c r="E102" s="84">
        <f t="shared" si="1"/>
        <v>10</v>
      </c>
      <c r="F102" t="str">
        <f>VLOOKUP(A102,'Exit Prices'!$A:$B,2,FALSE)</f>
        <v>STORAGE SITE</v>
      </c>
    </row>
    <row r="103" spans="1:6">
      <c r="A103" s="2" t="s">
        <v>124</v>
      </c>
      <c r="B103" s="12" t="str">
        <f>VLOOKUP(A103,'Locations &amp; Types'!$E:$F,2,FALSE)</f>
        <v>GDN (NO)</v>
      </c>
      <c r="C103" s="2">
        <v>0.1</v>
      </c>
      <c r="D103" s="2">
        <v>1</v>
      </c>
      <c r="E103" s="84">
        <f t="shared" si="1"/>
        <v>10</v>
      </c>
      <c r="F103" t="str">
        <f>VLOOKUP(A103,'Exit Prices'!$A:$B,2,FALSE)</f>
        <v>DNO</v>
      </c>
    </row>
    <row r="104" spans="1:6">
      <c r="A104" s="2" t="s">
        <v>125</v>
      </c>
      <c r="B104" s="12" t="str">
        <f>VLOOKUP(A104,'Locations &amp; Types'!$E:$F,2,FALSE)</f>
        <v>GDN (SC)</v>
      </c>
      <c r="C104" s="2">
        <v>0.1</v>
      </c>
      <c r="D104" s="2">
        <v>1</v>
      </c>
      <c r="E104" s="84">
        <f t="shared" si="1"/>
        <v>10</v>
      </c>
      <c r="F104" t="str">
        <f>VLOOKUP(A104,'Exit Prices'!$A:$B,2,FALSE)</f>
        <v>DNO</v>
      </c>
    </row>
    <row r="105" spans="1:6">
      <c r="A105" s="2" t="s">
        <v>126</v>
      </c>
      <c r="B105" s="12" t="str">
        <f>VLOOKUP(A105,'Locations &amp; Types'!$E:$F,2,FALSE)</f>
        <v>GDN (SW)</v>
      </c>
      <c r="C105" s="2">
        <v>0.1</v>
      </c>
      <c r="D105" s="2">
        <v>1</v>
      </c>
      <c r="E105" s="84">
        <f t="shared" si="1"/>
        <v>10</v>
      </c>
      <c r="F105" t="str">
        <f>VLOOKUP(A105,'Exit Prices'!$A:$B,2,FALSE)</f>
        <v>DNO</v>
      </c>
    </row>
    <row r="106" spans="1:6">
      <c r="A106" s="2" t="s">
        <v>127</v>
      </c>
      <c r="B106" s="12" t="str">
        <f>VLOOKUP(A106,'Locations &amp; Types'!$E:$F,2,FALSE)</f>
        <v>GDN (SO)</v>
      </c>
      <c r="C106" s="2">
        <v>0.1</v>
      </c>
      <c r="D106" s="2">
        <v>1</v>
      </c>
      <c r="E106" s="84">
        <f t="shared" si="1"/>
        <v>10</v>
      </c>
      <c r="F106" t="str">
        <f>VLOOKUP(A106,'Exit Prices'!$A:$B,2,FALSE)</f>
        <v>DNO</v>
      </c>
    </row>
    <row r="107" spans="1:6">
      <c r="A107" s="2" t="s">
        <v>128</v>
      </c>
      <c r="B107" s="12" t="str">
        <f>VLOOKUP(A107,'Locations &amp; Types'!$E:$F,2,FALSE)</f>
        <v>GDN (SO)</v>
      </c>
      <c r="C107" s="2">
        <v>0.1</v>
      </c>
      <c r="D107" s="2">
        <v>1</v>
      </c>
      <c r="E107" s="84">
        <f t="shared" si="1"/>
        <v>10</v>
      </c>
      <c r="F107" t="str">
        <f>VLOOKUP(A107,'Exit Prices'!$A:$B,2,FALSE)</f>
        <v>DNO</v>
      </c>
    </row>
    <row r="108" spans="1:6">
      <c r="A108" s="2" t="s">
        <v>129</v>
      </c>
      <c r="B108" s="12" t="str">
        <f>VLOOKUP(A108,'Locations &amp; Types'!$E:$F,2,FALSE)</f>
        <v>GDN (NO)</v>
      </c>
      <c r="C108" s="2">
        <v>0.1</v>
      </c>
      <c r="D108" s="2">
        <v>1</v>
      </c>
      <c r="E108" s="84">
        <f t="shared" si="1"/>
        <v>10</v>
      </c>
      <c r="F108" t="str">
        <f>VLOOKUP(A108,'Exit Prices'!$A:$B,2,FALSE)</f>
        <v>DNO</v>
      </c>
    </row>
    <row r="109" spans="1:6">
      <c r="A109" s="2" t="s">
        <v>130</v>
      </c>
      <c r="B109" s="12" t="str">
        <f>VLOOKUP(A109,'Locations &amp; Types'!$E:$F,2,FALSE)</f>
        <v>GDN (SW)</v>
      </c>
      <c r="C109" s="2">
        <v>0.1</v>
      </c>
      <c r="D109" s="2">
        <v>1</v>
      </c>
      <c r="E109" s="84">
        <f t="shared" si="1"/>
        <v>10</v>
      </c>
      <c r="F109" t="str">
        <f>VLOOKUP(A109,'Exit Prices'!$A:$B,2,FALSE)</f>
        <v>DNO</v>
      </c>
    </row>
    <row r="110" spans="1:6">
      <c r="A110" s="2" t="s">
        <v>131</v>
      </c>
      <c r="B110" s="12" t="str">
        <f>VLOOKUP(A110,'Locations &amp; Types'!$E:$F,2,FALSE)</f>
        <v>GDN (SC)</v>
      </c>
      <c r="C110" s="2">
        <v>0.1</v>
      </c>
      <c r="D110" s="2">
        <v>1</v>
      </c>
      <c r="E110" s="84">
        <f t="shared" si="1"/>
        <v>10</v>
      </c>
      <c r="F110" t="str">
        <f>VLOOKUP(A110,'Exit Prices'!$A:$B,2,FALSE)</f>
        <v>DNO</v>
      </c>
    </row>
    <row r="111" spans="1:6">
      <c r="A111" s="2" t="s">
        <v>132</v>
      </c>
      <c r="B111" s="12" t="str">
        <f>VLOOKUP(A111,'Locations &amp; Types'!$E:$F,2,FALSE)</f>
        <v>GDN (EM)</v>
      </c>
      <c r="C111" s="2">
        <v>0.1</v>
      </c>
      <c r="D111" s="2">
        <v>1</v>
      </c>
      <c r="E111" s="84">
        <f t="shared" si="1"/>
        <v>10</v>
      </c>
      <c r="F111" t="str">
        <f>VLOOKUP(A111,'Exit Prices'!$A:$B,2,FALSE)</f>
        <v>DNO</v>
      </c>
    </row>
    <row r="112" spans="1:6">
      <c r="A112" s="2" t="s">
        <v>133</v>
      </c>
      <c r="B112" s="12" t="str">
        <f>VLOOKUP(A112,'Locations &amp; Types'!$E:$F,2,FALSE)</f>
        <v>DC</v>
      </c>
      <c r="C112" s="2">
        <v>0.1</v>
      </c>
      <c r="D112" s="2">
        <v>1</v>
      </c>
      <c r="E112" s="84">
        <f t="shared" si="1"/>
        <v>10</v>
      </c>
      <c r="F112" t="str">
        <f>VLOOKUP(A112,'Exit Prices'!$A:$B,2,FALSE)</f>
        <v>POWER STATION</v>
      </c>
    </row>
    <row r="113" spans="1:6">
      <c r="A113" s="2" t="s">
        <v>134</v>
      </c>
      <c r="B113" s="12" t="str">
        <f>VLOOKUP(A113,'Locations &amp; Types'!$E:$F,2,FALSE)</f>
        <v>GDN (SC)</v>
      </c>
      <c r="C113" s="2">
        <v>0.1</v>
      </c>
      <c r="D113" s="2">
        <v>1</v>
      </c>
      <c r="E113" s="84">
        <f t="shared" si="1"/>
        <v>10</v>
      </c>
      <c r="F113" t="str">
        <f>VLOOKUP(A113,'Exit Prices'!$A:$B,2,FALSE)</f>
        <v>DNO</v>
      </c>
    </row>
    <row r="114" spans="1:6">
      <c r="A114" s="2" t="s">
        <v>135</v>
      </c>
      <c r="B114" s="12" t="str">
        <f>VLOOKUP(A114,'Locations &amp; Types'!$E:$F,2,FALSE)</f>
        <v>GDN (SC)</v>
      </c>
      <c r="C114" s="2">
        <v>0.1</v>
      </c>
      <c r="D114" s="2">
        <v>1</v>
      </c>
      <c r="E114" s="84">
        <f t="shared" si="1"/>
        <v>10</v>
      </c>
      <c r="F114" t="str">
        <f>VLOOKUP(A114,'Exit Prices'!$A:$B,2,FALSE)</f>
        <v>DNO</v>
      </c>
    </row>
    <row r="115" spans="1:6">
      <c r="A115" s="2" t="s">
        <v>136</v>
      </c>
      <c r="B115" s="12" t="str">
        <f>VLOOKUP(A115,'Locations &amp; Types'!$E:$F,2,FALSE)</f>
        <v>GDN (WM)</v>
      </c>
      <c r="C115" s="2">
        <v>0.1</v>
      </c>
      <c r="D115" s="2">
        <v>1</v>
      </c>
      <c r="E115" s="84">
        <f t="shared" si="1"/>
        <v>10</v>
      </c>
      <c r="F115" t="str">
        <f>VLOOKUP(A115,'Exit Prices'!$A:$B,2,FALSE)</f>
        <v>DNO</v>
      </c>
    </row>
    <row r="116" spans="1:6">
      <c r="A116" s="2" t="s">
        <v>137</v>
      </c>
      <c r="B116" s="12" t="str">
        <f>VLOOKUP(A116,'Locations &amp; Types'!$E:$F,2,FALSE)</f>
        <v>GDN (NO)</v>
      </c>
      <c r="C116" s="2">
        <v>0.1</v>
      </c>
      <c r="D116" s="2">
        <v>1</v>
      </c>
      <c r="E116" s="84">
        <f t="shared" si="1"/>
        <v>10</v>
      </c>
      <c r="F116" t="str">
        <f>VLOOKUP(A116,'Exit Prices'!$A:$B,2,FALSE)</f>
        <v>DNO</v>
      </c>
    </row>
    <row r="117" spans="1:6">
      <c r="A117" s="2" t="s">
        <v>138</v>
      </c>
      <c r="B117" s="12" t="str">
        <f>VLOOKUP(A117,'Locations &amp; Types'!$E:$F,2,FALSE)</f>
        <v>GDN (SW)</v>
      </c>
      <c r="C117" s="2">
        <v>0.1</v>
      </c>
      <c r="D117" s="2">
        <v>1</v>
      </c>
      <c r="E117" s="84">
        <f t="shared" si="1"/>
        <v>10</v>
      </c>
      <c r="F117" t="str">
        <f>VLOOKUP(A117,'Exit Prices'!$A:$B,2,FALSE)</f>
        <v>DNO</v>
      </c>
    </row>
    <row r="118" spans="1:6">
      <c r="A118" s="2" t="s">
        <v>139</v>
      </c>
      <c r="B118" s="12" t="str">
        <f>VLOOKUP(A118,'Locations &amp; Types'!$E:$F,2,FALSE)</f>
        <v>GDN (SC)</v>
      </c>
      <c r="C118" s="2">
        <v>0.1</v>
      </c>
      <c r="D118" s="2">
        <v>1</v>
      </c>
      <c r="E118" s="84">
        <f t="shared" si="1"/>
        <v>10</v>
      </c>
      <c r="F118" t="str">
        <f>VLOOKUP(A118,'Exit Prices'!$A:$B,2,FALSE)</f>
        <v>DNO</v>
      </c>
    </row>
    <row r="119" spans="1:6">
      <c r="A119" s="2" t="s">
        <v>140</v>
      </c>
      <c r="B119" s="12" t="str">
        <f>VLOOKUP(A119,'Locations &amp; Types'!$E:$F,2,FALSE)</f>
        <v>GDN (WM)</v>
      </c>
      <c r="C119" s="2">
        <v>0.1</v>
      </c>
      <c r="D119" s="2">
        <v>1</v>
      </c>
      <c r="E119" s="84">
        <f t="shared" si="1"/>
        <v>10</v>
      </c>
      <c r="F119" t="str">
        <f>VLOOKUP(A119,'Exit Prices'!$A:$B,2,FALSE)</f>
        <v>DNO</v>
      </c>
    </row>
    <row r="120" spans="1:6">
      <c r="A120" s="2" t="s">
        <v>141</v>
      </c>
      <c r="B120" s="12" t="str">
        <f>VLOOKUP(A120,'Locations &amp; Types'!$E:$F,2,FALSE)</f>
        <v>GDN (NW)</v>
      </c>
      <c r="C120" s="2">
        <v>0.1</v>
      </c>
      <c r="D120" s="2">
        <v>1</v>
      </c>
      <c r="E120" s="84">
        <f t="shared" si="1"/>
        <v>10</v>
      </c>
      <c r="F120" t="str">
        <f>VLOOKUP(A120,'Exit Prices'!$A:$B,2,FALSE)</f>
        <v>DNO</v>
      </c>
    </row>
    <row r="121" spans="1:6">
      <c r="A121" s="2" t="s">
        <v>142</v>
      </c>
      <c r="B121" s="12" t="str">
        <f>VLOOKUP(A121,'Locations &amp; Types'!$E:$F,2,FALSE)</f>
        <v>GDN (NT)</v>
      </c>
      <c r="C121" s="2">
        <v>0.1</v>
      </c>
      <c r="D121" s="2">
        <v>1</v>
      </c>
      <c r="E121" s="84">
        <f t="shared" si="1"/>
        <v>10</v>
      </c>
      <c r="F121" t="str">
        <f>VLOOKUP(A121,'Exit Prices'!$A:$B,2,FALSE)</f>
        <v>DNO</v>
      </c>
    </row>
    <row r="122" spans="1:6">
      <c r="A122" s="2" t="s">
        <v>143</v>
      </c>
      <c r="B122" s="12" t="str">
        <f>VLOOKUP(A122,'Locations &amp; Types'!$E:$F,2,FALSE)</f>
        <v>GDN (SW)</v>
      </c>
      <c r="C122" s="2">
        <v>0.1</v>
      </c>
      <c r="D122" s="2">
        <v>1</v>
      </c>
      <c r="E122" s="84">
        <f t="shared" si="1"/>
        <v>10</v>
      </c>
      <c r="F122" t="str">
        <f>VLOOKUP(A122,'Exit Prices'!$A:$B,2,FALSE)</f>
        <v>DNO</v>
      </c>
    </row>
    <row r="123" spans="1:6">
      <c r="A123" s="2" t="s">
        <v>144</v>
      </c>
      <c r="B123" s="12" t="str">
        <f>VLOOKUP(A123,'Locations &amp; Types'!$E:$F,2,FALSE)</f>
        <v>GDN (WN)</v>
      </c>
      <c r="C123" s="2">
        <v>0.1</v>
      </c>
      <c r="D123" s="2">
        <v>1</v>
      </c>
      <c r="E123" s="84">
        <f t="shared" si="1"/>
        <v>10</v>
      </c>
      <c r="F123" t="str">
        <f>VLOOKUP(A123,'Exit Prices'!$A:$B,2,FALSE)</f>
        <v>DNO</v>
      </c>
    </row>
    <row r="124" spans="1:6">
      <c r="A124" s="2" t="s">
        <v>145</v>
      </c>
      <c r="B124" s="12" t="str">
        <f>VLOOKUP(A124,'Locations &amp; Types'!$E:$F,2,FALSE)</f>
        <v>GDN (NW)</v>
      </c>
      <c r="C124" s="2">
        <v>0.1</v>
      </c>
      <c r="D124" s="2">
        <v>1</v>
      </c>
      <c r="E124" s="84">
        <f t="shared" si="1"/>
        <v>10</v>
      </c>
      <c r="F124" t="str">
        <f>VLOOKUP(A124,'Exit Prices'!$A:$B,2,FALSE)</f>
        <v>DNO</v>
      </c>
    </row>
    <row r="125" spans="1:6">
      <c r="A125" s="2" t="s">
        <v>146</v>
      </c>
      <c r="B125" s="12" t="str">
        <f>VLOOKUP(A125,'Locations &amp; Types'!$E:$F,2,FALSE)</f>
        <v>GDN (SO)</v>
      </c>
      <c r="C125" s="2">
        <v>0.1</v>
      </c>
      <c r="D125" s="2">
        <v>1</v>
      </c>
      <c r="E125" s="84">
        <f t="shared" si="1"/>
        <v>10</v>
      </c>
      <c r="F125" t="str">
        <f>VLOOKUP(A125,'Exit Prices'!$A:$B,2,FALSE)</f>
        <v>DNO</v>
      </c>
    </row>
    <row r="126" spans="1:6">
      <c r="A126" s="2" t="s">
        <v>147</v>
      </c>
      <c r="B126" s="12" t="str">
        <f>VLOOKUP(A126,'Locations &amp; Types'!$E:$F,2,FALSE)</f>
        <v>DC</v>
      </c>
      <c r="C126" s="2">
        <v>0.1</v>
      </c>
      <c r="D126" s="2">
        <v>1</v>
      </c>
      <c r="E126" s="84">
        <f t="shared" si="1"/>
        <v>10</v>
      </c>
      <c r="F126" t="str">
        <f>VLOOKUP(A126,'Exit Prices'!$A:$B,2,FALSE)</f>
        <v>POWER STATION</v>
      </c>
    </row>
    <row r="127" spans="1:6">
      <c r="A127" s="2" t="s">
        <v>148</v>
      </c>
      <c r="B127" s="12" t="str">
        <f>VLOOKUP(A127,'Locations &amp; Types'!$E:$F,2,FALSE)</f>
        <v>GDN (EM)</v>
      </c>
      <c r="C127" s="2">
        <v>0.1</v>
      </c>
      <c r="D127" s="2">
        <v>1</v>
      </c>
      <c r="E127" s="84">
        <f t="shared" si="1"/>
        <v>10</v>
      </c>
      <c r="F127" t="str">
        <f>VLOOKUP(A127,'Exit Prices'!$A:$B,2,FALSE)</f>
        <v>DNO</v>
      </c>
    </row>
    <row r="128" spans="1:6">
      <c r="A128" s="2" t="s">
        <v>149</v>
      </c>
      <c r="B128" s="12" t="str">
        <f>VLOOKUP(A128,'Locations &amp; Types'!$E:$F,2,FALSE)</f>
        <v>GDN (EA)</v>
      </c>
      <c r="C128" s="2">
        <v>0.1</v>
      </c>
      <c r="D128" s="2">
        <v>1</v>
      </c>
      <c r="E128" s="84">
        <f t="shared" si="1"/>
        <v>10</v>
      </c>
      <c r="F128" t="str">
        <f>VLOOKUP(A128,'Exit Prices'!$A:$B,2,FALSE)</f>
        <v>DNO</v>
      </c>
    </row>
    <row r="129" spans="1:6">
      <c r="A129" s="2" t="s">
        <v>150</v>
      </c>
      <c r="B129" s="12" t="str">
        <f>VLOOKUP(A129,'Locations &amp; Types'!$E:$F,2,FALSE)</f>
        <v>DC</v>
      </c>
      <c r="C129" s="2">
        <v>0.1</v>
      </c>
      <c r="D129" s="2">
        <v>1</v>
      </c>
      <c r="E129" s="84">
        <f t="shared" si="1"/>
        <v>10</v>
      </c>
      <c r="F129" t="str">
        <f>VLOOKUP(A129,'Exit Prices'!$A:$B,2,FALSE)</f>
        <v>POWER STATION</v>
      </c>
    </row>
    <row r="130" spans="1:6">
      <c r="A130" s="2" t="s">
        <v>151</v>
      </c>
      <c r="B130" s="12" t="str">
        <f>VLOOKUP(A130,'Locations &amp; Types'!$E:$F,2,FALSE)</f>
        <v>GDN (NO)</v>
      </c>
      <c r="C130" s="2">
        <v>0.1</v>
      </c>
      <c r="D130" s="2">
        <v>1</v>
      </c>
      <c r="E130" s="84">
        <f t="shared" si="1"/>
        <v>10</v>
      </c>
      <c r="F130" t="str">
        <f>VLOOKUP(A130,'Exit Prices'!$A:$B,2,FALSE)</f>
        <v>DNO</v>
      </c>
    </row>
    <row r="131" spans="1:6">
      <c r="A131" s="2" t="s">
        <v>152</v>
      </c>
      <c r="B131" s="12" t="str">
        <f>VLOOKUP(A131,'Locations &amp; Types'!$E:$F,2,FALSE)</f>
        <v>GDN (NW)</v>
      </c>
      <c r="C131" s="2">
        <v>0.1</v>
      </c>
      <c r="D131" s="2">
        <v>1</v>
      </c>
      <c r="E131" s="84">
        <f t="shared" ref="E131:E194" si="2">C131*D131*100</f>
        <v>10</v>
      </c>
      <c r="F131" t="str">
        <f>VLOOKUP(A131,'Exit Prices'!$A:$B,2,FALSE)</f>
        <v>DNO</v>
      </c>
    </row>
    <row r="132" spans="1:6">
      <c r="A132" s="2" t="s">
        <v>153</v>
      </c>
      <c r="B132" s="12" t="str">
        <f>VLOOKUP(A132,'Locations &amp; Types'!$E:$F,2,FALSE)</f>
        <v>DC</v>
      </c>
      <c r="C132" s="2">
        <v>0.1</v>
      </c>
      <c r="D132" s="2">
        <v>1</v>
      </c>
      <c r="E132" s="84">
        <f t="shared" si="2"/>
        <v>10</v>
      </c>
      <c r="F132" t="str">
        <f>VLOOKUP(A132,'Exit Prices'!$A:$B,2,FALSE)</f>
        <v>POWER STATION</v>
      </c>
    </row>
    <row r="133" spans="1:6">
      <c r="A133" s="2" t="s">
        <v>154</v>
      </c>
      <c r="B133" s="12" t="str">
        <f>VLOOKUP(A133,'Locations &amp; Types'!$E:$F,2,FALSE)</f>
        <v>GDN (WM)</v>
      </c>
      <c r="C133" s="2">
        <v>0.1</v>
      </c>
      <c r="D133" s="2">
        <v>1</v>
      </c>
      <c r="E133" s="84">
        <f t="shared" si="2"/>
        <v>10</v>
      </c>
      <c r="F133" t="str">
        <f>VLOOKUP(A133,'Exit Prices'!$A:$B,2,FALSE)</f>
        <v>DNO</v>
      </c>
    </row>
    <row r="134" spans="1:6">
      <c r="A134" s="2" t="s">
        <v>155</v>
      </c>
      <c r="B134" s="12" t="str">
        <f>VLOOKUP(A134,'Locations &amp; Types'!$E:$F,2,FALSE)</f>
        <v>INTERCONNECTOR</v>
      </c>
      <c r="C134" s="2">
        <v>0.1</v>
      </c>
      <c r="D134" s="2">
        <v>1</v>
      </c>
      <c r="E134" s="84">
        <f t="shared" si="2"/>
        <v>10</v>
      </c>
      <c r="F134" t="str">
        <f>VLOOKUP(A134,'Exit Prices'!$A:$B,2,FALSE)</f>
        <v>INTERCONNECTOR</v>
      </c>
    </row>
    <row r="135" spans="1:6">
      <c r="A135" s="2" t="s">
        <v>156</v>
      </c>
      <c r="B135" s="12" t="str">
        <f>VLOOKUP(A135,'Locations &amp; Types'!$E:$F,2,FALSE)</f>
        <v>GDN (SC)</v>
      </c>
      <c r="C135" s="2">
        <v>0.1</v>
      </c>
      <c r="D135" s="2">
        <v>1</v>
      </c>
      <c r="E135" s="84">
        <f t="shared" si="2"/>
        <v>10</v>
      </c>
      <c r="F135" t="str">
        <f>VLOOKUP(A135,'Exit Prices'!$A:$B,2,FALSE)</f>
        <v>DNO</v>
      </c>
    </row>
    <row r="136" spans="1:6">
      <c r="A136" s="2" t="s">
        <v>157</v>
      </c>
      <c r="B136" s="12" t="str">
        <f>VLOOKUP(A136,'Locations &amp; Types'!$E:$F,2,FALSE)</f>
        <v>GDN (NE)</v>
      </c>
      <c r="C136" s="2">
        <v>0.1</v>
      </c>
      <c r="D136" s="2">
        <v>1</v>
      </c>
      <c r="E136" s="84">
        <f t="shared" si="2"/>
        <v>10</v>
      </c>
      <c r="F136" t="str">
        <f>VLOOKUP(A136,'Exit Prices'!$A:$B,2,FALSE)</f>
        <v>DNO</v>
      </c>
    </row>
    <row r="137" spans="1:6">
      <c r="A137" s="2" t="s">
        <v>20</v>
      </c>
      <c r="B137" s="12" t="str">
        <f>VLOOKUP(A137,'Locations &amp; Types'!$E:$F,2,FALSE)</f>
        <v>GDN (NW)</v>
      </c>
      <c r="C137" s="2">
        <v>0.1</v>
      </c>
      <c r="D137" s="2">
        <v>1</v>
      </c>
      <c r="E137" s="84">
        <f t="shared" si="2"/>
        <v>10</v>
      </c>
      <c r="F137" t="str">
        <f>VLOOKUP(A137,'Exit Prices'!$A:$B,2,FALSE)</f>
        <v>DNO</v>
      </c>
    </row>
    <row r="138" spans="1:6">
      <c r="A138" s="2" t="s">
        <v>158</v>
      </c>
      <c r="B138" s="12" t="str">
        <f>VLOOKUP(A138,'Locations &amp; Types'!$E:$F,2,FALSE)</f>
        <v>STORAGE SITE</v>
      </c>
      <c r="C138" s="2">
        <v>0.1</v>
      </c>
      <c r="D138" s="2">
        <v>1</v>
      </c>
      <c r="E138" s="84">
        <f t="shared" si="2"/>
        <v>10</v>
      </c>
      <c r="F138" t="str">
        <f>VLOOKUP(A138,'Exit Prices'!$A:$B,2,FALSE)</f>
        <v>STORAGE SITE</v>
      </c>
    </row>
    <row r="139" spans="1:6">
      <c r="A139" s="2" t="s">
        <v>159</v>
      </c>
      <c r="B139" s="12" t="str">
        <f>VLOOKUP(A139,'Locations &amp; Types'!$E:$F,2,FALSE)</f>
        <v>GDN (NE)</v>
      </c>
      <c r="C139" s="2">
        <v>0.1</v>
      </c>
      <c r="D139" s="2">
        <v>1</v>
      </c>
      <c r="E139" s="84">
        <f t="shared" si="2"/>
        <v>10</v>
      </c>
      <c r="F139" t="str">
        <f>VLOOKUP(A139,'Exit Prices'!$A:$B,2,FALSE)</f>
        <v>DNO</v>
      </c>
    </row>
    <row r="140" spans="1:6">
      <c r="A140" s="2" t="s">
        <v>160</v>
      </c>
      <c r="B140" s="12" t="str">
        <f>VLOOKUP(A140,'Locations &amp; Types'!$E:$F,2,FALSE)</f>
        <v>DC</v>
      </c>
      <c r="C140" s="2">
        <v>0.1</v>
      </c>
      <c r="D140" s="2">
        <v>1</v>
      </c>
      <c r="E140" s="84">
        <f t="shared" si="2"/>
        <v>10</v>
      </c>
      <c r="F140" t="str">
        <f>VLOOKUP(A140,'Exit Prices'!$A:$B,2,FALSE)</f>
        <v>POWER STATION</v>
      </c>
    </row>
    <row r="141" spans="1:6">
      <c r="A141" s="2" t="s">
        <v>161</v>
      </c>
      <c r="B141" s="12" t="str">
        <f>VLOOKUP(A141,'Locations &amp; Types'!$E:$F,2,FALSE)</f>
        <v>DC</v>
      </c>
      <c r="C141" s="2">
        <v>0.1</v>
      </c>
      <c r="D141" s="2">
        <v>1</v>
      </c>
      <c r="E141" s="84">
        <f t="shared" si="2"/>
        <v>10</v>
      </c>
      <c r="F141" t="str">
        <f>VLOOKUP(A141,'Exit Prices'!$A:$B,2,FALSE)</f>
        <v>POWER STATION</v>
      </c>
    </row>
    <row r="142" spans="1:6">
      <c r="A142" s="2" t="s">
        <v>162</v>
      </c>
      <c r="B142" s="12" t="str">
        <f>VLOOKUP(A142,'Locations &amp; Types'!$E:$F,2,FALSE)</f>
        <v>GDN (EA)</v>
      </c>
      <c r="C142" s="2">
        <v>0.1</v>
      </c>
      <c r="D142" s="2">
        <v>1</v>
      </c>
      <c r="E142" s="84">
        <f t="shared" si="2"/>
        <v>10</v>
      </c>
      <c r="F142" t="str">
        <f>VLOOKUP(A142,'Exit Prices'!$A:$B,2,FALSE)</f>
        <v>DNO</v>
      </c>
    </row>
    <row r="143" spans="1:6">
      <c r="A143" s="2" t="s">
        <v>163</v>
      </c>
      <c r="B143" s="12" t="str">
        <f>VLOOKUP(A143,'Locations &amp; Types'!$E:$F,2,FALSE)</f>
        <v>GDN (NT)</v>
      </c>
      <c r="C143" s="2">
        <v>0.1</v>
      </c>
      <c r="D143" s="2">
        <v>1</v>
      </c>
      <c r="E143" s="84">
        <f t="shared" si="2"/>
        <v>10</v>
      </c>
      <c r="F143" t="str">
        <f>VLOOKUP(A143,'Exit Prices'!$A:$B,2,FALSE)</f>
        <v>DNO</v>
      </c>
    </row>
    <row r="144" spans="1:6">
      <c r="A144" s="2" t="s">
        <v>164</v>
      </c>
      <c r="B144" s="12" t="str">
        <f>VLOOKUP(A144,'Locations &amp; Types'!$E:$F,2,FALSE)</f>
        <v>GDN (NT)</v>
      </c>
      <c r="C144" s="2">
        <v>0.1</v>
      </c>
      <c r="D144" s="2">
        <v>1</v>
      </c>
      <c r="E144" s="84">
        <f t="shared" si="2"/>
        <v>10</v>
      </c>
      <c r="F144" t="str">
        <f>VLOOKUP(A144,'Exit Prices'!$A:$B,2,FALSE)</f>
        <v>DNO</v>
      </c>
    </row>
    <row r="145" spans="1:6">
      <c r="A145" s="2" t="s">
        <v>165</v>
      </c>
      <c r="B145" s="12" t="str">
        <f>VLOOKUP(A145,'Locations &amp; Types'!$E:$F,2,FALSE)</f>
        <v>DC</v>
      </c>
      <c r="C145" s="2">
        <v>0.1</v>
      </c>
      <c r="D145" s="2">
        <v>1</v>
      </c>
      <c r="E145" s="84">
        <f t="shared" si="2"/>
        <v>10</v>
      </c>
      <c r="F145" t="str">
        <f>VLOOKUP(A145,'Exit Prices'!$A:$B,2,FALSE)</f>
        <v>INDUSTRIAL</v>
      </c>
    </row>
    <row r="146" spans="1:6">
      <c r="A146" s="2" t="s">
        <v>166</v>
      </c>
      <c r="B146" s="12" t="str">
        <f>VLOOKUP(A146,'Locations &amp; Types'!$E:$F,2,FALSE)</f>
        <v>GDN (NE)</v>
      </c>
      <c r="C146" s="2">
        <v>0.1</v>
      </c>
      <c r="D146" s="2">
        <v>1</v>
      </c>
      <c r="E146" s="84">
        <f t="shared" si="2"/>
        <v>10</v>
      </c>
      <c r="F146" t="str">
        <f>VLOOKUP(A146,'Exit Prices'!$A:$B,2,FALSE)</f>
        <v>DNO</v>
      </c>
    </row>
    <row r="147" spans="1:6">
      <c r="A147" s="2" t="s">
        <v>167</v>
      </c>
      <c r="B147" s="12" t="str">
        <f>VLOOKUP(A147,'Locations &amp; Types'!$E:$F,2,FALSE)</f>
        <v>DC</v>
      </c>
      <c r="C147" s="2">
        <v>0.1</v>
      </c>
      <c r="D147" s="2">
        <v>1</v>
      </c>
      <c r="E147" s="84">
        <f t="shared" si="2"/>
        <v>10</v>
      </c>
      <c r="F147" t="str">
        <f>VLOOKUP(A147,'Exit Prices'!$A:$B,2,FALSE)</f>
        <v>INDUSTRIAL</v>
      </c>
    </row>
    <row r="148" spans="1:6">
      <c r="A148" s="2" t="s">
        <v>168</v>
      </c>
      <c r="B148" s="12" t="str">
        <f>VLOOKUP(A148,'Locations &amp; Types'!$E:$F,2,FALSE)</f>
        <v>GDN (SC)</v>
      </c>
      <c r="C148" s="2">
        <v>0.1</v>
      </c>
      <c r="D148" s="2">
        <v>1</v>
      </c>
      <c r="E148" s="84">
        <f t="shared" si="2"/>
        <v>10</v>
      </c>
      <c r="F148" t="str">
        <f>VLOOKUP(A148,'Exit Prices'!$A:$B,2,FALSE)</f>
        <v>DNO</v>
      </c>
    </row>
    <row r="149" spans="1:6">
      <c r="A149" s="2" t="s">
        <v>169</v>
      </c>
      <c r="B149" s="12" t="str">
        <f>VLOOKUP(A149,'Locations &amp; Types'!$E:$F,2,FALSE)</f>
        <v>GDN (SW)</v>
      </c>
      <c r="C149" s="2">
        <v>0.1</v>
      </c>
      <c r="D149" s="2">
        <v>1</v>
      </c>
      <c r="E149" s="84">
        <f t="shared" si="2"/>
        <v>10</v>
      </c>
      <c r="F149" t="str">
        <f>VLOOKUP(A149,'Exit Prices'!$A:$B,2,FALSE)</f>
        <v>DNO</v>
      </c>
    </row>
    <row r="150" spans="1:6">
      <c r="A150" s="2" t="s">
        <v>170</v>
      </c>
      <c r="B150" s="12" t="str">
        <f>VLOOKUP(A150,'Locations &amp; Types'!$E:$F,2,FALSE)</f>
        <v>GDN (NE)</v>
      </c>
      <c r="C150" s="2">
        <v>0.1</v>
      </c>
      <c r="D150" s="2">
        <v>1</v>
      </c>
      <c r="E150" s="84">
        <f t="shared" si="2"/>
        <v>10</v>
      </c>
      <c r="F150" t="str">
        <f>VLOOKUP(A150,'Exit Prices'!$A:$B,2,FALSE)</f>
        <v>DNO</v>
      </c>
    </row>
    <row r="151" spans="1:6">
      <c r="A151" s="2" t="s">
        <v>546</v>
      </c>
      <c r="B151" s="12" t="str">
        <f>VLOOKUP(A151,'Locations &amp; Types'!$E:$F,2,FALSE)</f>
        <v>DC</v>
      </c>
      <c r="C151" s="2">
        <v>0.1</v>
      </c>
      <c r="D151" s="2">
        <v>1</v>
      </c>
      <c r="E151" s="84">
        <f t="shared" si="2"/>
        <v>10</v>
      </c>
      <c r="F151" t="str">
        <f>VLOOKUP(A151,'Exit Prices'!$A:$B,2,FALSE)</f>
        <v>INDUSTRIAL</v>
      </c>
    </row>
    <row r="152" spans="1:6">
      <c r="A152" s="2" t="s">
        <v>171</v>
      </c>
      <c r="B152" s="12" t="str">
        <f>VLOOKUP(A152,'Locations &amp; Types'!$E:$F,2,FALSE)</f>
        <v>DC</v>
      </c>
      <c r="C152" s="2">
        <v>0.1</v>
      </c>
      <c r="D152" s="2">
        <v>1</v>
      </c>
      <c r="E152" s="84">
        <f t="shared" si="2"/>
        <v>10</v>
      </c>
      <c r="F152" t="str">
        <f>VLOOKUP(A152,'Exit Prices'!$A:$B,2,FALSE)</f>
        <v>POWER STATION</v>
      </c>
    </row>
    <row r="153" spans="1:6">
      <c r="A153" s="2" t="s">
        <v>172</v>
      </c>
      <c r="B153" s="12" t="str">
        <f>VLOOKUP(A153,'Locations &amp; Types'!$E:$F,2,FALSE)</f>
        <v>DC</v>
      </c>
      <c r="C153" s="2">
        <v>0.1</v>
      </c>
      <c r="D153" s="2">
        <v>1</v>
      </c>
      <c r="E153" s="84">
        <f t="shared" si="2"/>
        <v>10</v>
      </c>
      <c r="F153" t="str">
        <f>VLOOKUP(A153,'Exit Prices'!$A:$B,2,FALSE)</f>
        <v>POWER STATION</v>
      </c>
    </row>
    <row r="154" spans="1:6">
      <c r="A154" s="2" t="s">
        <v>173</v>
      </c>
      <c r="B154" s="12" t="str">
        <f>VLOOKUP(A154,'Locations &amp; Types'!$E:$F,2,FALSE)</f>
        <v>GDN (SW)</v>
      </c>
      <c r="C154" s="2">
        <v>0.1</v>
      </c>
      <c r="D154" s="2">
        <v>1</v>
      </c>
      <c r="E154" s="84">
        <f t="shared" si="2"/>
        <v>10</v>
      </c>
      <c r="F154" t="str">
        <f>VLOOKUP(A154,'Exit Prices'!$A:$B,2,FALSE)</f>
        <v>DNO</v>
      </c>
    </row>
    <row r="155" spans="1:6">
      <c r="A155" s="2" t="s">
        <v>174</v>
      </c>
      <c r="B155" s="12" t="str">
        <f>VLOOKUP(A155,'Locations &amp; Types'!$E:$F,2,FALSE)</f>
        <v>GDN (WM)</v>
      </c>
      <c r="C155" s="2">
        <v>0.1</v>
      </c>
      <c r="D155" s="2">
        <v>1</v>
      </c>
      <c r="E155" s="84">
        <f t="shared" si="2"/>
        <v>10</v>
      </c>
      <c r="F155" t="str">
        <f>VLOOKUP(A155,'Exit Prices'!$A:$B,2,FALSE)</f>
        <v>DNO</v>
      </c>
    </row>
    <row r="156" spans="1:6">
      <c r="A156" s="2" t="s">
        <v>175</v>
      </c>
      <c r="B156" s="12" t="str">
        <f>VLOOKUP(A156,'Locations &amp; Types'!$E:$F,2,FALSE)</f>
        <v>GDN (EA)</v>
      </c>
      <c r="C156" s="2">
        <v>0.1</v>
      </c>
      <c r="D156" s="2">
        <v>1</v>
      </c>
      <c r="E156" s="84">
        <f t="shared" si="2"/>
        <v>10</v>
      </c>
      <c r="F156" t="str">
        <f>VLOOKUP(A156,'Exit Prices'!$A:$B,2,FALSE)</f>
        <v>DNO</v>
      </c>
    </row>
    <row r="157" spans="1:6">
      <c r="A157" s="2" t="s">
        <v>177</v>
      </c>
      <c r="B157" s="12" t="str">
        <f>VLOOKUP(A157,'Locations &amp; Types'!$E:$F,2,FALSE)</f>
        <v>GDN (EA)</v>
      </c>
      <c r="C157" s="2">
        <v>0.1</v>
      </c>
      <c r="D157" s="2">
        <v>1</v>
      </c>
      <c r="E157" s="84">
        <f t="shared" si="2"/>
        <v>10</v>
      </c>
      <c r="F157" t="str">
        <f>VLOOKUP(A157,'Exit Prices'!$A:$B,2,FALSE)</f>
        <v>DNO</v>
      </c>
    </row>
    <row r="158" spans="1:6">
      <c r="A158" s="2" t="s">
        <v>178</v>
      </c>
      <c r="B158" s="12" t="str">
        <f>VLOOKUP(A158,'Locations &amp; Types'!$E:$F,2,FALSE)</f>
        <v>GDN (WM)</v>
      </c>
      <c r="C158" s="2">
        <v>0.1</v>
      </c>
      <c r="D158" s="2">
        <v>1</v>
      </c>
      <c r="E158" s="84">
        <f t="shared" si="2"/>
        <v>10</v>
      </c>
      <c r="F158" t="str">
        <f>VLOOKUP(A158,'Exit Prices'!$A:$B,2,FALSE)</f>
        <v>DNO</v>
      </c>
    </row>
    <row r="159" spans="1:6">
      <c r="A159" s="2" t="s">
        <v>179</v>
      </c>
      <c r="B159" s="12" t="str">
        <f>VLOOKUP(A159,'Locations &amp; Types'!$E:$F,2,FALSE)</f>
        <v>DC</v>
      </c>
      <c r="C159" s="2">
        <v>0.1</v>
      </c>
      <c r="D159" s="2">
        <v>1</v>
      </c>
      <c r="E159" s="84">
        <f t="shared" si="2"/>
        <v>10</v>
      </c>
      <c r="F159" t="str">
        <f>VLOOKUP(A159,'Exit Prices'!$A:$B,2,FALSE)</f>
        <v>POWER STATION</v>
      </c>
    </row>
    <row r="160" spans="1:6">
      <c r="A160" s="2" t="s">
        <v>180</v>
      </c>
      <c r="B160" s="12" t="str">
        <f>VLOOKUP(A160,'Locations &amp; Types'!$E:$F,2,FALSE)</f>
        <v>DC</v>
      </c>
      <c r="C160" s="2">
        <v>0.1</v>
      </c>
      <c r="D160" s="2">
        <v>1</v>
      </c>
      <c r="E160" s="84">
        <f t="shared" si="2"/>
        <v>10</v>
      </c>
      <c r="F160" t="str">
        <f>VLOOKUP(A160,'Exit Prices'!$A:$B,2,FALSE)</f>
        <v>POWER STATION</v>
      </c>
    </row>
    <row r="161" spans="1:6">
      <c r="A161" s="2" t="s">
        <v>181</v>
      </c>
      <c r="B161" s="12" t="str">
        <f>VLOOKUP(A161,'Locations &amp; Types'!$E:$F,2,FALSE)</f>
        <v>DC</v>
      </c>
      <c r="C161" s="2">
        <v>0.1</v>
      </c>
      <c r="D161" s="2">
        <v>1</v>
      </c>
      <c r="E161" s="84">
        <f t="shared" si="2"/>
        <v>10</v>
      </c>
      <c r="F161" t="str">
        <f>VLOOKUP(A161,'Exit Prices'!$A:$B,2,FALSE)</f>
        <v>INDUSTRIAL</v>
      </c>
    </row>
    <row r="162" spans="1:6">
      <c r="A162" s="2" t="s">
        <v>182</v>
      </c>
      <c r="B162" s="12" t="str">
        <f>VLOOKUP(A162,'Locations &amp; Types'!$E:$F,2,FALSE)</f>
        <v>STORAGE SITE</v>
      </c>
      <c r="C162" s="2">
        <v>0.1</v>
      </c>
      <c r="D162" s="2">
        <v>1</v>
      </c>
      <c r="E162" s="84">
        <f t="shared" si="2"/>
        <v>10</v>
      </c>
      <c r="F162" t="str">
        <f>VLOOKUP(A162,'Exit Prices'!$A:$B,2,FALSE)</f>
        <v>STORAGE SITE</v>
      </c>
    </row>
    <row r="163" spans="1:6">
      <c r="A163" s="2" t="s">
        <v>183</v>
      </c>
      <c r="B163" s="12" t="str">
        <f>VLOOKUP(A163,'Locations &amp; Types'!$E:$F,2,FALSE)</f>
        <v>GDN (NO)</v>
      </c>
      <c r="C163" s="2">
        <v>0.1</v>
      </c>
      <c r="D163" s="2">
        <v>1</v>
      </c>
      <c r="E163" s="84">
        <f t="shared" si="2"/>
        <v>10</v>
      </c>
      <c r="F163" t="str">
        <f>VLOOKUP(A163,'Exit Prices'!$A:$B,2,FALSE)</f>
        <v>DNO</v>
      </c>
    </row>
    <row r="164" spans="1:6">
      <c r="A164" s="2" t="s">
        <v>184</v>
      </c>
      <c r="B164" s="12" t="str">
        <f>VLOOKUP(A164,'Locations &amp; Types'!$E:$F,2,FALSE)</f>
        <v>GDN (NO)</v>
      </c>
      <c r="C164" s="2">
        <v>0.1</v>
      </c>
      <c r="D164" s="2">
        <v>1</v>
      </c>
      <c r="E164" s="84">
        <f t="shared" si="2"/>
        <v>10</v>
      </c>
      <c r="F164" t="str">
        <f>VLOOKUP(A164,'Exit Prices'!$A:$B,2,FALSE)</f>
        <v>DNO</v>
      </c>
    </row>
    <row r="165" spans="1:6">
      <c r="A165" s="2" t="s">
        <v>185</v>
      </c>
      <c r="B165" s="12" t="str">
        <f>VLOOKUP(A165,'Locations &amp; Types'!$E:$F,2,FALSE)</f>
        <v>GDN (NW)</v>
      </c>
      <c r="C165" s="2">
        <v>0.1</v>
      </c>
      <c r="D165" s="2">
        <v>1</v>
      </c>
      <c r="E165" s="84">
        <f t="shared" si="2"/>
        <v>10</v>
      </c>
      <c r="F165" t="str">
        <f>VLOOKUP(A165,'Exit Prices'!$A:$B,2,FALSE)</f>
        <v>DNO</v>
      </c>
    </row>
    <row r="166" spans="1:6">
      <c r="A166" s="2" t="s">
        <v>186</v>
      </c>
      <c r="B166" s="12" t="str">
        <f>VLOOKUP(A166,'Locations &amp; Types'!$E:$F,2,FALSE)</f>
        <v>DC</v>
      </c>
      <c r="C166" s="2">
        <v>0.1</v>
      </c>
      <c r="D166" s="2">
        <v>1</v>
      </c>
      <c r="E166" s="84">
        <f t="shared" si="2"/>
        <v>10</v>
      </c>
      <c r="F166" t="str">
        <f>VLOOKUP(A166,'Exit Prices'!$A:$B,2,FALSE)</f>
        <v>INDUSTRIAL</v>
      </c>
    </row>
    <row r="167" spans="1:6">
      <c r="A167" s="2" t="s">
        <v>187</v>
      </c>
      <c r="B167" s="12" t="str">
        <f>VLOOKUP(A167,'Locations &amp; Types'!$E:$F,2,FALSE)</f>
        <v>GDN (SW)</v>
      </c>
      <c r="C167" s="2">
        <v>0.1</v>
      </c>
      <c r="D167" s="2">
        <v>1</v>
      </c>
      <c r="E167" s="84">
        <f t="shared" si="2"/>
        <v>10</v>
      </c>
      <c r="F167" t="str">
        <f>VLOOKUP(A167,'Exit Prices'!$A:$B,2,FALSE)</f>
        <v>DNO</v>
      </c>
    </row>
    <row r="168" spans="1:6">
      <c r="A168" s="2" t="s">
        <v>188</v>
      </c>
      <c r="B168" s="12" t="str">
        <f>VLOOKUP(A168,'Locations &amp; Types'!$E:$F,2,FALSE)</f>
        <v>DC</v>
      </c>
      <c r="C168" s="2">
        <v>0.1</v>
      </c>
      <c r="D168" s="2">
        <v>1</v>
      </c>
      <c r="E168" s="84">
        <f t="shared" si="2"/>
        <v>10</v>
      </c>
      <c r="F168" t="str">
        <f>VLOOKUP(A168,'Exit Prices'!$A:$B,2,FALSE)</f>
        <v>POWER STATION</v>
      </c>
    </row>
    <row r="169" spans="1:6">
      <c r="A169" s="2" t="s">
        <v>241</v>
      </c>
      <c r="B169" s="12" t="str">
        <f>VLOOKUP(A169,'Locations &amp; Types'!$E:$F,2,FALSE)</f>
        <v>DC</v>
      </c>
      <c r="C169" s="2">
        <v>0.1</v>
      </c>
      <c r="D169" s="2">
        <v>1</v>
      </c>
      <c r="E169" s="84">
        <f t="shared" si="2"/>
        <v>10</v>
      </c>
      <c r="F169" t="str">
        <f>VLOOKUP(A169,'Exit Prices'!$A:$B,2,FALSE)</f>
        <v>INDUSTRIAL</v>
      </c>
    </row>
    <row r="170" spans="1:6">
      <c r="A170" s="2" t="s">
        <v>189</v>
      </c>
      <c r="B170" s="12" t="str">
        <f>VLOOKUP(A170,'Locations &amp; Types'!$E:$F,2,FALSE)</f>
        <v>DC</v>
      </c>
      <c r="C170" s="2">
        <v>0.1</v>
      </c>
      <c r="D170" s="2">
        <v>1</v>
      </c>
      <c r="E170" s="84">
        <f t="shared" si="2"/>
        <v>10</v>
      </c>
      <c r="F170" t="str">
        <f>VLOOKUP(A170,'Exit Prices'!$A:$B,2,FALSE)</f>
        <v>POWER STATION</v>
      </c>
    </row>
    <row r="171" spans="1:6">
      <c r="A171" s="2" t="s">
        <v>190</v>
      </c>
      <c r="B171" s="12" t="str">
        <f>VLOOKUP(A171,'Locations &amp; Types'!$E:$F,2,FALSE)</f>
        <v>DC</v>
      </c>
      <c r="C171" s="2">
        <v>0.1</v>
      </c>
      <c r="D171" s="2">
        <v>1</v>
      </c>
      <c r="E171" s="84">
        <f t="shared" si="2"/>
        <v>10</v>
      </c>
      <c r="F171" t="str">
        <f>VLOOKUP(A171,'Exit Prices'!$A:$B,2,FALSE)</f>
        <v>INDUSTRIAL</v>
      </c>
    </row>
    <row r="172" spans="1:6">
      <c r="A172" s="2" t="s">
        <v>191</v>
      </c>
      <c r="B172" s="12" t="str">
        <f>VLOOKUP(A172,'Locations &amp; Types'!$E:$F,2,FALSE)</f>
        <v>GDN (SE)</v>
      </c>
      <c r="C172" s="2">
        <v>0.1</v>
      </c>
      <c r="D172" s="2">
        <v>1</v>
      </c>
      <c r="E172" s="84">
        <f t="shared" si="2"/>
        <v>10</v>
      </c>
      <c r="F172" t="str">
        <f>VLOOKUP(A172,'Exit Prices'!$A:$B,2,FALSE)</f>
        <v>DNO</v>
      </c>
    </row>
    <row r="173" spans="1:6">
      <c r="A173" s="2" t="s">
        <v>192</v>
      </c>
      <c r="B173" s="12" t="str">
        <f>VLOOKUP(A173,'Locations &amp; Types'!$E:$F,2,FALSE)</f>
        <v>DC</v>
      </c>
      <c r="C173" s="2">
        <v>0.1</v>
      </c>
      <c r="D173" s="2">
        <v>1</v>
      </c>
      <c r="E173" s="84">
        <f t="shared" si="2"/>
        <v>10</v>
      </c>
      <c r="F173" t="str">
        <f>VLOOKUP(A173,'Exit Prices'!$A:$B,2,FALSE)</f>
        <v>INDUSTRIAL</v>
      </c>
    </row>
    <row r="174" spans="1:6">
      <c r="A174" s="2" t="s">
        <v>193</v>
      </c>
      <c r="B174" s="12" t="str">
        <f>VLOOKUP(A174,'Locations &amp; Types'!$E:$F,2,FALSE)</f>
        <v>GDN (WM)</v>
      </c>
      <c r="C174" s="2">
        <v>0.1</v>
      </c>
      <c r="D174" s="2">
        <v>1</v>
      </c>
      <c r="E174" s="84">
        <f t="shared" si="2"/>
        <v>10</v>
      </c>
      <c r="F174" t="str">
        <f>VLOOKUP(A174,'Exit Prices'!$A:$B,2,FALSE)</f>
        <v>DNO</v>
      </c>
    </row>
    <row r="175" spans="1:6">
      <c r="A175" s="2" t="s">
        <v>194</v>
      </c>
      <c r="B175" s="12" t="str">
        <f>VLOOKUP(A175,'Locations &amp; Types'!$E:$F,2,FALSE)</f>
        <v>GDN (EM)</v>
      </c>
      <c r="C175" s="2">
        <v>0.1</v>
      </c>
      <c r="D175" s="2">
        <v>1</v>
      </c>
      <c r="E175" s="84">
        <f t="shared" si="2"/>
        <v>10</v>
      </c>
      <c r="F175" t="str">
        <f>VLOOKUP(A175,'Exit Prices'!$A:$B,2,FALSE)</f>
        <v>DNO</v>
      </c>
    </row>
    <row r="176" spans="1:6">
      <c r="A176" s="2" t="s">
        <v>195</v>
      </c>
      <c r="B176" s="12" t="str">
        <f>VLOOKUP(A176,'Locations &amp; Types'!$E:$F,2,FALSE)</f>
        <v>GDN (SC)</v>
      </c>
      <c r="C176" s="2">
        <v>0.1</v>
      </c>
      <c r="D176" s="2">
        <v>1</v>
      </c>
      <c r="E176" s="84">
        <f t="shared" si="2"/>
        <v>10</v>
      </c>
      <c r="F176" t="str">
        <f>VLOOKUP(A176,'Exit Prices'!$A:$B,2,FALSE)</f>
        <v>DNO</v>
      </c>
    </row>
    <row r="177" spans="1:6">
      <c r="A177" s="2" t="s">
        <v>196</v>
      </c>
      <c r="B177" s="12" t="str">
        <f>VLOOKUP(A177,'Locations &amp; Types'!$E:$F,2,FALSE)</f>
        <v>DC</v>
      </c>
      <c r="C177" s="2">
        <v>0.1</v>
      </c>
      <c r="D177" s="2">
        <v>1</v>
      </c>
      <c r="E177" s="84">
        <f t="shared" si="2"/>
        <v>10</v>
      </c>
      <c r="F177" t="str">
        <f>VLOOKUP(A177,'Exit Prices'!$A:$B,2,FALSE)</f>
        <v>POWER STATION</v>
      </c>
    </row>
    <row r="178" spans="1:6">
      <c r="A178" s="2" t="s">
        <v>21</v>
      </c>
      <c r="B178" s="12" t="str">
        <f>VLOOKUP(A178,'Locations &amp; Types'!$E:$F,2,FALSE)</f>
        <v>GDN (SC)</v>
      </c>
      <c r="C178" s="2">
        <v>0.1</v>
      </c>
      <c r="D178" s="2">
        <v>1</v>
      </c>
      <c r="E178" s="84">
        <f t="shared" si="2"/>
        <v>10</v>
      </c>
      <c r="F178" t="str">
        <f>VLOOKUP(A178,'Exit Prices'!$A:$B,2,FALSE)</f>
        <v>DNO</v>
      </c>
    </row>
    <row r="179" spans="1:6">
      <c r="A179" s="2" t="s">
        <v>197</v>
      </c>
      <c r="B179" s="12" t="str">
        <f>VLOOKUP(A179,'Locations &amp; Types'!$E:$F,2,FALSE)</f>
        <v>DC</v>
      </c>
      <c r="C179" s="2">
        <v>0.1</v>
      </c>
      <c r="D179" s="2">
        <v>1</v>
      </c>
      <c r="E179" s="84">
        <f t="shared" si="2"/>
        <v>10</v>
      </c>
      <c r="F179" t="str">
        <f>VLOOKUP(A179,'Exit Prices'!$A:$B,2,FALSE)</f>
        <v>POWER STATION</v>
      </c>
    </row>
    <row r="180" spans="1:6">
      <c r="A180" s="2" t="s">
        <v>198</v>
      </c>
      <c r="B180" s="12" t="str">
        <f>VLOOKUP(A180,'Locations &amp; Types'!$E:$F,2,FALSE)</f>
        <v>DC</v>
      </c>
      <c r="C180" s="2">
        <v>0.1</v>
      </c>
      <c r="D180" s="2">
        <v>1</v>
      </c>
      <c r="E180" s="84">
        <f t="shared" si="2"/>
        <v>10</v>
      </c>
      <c r="F180" t="str">
        <f>VLOOKUP(A180,'Exit Prices'!$A:$B,2,FALSE)</f>
        <v>INDUSTRIAL</v>
      </c>
    </row>
    <row r="181" spans="1:6">
      <c r="A181" s="2" t="s">
        <v>199</v>
      </c>
      <c r="B181" s="12" t="str">
        <f>VLOOKUP(A181,'Locations &amp; Types'!$E:$F,2,FALSE)</f>
        <v>DC</v>
      </c>
      <c r="C181" s="2">
        <v>0.1</v>
      </c>
      <c r="D181" s="2">
        <v>1</v>
      </c>
      <c r="E181" s="84">
        <f t="shared" si="2"/>
        <v>10</v>
      </c>
      <c r="F181" t="str">
        <f>VLOOKUP(A181,'Exit Prices'!$A:$B,2,FALSE)</f>
        <v>POWER STATION</v>
      </c>
    </row>
    <row r="182" spans="1:6">
      <c r="A182" s="2" t="s">
        <v>200</v>
      </c>
      <c r="B182" s="12" t="str">
        <f>VLOOKUP(A182,'Locations &amp; Types'!$E:$F,2,FALSE)</f>
        <v>DC</v>
      </c>
      <c r="C182" s="2">
        <v>0.1</v>
      </c>
      <c r="D182" s="2">
        <v>1</v>
      </c>
      <c r="E182" s="84">
        <f t="shared" si="2"/>
        <v>10</v>
      </c>
      <c r="F182" t="str">
        <f>VLOOKUP(A182,'Exit Prices'!$A:$B,2,FALSE)</f>
        <v>POWER STATION</v>
      </c>
    </row>
    <row r="183" spans="1:6">
      <c r="A183" s="2" t="s">
        <v>201</v>
      </c>
      <c r="B183" s="12" t="str">
        <f>VLOOKUP(A183,'Locations &amp; Types'!$E:$F,2,FALSE)</f>
        <v>DC</v>
      </c>
      <c r="C183" s="2">
        <v>0.1</v>
      </c>
      <c r="D183" s="2">
        <v>1</v>
      </c>
      <c r="E183" s="84">
        <f t="shared" si="2"/>
        <v>10</v>
      </c>
      <c r="F183" t="str">
        <f>VLOOKUP(A183,'Exit Prices'!$A:$B,2,FALSE)</f>
        <v>POWER STATION</v>
      </c>
    </row>
    <row r="184" spans="1:6">
      <c r="A184" s="2" t="s">
        <v>202</v>
      </c>
      <c r="B184" s="12" t="str">
        <f>VLOOKUP(A184,'Locations &amp; Types'!$E:$F,2,FALSE)</f>
        <v>DC</v>
      </c>
      <c r="C184" s="2">
        <v>0.1</v>
      </c>
      <c r="D184" s="2">
        <v>1</v>
      </c>
      <c r="E184" s="84">
        <f t="shared" si="2"/>
        <v>10</v>
      </c>
      <c r="F184" t="str">
        <f>VLOOKUP(A184,'Exit Prices'!$A:$B,2,FALSE)</f>
        <v>POWER STATION</v>
      </c>
    </row>
    <row r="185" spans="1:6">
      <c r="A185" s="2" t="s">
        <v>203</v>
      </c>
      <c r="B185" s="12" t="str">
        <f>VLOOKUP(A185,'Locations &amp; Types'!$E:$F,2,FALSE)</f>
        <v>GDN (SC)</v>
      </c>
      <c r="C185" s="2">
        <v>0.1</v>
      </c>
      <c r="D185" s="2">
        <v>1</v>
      </c>
      <c r="E185" s="84">
        <f t="shared" si="2"/>
        <v>10</v>
      </c>
      <c r="F185" t="str">
        <f>VLOOKUP(A185,'Exit Prices'!$A:$B,2,FALSE)</f>
        <v>DNO</v>
      </c>
    </row>
    <row r="186" spans="1:6">
      <c r="A186" s="2" t="s">
        <v>204</v>
      </c>
      <c r="B186" s="12" t="str">
        <f>VLOOKUP(A186,'Locations &amp; Types'!$E:$F,2,FALSE)</f>
        <v>GDN (WM)</v>
      </c>
      <c r="C186" s="2">
        <v>0.1</v>
      </c>
      <c r="D186" s="2">
        <v>1</v>
      </c>
      <c r="E186" s="84">
        <f t="shared" si="2"/>
        <v>10</v>
      </c>
      <c r="F186" t="str">
        <f>VLOOKUP(A186,'Exit Prices'!$A:$B,2,FALSE)</f>
        <v>DNO</v>
      </c>
    </row>
    <row r="187" spans="1:6">
      <c r="A187" s="2" t="s">
        <v>205</v>
      </c>
      <c r="B187" s="12" t="str">
        <f>VLOOKUP(A187,'Locations &amp; Types'!$E:$F,2,FALSE)</f>
        <v>STORAGE SITE</v>
      </c>
      <c r="C187" s="2">
        <v>0.1</v>
      </c>
      <c r="D187" s="2">
        <v>1</v>
      </c>
      <c r="E187" s="84">
        <f t="shared" si="2"/>
        <v>10</v>
      </c>
      <c r="F187" t="str">
        <f>VLOOKUP(A187,'Exit Prices'!$A:$B,2,FALSE)</f>
        <v>STORAGE SITE</v>
      </c>
    </row>
    <row r="188" spans="1:6">
      <c r="A188" s="2" t="s">
        <v>206</v>
      </c>
      <c r="B188" s="12" t="str">
        <f>VLOOKUP(A188,'Locations &amp; Types'!$E:$F,2,FALSE)</f>
        <v>GDN (EM)</v>
      </c>
      <c r="C188" s="2">
        <v>0.1</v>
      </c>
      <c r="D188" s="2">
        <v>1</v>
      </c>
      <c r="E188" s="84">
        <f t="shared" si="2"/>
        <v>10</v>
      </c>
      <c r="F188" t="str">
        <f>VLOOKUP(A188,'Exit Prices'!$A:$B,2,FALSE)</f>
        <v>DNO</v>
      </c>
    </row>
    <row r="189" spans="1:6">
      <c r="A189" s="2" t="s">
        <v>207</v>
      </c>
      <c r="B189" s="12" t="str">
        <f>VLOOKUP(A189,'Locations &amp; Types'!$E:$F,2,FALSE)</f>
        <v>DC</v>
      </c>
      <c r="C189" s="2">
        <v>0.1</v>
      </c>
      <c r="D189" s="2">
        <v>1</v>
      </c>
      <c r="E189" s="84">
        <f t="shared" si="2"/>
        <v>10</v>
      </c>
      <c r="F189" t="str">
        <f>VLOOKUP(A189,'Exit Prices'!$A:$B,2,FALSE)</f>
        <v>POWER STATION</v>
      </c>
    </row>
    <row r="190" spans="1:6">
      <c r="A190" s="2" t="s">
        <v>208</v>
      </c>
      <c r="B190" s="12" t="str">
        <f>VLOOKUP(A190,'Locations &amp; Types'!$E:$F,2,FALSE)</f>
        <v>GDN (SE)</v>
      </c>
      <c r="C190" s="2">
        <v>0.1</v>
      </c>
      <c r="D190" s="2">
        <v>1</v>
      </c>
      <c r="E190" s="84">
        <f t="shared" si="2"/>
        <v>10</v>
      </c>
      <c r="F190" t="str">
        <f>VLOOKUP(A190,'Exit Prices'!$A:$B,2,FALSE)</f>
        <v>DNO</v>
      </c>
    </row>
    <row r="191" spans="1:6">
      <c r="A191" s="2" t="s">
        <v>209</v>
      </c>
      <c r="B191" s="12" t="str">
        <f>VLOOKUP(A191,'Locations &amp; Types'!$E:$F,2,FALSE)</f>
        <v>DC</v>
      </c>
      <c r="C191" s="2">
        <v>0.1</v>
      </c>
      <c r="D191" s="2">
        <v>1</v>
      </c>
      <c r="E191" s="84">
        <f t="shared" si="2"/>
        <v>10</v>
      </c>
      <c r="F191" t="str">
        <f>VLOOKUP(A191,'Exit Prices'!$A:$B,2,FALSE)</f>
        <v>INDUSTRIAL</v>
      </c>
    </row>
    <row r="192" spans="1:6">
      <c r="A192" s="2" t="s">
        <v>210</v>
      </c>
      <c r="B192" s="12" t="str">
        <f>VLOOKUP(A192,'Locations &amp; Types'!$E:$F,2,FALSE)</f>
        <v>DC</v>
      </c>
      <c r="C192" s="2">
        <v>0.1</v>
      </c>
      <c r="D192" s="2">
        <v>1</v>
      </c>
      <c r="E192" s="84">
        <f t="shared" si="2"/>
        <v>10</v>
      </c>
      <c r="F192" t="str">
        <f>VLOOKUP(A192,'Exit Prices'!$A:$B,2,FALSE)</f>
        <v>INDUSTRIAL</v>
      </c>
    </row>
    <row r="193" spans="1:6">
      <c r="A193" s="2" t="s">
        <v>211</v>
      </c>
      <c r="B193" s="12" t="str">
        <f>VLOOKUP(A193,'Locations &amp; Types'!$E:$F,2,FALSE)</f>
        <v>DC</v>
      </c>
      <c r="C193" s="2">
        <v>0.1</v>
      </c>
      <c r="D193" s="2">
        <v>1</v>
      </c>
      <c r="E193" s="84">
        <f t="shared" si="2"/>
        <v>10</v>
      </c>
      <c r="F193" t="str">
        <f>VLOOKUP(A193,'Exit Prices'!$A:$B,2,FALSE)</f>
        <v>INDUSTRIAL</v>
      </c>
    </row>
    <row r="194" spans="1:6">
      <c r="A194" s="2" t="s">
        <v>212</v>
      </c>
      <c r="B194" s="12" t="str">
        <f>VLOOKUP(A194,'Locations &amp; Types'!$E:$F,2,FALSE)</f>
        <v>GDN (EM)</v>
      </c>
      <c r="C194" s="2">
        <v>0.1</v>
      </c>
      <c r="D194" s="2">
        <v>1</v>
      </c>
      <c r="E194" s="84">
        <f t="shared" si="2"/>
        <v>10</v>
      </c>
      <c r="F194" t="str">
        <f>VLOOKUP(A194,'Exit Prices'!$A:$B,2,FALSE)</f>
        <v>DNO</v>
      </c>
    </row>
    <row r="195" spans="1:6">
      <c r="A195" s="2" t="s">
        <v>213</v>
      </c>
      <c r="B195" s="12" t="str">
        <f>VLOOKUP(A195,'Locations &amp; Types'!$E:$F,2,FALSE)</f>
        <v>DC</v>
      </c>
      <c r="C195" s="2">
        <v>0.1</v>
      </c>
      <c r="D195" s="2">
        <v>1</v>
      </c>
      <c r="E195" s="84">
        <f t="shared" ref="E195:E230" si="3">C195*D195*100</f>
        <v>10</v>
      </c>
      <c r="F195" t="str">
        <f>VLOOKUP(A195,'Exit Prices'!$A:$B,2,FALSE)</f>
        <v>INDUSTRIAL</v>
      </c>
    </row>
    <row r="196" spans="1:6">
      <c r="A196" s="2" t="s">
        <v>214</v>
      </c>
      <c r="B196" s="12" t="str">
        <f>VLOOKUP(A196,'Locations &amp; Types'!$E:$F,2,FALSE)</f>
        <v xml:space="preserve">DC </v>
      </c>
      <c r="C196" s="2">
        <v>0.1</v>
      </c>
      <c r="D196" s="2">
        <v>1</v>
      </c>
      <c r="E196" s="84">
        <f t="shared" si="3"/>
        <v>10</v>
      </c>
      <c r="F196" t="str">
        <f>VLOOKUP(A196,'Exit Prices'!$A:$B,2,FALSE)</f>
        <v>POWER STATION</v>
      </c>
    </row>
    <row r="197" spans="1:6">
      <c r="A197" s="2" t="s">
        <v>215</v>
      </c>
      <c r="B197" s="12" t="str">
        <f>VLOOKUP(A197,'Locations &amp; Types'!$E:$F,2,FALSE)</f>
        <v>GDN (NO)</v>
      </c>
      <c r="C197" s="2">
        <v>0.1</v>
      </c>
      <c r="D197" s="2">
        <v>1</v>
      </c>
      <c r="E197" s="84">
        <f t="shared" si="3"/>
        <v>10</v>
      </c>
      <c r="F197" t="str">
        <f>VLOOKUP(A197,'Exit Prices'!$A:$B,2,FALSE)</f>
        <v>DNO</v>
      </c>
    </row>
    <row r="198" spans="1:6">
      <c r="A198" s="2" t="s">
        <v>216</v>
      </c>
      <c r="B198" s="12" t="str">
        <f>VLOOKUP(A198,'Locations &amp; Types'!$E:$F,2,FALSE)</f>
        <v>DC</v>
      </c>
      <c r="C198" s="2">
        <v>0.1</v>
      </c>
      <c r="D198" s="2">
        <v>1</v>
      </c>
      <c r="E198" s="84">
        <f t="shared" si="3"/>
        <v>10</v>
      </c>
      <c r="F198" t="str">
        <f>VLOOKUP(A198,'Exit Prices'!$A:$B,2,FALSE)</f>
        <v>POWER STATION</v>
      </c>
    </row>
    <row r="199" spans="1:6">
      <c r="A199" s="2" t="s">
        <v>217</v>
      </c>
      <c r="B199" s="12" t="str">
        <f>VLOOKUP(A199,'Locations &amp; Types'!$E:$F,2,FALSE)</f>
        <v>DC</v>
      </c>
      <c r="C199" s="2">
        <v>0.1</v>
      </c>
      <c r="D199" s="2">
        <v>1</v>
      </c>
      <c r="E199" s="84">
        <f t="shared" si="3"/>
        <v>10</v>
      </c>
      <c r="F199" t="str">
        <f>VLOOKUP(A199,'Exit Prices'!$A:$B,2,FALSE)</f>
        <v>POWER STATION</v>
      </c>
    </row>
    <row r="200" spans="1:6">
      <c r="A200" s="2" t="s">
        <v>218</v>
      </c>
      <c r="B200" s="12" t="str">
        <f>VLOOKUP(A200,'Locations &amp; Types'!$E:$F,2,FALSE)</f>
        <v>GDN (NO)</v>
      </c>
      <c r="C200" s="2">
        <v>0.1</v>
      </c>
      <c r="D200" s="2">
        <v>1</v>
      </c>
      <c r="E200" s="84">
        <f t="shared" si="3"/>
        <v>10</v>
      </c>
      <c r="F200" t="str">
        <f>VLOOKUP(A200,'Exit Prices'!$A:$B,2,FALSE)</f>
        <v>DNO</v>
      </c>
    </row>
    <row r="201" spans="1:6">
      <c r="A201" s="2" t="s">
        <v>219</v>
      </c>
      <c r="B201" s="12" t="str">
        <f>VLOOKUP(A201,'Locations &amp; Types'!$E:$F,2,FALSE)</f>
        <v>GDN (NE)</v>
      </c>
      <c r="C201" s="2">
        <v>0.1</v>
      </c>
      <c r="D201" s="2">
        <v>1</v>
      </c>
      <c r="E201" s="84">
        <f t="shared" si="3"/>
        <v>10</v>
      </c>
      <c r="F201" t="str">
        <f>VLOOKUP(A201,'Exit Prices'!$A:$B,2,FALSE)</f>
        <v>DNO</v>
      </c>
    </row>
    <row r="202" spans="1:6">
      <c r="A202" s="2" t="s">
        <v>239</v>
      </c>
      <c r="B202" s="12" t="str">
        <f>VLOOKUP(A202,'Locations &amp; Types'!$E:$F,2,FALSE)</f>
        <v>DC</v>
      </c>
      <c r="C202" s="2">
        <v>0.1</v>
      </c>
      <c r="D202" s="2">
        <v>1</v>
      </c>
      <c r="E202" s="84">
        <f t="shared" si="3"/>
        <v>10</v>
      </c>
      <c r="F202" t="str">
        <f>VLOOKUP(A202,'Exit Prices'!$A:$B,2,FALSE)</f>
        <v>POWER STATION</v>
      </c>
    </row>
    <row r="203" spans="1:6">
      <c r="A203" s="2" t="s">
        <v>220</v>
      </c>
      <c r="B203" s="12" t="str">
        <f>VLOOKUP(A203,'Locations &amp; Types'!$E:$F,2,FALSE)</f>
        <v>GDN (EM)</v>
      </c>
      <c r="C203" s="2">
        <v>0.1</v>
      </c>
      <c r="D203" s="2">
        <v>1</v>
      </c>
      <c r="E203" s="84">
        <f t="shared" si="3"/>
        <v>10</v>
      </c>
      <c r="F203" t="str">
        <f>VLOOKUP(A203,'Exit Prices'!$A:$B,2,FALSE)</f>
        <v>DNO</v>
      </c>
    </row>
    <row r="204" spans="1:6">
      <c r="A204" s="2" t="s">
        <v>221</v>
      </c>
      <c r="B204" s="12" t="str">
        <f>VLOOKUP(A204,'Locations &amp; Types'!$E:$F,2,FALSE)</f>
        <v>DC</v>
      </c>
      <c r="C204" s="2">
        <v>0.1</v>
      </c>
      <c r="D204" s="2">
        <v>1</v>
      </c>
      <c r="E204" s="84">
        <f t="shared" si="3"/>
        <v>10</v>
      </c>
      <c r="F204" t="str">
        <f>VLOOKUP(A204,'Exit Prices'!$A:$B,2,FALSE)</f>
        <v>INDUSTRIAL</v>
      </c>
    </row>
    <row r="205" spans="1:6">
      <c r="A205" s="2" t="s">
        <v>222</v>
      </c>
      <c r="B205" s="12" t="str">
        <f>VLOOKUP(A205,'Locations &amp; Types'!$E:$F,2,FALSE)</f>
        <v>GDN (EM)</v>
      </c>
      <c r="C205" s="2">
        <v>0.1</v>
      </c>
      <c r="D205" s="2">
        <v>1</v>
      </c>
      <c r="E205" s="84">
        <f t="shared" si="3"/>
        <v>10</v>
      </c>
      <c r="F205" t="str">
        <f>VLOOKUP(A205,'Exit Prices'!$A:$B,2,FALSE)</f>
        <v>DNO</v>
      </c>
    </row>
    <row r="206" spans="1:6">
      <c r="A206" s="2" t="s">
        <v>223</v>
      </c>
      <c r="B206" s="12" t="str">
        <f>VLOOKUP(A206,'Locations &amp; Types'!$E:$F,2,FALSE)</f>
        <v>GDN (NW)</v>
      </c>
      <c r="C206" s="2">
        <v>0.1</v>
      </c>
      <c r="D206" s="2">
        <v>1</v>
      </c>
      <c r="E206" s="84">
        <f t="shared" si="3"/>
        <v>10</v>
      </c>
      <c r="F206" t="str">
        <f>VLOOKUP(A206,'Exit Prices'!$A:$B,2,FALSE)</f>
        <v>DNO</v>
      </c>
    </row>
    <row r="207" spans="1:6">
      <c r="A207" s="2" t="s">
        <v>224</v>
      </c>
      <c r="B207" s="12" t="str">
        <f>VLOOKUP(A207,'Locations &amp; Types'!$E:$F,2,FALSE)</f>
        <v>DC</v>
      </c>
      <c r="C207" s="2">
        <v>0.1</v>
      </c>
      <c r="D207" s="2">
        <v>1</v>
      </c>
      <c r="E207" s="84">
        <f t="shared" si="3"/>
        <v>10</v>
      </c>
      <c r="F207" t="str">
        <f>VLOOKUP(A207,'Exit Prices'!$A:$B,2,FALSE)</f>
        <v>POWER STATION</v>
      </c>
    </row>
    <row r="208" spans="1:6">
      <c r="A208" s="2" t="s">
        <v>225</v>
      </c>
      <c r="B208" s="12" t="str">
        <f>VLOOKUP(A208,'Locations &amp; Types'!$E:$F,2,FALSE)</f>
        <v>GDN (EA)</v>
      </c>
      <c r="C208" s="2">
        <v>0.1</v>
      </c>
      <c r="D208" s="2">
        <v>1</v>
      </c>
      <c r="E208" s="84">
        <f t="shared" si="3"/>
        <v>10</v>
      </c>
      <c r="F208" t="str">
        <f>VLOOKUP(A208,'Exit Prices'!$A:$B,2,FALSE)</f>
        <v>DNO</v>
      </c>
    </row>
    <row r="209" spans="1:6">
      <c r="A209" s="2" t="s">
        <v>226</v>
      </c>
      <c r="B209" s="12" t="str">
        <f>VLOOKUP(A209,'Locations &amp; Types'!$E:$F,2,FALSE)</f>
        <v>GDN (NW)</v>
      </c>
      <c r="C209" s="2">
        <v>0.1</v>
      </c>
      <c r="D209" s="2">
        <v>1</v>
      </c>
      <c r="E209" s="84">
        <f t="shared" si="3"/>
        <v>10</v>
      </c>
      <c r="F209" t="str">
        <f>VLOOKUP(A209,'Exit Prices'!$A:$B,2,FALSE)</f>
        <v>DNO</v>
      </c>
    </row>
    <row r="210" spans="1:6">
      <c r="A210" s="2" t="s">
        <v>227</v>
      </c>
      <c r="B210" s="12" t="str">
        <f>VLOOKUP(A210,'Locations &amp; Types'!$E:$F,2,FALSE)</f>
        <v>DC</v>
      </c>
      <c r="C210" s="2">
        <v>0.1</v>
      </c>
      <c r="D210" s="2">
        <v>1</v>
      </c>
      <c r="E210" s="84">
        <f t="shared" si="3"/>
        <v>10</v>
      </c>
      <c r="F210" t="str">
        <f>VLOOKUP(A210,'Exit Prices'!$A:$B,2,FALSE)</f>
        <v>INDUSTRIAL</v>
      </c>
    </row>
    <row r="211" spans="1:6">
      <c r="A211" s="2" t="s">
        <v>228</v>
      </c>
      <c r="B211" s="12" t="str">
        <f>VLOOKUP(A211,'Locations &amp; Types'!$E:$F,2,FALSE)</f>
        <v>DC</v>
      </c>
      <c r="C211" s="2">
        <v>0.1</v>
      </c>
      <c r="D211" s="2">
        <v>1</v>
      </c>
      <c r="E211" s="84">
        <f t="shared" si="3"/>
        <v>10</v>
      </c>
      <c r="F211" t="str">
        <f>VLOOKUP(A211,'Exit Prices'!$A:$B,2,FALSE)</f>
        <v>POWER STATION</v>
      </c>
    </row>
    <row r="212" spans="1:6">
      <c r="A212" s="2" t="s">
        <v>229</v>
      </c>
      <c r="B212" s="12" t="str">
        <f>VLOOKUP(A212,'Locations &amp; Types'!$E:$F,2,FALSE)</f>
        <v>GDN (NO)</v>
      </c>
      <c r="C212" s="2">
        <v>0.1</v>
      </c>
      <c r="D212" s="2">
        <v>1</v>
      </c>
      <c r="E212" s="84">
        <f t="shared" si="3"/>
        <v>10</v>
      </c>
      <c r="F212" t="str">
        <f>VLOOKUP(A212,'Exit Prices'!$A:$B,2,FALSE)</f>
        <v>DNO</v>
      </c>
    </row>
    <row r="213" spans="1:6">
      <c r="A213" s="2" t="s">
        <v>230</v>
      </c>
      <c r="B213" s="12" t="str">
        <f>VLOOKUP(A213,'Locations &amp; Types'!$E:$F,2,FALSE)</f>
        <v>GDN (EA)</v>
      </c>
      <c r="C213" s="2">
        <v>0.1</v>
      </c>
      <c r="D213" s="2">
        <v>1</v>
      </c>
      <c r="E213" s="84">
        <f t="shared" si="3"/>
        <v>10</v>
      </c>
      <c r="F213" t="str">
        <f>VLOOKUP(A213,'Exit Prices'!$A:$B,2,FALSE)</f>
        <v>DNO</v>
      </c>
    </row>
    <row r="214" spans="1:6">
      <c r="A214" s="2" t="s">
        <v>231</v>
      </c>
      <c r="B214" s="12" t="str">
        <f>VLOOKUP(A214,'Locations &amp; Types'!$E:$F,2,FALSE)</f>
        <v>DC</v>
      </c>
      <c r="C214" s="2">
        <v>0.1</v>
      </c>
      <c r="D214" s="2">
        <v>1</v>
      </c>
      <c r="E214" s="84">
        <f t="shared" si="3"/>
        <v>10</v>
      </c>
      <c r="F214" t="str">
        <f>VLOOKUP(A214,'Exit Prices'!$A:$B,2,FALSE)</f>
        <v>POWER STATION</v>
      </c>
    </row>
    <row r="215" spans="1:6">
      <c r="A215" s="2" t="s">
        <v>232</v>
      </c>
      <c r="B215" s="12" t="str">
        <f>VLOOKUP(A215,'Locations &amp; Types'!$E:$F,2,FALSE)</f>
        <v>GDN (NT)</v>
      </c>
      <c r="C215" s="2">
        <v>0.1</v>
      </c>
      <c r="D215" s="2">
        <v>1</v>
      </c>
      <c r="E215" s="84">
        <f t="shared" si="3"/>
        <v>10</v>
      </c>
      <c r="F215" t="str">
        <f>VLOOKUP(A215,'Exit Prices'!$A:$B,2,FALSE)</f>
        <v>DNO</v>
      </c>
    </row>
    <row r="216" spans="1:6">
      <c r="A216" s="2" t="s">
        <v>233</v>
      </c>
      <c r="B216" s="12" t="str">
        <f>VLOOKUP(A216,'Locations &amp; Types'!$E:$F,2,FALSE)</f>
        <v>GDN (SE)</v>
      </c>
      <c r="C216" s="2">
        <v>0.1</v>
      </c>
      <c r="D216" s="2">
        <v>1</v>
      </c>
      <c r="E216" s="84">
        <f t="shared" si="3"/>
        <v>10</v>
      </c>
      <c r="F216" t="str">
        <f>VLOOKUP(A216,'Exit Prices'!$A:$B,2,FALSE)</f>
        <v>DNO</v>
      </c>
    </row>
    <row r="217" spans="1:6">
      <c r="A217" s="2" t="s">
        <v>234</v>
      </c>
      <c r="B217" s="12" t="str">
        <f>VLOOKUP(A217,'Locations &amp; Types'!$E:$F,2,FALSE)</f>
        <v>GDN (SO)</v>
      </c>
      <c r="C217" s="2">
        <v>0.1</v>
      </c>
      <c r="D217" s="2">
        <v>1</v>
      </c>
      <c r="E217" s="84">
        <f t="shared" si="3"/>
        <v>10</v>
      </c>
      <c r="F217" t="str">
        <f>VLOOKUP(A217,'Exit Prices'!$A:$B,2,FALSE)</f>
        <v>DNO</v>
      </c>
    </row>
    <row r="218" spans="1:6">
      <c r="A218" s="2" t="s">
        <v>235</v>
      </c>
      <c r="B218" s="12" t="str">
        <f>VLOOKUP(A218,'Locations &amp; Types'!$E:$F,2,FALSE)</f>
        <v>DC</v>
      </c>
      <c r="C218" s="2">
        <v>0.1</v>
      </c>
      <c r="D218" s="2">
        <v>1</v>
      </c>
      <c r="E218" s="84">
        <f t="shared" si="3"/>
        <v>10</v>
      </c>
      <c r="F218" t="str">
        <f>VLOOKUP(A218,'Exit Prices'!$A:$B,2,FALSE)</f>
        <v>POWER STATION</v>
      </c>
    </row>
    <row r="219" spans="1:6">
      <c r="A219" s="2" t="s">
        <v>236</v>
      </c>
      <c r="B219" s="12" t="str">
        <f>VLOOKUP(A219,'Locations &amp; Types'!$E:$F,2,FALSE)</f>
        <v>DC</v>
      </c>
      <c r="C219" s="2">
        <v>0.1</v>
      </c>
      <c r="D219" s="2">
        <v>1</v>
      </c>
      <c r="E219" s="84">
        <f t="shared" si="3"/>
        <v>10</v>
      </c>
      <c r="F219" t="str">
        <f>VLOOKUP(A219,'Exit Prices'!$A:$B,2,FALSE)</f>
        <v>POWER STATION</v>
      </c>
    </row>
    <row r="220" spans="1:6">
      <c r="A220" s="2" t="s">
        <v>237</v>
      </c>
      <c r="B220" s="12" t="str">
        <f>VLOOKUP(A220,'Locations &amp; Types'!$E:$F,2,FALSE)</f>
        <v>GDN (EA)</v>
      </c>
      <c r="C220" s="2">
        <v>0.1</v>
      </c>
      <c r="D220" s="2">
        <v>1</v>
      </c>
      <c r="E220" s="84">
        <f t="shared" si="3"/>
        <v>10</v>
      </c>
      <c r="F220" t="str">
        <f>VLOOKUP(A220,'Exit Prices'!$A:$B,2,FALSE)</f>
        <v>DNO</v>
      </c>
    </row>
    <row r="221" spans="1:6">
      <c r="A221" s="366" t="s">
        <v>238</v>
      </c>
      <c r="B221" s="12" t="str">
        <f>VLOOKUP(A221,'Locations &amp; Types'!$E:$F,2,FALSE)</f>
        <v>DC</v>
      </c>
      <c r="C221" s="2">
        <v>0.1</v>
      </c>
      <c r="D221" s="2">
        <v>1</v>
      </c>
      <c r="E221" s="84">
        <f t="shared" si="3"/>
        <v>10</v>
      </c>
      <c r="F221" t="str">
        <f>VLOOKUP(A221,'Exit Prices'!$A:$B,2,FALSE)</f>
        <v>INDUSTRIAL</v>
      </c>
    </row>
    <row r="222" spans="1:6">
      <c r="A222" s="366" t="s">
        <v>534</v>
      </c>
      <c r="C222" s="2">
        <v>0.1</v>
      </c>
      <c r="D222" s="2">
        <v>1</v>
      </c>
      <c r="E222" s="84">
        <f t="shared" si="3"/>
        <v>10</v>
      </c>
      <c r="F222" t="str">
        <f>VLOOKUP(A222,'Exit Prices'!$A:$B,2,FALSE)</f>
        <v>INDUSTRIAL</v>
      </c>
    </row>
    <row r="223" spans="1:6">
      <c r="A223" s="366" t="s">
        <v>535</v>
      </c>
      <c r="C223" s="2">
        <v>0.1</v>
      </c>
      <c r="D223" s="2">
        <v>1</v>
      </c>
      <c r="E223" s="84">
        <f t="shared" si="3"/>
        <v>10</v>
      </c>
      <c r="F223" t="str">
        <f>VLOOKUP(A223,'Exit Prices'!$A:$B,2,FALSE)</f>
        <v>INDUSTRIAL</v>
      </c>
    </row>
    <row r="224" spans="1:6">
      <c r="A224" s="366" t="s">
        <v>536</v>
      </c>
      <c r="C224" s="2">
        <v>0.1</v>
      </c>
      <c r="D224" s="2">
        <v>1</v>
      </c>
      <c r="E224" s="84">
        <f t="shared" si="3"/>
        <v>10</v>
      </c>
      <c r="F224" t="str">
        <f>VLOOKUP(A224,'Exit Prices'!$A:$B,2,FALSE)</f>
        <v>POWER STATION</v>
      </c>
    </row>
    <row r="225" spans="1:6">
      <c r="A225" s="366" t="s">
        <v>537</v>
      </c>
      <c r="C225" s="2">
        <v>0.1</v>
      </c>
      <c r="D225" s="2">
        <v>1</v>
      </c>
      <c r="E225" s="84">
        <f t="shared" si="3"/>
        <v>10</v>
      </c>
      <c r="F225" t="str">
        <f>VLOOKUP(A225,'Exit Prices'!$A:$B,2,FALSE)</f>
        <v>INDUSTRIAL</v>
      </c>
    </row>
    <row r="226" spans="1:6">
      <c r="A226" s="366" t="s">
        <v>538</v>
      </c>
      <c r="C226" s="2">
        <v>0.1</v>
      </c>
      <c r="D226" s="2">
        <v>1</v>
      </c>
      <c r="E226" s="84">
        <f t="shared" si="3"/>
        <v>10</v>
      </c>
      <c r="F226" t="str">
        <f>VLOOKUP(A226,'Exit Prices'!$A:$B,2,FALSE)</f>
        <v>INDUSTRIAL</v>
      </c>
    </row>
    <row r="227" spans="1:6">
      <c r="A227" s="366" t="s">
        <v>545</v>
      </c>
      <c r="C227" s="2">
        <v>0.1</v>
      </c>
      <c r="D227" s="2">
        <v>1</v>
      </c>
      <c r="E227" s="84">
        <f t="shared" si="3"/>
        <v>10</v>
      </c>
      <c r="F227" t="str">
        <f>VLOOKUP(A227,'Exit Prices'!$A:$B,2,FALSE)</f>
        <v>POWER STATION</v>
      </c>
    </row>
    <row r="228" spans="1:6">
      <c r="A228" s="366" t="s">
        <v>539</v>
      </c>
      <c r="C228" s="2">
        <v>0.1</v>
      </c>
      <c r="D228" s="2">
        <v>1</v>
      </c>
      <c r="E228" s="84">
        <f t="shared" si="3"/>
        <v>10</v>
      </c>
      <c r="F228" t="str">
        <f>VLOOKUP(A228,'Exit Prices'!$A:$B,2,FALSE)</f>
        <v>POWER STATION</v>
      </c>
    </row>
    <row r="229" spans="1:6">
      <c r="A229" s="366" t="s">
        <v>540</v>
      </c>
      <c r="C229" s="2">
        <v>0.1</v>
      </c>
      <c r="D229" s="2">
        <v>1</v>
      </c>
      <c r="E229" s="84">
        <f t="shared" si="3"/>
        <v>10</v>
      </c>
      <c r="F229" t="str">
        <f>VLOOKUP(A229,'Exit Prices'!$A:$B,2,FALSE)</f>
        <v>POWER STATION</v>
      </c>
    </row>
    <row r="230" spans="1:6">
      <c r="A230" s="366" t="s">
        <v>176</v>
      </c>
      <c r="C230" s="2">
        <v>0.1</v>
      </c>
      <c r="D230" s="2">
        <v>1</v>
      </c>
      <c r="E230" s="84">
        <f t="shared" si="3"/>
        <v>10</v>
      </c>
      <c r="F230" t="str">
        <f>VLOOKUP(A230,'Exit Prices'!$A:$B,2,FALSE)</f>
        <v>STORAGE SITE</v>
      </c>
    </row>
  </sheetData>
  <autoFilter ref="A1:F222"/>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418" r:id="rId3" name="Button 2">
              <controlPr defaultSize="0" print="0" autoFill="0" autoPict="0" macro="[0]!user_inputs">
                <anchor moveWithCells="1" sizeWithCells="1">
                  <from>
                    <xdr:col>6</xdr:col>
                    <xdr:colOff>28575</xdr:colOff>
                    <xdr:row>0</xdr:row>
                    <xdr:rowOff>180975</xdr:rowOff>
                  </from>
                  <to>
                    <xdr:col>9</xdr:col>
                    <xdr:colOff>28575</xdr:colOff>
                    <xdr:row>2</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39997558519241921"/>
  </sheetPr>
  <dimension ref="A1:I231"/>
  <sheetViews>
    <sheetView topLeftCell="B147" workbookViewId="0">
      <selection activeCell="E152" sqref="E152"/>
    </sheetView>
  </sheetViews>
  <sheetFormatPr defaultColWidth="8.85546875" defaultRowHeight="15"/>
  <cols>
    <col min="1" max="1" width="22.42578125" bestFit="1" customWidth="1"/>
    <col min="2" max="2" width="27.7109375" bestFit="1" customWidth="1"/>
    <col min="5" max="5" width="57" bestFit="1" customWidth="1"/>
    <col min="6" max="6" width="17.42578125" bestFit="1" customWidth="1"/>
    <col min="7" max="7" width="22.85546875" bestFit="1" customWidth="1"/>
    <col min="8" max="9" width="17.42578125" bestFit="1" customWidth="1"/>
  </cols>
  <sheetData>
    <row r="1" spans="1:9">
      <c r="A1" s="17" t="s">
        <v>25</v>
      </c>
      <c r="B1" s="18" t="s">
        <v>266</v>
      </c>
      <c r="E1" s="19" t="s">
        <v>242</v>
      </c>
      <c r="F1" s="20" t="s">
        <v>266</v>
      </c>
      <c r="G1" s="20" t="s">
        <v>272</v>
      </c>
      <c r="H1" s="20" t="s">
        <v>266</v>
      </c>
      <c r="I1" s="20" t="s">
        <v>266</v>
      </c>
    </row>
    <row r="2" spans="1:9">
      <c r="A2" s="15" t="s">
        <v>1</v>
      </c>
      <c r="B2" s="2" t="s">
        <v>267</v>
      </c>
      <c r="E2" s="2" t="s">
        <v>26</v>
      </c>
      <c r="F2" s="2" t="s">
        <v>273</v>
      </c>
      <c r="G2" s="2" t="s">
        <v>274</v>
      </c>
      <c r="H2" s="2" t="s">
        <v>273</v>
      </c>
      <c r="I2" s="2" t="s">
        <v>436</v>
      </c>
    </row>
    <row r="3" spans="1:9">
      <c r="A3" s="14" t="s">
        <v>2</v>
      </c>
      <c r="B3" s="2" t="s">
        <v>268</v>
      </c>
      <c r="E3" s="2" t="s">
        <v>27</v>
      </c>
      <c r="F3" s="2" t="s">
        <v>275</v>
      </c>
      <c r="G3" s="2" t="s">
        <v>276</v>
      </c>
      <c r="H3" s="2" t="s">
        <v>437</v>
      </c>
      <c r="I3" s="2" t="s">
        <v>437</v>
      </c>
    </row>
    <row r="4" spans="1:9">
      <c r="A4" s="16" t="s">
        <v>3</v>
      </c>
      <c r="B4" s="2" t="s">
        <v>269</v>
      </c>
      <c r="E4" s="2" t="s">
        <v>28</v>
      </c>
      <c r="F4" s="2" t="s">
        <v>277</v>
      </c>
      <c r="G4" s="2" t="s">
        <v>278</v>
      </c>
      <c r="H4" s="2" t="s">
        <v>277</v>
      </c>
      <c r="I4" s="2" t="s">
        <v>436</v>
      </c>
    </row>
    <row r="5" spans="1:9">
      <c r="A5" s="14" t="s">
        <v>5</v>
      </c>
      <c r="B5" s="2" t="s">
        <v>269</v>
      </c>
      <c r="E5" s="2" t="s">
        <v>29</v>
      </c>
      <c r="F5" s="2" t="s">
        <v>279</v>
      </c>
      <c r="G5" s="2" t="s">
        <v>280</v>
      </c>
      <c r="H5" s="2" t="s">
        <v>279</v>
      </c>
      <c r="I5" s="2" t="s">
        <v>436</v>
      </c>
    </row>
    <row r="6" spans="1:9">
      <c r="A6" s="14" t="s">
        <v>6</v>
      </c>
      <c r="B6" s="2" t="s">
        <v>267</v>
      </c>
      <c r="E6" s="2" t="s">
        <v>240</v>
      </c>
      <c r="F6" s="2" t="s">
        <v>275</v>
      </c>
      <c r="G6" s="2" t="s">
        <v>276</v>
      </c>
      <c r="H6" s="2" t="s">
        <v>438</v>
      </c>
      <c r="I6" s="2" t="s">
        <v>438</v>
      </c>
    </row>
    <row r="7" spans="1:9">
      <c r="A7" s="14" t="s">
        <v>4</v>
      </c>
      <c r="B7" s="2" t="s">
        <v>270</v>
      </c>
      <c r="E7" s="2" t="s">
        <v>30</v>
      </c>
      <c r="F7" s="2" t="s">
        <v>273</v>
      </c>
      <c r="G7" s="2" t="s">
        <v>281</v>
      </c>
      <c r="H7" s="2" t="s">
        <v>273</v>
      </c>
      <c r="I7" s="2" t="s">
        <v>436</v>
      </c>
    </row>
    <row r="8" spans="1:9">
      <c r="A8" s="14" t="s">
        <v>7</v>
      </c>
      <c r="B8" s="2" t="s">
        <v>270</v>
      </c>
      <c r="E8" s="2" t="s">
        <v>31</v>
      </c>
      <c r="F8" s="2" t="s">
        <v>279</v>
      </c>
      <c r="G8" s="2" t="s">
        <v>282</v>
      </c>
      <c r="H8" s="2" t="s">
        <v>279</v>
      </c>
      <c r="I8" s="2" t="s">
        <v>436</v>
      </c>
    </row>
    <row r="9" spans="1:9">
      <c r="A9" s="14" t="s">
        <v>9</v>
      </c>
      <c r="B9" s="2" t="s">
        <v>267</v>
      </c>
      <c r="E9" s="2" t="s">
        <v>32</v>
      </c>
      <c r="F9" s="2" t="s">
        <v>283</v>
      </c>
      <c r="G9" s="2" t="s">
        <v>284</v>
      </c>
      <c r="H9" s="2" t="s">
        <v>283</v>
      </c>
      <c r="I9" s="2" t="s">
        <v>436</v>
      </c>
    </row>
    <row r="10" spans="1:9">
      <c r="A10" s="14" t="s">
        <v>8</v>
      </c>
      <c r="B10" s="2" t="s">
        <v>267</v>
      </c>
      <c r="E10" s="2" t="s">
        <v>33</v>
      </c>
      <c r="F10" s="2" t="s">
        <v>285</v>
      </c>
      <c r="G10" s="2" t="s">
        <v>286</v>
      </c>
      <c r="H10" s="2" t="s">
        <v>285</v>
      </c>
      <c r="I10" s="2" t="s">
        <v>436</v>
      </c>
    </row>
    <row r="11" spans="1:9">
      <c r="A11" s="14" t="s">
        <v>10</v>
      </c>
      <c r="B11" s="2" t="s">
        <v>267</v>
      </c>
      <c r="E11" s="2" t="s">
        <v>34</v>
      </c>
      <c r="F11" s="2" t="s">
        <v>279</v>
      </c>
      <c r="G11" s="2" t="s">
        <v>282</v>
      </c>
      <c r="H11" s="2" t="s">
        <v>279</v>
      </c>
      <c r="I11" s="2" t="s">
        <v>436</v>
      </c>
    </row>
    <row r="12" spans="1:9">
      <c r="A12" s="14" t="s">
        <v>477</v>
      </c>
      <c r="B12" s="2" t="s">
        <v>269</v>
      </c>
      <c r="E12" s="2" t="s">
        <v>35</v>
      </c>
      <c r="F12" s="2" t="s">
        <v>279</v>
      </c>
      <c r="G12" s="2" t="s">
        <v>280</v>
      </c>
      <c r="H12" s="2" t="s">
        <v>279</v>
      </c>
      <c r="I12" s="2" t="s">
        <v>436</v>
      </c>
    </row>
    <row r="13" spans="1:9">
      <c r="A13" s="14" t="s">
        <v>11</v>
      </c>
      <c r="B13" s="2" t="s">
        <v>267</v>
      </c>
      <c r="E13" s="2" t="s">
        <v>36</v>
      </c>
      <c r="F13" s="2" t="s">
        <v>267</v>
      </c>
      <c r="G13" s="2" t="s">
        <v>276</v>
      </c>
      <c r="H13" s="2" t="s">
        <v>267</v>
      </c>
      <c r="I13" s="2" t="s">
        <v>267</v>
      </c>
    </row>
    <row r="14" spans="1:9">
      <c r="A14" s="14" t="s">
        <v>13</v>
      </c>
      <c r="B14" s="2" t="s">
        <v>267</v>
      </c>
      <c r="E14" s="2" t="s">
        <v>37</v>
      </c>
      <c r="F14" s="2" t="s">
        <v>287</v>
      </c>
      <c r="G14" s="2" t="s">
        <v>288</v>
      </c>
      <c r="H14" s="2" t="s">
        <v>287</v>
      </c>
      <c r="I14" s="2" t="s">
        <v>436</v>
      </c>
    </row>
    <row r="15" spans="1:9">
      <c r="A15" s="14" t="s">
        <v>12</v>
      </c>
      <c r="B15" s="2" t="s">
        <v>267</v>
      </c>
      <c r="E15" s="2" t="s">
        <v>38</v>
      </c>
      <c r="F15" s="2" t="s">
        <v>289</v>
      </c>
      <c r="G15" s="2" t="s">
        <v>290</v>
      </c>
      <c r="H15" s="2" t="s">
        <v>289</v>
      </c>
      <c r="I15" s="2" t="s">
        <v>436</v>
      </c>
    </row>
    <row r="16" spans="1:9">
      <c r="A16" s="14" t="s">
        <v>15</v>
      </c>
      <c r="B16" s="2" t="s">
        <v>270</v>
      </c>
      <c r="E16" s="2" t="s">
        <v>39</v>
      </c>
      <c r="F16" s="2" t="s">
        <v>267</v>
      </c>
      <c r="G16" s="2" t="s">
        <v>276</v>
      </c>
      <c r="H16" s="2" t="s">
        <v>267</v>
      </c>
      <c r="I16" s="2" t="s">
        <v>267</v>
      </c>
    </row>
    <row r="17" spans="1:9">
      <c r="A17" s="14" t="s">
        <v>17</v>
      </c>
      <c r="B17" s="2" t="s">
        <v>267</v>
      </c>
      <c r="E17" s="2" t="s">
        <v>40</v>
      </c>
      <c r="F17" s="2" t="s">
        <v>291</v>
      </c>
      <c r="G17" s="2" t="s">
        <v>276</v>
      </c>
      <c r="H17" s="2" t="s">
        <v>291</v>
      </c>
      <c r="I17" s="2" t="s">
        <v>291</v>
      </c>
    </row>
    <row r="18" spans="1:9">
      <c r="A18" s="14" t="s">
        <v>14</v>
      </c>
      <c r="B18" s="2" t="s">
        <v>267</v>
      </c>
      <c r="E18" s="2" t="s">
        <v>41</v>
      </c>
      <c r="F18" s="2" t="s">
        <v>275</v>
      </c>
      <c r="G18" s="2" t="s">
        <v>276</v>
      </c>
      <c r="H18" s="2" t="s">
        <v>437</v>
      </c>
      <c r="I18" s="2" t="s">
        <v>437</v>
      </c>
    </row>
    <row r="19" spans="1:9">
      <c r="A19" s="14" t="s">
        <v>16</v>
      </c>
      <c r="B19" s="2" t="s">
        <v>267</v>
      </c>
      <c r="E19" s="2" t="s">
        <v>42</v>
      </c>
      <c r="F19" s="2" t="s">
        <v>291</v>
      </c>
      <c r="G19" s="2" t="s">
        <v>276</v>
      </c>
      <c r="H19" s="2" t="s">
        <v>291</v>
      </c>
      <c r="I19" s="2" t="s">
        <v>291</v>
      </c>
    </row>
    <row r="20" spans="1:9">
      <c r="A20" s="14" t="s">
        <v>18</v>
      </c>
      <c r="B20" s="2" t="s">
        <v>271</v>
      </c>
      <c r="E20" s="2" t="s">
        <v>43</v>
      </c>
      <c r="F20" s="2" t="s">
        <v>283</v>
      </c>
      <c r="G20" s="2" t="s">
        <v>284</v>
      </c>
      <c r="H20" s="2" t="s">
        <v>283</v>
      </c>
      <c r="I20" s="2" t="s">
        <v>436</v>
      </c>
    </row>
    <row r="21" spans="1:9">
      <c r="A21" s="14" t="s">
        <v>19</v>
      </c>
      <c r="B21" s="2" t="s">
        <v>271</v>
      </c>
      <c r="E21" s="2" t="s">
        <v>44</v>
      </c>
      <c r="F21" s="2" t="s">
        <v>273</v>
      </c>
      <c r="G21" s="2" t="s">
        <v>274</v>
      </c>
      <c r="H21" s="2" t="s">
        <v>273</v>
      </c>
      <c r="I21" s="2" t="s">
        <v>436</v>
      </c>
    </row>
    <row r="22" spans="1:9">
      <c r="A22" s="14" t="s">
        <v>20</v>
      </c>
      <c r="B22" s="2" t="s">
        <v>267</v>
      </c>
      <c r="E22" s="2" t="s">
        <v>45</v>
      </c>
      <c r="F22" s="2" t="s">
        <v>275</v>
      </c>
      <c r="G22" s="2" t="s">
        <v>276</v>
      </c>
      <c r="H22" s="2" t="s">
        <v>437</v>
      </c>
      <c r="I22" s="2" t="s">
        <v>437</v>
      </c>
    </row>
    <row r="23" spans="1:9">
      <c r="A23" s="14" t="s">
        <v>155</v>
      </c>
      <c r="B23" s="2" t="s">
        <v>268</v>
      </c>
      <c r="E23" s="2" t="s">
        <v>46</v>
      </c>
      <c r="F23" s="2" t="s">
        <v>267</v>
      </c>
      <c r="G23" s="2" t="s">
        <v>276</v>
      </c>
      <c r="H23" s="2" t="s">
        <v>267</v>
      </c>
      <c r="I23" s="2" t="s">
        <v>267</v>
      </c>
    </row>
    <row r="24" spans="1:9">
      <c r="A24" s="14" t="s">
        <v>21</v>
      </c>
      <c r="B24" s="2" t="s">
        <v>269</v>
      </c>
      <c r="E24" s="2" t="s">
        <v>47</v>
      </c>
      <c r="F24" s="2" t="s">
        <v>275</v>
      </c>
      <c r="G24" s="2" t="s">
        <v>276</v>
      </c>
      <c r="H24" s="2" t="s">
        <v>438</v>
      </c>
      <c r="I24" s="2" t="s">
        <v>438</v>
      </c>
    </row>
    <row r="25" spans="1:9">
      <c r="A25" s="14" t="s">
        <v>22</v>
      </c>
      <c r="B25" s="2" t="s">
        <v>269</v>
      </c>
      <c r="E25" s="2" t="s">
        <v>48</v>
      </c>
      <c r="F25" s="2" t="s">
        <v>267</v>
      </c>
      <c r="G25" s="2" t="s">
        <v>276</v>
      </c>
      <c r="H25" s="2" t="s">
        <v>267</v>
      </c>
      <c r="I25" s="2" t="s">
        <v>267</v>
      </c>
    </row>
    <row r="26" spans="1:9">
      <c r="A26" s="14" t="s">
        <v>23</v>
      </c>
      <c r="B26" s="2" t="s">
        <v>269</v>
      </c>
      <c r="E26" s="2" t="s">
        <v>49</v>
      </c>
      <c r="F26" s="2" t="s">
        <v>267</v>
      </c>
      <c r="G26" s="2" t="s">
        <v>276</v>
      </c>
      <c r="H26" s="2" t="s">
        <v>267</v>
      </c>
      <c r="I26" s="2" t="s">
        <v>267</v>
      </c>
    </row>
    <row r="27" spans="1:9">
      <c r="A27" s="14" t="s">
        <v>24</v>
      </c>
      <c r="B27" s="2" t="s">
        <v>270</v>
      </c>
      <c r="E27" s="2" t="s">
        <v>50</v>
      </c>
      <c r="F27" s="2" t="s">
        <v>273</v>
      </c>
      <c r="G27" s="2" t="s">
        <v>292</v>
      </c>
      <c r="H27" s="2" t="s">
        <v>273</v>
      </c>
      <c r="I27" s="2" t="s">
        <v>436</v>
      </c>
    </row>
    <row r="28" spans="1:9">
      <c r="A28" s="14" t="s">
        <v>533</v>
      </c>
      <c r="B28" s="2" t="s">
        <v>531</v>
      </c>
      <c r="E28" s="2" t="s">
        <v>51</v>
      </c>
      <c r="F28" s="2" t="s">
        <v>275</v>
      </c>
      <c r="G28" s="2" t="s">
        <v>276</v>
      </c>
      <c r="H28" s="2" t="s">
        <v>438</v>
      </c>
      <c r="I28" s="2" t="s">
        <v>438</v>
      </c>
    </row>
    <row r="29" spans="1:9">
      <c r="E29" s="2" t="s">
        <v>52</v>
      </c>
      <c r="F29" s="2" t="s">
        <v>293</v>
      </c>
      <c r="G29" s="2" t="s">
        <v>294</v>
      </c>
      <c r="H29" s="2" t="s">
        <v>293</v>
      </c>
      <c r="I29" s="2" t="s">
        <v>436</v>
      </c>
    </row>
    <row r="30" spans="1:9">
      <c r="E30" s="2" t="s">
        <v>53</v>
      </c>
      <c r="F30" s="2" t="s">
        <v>275</v>
      </c>
      <c r="G30" s="2" t="s">
        <v>276</v>
      </c>
      <c r="H30" s="2" t="s">
        <v>438</v>
      </c>
      <c r="I30" s="2" t="s">
        <v>438</v>
      </c>
    </row>
    <row r="31" spans="1:9">
      <c r="E31" s="2" t="s">
        <v>54</v>
      </c>
      <c r="F31" s="2" t="s">
        <v>277</v>
      </c>
      <c r="G31" s="2" t="s">
        <v>278</v>
      </c>
      <c r="H31" s="2" t="s">
        <v>277</v>
      </c>
      <c r="I31" s="2" t="s">
        <v>436</v>
      </c>
    </row>
    <row r="32" spans="1:9">
      <c r="E32" s="2" t="s">
        <v>55</v>
      </c>
      <c r="F32" s="2" t="s">
        <v>275</v>
      </c>
      <c r="G32" s="2" t="s">
        <v>276</v>
      </c>
      <c r="H32" s="2" t="s">
        <v>438</v>
      </c>
      <c r="I32" s="2" t="s">
        <v>438</v>
      </c>
    </row>
    <row r="33" spans="5:9">
      <c r="E33" s="2" t="s">
        <v>56</v>
      </c>
      <c r="F33" s="2" t="s">
        <v>285</v>
      </c>
      <c r="G33" s="2" t="s">
        <v>295</v>
      </c>
      <c r="H33" s="2" t="s">
        <v>285</v>
      </c>
      <c r="I33" s="2" t="s">
        <v>436</v>
      </c>
    </row>
    <row r="34" spans="5:9">
      <c r="E34" s="2" t="s">
        <v>57</v>
      </c>
      <c r="F34" s="2" t="s">
        <v>277</v>
      </c>
      <c r="G34" s="2" t="s">
        <v>296</v>
      </c>
      <c r="H34" s="2" t="s">
        <v>277</v>
      </c>
      <c r="I34" s="2" t="s">
        <v>436</v>
      </c>
    </row>
    <row r="35" spans="5:9">
      <c r="E35" s="2" t="s">
        <v>58</v>
      </c>
      <c r="F35" s="2" t="s">
        <v>275</v>
      </c>
      <c r="G35" s="2" t="s">
        <v>276</v>
      </c>
      <c r="H35" s="2" t="s">
        <v>437</v>
      </c>
      <c r="I35" s="2" t="s">
        <v>437</v>
      </c>
    </row>
    <row r="36" spans="5:9">
      <c r="E36" s="2" t="s">
        <v>59</v>
      </c>
      <c r="F36" s="2" t="s">
        <v>275</v>
      </c>
      <c r="G36" s="2" t="s">
        <v>276</v>
      </c>
      <c r="H36" s="2" t="s">
        <v>437</v>
      </c>
      <c r="I36" s="2" t="s">
        <v>437</v>
      </c>
    </row>
    <row r="37" spans="5:9">
      <c r="E37" s="2" t="s">
        <v>60</v>
      </c>
      <c r="F37" s="2" t="s">
        <v>297</v>
      </c>
      <c r="G37" s="2" t="s">
        <v>298</v>
      </c>
      <c r="H37" s="2" t="s">
        <v>297</v>
      </c>
      <c r="I37" s="2" t="s">
        <v>436</v>
      </c>
    </row>
    <row r="38" spans="5:9">
      <c r="E38" s="2" t="s">
        <v>61</v>
      </c>
      <c r="F38" s="2" t="s">
        <v>297</v>
      </c>
      <c r="G38" s="2" t="s">
        <v>298</v>
      </c>
      <c r="H38" s="2" t="s">
        <v>297</v>
      </c>
      <c r="I38" s="2" t="s">
        <v>436</v>
      </c>
    </row>
    <row r="39" spans="5:9">
      <c r="E39" s="2" t="s">
        <v>62</v>
      </c>
      <c r="F39" s="2" t="s">
        <v>275</v>
      </c>
      <c r="G39" s="2" t="s">
        <v>276</v>
      </c>
      <c r="H39" s="2" t="s">
        <v>437</v>
      </c>
      <c r="I39" s="2" t="s">
        <v>437</v>
      </c>
    </row>
    <row r="40" spans="5:9">
      <c r="E40" s="2" t="s">
        <v>63</v>
      </c>
      <c r="F40" s="2" t="s">
        <v>289</v>
      </c>
      <c r="G40" s="2" t="s">
        <v>290</v>
      </c>
      <c r="H40" s="2" t="s">
        <v>289</v>
      </c>
      <c r="I40" s="2" t="s">
        <v>436</v>
      </c>
    </row>
    <row r="41" spans="5:9">
      <c r="E41" s="2" t="s">
        <v>64</v>
      </c>
      <c r="F41" s="2" t="s">
        <v>273</v>
      </c>
      <c r="G41" s="2" t="s">
        <v>281</v>
      </c>
      <c r="H41" s="2" t="s">
        <v>273</v>
      </c>
      <c r="I41" s="2" t="s">
        <v>436</v>
      </c>
    </row>
    <row r="42" spans="5:9">
      <c r="E42" s="2" t="s">
        <v>65</v>
      </c>
      <c r="F42" s="2" t="s">
        <v>283</v>
      </c>
      <c r="G42" s="2" t="s">
        <v>284</v>
      </c>
      <c r="H42" s="2" t="s">
        <v>283</v>
      </c>
      <c r="I42" s="2" t="s">
        <v>436</v>
      </c>
    </row>
    <row r="43" spans="5:9">
      <c r="E43" s="2" t="s">
        <v>66</v>
      </c>
      <c r="F43" s="2" t="s">
        <v>273</v>
      </c>
      <c r="G43" s="2" t="s">
        <v>274</v>
      </c>
      <c r="H43" s="2" t="s">
        <v>273</v>
      </c>
      <c r="I43" s="2" t="s">
        <v>436</v>
      </c>
    </row>
    <row r="44" spans="5:9">
      <c r="E44" s="2" t="s">
        <v>67</v>
      </c>
      <c r="F44" s="2" t="s">
        <v>275</v>
      </c>
      <c r="G44" s="2" t="s">
        <v>276</v>
      </c>
      <c r="H44" s="2" t="s">
        <v>437</v>
      </c>
      <c r="I44" s="2" t="s">
        <v>437</v>
      </c>
    </row>
    <row r="45" spans="5:9">
      <c r="E45" s="2" t="s">
        <v>68</v>
      </c>
      <c r="F45" s="2" t="s">
        <v>277</v>
      </c>
      <c r="G45" s="2" t="s">
        <v>299</v>
      </c>
      <c r="H45" s="2" t="s">
        <v>277</v>
      </c>
      <c r="I45" s="2" t="s">
        <v>436</v>
      </c>
    </row>
    <row r="46" spans="5:9">
      <c r="E46" s="2" t="s">
        <v>69</v>
      </c>
      <c r="F46" s="2" t="s">
        <v>275</v>
      </c>
      <c r="G46" s="2" t="s">
        <v>276</v>
      </c>
      <c r="H46" s="2" t="s">
        <v>437</v>
      </c>
      <c r="I46" s="2" t="s">
        <v>437</v>
      </c>
    </row>
    <row r="47" spans="5:9">
      <c r="E47" s="2" t="s">
        <v>70</v>
      </c>
      <c r="F47" s="2" t="s">
        <v>289</v>
      </c>
      <c r="G47" s="2" t="s">
        <v>300</v>
      </c>
      <c r="H47" s="2" t="s">
        <v>289</v>
      </c>
      <c r="I47" s="2" t="s">
        <v>436</v>
      </c>
    </row>
    <row r="48" spans="5:9">
      <c r="E48" s="2" t="s">
        <v>71</v>
      </c>
      <c r="F48" s="2" t="s">
        <v>273</v>
      </c>
      <c r="G48" s="2" t="s">
        <v>274</v>
      </c>
      <c r="H48" s="2" t="s">
        <v>273</v>
      </c>
      <c r="I48" s="2" t="s">
        <v>436</v>
      </c>
    </row>
    <row r="49" spans="5:9">
      <c r="E49" s="2" t="s">
        <v>72</v>
      </c>
      <c r="F49" s="2" t="s">
        <v>275</v>
      </c>
      <c r="G49" s="2" t="s">
        <v>276</v>
      </c>
      <c r="H49" s="2" t="s">
        <v>437</v>
      </c>
      <c r="I49" s="2" t="s">
        <v>437</v>
      </c>
    </row>
    <row r="50" spans="5:9">
      <c r="E50" s="2" t="s">
        <v>9</v>
      </c>
      <c r="F50" s="2" t="s">
        <v>267</v>
      </c>
      <c r="G50" s="2" t="s">
        <v>276</v>
      </c>
      <c r="H50" s="2" t="s">
        <v>267</v>
      </c>
      <c r="I50" s="2" t="s">
        <v>267</v>
      </c>
    </row>
    <row r="51" spans="5:9">
      <c r="E51" s="2" t="s">
        <v>73</v>
      </c>
      <c r="F51" s="2" t="s">
        <v>275</v>
      </c>
      <c r="G51" s="2" t="s">
        <v>276</v>
      </c>
      <c r="H51" s="2" t="s">
        <v>438</v>
      </c>
      <c r="I51" s="2" t="s">
        <v>438</v>
      </c>
    </row>
    <row r="52" spans="5:9">
      <c r="E52" s="2" t="s">
        <v>74</v>
      </c>
      <c r="F52" s="2" t="s">
        <v>287</v>
      </c>
      <c r="G52" s="2" t="s">
        <v>301</v>
      </c>
      <c r="H52" s="2" t="s">
        <v>287</v>
      </c>
      <c r="I52" s="2" t="s">
        <v>436</v>
      </c>
    </row>
    <row r="53" spans="5:9">
      <c r="E53" s="2" t="s">
        <v>75</v>
      </c>
      <c r="F53" s="2" t="s">
        <v>275</v>
      </c>
      <c r="G53" s="2" t="s">
        <v>276</v>
      </c>
      <c r="H53" s="2" t="s">
        <v>437</v>
      </c>
      <c r="I53" s="2" t="s">
        <v>437</v>
      </c>
    </row>
    <row r="54" spans="5:9">
      <c r="E54" s="2" t="s">
        <v>76</v>
      </c>
      <c r="F54" s="2" t="s">
        <v>287</v>
      </c>
      <c r="G54" s="2" t="s">
        <v>288</v>
      </c>
      <c r="H54" s="2" t="s">
        <v>287</v>
      </c>
      <c r="I54" s="2" t="s">
        <v>436</v>
      </c>
    </row>
    <row r="55" spans="5:9">
      <c r="E55" s="2" t="s">
        <v>77</v>
      </c>
      <c r="F55" s="2" t="s">
        <v>293</v>
      </c>
      <c r="G55" s="2" t="s">
        <v>294</v>
      </c>
      <c r="H55" s="2" t="s">
        <v>293</v>
      </c>
      <c r="I55" s="2" t="s">
        <v>436</v>
      </c>
    </row>
    <row r="56" spans="5:9">
      <c r="E56" s="2" t="s">
        <v>78</v>
      </c>
      <c r="F56" s="2" t="s">
        <v>293</v>
      </c>
      <c r="G56" s="2" t="s">
        <v>294</v>
      </c>
      <c r="H56" s="2" t="s">
        <v>293</v>
      </c>
      <c r="I56" s="2" t="s">
        <v>436</v>
      </c>
    </row>
    <row r="57" spans="5:9">
      <c r="E57" s="2" t="s">
        <v>79</v>
      </c>
      <c r="F57" s="2" t="s">
        <v>275</v>
      </c>
      <c r="G57" s="2" t="s">
        <v>276</v>
      </c>
      <c r="H57" s="2" t="s">
        <v>437</v>
      </c>
      <c r="I57" s="2" t="s">
        <v>437</v>
      </c>
    </row>
    <row r="58" spans="5:9">
      <c r="E58" s="2" t="s">
        <v>80</v>
      </c>
      <c r="F58" s="2" t="s">
        <v>293</v>
      </c>
      <c r="G58" s="2" t="s">
        <v>294</v>
      </c>
      <c r="H58" s="2" t="s">
        <v>293</v>
      </c>
      <c r="I58" s="2" t="s">
        <v>436</v>
      </c>
    </row>
    <row r="59" spans="5:9">
      <c r="E59" s="2" t="s">
        <v>81</v>
      </c>
      <c r="F59" s="2" t="s">
        <v>297</v>
      </c>
      <c r="G59" s="2" t="s">
        <v>298</v>
      </c>
      <c r="H59" s="2" t="s">
        <v>297</v>
      </c>
      <c r="I59" s="2" t="s">
        <v>436</v>
      </c>
    </row>
    <row r="60" spans="5:9">
      <c r="E60" s="2" t="s">
        <v>82</v>
      </c>
      <c r="F60" s="2" t="s">
        <v>267</v>
      </c>
      <c r="G60" s="2" t="s">
        <v>276</v>
      </c>
      <c r="H60" s="2" t="s">
        <v>267</v>
      </c>
      <c r="I60" s="2" t="s">
        <v>267</v>
      </c>
    </row>
    <row r="61" spans="5:9">
      <c r="E61" s="2" t="s">
        <v>83</v>
      </c>
      <c r="F61" s="2" t="s">
        <v>275</v>
      </c>
      <c r="G61" s="2" t="s">
        <v>276</v>
      </c>
      <c r="H61" s="2" t="s">
        <v>437</v>
      </c>
      <c r="I61" s="2" t="s">
        <v>437</v>
      </c>
    </row>
    <row r="62" spans="5:9">
      <c r="E62" s="2" t="s">
        <v>84</v>
      </c>
      <c r="F62" s="2" t="s">
        <v>275</v>
      </c>
      <c r="G62" s="2" t="s">
        <v>276</v>
      </c>
      <c r="H62" s="2" t="s">
        <v>437</v>
      </c>
      <c r="I62" s="2" t="s">
        <v>437</v>
      </c>
    </row>
    <row r="63" spans="5:9">
      <c r="E63" s="2" t="s">
        <v>85</v>
      </c>
      <c r="F63" s="2" t="s">
        <v>302</v>
      </c>
      <c r="G63" s="2" t="s">
        <v>303</v>
      </c>
      <c r="H63" s="2" t="s">
        <v>302</v>
      </c>
      <c r="I63" s="2" t="s">
        <v>436</v>
      </c>
    </row>
    <row r="64" spans="5:9">
      <c r="E64" s="2" t="s">
        <v>86</v>
      </c>
      <c r="F64" s="2" t="s">
        <v>275</v>
      </c>
      <c r="G64" s="2" t="s">
        <v>276</v>
      </c>
      <c r="H64" s="2" t="s">
        <v>437</v>
      </c>
      <c r="I64" s="2" t="s">
        <v>437</v>
      </c>
    </row>
    <row r="65" spans="5:9">
      <c r="E65" s="2" t="s">
        <v>87</v>
      </c>
      <c r="F65" s="2" t="s">
        <v>277</v>
      </c>
      <c r="G65" s="2" t="s">
        <v>278</v>
      </c>
      <c r="H65" s="2" t="s">
        <v>277</v>
      </c>
      <c r="I65" s="2" t="s">
        <v>436</v>
      </c>
    </row>
    <row r="66" spans="5:9">
      <c r="E66" s="2" t="s">
        <v>88</v>
      </c>
      <c r="F66" s="2" t="s">
        <v>273</v>
      </c>
      <c r="G66" s="2" t="s">
        <v>292</v>
      </c>
      <c r="H66" s="2" t="s">
        <v>273</v>
      </c>
      <c r="I66" s="2" t="s">
        <v>436</v>
      </c>
    </row>
    <row r="67" spans="5:9">
      <c r="E67" s="2" t="s">
        <v>89</v>
      </c>
      <c r="F67" s="2" t="s">
        <v>302</v>
      </c>
      <c r="G67" s="2" t="s">
        <v>303</v>
      </c>
      <c r="H67" s="2" t="s">
        <v>302</v>
      </c>
      <c r="I67" s="2" t="s">
        <v>436</v>
      </c>
    </row>
    <row r="68" spans="5:9">
      <c r="E68" s="2" t="s">
        <v>90</v>
      </c>
      <c r="F68" s="2" t="s">
        <v>267</v>
      </c>
      <c r="G68" s="2" t="s">
        <v>276</v>
      </c>
      <c r="H68" s="2" t="s">
        <v>267</v>
      </c>
      <c r="I68" s="2" t="s">
        <v>267</v>
      </c>
    </row>
    <row r="69" spans="5:9">
      <c r="E69" s="2" t="s">
        <v>91</v>
      </c>
      <c r="F69" s="2" t="s">
        <v>275</v>
      </c>
      <c r="G69" s="2" t="s">
        <v>276</v>
      </c>
      <c r="H69" s="2" t="s">
        <v>437</v>
      </c>
      <c r="I69" s="2" t="s">
        <v>437</v>
      </c>
    </row>
    <row r="70" spans="5:9">
      <c r="E70" s="2" t="s">
        <v>92</v>
      </c>
      <c r="F70" s="2" t="s">
        <v>275</v>
      </c>
      <c r="G70" s="2" t="s">
        <v>276</v>
      </c>
      <c r="H70" s="2" t="s">
        <v>437</v>
      </c>
      <c r="I70" s="2" t="s">
        <v>437</v>
      </c>
    </row>
    <row r="71" spans="5:9">
      <c r="E71" s="2" t="s">
        <v>93</v>
      </c>
      <c r="F71" s="2" t="s">
        <v>287</v>
      </c>
      <c r="G71" s="2" t="s">
        <v>301</v>
      </c>
      <c r="H71" s="2" t="s">
        <v>287</v>
      </c>
      <c r="I71" s="2" t="s">
        <v>436</v>
      </c>
    </row>
    <row r="72" spans="5:9">
      <c r="E72" s="2" t="s">
        <v>94</v>
      </c>
      <c r="F72" s="2" t="s">
        <v>285</v>
      </c>
      <c r="G72" s="2" t="s">
        <v>286</v>
      </c>
      <c r="H72" s="2" t="s">
        <v>285</v>
      </c>
      <c r="I72" s="2" t="s">
        <v>436</v>
      </c>
    </row>
    <row r="73" spans="5:9">
      <c r="E73" s="2" t="s">
        <v>95</v>
      </c>
      <c r="F73" s="2" t="s">
        <v>293</v>
      </c>
      <c r="G73" s="2" t="s">
        <v>294</v>
      </c>
      <c r="H73" s="2" t="s">
        <v>293</v>
      </c>
      <c r="I73" s="2" t="s">
        <v>436</v>
      </c>
    </row>
    <row r="74" spans="5:9">
      <c r="E74" s="2" t="s">
        <v>96</v>
      </c>
      <c r="F74" s="2" t="s">
        <v>275</v>
      </c>
      <c r="G74" s="2" t="s">
        <v>276</v>
      </c>
      <c r="H74" s="2" t="s">
        <v>437</v>
      </c>
      <c r="I74" s="2" t="s">
        <v>437</v>
      </c>
    </row>
    <row r="75" spans="5:9">
      <c r="E75" s="2" t="s">
        <v>97</v>
      </c>
      <c r="F75" s="2" t="s">
        <v>275</v>
      </c>
      <c r="G75" s="2" t="s">
        <v>276</v>
      </c>
      <c r="H75" s="2" t="s">
        <v>437</v>
      </c>
      <c r="I75" s="2" t="s">
        <v>437</v>
      </c>
    </row>
    <row r="76" spans="5:9">
      <c r="E76" s="2" t="s">
        <v>98</v>
      </c>
      <c r="F76" s="2" t="s">
        <v>287</v>
      </c>
      <c r="G76" s="2" t="s">
        <v>304</v>
      </c>
      <c r="H76" s="2" t="s">
        <v>287</v>
      </c>
      <c r="I76" s="2" t="s">
        <v>436</v>
      </c>
    </row>
    <row r="77" spans="5:9">
      <c r="E77" s="2" t="s">
        <v>99</v>
      </c>
      <c r="F77" s="2" t="s">
        <v>305</v>
      </c>
      <c r="G77" s="2" t="s">
        <v>306</v>
      </c>
      <c r="H77" s="2" t="s">
        <v>305</v>
      </c>
      <c r="I77" s="2" t="s">
        <v>436</v>
      </c>
    </row>
    <row r="78" spans="5:9">
      <c r="E78" s="2" t="s">
        <v>100</v>
      </c>
      <c r="F78" s="2" t="s">
        <v>305</v>
      </c>
      <c r="G78" s="2" t="s">
        <v>306</v>
      </c>
      <c r="H78" s="2" t="s">
        <v>305</v>
      </c>
      <c r="I78" s="2" t="s">
        <v>436</v>
      </c>
    </row>
    <row r="79" spans="5:9">
      <c r="E79" s="2" t="s">
        <v>101</v>
      </c>
      <c r="F79" s="2" t="s">
        <v>275</v>
      </c>
      <c r="G79" s="2" t="s">
        <v>276</v>
      </c>
      <c r="H79" s="2" t="s">
        <v>438</v>
      </c>
      <c r="I79" s="2" t="s">
        <v>438</v>
      </c>
    </row>
    <row r="80" spans="5:9">
      <c r="E80" s="2" t="s">
        <v>102</v>
      </c>
      <c r="F80" s="2" t="s">
        <v>287</v>
      </c>
      <c r="G80" s="2" t="s">
        <v>304</v>
      </c>
      <c r="H80" s="2" t="s">
        <v>287</v>
      </c>
      <c r="I80" s="2" t="s">
        <v>436</v>
      </c>
    </row>
    <row r="81" spans="5:9">
      <c r="E81" s="2" t="s">
        <v>103</v>
      </c>
      <c r="F81" s="2" t="s">
        <v>283</v>
      </c>
      <c r="G81" s="2" t="s">
        <v>307</v>
      </c>
      <c r="H81" s="2" t="s">
        <v>283</v>
      </c>
      <c r="I81" s="2" t="s">
        <v>436</v>
      </c>
    </row>
    <row r="82" spans="5:9">
      <c r="E82" s="2" t="s">
        <v>104</v>
      </c>
      <c r="F82" s="2" t="s">
        <v>267</v>
      </c>
      <c r="G82" s="2" t="s">
        <v>276</v>
      </c>
      <c r="H82" s="2" t="s">
        <v>267</v>
      </c>
      <c r="I82" s="2" t="s">
        <v>267</v>
      </c>
    </row>
    <row r="83" spans="5:9">
      <c r="E83" s="2" t="s">
        <v>105</v>
      </c>
      <c r="F83" s="2" t="s">
        <v>302</v>
      </c>
      <c r="G83" s="2" t="s">
        <v>303</v>
      </c>
      <c r="H83" s="2" t="s">
        <v>302</v>
      </c>
      <c r="I83" s="2" t="s">
        <v>436</v>
      </c>
    </row>
    <row r="84" spans="5:9">
      <c r="E84" s="2" t="s">
        <v>12</v>
      </c>
      <c r="F84" s="2" t="s">
        <v>273</v>
      </c>
      <c r="G84" s="2" t="s">
        <v>292</v>
      </c>
      <c r="H84" s="2" t="s">
        <v>273</v>
      </c>
      <c r="I84" s="2" t="s">
        <v>436</v>
      </c>
    </row>
    <row r="85" spans="5:9">
      <c r="E85" s="2" t="s">
        <v>106</v>
      </c>
      <c r="F85" s="2" t="s">
        <v>267</v>
      </c>
      <c r="G85" s="2" t="s">
        <v>276</v>
      </c>
      <c r="H85" s="2" t="s">
        <v>267</v>
      </c>
      <c r="I85" s="2" t="s">
        <v>267</v>
      </c>
    </row>
    <row r="86" spans="5:9">
      <c r="E86" s="2" t="s">
        <v>107</v>
      </c>
      <c r="F86" s="2" t="s">
        <v>275</v>
      </c>
      <c r="G86" s="2" t="s">
        <v>276</v>
      </c>
      <c r="H86" s="2" t="s">
        <v>438</v>
      </c>
      <c r="I86" s="2" t="s">
        <v>438</v>
      </c>
    </row>
    <row r="87" spans="5:9">
      <c r="E87" s="2" t="s">
        <v>108</v>
      </c>
      <c r="F87" s="2" t="s">
        <v>277</v>
      </c>
      <c r="G87" s="2" t="s">
        <v>296</v>
      </c>
      <c r="H87" s="2" t="s">
        <v>277</v>
      </c>
      <c r="I87" s="2" t="s">
        <v>436</v>
      </c>
    </row>
    <row r="88" spans="5:9">
      <c r="E88" s="2" t="s">
        <v>109</v>
      </c>
      <c r="F88" s="2" t="s">
        <v>275</v>
      </c>
      <c r="G88" s="2" t="s">
        <v>276</v>
      </c>
      <c r="H88" s="2" t="s">
        <v>437</v>
      </c>
      <c r="I88" s="2" t="s">
        <v>437</v>
      </c>
    </row>
    <row r="89" spans="5:9">
      <c r="E89" s="2" t="s">
        <v>110</v>
      </c>
      <c r="F89" s="2" t="s">
        <v>275</v>
      </c>
      <c r="G89" s="2" t="s">
        <v>276</v>
      </c>
      <c r="H89" s="2" t="s">
        <v>437</v>
      </c>
      <c r="I89" s="2" t="s">
        <v>437</v>
      </c>
    </row>
    <row r="90" spans="5:9">
      <c r="E90" s="2" t="s">
        <v>111</v>
      </c>
      <c r="F90" s="2" t="s">
        <v>289</v>
      </c>
      <c r="G90" s="2" t="s">
        <v>308</v>
      </c>
      <c r="H90" s="2" t="s">
        <v>289</v>
      </c>
      <c r="I90" s="2" t="s">
        <v>436</v>
      </c>
    </row>
    <row r="91" spans="5:9">
      <c r="E91" s="2" t="s">
        <v>112</v>
      </c>
      <c r="F91" s="2" t="s">
        <v>293</v>
      </c>
      <c r="G91" s="2" t="s">
        <v>294</v>
      </c>
      <c r="H91" s="2" t="s">
        <v>293</v>
      </c>
      <c r="I91" s="2" t="s">
        <v>436</v>
      </c>
    </row>
    <row r="92" spans="5:9">
      <c r="E92" s="2" t="s">
        <v>113</v>
      </c>
      <c r="F92" s="2" t="s">
        <v>297</v>
      </c>
      <c r="G92" s="2" t="s">
        <v>309</v>
      </c>
      <c r="H92" s="2" t="s">
        <v>297</v>
      </c>
      <c r="I92" s="2" t="s">
        <v>436</v>
      </c>
    </row>
    <row r="93" spans="5:9">
      <c r="E93" s="2" t="s">
        <v>114</v>
      </c>
      <c r="F93" s="2" t="s">
        <v>275</v>
      </c>
      <c r="G93" s="2" t="s">
        <v>276</v>
      </c>
      <c r="H93" s="2" t="s">
        <v>438</v>
      </c>
      <c r="I93" s="2" t="s">
        <v>438</v>
      </c>
    </row>
    <row r="94" spans="5:9">
      <c r="E94" s="2" t="s">
        <v>115</v>
      </c>
      <c r="F94" s="2" t="s">
        <v>267</v>
      </c>
      <c r="G94" s="2" t="s">
        <v>276</v>
      </c>
      <c r="H94" s="2" t="s">
        <v>267</v>
      </c>
      <c r="I94" s="2" t="s">
        <v>267</v>
      </c>
    </row>
    <row r="95" spans="5:9">
      <c r="E95" s="2" t="s">
        <v>116</v>
      </c>
      <c r="F95" s="2" t="s">
        <v>275</v>
      </c>
      <c r="G95" s="2" t="s">
        <v>276</v>
      </c>
      <c r="H95" s="2" t="s">
        <v>437</v>
      </c>
      <c r="I95" s="2" t="s">
        <v>437</v>
      </c>
    </row>
    <row r="96" spans="5:9">
      <c r="E96" s="2" t="s">
        <v>117</v>
      </c>
      <c r="F96" s="2" t="s">
        <v>267</v>
      </c>
      <c r="G96" s="2" t="s">
        <v>276</v>
      </c>
      <c r="H96" s="2" t="s">
        <v>267</v>
      </c>
      <c r="I96" s="2" t="s">
        <v>267</v>
      </c>
    </row>
    <row r="97" spans="5:9">
      <c r="E97" s="2" t="s">
        <v>118</v>
      </c>
      <c r="F97" s="2" t="s">
        <v>267</v>
      </c>
      <c r="G97" s="2" t="s">
        <v>276</v>
      </c>
      <c r="H97" s="2" t="s">
        <v>267</v>
      </c>
      <c r="I97" s="2" t="s">
        <v>267</v>
      </c>
    </row>
    <row r="98" spans="5:9">
      <c r="E98" s="2" t="s">
        <v>119</v>
      </c>
      <c r="F98" s="2" t="s">
        <v>267</v>
      </c>
      <c r="G98" s="2" t="s">
        <v>276</v>
      </c>
      <c r="H98" s="2" t="s">
        <v>267</v>
      </c>
      <c r="I98" s="2" t="s">
        <v>267</v>
      </c>
    </row>
    <row r="99" spans="5:9">
      <c r="E99" s="2" t="s">
        <v>120</v>
      </c>
      <c r="F99" s="2" t="s">
        <v>275</v>
      </c>
      <c r="G99" s="2" t="s">
        <v>276</v>
      </c>
      <c r="H99" s="2" t="s">
        <v>438</v>
      </c>
      <c r="I99" s="2" t="s">
        <v>438</v>
      </c>
    </row>
    <row r="100" spans="5:9">
      <c r="E100" s="2" t="s">
        <v>121</v>
      </c>
      <c r="F100" s="2" t="s">
        <v>285</v>
      </c>
      <c r="G100" s="2" t="s">
        <v>286</v>
      </c>
      <c r="H100" s="2" t="s">
        <v>285</v>
      </c>
      <c r="I100" s="2" t="s">
        <v>436</v>
      </c>
    </row>
    <row r="101" spans="5:9">
      <c r="E101" s="2" t="s">
        <v>122</v>
      </c>
      <c r="F101" s="2" t="s">
        <v>310</v>
      </c>
      <c r="G101" s="2" t="s">
        <v>311</v>
      </c>
      <c r="H101" s="2" t="s">
        <v>310</v>
      </c>
      <c r="I101" s="2" t="s">
        <v>436</v>
      </c>
    </row>
    <row r="102" spans="5:9">
      <c r="E102" s="2" t="s">
        <v>123</v>
      </c>
      <c r="F102" s="2" t="s">
        <v>267</v>
      </c>
      <c r="G102" s="2" t="s">
        <v>276</v>
      </c>
      <c r="H102" s="2" t="s">
        <v>267</v>
      </c>
      <c r="I102" s="2" t="s">
        <v>267</v>
      </c>
    </row>
    <row r="103" spans="5:9">
      <c r="E103" s="2" t="s">
        <v>124</v>
      </c>
      <c r="F103" s="2" t="s">
        <v>293</v>
      </c>
      <c r="G103" s="2" t="s">
        <v>294</v>
      </c>
      <c r="H103" s="2" t="s">
        <v>293</v>
      </c>
      <c r="I103" s="2" t="s">
        <v>436</v>
      </c>
    </row>
    <row r="104" spans="5:9">
      <c r="E104" s="2" t="s">
        <v>125</v>
      </c>
      <c r="F104" s="2" t="s">
        <v>273</v>
      </c>
      <c r="G104" s="2" t="s">
        <v>281</v>
      </c>
      <c r="H104" s="2" t="s">
        <v>273</v>
      </c>
      <c r="I104" s="2" t="s">
        <v>436</v>
      </c>
    </row>
    <row r="105" spans="5:9">
      <c r="E105" s="2" t="s">
        <v>126</v>
      </c>
      <c r="F105" s="2" t="s">
        <v>287</v>
      </c>
      <c r="G105" s="2" t="s">
        <v>301</v>
      </c>
      <c r="H105" s="2" t="s">
        <v>287</v>
      </c>
      <c r="I105" s="2" t="s">
        <v>436</v>
      </c>
    </row>
    <row r="106" spans="5:9">
      <c r="E106" s="2" t="s">
        <v>127</v>
      </c>
      <c r="F106" s="2" t="s">
        <v>297</v>
      </c>
      <c r="G106" s="2" t="s">
        <v>298</v>
      </c>
      <c r="H106" s="2" t="s">
        <v>297</v>
      </c>
      <c r="I106" s="2" t="s">
        <v>436</v>
      </c>
    </row>
    <row r="107" spans="5:9">
      <c r="E107" s="2" t="s">
        <v>128</v>
      </c>
      <c r="F107" s="2" t="s">
        <v>297</v>
      </c>
      <c r="G107" s="2" t="s">
        <v>298</v>
      </c>
      <c r="H107" s="2" t="s">
        <v>297</v>
      </c>
      <c r="I107" s="2" t="s">
        <v>436</v>
      </c>
    </row>
    <row r="108" spans="5:9">
      <c r="E108" s="2" t="s">
        <v>129</v>
      </c>
      <c r="F108" s="2" t="s">
        <v>293</v>
      </c>
      <c r="G108" s="2" t="s">
        <v>312</v>
      </c>
      <c r="H108" s="2" t="s">
        <v>293</v>
      </c>
      <c r="I108" s="2" t="s">
        <v>436</v>
      </c>
    </row>
    <row r="109" spans="5:9">
      <c r="E109" s="2" t="s">
        <v>130</v>
      </c>
      <c r="F109" s="2" t="s">
        <v>287</v>
      </c>
      <c r="G109" s="2" t="s">
        <v>288</v>
      </c>
      <c r="H109" s="2" t="s">
        <v>287</v>
      </c>
      <c r="I109" s="2" t="s">
        <v>436</v>
      </c>
    </row>
    <row r="110" spans="5:9">
      <c r="E110" s="2" t="s">
        <v>131</v>
      </c>
      <c r="F110" s="2" t="s">
        <v>273</v>
      </c>
      <c r="G110" s="2" t="s">
        <v>274</v>
      </c>
      <c r="H110" s="2" t="s">
        <v>273</v>
      </c>
      <c r="I110" s="2" t="s">
        <v>436</v>
      </c>
    </row>
    <row r="111" spans="5:9">
      <c r="E111" s="2" t="s">
        <v>132</v>
      </c>
      <c r="F111" s="2" t="s">
        <v>277</v>
      </c>
      <c r="G111" s="2" t="s">
        <v>296</v>
      </c>
      <c r="H111" s="2" t="s">
        <v>277</v>
      </c>
      <c r="I111" s="2" t="s">
        <v>436</v>
      </c>
    </row>
    <row r="112" spans="5:9">
      <c r="E112" s="2" t="s">
        <v>133</v>
      </c>
      <c r="F112" s="2" t="s">
        <v>275</v>
      </c>
      <c r="G112" s="2" t="s">
        <v>276</v>
      </c>
      <c r="H112" s="2" t="s">
        <v>437</v>
      </c>
      <c r="I112" s="2" t="s">
        <v>437</v>
      </c>
    </row>
    <row r="113" spans="5:9">
      <c r="E113" s="2" t="s">
        <v>134</v>
      </c>
      <c r="F113" s="2" t="s">
        <v>273</v>
      </c>
      <c r="G113" s="2" t="s">
        <v>292</v>
      </c>
      <c r="H113" s="2" t="s">
        <v>273</v>
      </c>
      <c r="I113" s="2" t="s">
        <v>436</v>
      </c>
    </row>
    <row r="114" spans="5:9">
      <c r="E114" s="2" t="s">
        <v>135</v>
      </c>
      <c r="F114" s="2" t="s">
        <v>273</v>
      </c>
      <c r="G114" s="2" t="s">
        <v>281</v>
      </c>
      <c r="H114" s="2" t="s">
        <v>273</v>
      </c>
      <c r="I114" s="2" t="s">
        <v>436</v>
      </c>
    </row>
    <row r="115" spans="5:9">
      <c r="E115" s="2" t="s">
        <v>136</v>
      </c>
      <c r="F115" s="2" t="s">
        <v>279</v>
      </c>
      <c r="G115" s="2" t="s">
        <v>313</v>
      </c>
      <c r="H115" s="2" t="s">
        <v>279</v>
      </c>
      <c r="I115" s="2" t="s">
        <v>436</v>
      </c>
    </row>
    <row r="116" spans="5:9">
      <c r="E116" s="2" t="s">
        <v>137</v>
      </c>
      <c r="F116" s="2" t="s">
        <v>293</v>
      </c>
      <c r="G116" s="2" t="s">
        <v>294</v>
      </c>
      <c r="H116" s="2" t="s">
        <v>293</v>
      </c>
      <c r="I116" s="2" t="s">
        <v>436</v>
      </c>
    </row>
    <row r="117" spans="5:9">
      <c r="E117" s="2" t="s">
        <v>138</v>
      </c>
      <c r="F117" s="2" t="s">
        <v>287</v>
      </c>
      <c r="G117" s="2" t="s">
        <v>301</v>
      </c>
      <c r="H117" s="2" t="s">
        <v>287</v>
      </c>
      <c r="I117" s="2" t="s">
        <v>436</v>
      </c>
    </row>
    <row r="118" spans="5:9">
      <c r="E118" s="2" t="s">
        <v>139</v>
      </c>
      <c r="F118" s="2" t="s">
        <v>273</v>
      </c>
      <c r="G118" s="2" t="s">
        <v>292</v>
      </c>
      <c r="H118" s="2" t="s">
        <v>273</v>
      </c>
      <c r="I118" s="2" t="s">
        <v>436</v>
      </c>
    </row>
    <row r="119" spans="5:9">
      <c r="E119" s="2" t="s">
        <v>140</v>
      </c>
      <c r="F119" s="2" t="s">
        <v>279</v>
      </c>
      <c r="G119" s="2" t="s">
        <v>313</v>
      </c>
      <c r="H119" s="2" t="s">
        <v>279</v>
      </c>
      <c r="I119" s="2" t="s">
        <v>436</v>
      </c>
    </row>
    <row r="120" spans="5:9">
      <c r="E120" s="2" t="s">
        <v>141</v>
      </c>
      <c r="F120" s="2" t="s">
        <v>285</v>
      </c>
      <c r="G120" s="2" t="s">
        <v>295</v>
      </c>
      <c r="H120" s="2" t="s">
        <v>285</v>
      </c>
      <c r="I120" s="2" t="s">
        <v>436</v>
      </c>
    </row>
    <row r="121" spans="5:9">
      <c r="E121" s="2" t="s">
        <v>142</v>
      </c>
      <c r="F121" s="2" t="s">
        <v>310</v>
      </c>
      <c r="G121" s="2" t="s">
        <v>311</v>
      </c>
      <c r="H121" s="2" t="s">
        <v>310</v>
      </c>
      <c r="I121" s="2" t="s">
        <v>436</v>
      </c>
    </row>
    <row r="122" spans="5:9">
      <c r="E122" s="2" t="s">
        <v>143</v>
      </c>
      <c r="F122" s="2" t="s">
        <v>287</v>
      </c>
      <c r="G122" s="2" t="s">
        <v>288</v>
      </c>
      <c r="H122" s="2" t="s">
        <v>287</v>
      </c>
      <c r="I122" s="2" t="s">
        <v>436</v>
      </c>
    </row>
    <row r="123" spans="5:9">
      <c r="E123" s="2" t="s">
        <v>144</v>
      </c>
      <c r="F123" s="2" t="s">
        <v>314</v>
      </c>
      <c r="G123" s="2" t="s">
        <v>315</v>
      </c>
      <c r="H123" s="2" t="s">
        <v>314</v>
      </c>
      <c r="I123" s="2" t="s">
        <v>436</v>
      </c>
    </row>
    <row r="124" spans="5:9">
      <c r="E124" s="2" t="s">
        <v>145</v>
      </c>
      <c r="F124" s="2" t="s">
        <v>285</v>
      </c>
      <c r="G124" s="2" t="s">
        <v>286</v>
      </c>
      <c r="H124" s="2" t="s">
        <v>285</v>
      </c>
      <c r="I124" s="2" t="s">
        <v>436</v>
      </c>
    </row>
    <row r="125" spans="5:9">
      <c r="E125" s="2" t="s">
        <v>146</v>
      </c>
      <c r="F125" s="2" t="s">
        <v>297</v>
      </c>
      <c r="G125" s="2" t="s">
        <v>298</v>
      </c>
      <c r="H125" s="2" t="s">
        <v>297</v>
      </c>
      <c r="I125" s="2" t="s">
        <v>436</v>
      </c>
    </row>
    <row r="126" spans="5:9">
      <c r="E126" s="2" t="s">
        <v>147</v>
      </c>
      <c r="F126" s="2" t="s">
        <v>275</v>
      </c>
      <c r="G126" s="2" t="s">
        <v>276</v>
      </c>
      <c r="H126" s="2" t="s">
        <v>437</v>
      </c>
      <c r="I126" s="2" t="s">
        <v>437</v>
      </c>
    </row>
    <row r="127" spans="5:9">
      <c r="E127" s="2" t="s">
        <v>148</v>
      </c>
      <c r="F127" s="2" t="s">
        <v>277</v>
      </c>
      <c r="G127" s="2" t="s">
        <v>299</v>
      </c>
      <c r="H127" s="2" t="s">
        <v>277</v>
      </c>
      <c r="I127" s="2" t="s">
        <v>436</v>
      </c>
    </row>
    <row r="128" spans="5:9">
      <c r="E128" s="2" t="s">
        <v>149</v>
      </c>
      <c r="F128" s="2" t="s">
        <v>289</v>
      </c>
      <c r="G128" s="2" t="s">
        <v>300</v>
      </c>
      <c r="H128" s="2" t="s">
        <v>289</v>
      </c>
      <c r="I128" s="2" t="s">
        <v>436</v>
      </c>
    </row>
    <row r="129" spans="5:9">
      <c r="E129" s="2" t="s">
        <v>150</v>
      </c>
      <c r="F129" s="2" t="s">
        <v>275</v>
      </c>
      <c r="G129" s="2" t="s">
        <v>276</v>
      </c>
      <c r="H129" s="2" t="s">
        <v>437</v>
      </c>
      <c r="I129" s="2" t="s">
        <v>437</v>
      </c>
    </row>
    <row r="130" spans="5:9">
      <c r="E130" s="2" t="s">
        <v>151</v>
      </c>
      <c r="F130" s="2" t="s">
        <v>293</v>
      </c>
      <c r="G130" s="2" t="s">
        <v>312</v>
      </c>
      <c r="H130" s="2" t="s">
        <v>293</v>
      </c>
      <c r="I130" s="2" t="s">
        <v>436</v>
      </c>
    </row>
    <row r="131" spans="5:9">
      <c r="E131" s="2" t="s">
        <v>152</v>
      </c>
      <c r="F131" s="2" t="s">
        <v>285</v>
      </c>
      <c r="G131" s="2" t="s">
        <v>286</v>
      </c>
      <c r="H131" s="2" t="s">
        <v>285</v>
      </c>
      <c r="I131" s="2" t="s">
        <v>436</v>
      </c>
    </row>
    <row r="132" spans="5:9">
      <c r="E132" s="2" t="s">
        <v>153</v>
      </c>
      <c r="F132" s="2" t="s">
        <v>275</v>
      </c>
      <c r="G132" s="2" t="s">
        <v>276</v>
      </c>
      <c r="H132" s="2" t="s">
        <v>437</v>
      </c>
      <c r="I132" s="2" t="s">
        <v>437</v>
      </c>
    </row>
    <row r="133" spans="5:9">
      <c r="E133" s="2" t="s">
        <v>154</v>
      </c>
      <c r="F133" s="2" t="s">
        <v>279</v>
      </c>
      <c r="G133" s="2" t="s">
        <v>282</v>
      </c>
      <c r="H133" s="2" t="s">
        <v>279</v>
      </c>
      <c r="I133" s="2" t="s">
        <v>436</v>
      </c>
    </row>
    <row r="134" spans="5:9">
      <c r="E134" s="2" t="s">
        <v>155</v>
      </c>
      <c r="F134" s="2" t="s">
        <v>291</v>
      </c>
      <c r="G134" s="2" t="s">
        <v>276</v>
      </c>
      <c r="H134" s="2" t="s">
        <v>291</v>
      </c>
      <c r="I134" s="2" t="s">
        <v>291</v>
      </c>
    </row>
    <row r="135" spans="5:9">
      <c r="E135" s="2" t="s">
        <v>156</v>
      </c>
      <c r="F135" s="2" t="s">
        <v>273</v>
      </c>
      <c r="G135" s="2" t="s">
        <v>292</v>
      </c>
      <c r="H135" s="2" t="s">
        <v>273</v>
      </c>
      <c r="I135" s="2" t="s">
        <v>436</v>
      </c>
    </row>
    <row r="136" spans="5:9">
      <c r="E136" s="2" t="s">
        <v>157</v>
      </c>
      <c r="F136" s="2" t="s">
        <v>283</v>
      </c>
      <c r="G136" s="2" t="s">
        <v>284</v>
      </c>
      <c r="H136" s="2" t="s">
        <v>283</v>
      </c>
      <c r="I136" s="2" t="s">
        <v>436</v>
      </c>
    </row>
    <row r="137" spans="5:9">
      <c r="E137" s="2" t="s">
        <v>20</v>
      </c>
      <c r="F137" s="2" t="s">
        <v>285</v>
      </c>
      <c r="G137" s="2" t="s">
        <v>286</v>
      </c>
      <c r="H137" s="2" t="s">
        <v>285</v>
      </c>
      <c r="I137" s="2" t="s">
        <v>436</v>
      </c>
    </row>
    <row r="138" spans="5:9">
      <c r="E138" s="2" t="s">
        <v>158</v>
      </c>
      <c r="F138" s="2" t="s">
        <v>267</v>
      </c>
      <c r="G138" s="2" t="s">
        <v>276</v>
      </c>
      <c r="H138" s="2" t="s">
        <v>267</v>
      </c>
      <c r="I138" s="2" t="s">
        <v>267</v>
      </c>
    </row>
    <row r="139" spans="5:9">
      <c r="E139" s="2" t="s">
        <v>159</v>
      </c>
      <c r="F139" s="2" t="s">
        <v>283</v>
      </c>
      <c r="G139" s="2" t="s">
        <v>316</v>
      </c>
      <c r="H139" s="2" t="s">
        <v>283</v>
      </c>
      <c r="I139" s="2" t="s">
        <v>436</v>
      </c>
    </row>
    <row r="140" spans="5:9">
      <c r="E140" s="2" t="s">
        <v>160</v>
      </c>
      <c r="F140" s="2" t="s">
        <v>275</v>
      </c>
      <c r="G140" s="2" t="s">
        <v>276</v>
      </c>
      <c r="H140" s="2" t="s">
        <v>437</v>
      </c>
      <c r="I140" s="2" t="s">
        <v>437</v>
      </c>
    </row>
    <row r="141" spans="5:9">
      <c r="E141" s="2" t="s">
        <v>161</v>
      </c>
      <c r="F141" s="2" t="s">
        <v>275</v>
      </c>
      <c r="G141" s="2" t="s">
        <v>276</v>
      </c>
      <c r="H141" s="2" t="s">
        <v>437</v>
      </c>
      <c r="I141" s="2" t="s">
        <v>437</v>
      </c>
    </row>
    <row r="142" spans="5:9">
      <c r="E142" s="2" t="s">
        <v>162</v>
      </c>
      <c r="F142" s="2" t="s">
        <v>289</v>
      </c>
      <c r="G142" s="2" t="s">
        <v>290</v>
      </c>
      <c r="H142" s="2" t="s">
        <v>289</v>
      </c>
      <c r="I142" s="2" t="s">
        <v>436</v>
      </c>
    </row>
    <row r="143" spans="5:9">
      <c r="E143" s="2" t="s">
        <v>163</v>
      </c>
      <c r="F143" s="2" t="s">
        <v>310</v>
      </c>
      <c r="G143" s="2" t="s">
        <v>317</v>
      </c>
      <c r="H143" s="2" t="s">
        <v>310</v>
      </c>
      <c r="I143" s="2" t="s">
        <v>436</v>
      </c>
    </row>
    <row r="144" spans="5:9">
      <c r="E144" s="2" t="s">
        <v>164</v>
      </c>
      <c r="F144" s="2" t="s">
        <v>310</v>
      </c>
      <c r="G144" s="2" t="s">
        <v>317</v>
      </c>
      <c r="H144" s="2" t="s">
        <v>310</v>
      </c>
      <c r="I144" s="2" t="s">
        <v>436</v>
      </c>
    </row>
    <row r="145" spans="5:9">
      <c r="E145" s="2" t="s">
        <v>165</v>
      </c>
      <c r="F145" s="2" t="s">
        <v>275</v>
      </c>
      <c r="G145" s="2" t="s">
        <v>276</v>
      </c>
      <c r="H145" s="2" t="s">
        <v>438</v>
      </c>
      <c r="I145" s="2" t="s">
        <v>438</v>
      </c>
    </row>
    <row r="146" spans="5:9">
      <c r="E146" s="2" t="s">
        <v>166</v>
      </c>
      <c r="F146" s="2" t="s">
        <v>283</v>
      </c>
      <c r="G146" s="2" t="s">
        <v>307</v>
      </c>
      <c r="H146" s="2" t="s">
        <v>283</v>
      </c>
      <c r="I146" s="2" t="s">
        <v>436</v>
      </c>
    </row>
    <row r="147" spans="5:9">
      <c r="E147" s="2" t="s">
        <v>167</v>
      </c>
      <c r="F147" s="2" t="s">
        <v>275</v>
      </c>
      <c r="G147" s="2" t="s">
        <v>276</v>
      </c>
      <c r="H147" s="2" t="s">
        <v>438</v>
      </c>
      <c r="I147" s="2" t="s">
        <v>438</v>
      </c>
    </row>
    <row r="148" spans="5:9">
      <c r="E148" s="2" t="s">
        <v>168</v>
      </c>
      <c r="F148" s="2" t="s">
        <v>273</v>
      </c>
      <c r="G148" s="2" t="s">
        <v>274</v>
      </c>
      <c r="H148" s="2" t="s">
        <v>273</v>
      </c>
      <c r="I148" s="2" t="s">
        <v>436</v>
      </c>
    </row>
    <row r="149" spans="5:9">
      <c r="E149" s="2" t="s">
        <v>169</v>
      </c>
      <c r="F149" s="2" t="s">
        <v>287</v>
      </c>
      <c r="G149" s="2" t="s">
        <v>301</v>
      </c>
      <c r="H149" s="2" t="s">
        <v>287</v>
      </c>
      <c r="I149" s="2" t="s">
        <v>436</v>
      </c>
    </row>
    <row r="150" spans="5:9">
      <c r="E150" s="2" t="s">
        <v>170</v>
      </c>
      <c r="F150" s="2" t="s">
        <v>283</v>
      </c>
      <c r="G150" s="2" t="s">
        <v>284</v>
      </c>
      <c r="H150" s="2" t="s">
        <v>283</v>
      </c>
      <c r="I150" s="2" t="s">
        <v>436</v>
      </c>
    </row>
    <row r="151" spans="5:9">
      <c r="E151" s="2" t="s">
        <v>546</v>
      </c>
      <c r="F151" s="2" t="s">
        <v>275</v>
      </c>
      <c r="G151" s="2" t="s">
        <v>276</v>
      </c>
      <c r="H151" s="2" t="s">
        <v>438</v>
      </c>
      <c r="I151" s="2" t="s">
        <v>438</v>
      </c>
    </row>
    <row r="152" spans="5:9">
      <c r="E152" s="2" t="s">
        <v>171</v>
      </c>
      <c r="F152" s="2" t="s">
        <v>275</v>
      </c>
      <c r="G152" s="2" t="s">
        <v>276</v>
      </c>
      <c r="H152" s="2" t="s">
        <v>437</v>
      </c>
      <c r="I152" s="2" t="s">
        <v>437</v>
      </c>
    </row>
    <row r="153" spans="5:9">
      <c r="E153" s="2" t="s">
        <v>172</v>
      </c>
      <c r="F153" s="2" t="s">
        <v>275</v>
      </c>
      <c r="G153" s="2" t="s">
        <v>276</v>
      </c>
      <c r="H153" s="2" t="s">
        <v>437</v>
      </c>
      <c r="I153" s="2" t="s">
        <v>437</v>
      </c>
    </row>
    <row r="154" spans="5:9">
      <c r="E154" s="2" t="s">
        <v>173</v>
      </c>
      <c r="F154" s="2" t="s">
        <v>287</v>
      </c>
      <c r="G154" s="2" t="s">
        <v>304</v>
      </c>
      <c r="H154" s="2" t="s">
        <v>287</v>
      </c>
      <c r="I154" s="2" t="s">
        <v>436</v>
      </c>
    </row>
    <row r="155" spans="5:9">
      <c r="E155" s="2" t="s">
        <v>174</v>
      </c>
      <c r="F155" s="2" t="s">
        <v>279</v>
      </c>
      <c r="G155" s="2" t="s">
        <v>313</v>
      </c>
      <c r="H155" s="2" t="s">
        <v>279</v>
      </c>
      <c r="I155" s="2" t="s">
        <v>436</v>
      </c>
    </row>
    <row r="156" spans="5:9">
      <c r="E156" s="2" t="s">
        <v>175</v>
      </c>
      <c r="F156" s="2" t="s">
        <v>289</v>
      </c>
      <c r="G156" s="2" t="s">
        <v>308</v>
      </c>
      <c r="H156" s="2" t="s">
        <v>289</v>
      </c>
      <c r="I156" s="2" t="s">
        <v>436</v>
      </c>
    </row>
    <row r="157" spans="5:9">
      <c r="E157" s="2" t="s">
        <v>177</v>
      </c>
      <c r="F157" s="2" t="s">
        <v>289</v>
      </c>
      <c r="G157" s="2" t="s">
        <v>300</v>
      </c>
      <c r="H157" s="2" t="s">
        <v>289</v>
      </c>
      <c r="I157" s="2" t="s">
        <v>436</v>
      </c>
    </row>
    <row r="158" spans="5:9">
      <c r="E158" s="2" t="s">
        <v>178</v>
      </c>
      <c r="F158" s="2" t="s">
        <v>279</v>
      </c>
      <c r="G158" s="2" t="s">
        <v>313</v>
      </c>
      <c r="H158" s="2" t="s">
        <v>279</v>
      </c>
      <c r="I158" s="2" t="s">
        <v>436</v>
      </c>
    </row>
    <row r="159" spans="5:9">
      <c r="E159" s="2" t="s">
        <v>179</v>
      </c>
      <c r="F159" s="2" t="s">
        <v>275</v>
      </c>
      <c r="G159" s="2" t="s">
        <v>276</v>
      </c>
      <c r="H159" s="2" t="s">
        <v>437</v>
      </c>
      <c r="I159" s="2" t="s">
        <v>437</v>
      </c>
    </row>
    <row r="160" spans="5:9">
      <c r="E160" s="2" t="s">
        <v>180</v>
      </c>
      <c r="F160" s="2" t="s">
        <v>275</v>
      </c>
      <c r="G160" s="2" t="s">
        <v>276</v>
      </c>
      <c r="H160" s="2" t="s">
        <v>437</v>
      </c>
      <c r="I160" s="2" t="s">
        <v>437</v>
      </c>
    </row>
    <row r="161" spans="5:9">
      <c r="E161" s="2" t="s">
        <v>181</v>
      </c>
      <c r="F161" s="2" t="s">
        <v>275</v>
      </c>
      <c r="G161" s="2" t="s">
        <v>276</v>
      </c>
      <c r="H161" s="2" t="s">
        <v>438</v>
      </c>
      <c r="I161" s="2" t="s">
        <v>438</v>
      </c>
    </row>
    <row r="162" spans="5:9">
      <c r="E162" s="2" t="s">
        <v>182</v>
      </c>
      <c r="F162" s="2" t="s">
        <v>267</v>
      </c>
      <c r="G162" s="2" t="s">
        <v>276</v>
      </c>
      <c r="H162" s="2" t="s">
        <v>267</v>
      </c>
      <c r="I162" s="2" t="s">
        <v>267</v>
      </c>
    </row>
    <row r="163" spans="5:9">
      <c r="E163" s="2" t="s">
        <v>183</v>
      </c>
      <c r="F163" s="2" t="s">
        <v>293</v>
      </c>
      <c r="G163" s="2" t="s">
        <v>294</v>
      </c>
      <c r="H163" s="2" t="s">
        <v>293</v>
      </c>
      <c r="I163" s="2" t="s">
        <v>436</v>
      </c>
    </row>
    <row r="164" spans="5:9">
      <c r="E164" s="2" t="s">
        <v>184</v>
      </c>
      <c r="F164" s="2" t="s">
        <v>293</v>
      </c>
      <c r="G164" s="2" t="s">
        <v>294</v>
      </c>
      <c r="H164" s="2" t="s">
        <v>293</v>
      </c>
      <c r="I164" s="2" t="s">
        <v>436</v>
      </c>
    </row>
    <row r="165" spans="5:9">
      <c r="E165" s="2" t="s">
        <v>185</v>
      </c>
      <c r="F165" s="2" t="s">
        <v>285</v>
      </c>
      <c r="G165" s="2" t="s">
        <v>295</v>
      </c>
      <c r="H165" s="2" t="s">
        <v>285</v>
      </c>
      <c r="I165" s="2" t="s">
        <v>436</v>
      </c>
    </row>
    <row r="166" spans="5:9">
      <c r="E166" s="2" t="s">
        <v>186</v>
      </c>
      <c r="F166" s="2" t="s">
        <v>275</v>
      </c>
      <c r="G166" s="2" t="s">
        <v>276</v>
      </c>
      <c r="H166" s="2" t="s">
        <v>438</v>
      </c>
      <c r="I166" s="2" t="s">
        <v>438</v>
      </c>
    </row>
    <row r="167" spans="5:9">
      <c r="E167" s="2" t="s">
        <v>187</v>
      </c>
      <c r="F167" s="2" t="s">
        <v>287</v>
      </c>
      <c r="G167" s="2" t="s">
        <v>301</v>
      </c>
      <c r="H167" s="2" t="s">
        <v>287</v>
      </c>
      <c r="I167" s="2" t="s">
        <v>436</v>
      </c>
    </row>
    <row r="168" spans="5:9">
      <c r="E168" s="2" t="s">
        <v>188</v>
      </c>
      <c r="F168" s="2" t="s">
        <v>275</v>
      </c>
      <c r="G168" s="2" t="s">
        <v>276</v>
      </c>
      <c r="H168" s="2" t="s">
        <v>437</v>
      </c>
      <c r="I168" s="2" t="s">
        <v>437</v>
      </c>
    </row>
    <row r="169" spans="5:9">
      <c r="E169" s="2" t="s">
        <v>241</v>
      </c>
      <c r="F169" s="2" t="s">
        <v>275</v>
      </c>
      <c r="G169" s="2" t="s">
        <v>276</v>
      </c>
      <c r="H169" s="2" t="s">
        <v>438</v>
      </c>
      <c r="I169" s="2" t="s">
        <v>438</v>
      </c>
    </row>
    <row r="170" spans="5:9">
      <c r="E170" s="2" t="s">
        <v>189</v>
      </c>
      <c r="F170" s="2" t="s">
        <v>275</v>
      </c>
      <c r="G170" s="2" t="s">
        <v>276</v>
      </c>
      <c r="H170" s="2" t="s">
        <v>437</v>
      </c>
      <c r="I170" s="2" t="s">
        <v>437</v>
      </c>
    </row>
    <row r="171" spans="5:9">
      <c r="E171" s="2" t="s">
        <v>190</v>
      </c>
      <c r="F171" s="2" t="s">
        <v>275</v>
      </c>
      <c r="G171" s="2" t="s">
        <v>276</v>
      </c>
      <c r="H171" s="2" t="s">
        <v>438</v>
      </c>
      <c r="I171" s="2" t="s">
        <v>438</v>
      </c>
    </row>
    <row r="172" spans="5:9">
      <c r="E172" s="2" t="s">
        <v>191</v>
      </c>
      <c r="F172" s="2" t="s">
        <v>305</v>
      </c>
      <c r="G172" s="2" t="s">
        <v>306</v>
      </c>
      <c r="H172" s="2" t="s">
        <v>305</v>
      </c>
      <c r="I172" s="2" t="s">
        <v>436</v>
      </c>
    </row>
    <row r="173" spans="5:9">
      <c r="E173" s="2" t="s">
        <v>192</v>
      </c>
      <c r="F173" s="2" t="s">
        <v>275</v>
      </c>
      <c r="G173" s="2" t="s">
        <v>276</v>
      </c>
      <c r="H173" s="2" t="s">
        <v>438</v>
      </c>
      <c r="I173" s="2" t="s">
        <v>438</v>
      </c>
    </row>
    <row r="174" spans="5:9">
      <c r="E174" s="2" t="s">
        <v>193</v>
      </c>
      <c r="F174" s="2" t="s">
        <v>279</v>
      </c>
      <c r="G174" s="2" t="s">
        <v>280</v>
      </c>
      <c r="H174" s="2" t="s">
        <v>279</v>
      </c>
      <c r="I174" s="2" t="s">
        <v>436</v>
      </c>
    </row>
    <row r="175" spans="5:9">
      <c r="E175" s="2" t="s">
        <v>194</v>
      </c>
      <c r="F175" s="2" t="s">
        <v>277</v>
      </c>
      <c r="G175" s="2" t="s">
        <v>296</v>
      </c>
      <c r="H175" s="2" t="s">
        <v>277</v>
      </c>
      <c r="I175" s="2" t="s">
        <v>436</v>
      </c>
    </row>
    <row r="176" spans="5:9">
      <c r="E176" s="2" t="s">
        <v>195</v>
      </c>
      <c r="F176" s="2" t="s">
        <v>273</v>
      </c>
      <c r="G176" s="2" t="s">
        <v>281</v>
      </c>
      <c r="H176" s="2" t="s">
        <v>273</v>
      </c>
      <c r="I176" s="2" t="s">
        <v>436</v>
      </c>
    </row>
    <row r="177" spans="5:9">
      <c r="E177" s="2" t="s">
        <v>196</v>
      </c>
      <c r="F177" s="2" t="s">
        <v>275</v>
      </c>
      <c r="G177" s="2" t="s">
        <v>276</v>
      </c>
      <c r="H177" s="2" t="s">
        <v>437</v>
      </c>
      <c r="I177" s="2" t="s">
        <v>437</v>
      </c>
    </row>
    <row r="178" spans="5:9">
      <c r="E178" s="2" t="s">
        <v>21</v>
      </c>
      <c r="F178" s="2" t="s">
        <v>273</v>
      </c>
      <c r="G178" s="2" t="s">
        <v>274</v>
      </c>
      <c r="H178" s="2" t="s">
        <v>273</v>
      </c>
      <c r="I178" s="2" t="s">
        <v>436</v>
      </c>
    </row>
    <row r="179" spans="5:9">
      <c r="E179" s="2" t="s">
        <v>197</v>
      </c>
      <c r="F179" s="2" t="s">
        <v>275</v>
      </c>
      <c r="G179" s="2" t="s">
        <v>276</v>
      </c>
      <c r="H179" s="2" t="s">
        <v>437</v>
      </c>
      <c r="I179" s="2" t="s">
        <v>437</v>
      </c>
    </row>
    <row r="180" spans="5:9">
      <c r="E180" s="2" t="s">
        <v>198</v>
      </c>
      <c r="F180" s="2" t="s">
        <v>275</v>
      </c>
      <c r="G180" s="2" t="s">
        <v>276</v>
      </c>
      <c r="H180" s="2" t="s">
        <v>438</v>
      </c>
      <c r="I180" s="2" t="s">
        <v>438</v>
      </c>
    </row>
    <row r="181" spans="5:9">
      <c r="E181" s="2" t="s">
        <v>199</v>
      </c>
      <c r="F181" s="2" t="s">
        <v>275</v>
      </c>
      <c r="G181" s="2" t="s">
        <v>276</v>
      </c>
      <c r="H181" s="2" t="s">
        <v>437</v>
      </c>
      <c r="I181" s="2" t="s">
        <v>437</v>
      </c>
    </row>
    <row r="182" spans="5:9">
      <c r="E182" s="2" t="s">
        <v>200</v>
      </c>
      <c r="F182" s="2" t="s">
        <v>275</v>
      </c>
      <c r="G182" s="2" t="s">
        <v>276</v>
      </c>
      <c r="H182" s="2" t="s">
        <v>437</v>
      </c>
      <c r="I182" s="2" t="s">
        <v>437</v>
      </c>
    </row>
    <row r="183" spans="5:9">
      <c r="E183" s="2" t="s">
        <v>201</v>
      </c>
      <c r="F183" s="2" t="s">
        <v>275</v>
      </c>
      <c r="G183" s="2" t="s">
        <v>276</v>
      </c>
      <c r="H183" s="2" t="s">
        <v>437</v>
      </c>
      <c r="I183" s="2" t="s">
        <v>437</v>
      </c>
    </row>
    <row r="184" spans="5:9">
      <c r="E184" s="2" t="s">
        <v>202</v>
      </c>
      <c r="F184" s="2" t="s">
        <v>275</v>
      </c>
      <c r="G184" s="2" t="s">
        <v>276</v>
      </c>
      <c r="H184" s="2" t="s">
        <v>437</v>
      </c>
      <c r="I184" s="2" t="s">
        <v>437</v>
      </c>
    </row>
    <row r="185" spans="5:9">
      <c r="E185" s="2" t="s">
        <v>203</v>
      </c>
      <c r="F185" s="2" t="s">
        <v>273</v>
      </c>
      <c r="G185" s="2" t="s">
        <v>292</v>
      </c>
      <c r="H185" s="2" t="s">
        <v>273</v>
      </c>
      <c r="I185" s="2" t="s">
        <v>436</v>
      </c>
    </row>
    <row r="186" spans="5:9">
      <c r="E186" s="2" t="s">
        <v>204</v>
      </c>
      <c r="F186" s="2" t="s">
        <v>279</v>
      </c>
      <c r="G186" s="2" t="s">
        <v>313</v>
      </c>
      <c r="H186" s="2" t="s">
        <v>279</v>
      </c>
      <c r="I186" s="2" t="s">
        <v>436</v>
      </c>
    </row>
    <row r="187" spans="5:9">
      <c r="E187" s="2" t="s">
        <v>205</v>
      </c>
      <c r="F187" s="2" t="s">
        <v>267</v>
      </c>
      <c r="G187" s="2" t="s">
        <v>276</v>
      </c>
      <c r="H187" s="2" t="s">
        <v>267</v>
      </c>
      <c r="I187" s="2" t="s">
        <v>267</v>
      </c>
    </row>
    <row r="188" spans="5:9">
      <c r="E188" s="2" t="s">
        <v>206</v>
      </c>
      <c r="F188" s="2" t="s">
        <v>277</v>
      </c>
      <c r="G188" s="2" t="s">
        <v>296</v>
      </c>
      <c r="H188" s="2" t="s">
        <v>277</v>
      </c>
      <c r="I188" s="2" t="s">
        <v>436</v>
      </c>
    </row>
    <row r="189" spans="5:9">
      <c r="E189" s="2" t="s">
        <v>207</v>
      </c>
      <c r="F189" s="2" t="s">
        <v>275</v>
      </c>
      <c r="G189" s="2" t="s">
        <v>276</v>
      </c>
      <c r="H189" s="2" t="s">
        <v>437</v>
      </c>
      <c r="I189" s="2" t="s">
        <v>437</v>
      </c>
    </row>
    <row r="190" spans="5:9">
      <c r="E190" s="2" t="s">
        <v>208</v>
      </c>
      <c r="F190" s="2" t="s">
        <v>305</v>
      </c>
      <c r="G190" s="2" t="s">
        <v>306</v>
      </c>
      <c r="H190" s="2" t="s">
        <v>305</v>
      </c>
      <c r="I190" s="2" t="s">
        <v>436</v>
      </c>
    </row>
    <row r="191" spans="5:9">
      <c r="E191" s="2" t="s">
        <v>209</v>
      </c>
      <c r="F191" s="2" t="s">
        <v>275</v>
      </c>
      <c r="G191" s="2" t="s">
        <v>276</v>
      </c>
      <c r="H191" s="2" t="s">
        <v>438</v>
      </c>
      <c r="I191" s="2" t="s">
        <v>438</v>
      </c>
    </row>
    <row r="192" spans="5:9">
      <c r="E192" s="2" t="s">
        <v>210</v>
      </c>
      <c r="F192" s="2" t="s">
        <v>275</v>
      </c>
      <c r="G192" s="2" t="s">
        <v>276</v>
      </c>
      <c r="H192" s="2" t="s">
        <v>438</v>
      </c>
      <c r="I192" s="2" t="s">
        <v>438</v>
      </c>
    </row>
    <row r="193" spans="5:9">
      <c r="E193" s="2" t="s">
        <v>211</v>
      </c>
      <c r="F193" s="2" t="s">
        <v>275</v>
      </c>
      <c r="G193" s="2" t="s">
        <v>276</v>
      </c>
      <c r="H193" s="2" t="s">
        <v>438</v>
      </c>
      <c r="I193" s="2" t="s">
        <v>438</v>
      </c>
    </row>
    <row r="194" spans="5:9">
      <c r="E194" s="2" t="s">
        <v>212</v>
      </c>
      <c r="F194" s="2" t="s">
        <v>277</v>
      </c>
      <c r="G194" s="2" t="s">
        <v>318</v>
      </c>
      <c r="H194" s="2" t="s">
        <v>277</v>
      </c>
      <c r="I194" s="2" t="s">
        <v>436</v>
      </c>
    </row>
    <row r="195" spans="5:9">
      <c r="E195" s="2" t="s">
        <v>213</v>
      </c>
      <c r="F195" s="2" t="s">
        <v>275</v>
      </c>
      <c r="G195" s="2" t="s">
        <v>276</v>
      </c>
      <c r="H195" s="2" t="s">
        <v>438</v>
      </c>
      <c r="I195" s="2" t="s">
        <v>438</v>
      </c>
    </row>
    <row r="196" spans="5:9">
      <c r="E196" s="2" t="s">
        <v>214</v>
      </c>
      <c r="F196" s="2" t="s">
        <v>319</v>
      </c>
      <c r="G196" s="2" t="s">
        <v>276</v>
      </c>
      <c r="H196" s="2" t="s">
        <v>437</v>
      </c>
      <c r="I196" s="2" t="s">
        <v>437</v>
      </c>
    </row>
    <row r="197" spans="5:9">
      <c r="E197" s="2" t="s">
        <v>215</v>
      </c>
      <c r="F197" s="2" t="s">
        <v>293</v>
      </c>
      <c r="G197" s="2" t="s">
        <v>294</v>
      </c>
      <c r="H197" s="2" t="s">
        <v>293</v>
      </c>
      <c r="I197" s="2" t="s">
        <v>436</v>
      </c>
    </row>
    <row r="198" spans="5:9">
      <c r="E198" s="2" t="s">
        <v>216</v>
      </c>
      <c r="F198" s="2" t="s">
        <v>275</v>
      </c>
      <c r="G198" s="2" t="s">
        <v>276</v>
      </c>
      <c r="H198" s="2" t="s">
        <v>437</v>
      </c>
      <c r="I198" s="2" t="s">
        <v>437</v>
      </c>
    </row>
    <row r="199" spans="5:9">
      <c r="E199" s="2" t="s">
        <v>217</v>
      </c>
      <c r="F199" s="2" t="s">
        <v>275</v>
      </c>
      <c r="G199" s="2" t="s">
        <v>276</v>
      </c>
      <c r="H199" s="2" t="s">
        <v>437</v>
      </c>
      <c r="I199" s="2" t="s">
        <v>437</v>
      </c>
    </row>
    <row r="200" spans="5:9">
      <c r="E200" s="2" t="s">
        <v>218</v>
      </c>
      <c r="F200" s="2" t="s">
        <v>293</v>
      </c>
      <c r="G200" s="2" t="s">
        <v>312</v>
      </c>
      <c r="H200" s="2" t="s">
        <v>293</v>
      </c>
      <c r="I200" s="2" t="s">
        <v>436</v>
      </c>
    </row>
    <row r="201" spans="5:9">
      <c r="E201" s="2" t="s">
        <v>219</v>
      </c>
      <c r="F201" s="2" t="s">
        <v>283</v>
      </c>
      <c r="G201" s="2" t="s">
        <v>284</v>
      </c>
      <c r="H201" s="2" t="s">
        <v>283</v>
      </c>
      <c r="I201" s="2" t="s">
        <v>436</v>
      </c>
    </row>
    <row r="202" spans="5:9">
      <c r="E202" s="2" t="s">
        <v>239</v>
      </c>
      <c r="F202" s="2" t="s">
        <v>275</v>
      </c>
      <c r="G202" s="2" t="s">
        <v>276</v>
      </c>
      <c r="H202" s="2" t="s">
        <v>437</v>
      </c>
      <c r="I202" s="2" t="s">
        <v>437</v>
      </c>
    </row>
    <row r="203" spans="5:9">
      <c r="E203" s="2" t="s">
        <v>220</v>
      </c>
      <c r="F203" s="2" t="s">
        <v>277</v>
      </c>
      <c r="G203" s="2" t="s">
        <v>278</v>
      </c>
      <c r="H203" s="2" t="s">
        <v>277</v>
      </c>
      <c r="I203" s="2" t="s">
        <v>436</v>
      </c>
    </row>
    <row r="204" spans="5:9">
      <c r="E204" s="2" t="s">
        <v>221</v>
      </c>
      <c r="F204" s="2" t="s">
        <v>275</v>
      </c>
      <c r="G204" s="2" t="s">
        <v>276</v>
      </c>
      <c r="H204" s="2" t="s">
        <v>438</v>
      </c>
      <c r="I204" s="2" t="s">
        <v>438</v>
      </c>
    </row>
    <row r="205" spans="5:9">
      <c r="E205" s="2" t="s">
        <v>222</v>
      </c>
      <c r="F205" s="2" t="s">
        <v>277</v>
      </c>
      <c r="G205" s="2" t="s">
        <v>318</v>
      </c>
      <c r="H205" s="2" t="s">
        <v>277</v>
      </c>
      <c r="I205" s="2" t="s">
        <v>436</v>
      </c>
    </row>
    <row r="206" spans="5:9">
      <c r="E206" s="2" t="s">
        <v>223</v>
      </c>
      <c r="F206" s="2" t="s">
        <v>285</v>
      </c>
      <c r="G206" s="2" t="s">
        <v>286</v>
      </c>
      <c r="H206" s="2" t="s">
        <v>285</v>
      </c>
      <c r="I206" s="2" t="s">
        <v>436</v>
      </c>
    </row>
    <row r="207" spans="5:9">
      <c r="E207" s="2" t="s">
        <v>224</v>
      </c>
      <c r="F207" s="2" t="s">
        <v>275</v>
      </c>
      <c r="G207" s="2" t="s">
        <v>276</v>
      </c>
      <c r="H207" s="2" t="s">
        <v>437</v>
      </c>
      <c r="I207" s="2" t="s">
        <v>437</v>
      </c>
    </row>
    <row r="208" spans="5:9">
      <c r="E208" s="2" t="s">
        <v>225</v>
      </c>
      <c r="F208" s="2" t="s">
        <v>289</v>
      </c>
      <c r="G208" s="2" t="s">
        <v>290</v>
      </c>
      <c r="H208" s="2" t="s">
        <v>289</v>
      </c>
      <c r="I208" s="2" t="s">
        <v>436</v>
      </c>
    </row>
    <row r="209" spans="5:9">
      <c r="E209" s="2" t="s">
        <v>226</v>
      </c>
      <c r="F209" s="2" t="s">
        <v>285</v>
      </c>
      <c r="G209" s="2" t="s">
        <v>286</v>
      </c>
      <c r="H209" s="2" t="s">
        <v>285</v>
      </c>
      <c r="I209" s="2" t="s">
        <v>436</v>
      </c>
    </row>
    <row r="210" spans="5:9">
      <c r="E210" s="2" t="s">
        <v>227</v>
      </c>
      <c r="F210" s="2" t="s">
        <v>275</v>
      </c>
      <c r="G210" s="2" t="s">
        <v>276</v>
      </c>
      <c r="H210" s="2" t="s">
        <v>438</v>
      </c>
      <c r="I210" s="2" t="s">
        <v>438</v>
      </c>
    </row>
    <row r="211" spans="5:9">
      <c r="E211" s="2" t="s">
        <v>228</v>
      </c>
      <c r="F211" s="2" t="s">
        <v>275</v>
      </c>
      <c r="G211" s="2" t="s">
        <v>276</v>
      </c>
      <c r="H211" s="2" t="s">
        <v>437</v>
      </c>
      <c r="I211" s="2" t="s">
        <v>437</v>
      </c>
    </row>
    <row r="212" spans="5:9">
      <c r="E212" s="2" t="s">
        <v>229</v>
      </c>
      <c r="F212" s="2" t="s">
        <v>293</v>
      </c>
      <c r="G212" s="2" t="s">
        <v>312</v>
      </c>
      <c r="H212" s="2" t="s">
        <v>293</v>
      </c>
      <c r="I212" s="2" t="s">
        <v>436</v>
      </c>
    </row>
    <row r="213" spans="5:9">
      <c r="E213" s="2" t="s">
        <v>230</v>
      </c>
      <c r="F213" s="2" t="s">
        <v>289</v>
      </c>
      <c r="G213" s="2" t="s">
        <v>300</v>
      </c>
      <c r="H213" s="2" t="s">
        <v>289</v>
      </c>
      <c r="I213" s="2" t="s">
        <v>436</v>
      </c>
    </row>
    <row r="214" spans="5:9">
      <c r="E214" s="2" t="s">
        <v>231</v>
      </c>
      <c r="F214" s="2" t="s">
        <v>275</v>
      </c>
      <c r="G214" s="2" t="s">
        <v>276</v>
      </c>
      <c r="H214" s="2" t="s">
        <v>437</v>
      </c>
      <c r="I214" s="2" t="s">
        <v>437</v>
      </c>
    </row>
    <row r="215" spans="5:9">
      <c r="E215" s="2" t="s">
        <v>232</v>
      </c>
      <c r="F215" s="2" t="s">
        <v>310</v>
      </c>
      <c r="G215" s="2" t="s">
        <v>320</v>
      </c>
      <c r="H215" s="2" t="s">
        <v>310</v>
      </c>
      <c r="I215" s="2" t="s">
        <v>436</v>
      </c>
    </row>
    <row r="216" spans="5:9">
      <c r="E216" s="2" t="s">
        <v>233</v>
      </c>
      <c r="F216" s="2" t="s">
        <v>305</v>
      </c>
      <c r="G216" s="2" t="s">
        <v>321</v>
      </c>
      <c r="H216" s="2" t="s">
        <v>305</v>
      </c>
      <c r="I216" s="2" t="s">
        <v>436</v>
      </c>
    </row>
    <row r="217" spans="5:9">
      <c r="E217" s="2" t="s">
        <v>234</v>
      </c>
      <c r="F217" s="2" t="s">
        <v>297</v>
      </c>
      <c r="G217" s="2" t="s">
        <v>298</v>
      </c>
      <c r="H217" s="2" t="s">
        <v>297</v>
      </c>
      <c r="I217" s="2" t="s">
        <v>436</v>
      </c>
    </row>
    <row r="218" spans="5:9">
      <c r="E218" s="2" t="s">
        <v>235</v>
      </c>
      <c r="F218" s="2" t="s">
        <v>275</v>
      </c>
      <c r="G218" s="2" t="s">
        <v>276</v>
      </c>
      <c r="H218" s="2" t="s">
        <v>437</v>
      </c>
      <c r="I218" s="2" t="s">
        <v>437</v>
      </c>
    </row>
    <row r="219" spans="5:9">
      <c r="E219" s="2" t="s">
        <v>236</v>
      </c>
      <c r="F219" s="2" t="s">
        <v>275</v>
      </c>
      <c r="G219" s="2" t="s">
        <v>276</v>
      </c>
      <c r="H219" s="2" t="s">
        <v>437</v>
      </c>
      <c r="I219" s="2" t="s">
        <v>437</v>
      </c>
    </row>
    <row r="220" spans="5:9">
      <c r="E220" s="2" t="s">
        <v>237</v>
      </c>
      <c r="F220" s="2" t="s">
        <v>289</v>
      </c>
      <c r="G220" s="2" t="s">
        <v>322</v>
      </c>
      <c r="H220" s="2" t="s">
        <v>289</v>
      </c>
      <c r="I220" s="2" t="s">
        <v>436</v>
      </c>
    </row>
    <row r="221" spans="5:9">
      <c r="E221" s="2" t="s">
        <v>238</v>
      </c>
      <c r="F221" s="2" t="s">
        <v>275</v>
      </c>
      <c r="G221" s="2" t="s">
        <v>276</v>
      </c>
      <c r="H221" s="2" t="s">
        <v>438</v>
      </c>
      <c r="I221" s="2" t="s">
        <v>438</v>
      </c>
    </row>
    <row r="222" spans="5:9">
      <c r="E222" s="2" t="s">
        <v>534</v>
      </c>
      <c r="F222" s="2" t="s">
        <v>275</v>
      </c>
      <c r="G222" s="2" t="s">
        <v>276</v>
      </c>
      <c r="H222" s="2" t="s">
        <v>438</v>
      </c>
      <c r="I222" s="2" t="s">
        <v>438</v>
      </c>
    </row>
    <row r="223" spans="5:9">
      <c r="E223" s="2" t="s">
        <v>535</v>
      </c>
      <c r="F223" s="2" t="s">
        <v>275</v>
      </c>
      <c r="G223" s="2" t="s">
        <v>276</v>
      </c>
      <c r="H223" s="2" t="s">
        <v>438</v>
      </c>
      <c r="I223" s="2" t="s">
        <v>438</v>
      </c>
    </row>
    <row r="224" spans="5:9">
      <c r="E224" s="2" t="s">
        <v>536</v>
      </c>
      <c r="F224" s="2" t="s">
        <v>275</v>
      </c>
      <c r="G224" s="2" t="s">
        <v>276</v>
      </c>
      <c r="H224" s="2" t="s">
        <v>437</v>
      </c>
      <c r="I224" s="2" t="s">
        <v>437</v>
      </c>
    </row>
    <row r="225" spans="5:9">
      <c r="E225" s="2" t="s">
        <v>537</v>
      </c>
      <c r="F225" s="2" t="s">
        <v>275</v>
      </c>
      <c r="G225" s="2" t="s">
        <v>276</v>
      </c>
      <c r="H225" s="2" t="s">
        <v>438</v>
      </c>
      <c r="I225" s="2" t="s">
        <v>438</v>
      </c>
    </row>
    <row r="226" spans="5:9">
      <c r="E226" s="2" t="s">
        <v>538</v>
      </c>
      <c r="F226" s="2" t="s">
        <v>275</v>
      </c>
      <c r="G226" s="2" t="s">
        <v>276</v>
      </c>
      <c r="H226" s="2" t="s">
        <v>438</v>
      </c>
      <c r="I226" s="2" t="s">
        <v>438</v>
      </c>
    </row>
    <row r="227" spans="5:9">
      <c r="E227" s="2" t="s">
        <v>545</v>
      </c>
      <c r="F227" s="2" t="s">
        <v>275</v>
      </c>
      <c r="G227" s="2" t="s">
        <v>276</v>
      </c>
      <c r="H227" s="2" t="s">
        <v>437</v>
      </c>
      <c r="I227" s="2" t="s">
        <v>437</v>
      </c>
    </row>
    <row r="228" spans="5:9">
      <c r="E228" s="2" t="s">
        <v>539</v>
      </c>
      <c r="F228" s="2" t="s">
        <v>275</v>
      </c>
      <c r="G228" s="2" t="s">
        <v>276</v>
      </c>
      <c r="H228" s="2" t="s">
        <v>437</v>
      </c>
      <c r="I228" s="2" t="s">
        <v>437</v>
      </c>
    </row>
    <row r="229" spans="5:9">
      <c r="E229" s="2" t="s">
        <v>540</v>
      </c>
      <c r="F229" s="2" t="s">
        <v>275</v>
      </c>
      <c r="G229" s="2" t="s">
        <v>276</v>
      </c>
      <c r="H229" s="2" t="s">
        <v>437</v>
      </c>
      <c r="I229" s="2" t="s">
        <v>437</v>
      </c>
    </row>
    <row r="230" spans="5:9">
      <c r="E230" s="2" t="s">
        <v>176</v>
      </c>
      <c r="F230" s="2" t="s">
        <v>267</v>
      </c>
      <c r="G230" s="2" t="s">
        <v>276</v>
      </c>
      <c r="H230" s="2" t="s">
        <v>267</v>
      </c>
      <c r="I230" s="2" t="s">
        <v>267</v>
      </c>
    </row>
    <row r="231" spans="5:9">
      <c r="E231" s="2"/>
      <c r="F231" s="2"/>
      <c r="G231" s="2"/>
      <c r="H231" s="2"/>
      <c r="I231"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39997558519241921"/>
  </sheetPr>
  <dimension ref="A1:S60"/>
  <sheetViews>
    <sheetView zoomScale="80" zoomScaleNormal="80" workbookViewId="0">
      <selection activeCell="D38" sqref="D38"/>
    </sheetView>
  </sheetViews>
  <sheetFormatPr defaultColWidth="9.140625" defaultRowHeight="15"/>
  <cols>
    <col min="1" max="1" width="29.140625" style="13" bestFit="1" customWidth="1"/>
    <col min="2" max="2" width="30.28515625" bestFit="1" customWidth="1"/>
    <col min="3" max="5" width="30.5703125" bestFit="1" customWidth="1"/>
    <col min="6" max="13" width="31.140625" bestFit="1" customWidth="1"/>
    <col min="14" max="15" width="30.7109375" bestFit="1" customWidth="1"/>
    <col min="16" max="17" width="31.140625" bestFit="1" customWidth="1"/>
    <col min="18" max="19" width="16.28515625" bestFit="1" customWidth="1"/>
  </cols>
  <sheetData>
    <row r="1" spans="1:17" ht="15.75" thickBot="1">
      <c r="A1" s="139" t="s">
        <v>359</v>
      </c>
      <c r="B1" s="140" t="str">
        <f>'Drop Down Inputs'!A15</f>
        <v>01-Oct-2018 to 30-Sep-2019</v>
      </c>
      <c r="C1" s="140" t="str">
        <f>'Drop Down Inputs'!A16</f>
        <v>01-Oct-2019 to 30-Sep-2020</v>
      </c>
      <c r="D1" s="140" t="str">
        <f>'Drop Down Inputs'!A17</f>
        <v>01-Oct-2020 to 30-Sep-2021</v>
      </c>
      <c r="E1" s="140" t="str">
        <f>'Drop Down Inputs'!A18</f>
        <v>01-Oct-2021 to 30-Sep-2022</v>
      </c>
      <c r="F1" s="140" t="s">
        <v>480</v>
      </c>
      <c r="G1" s="140" t="s">
        <v>481</v>
      </c>
      <c r="H1" s="140" t="s">
        <v>482</v>
      </c>
      <c r="I1" s="140" t="s">
        <v>483</v>
      </c>
      <c r="J1" s="140" t="s">
        <v>484</v>
      </c>
      <c r="K1" s="140" t="s">
        <v>485</v>
      </c>
      <c r="L1" s="140" t="s">
        <v>486</v>
      </c>
      <c r="M1" s="140" t="s">
        <v>487</v>
      </c>
      <c r="N1" s="140" t="s">
        <v>488</v>
      </c>
      <c r="O1" s="140" t="s">
        <v>497</v>
      </c>
      <c r="P1" s="140" t="s">
        <v>498</v>
      </c>
      <c r="Q1" s="140" t="s">
        <v>499</v>
      </c>
    </row>
    <row r="2" spans="1:17" ht="15.75" thickBot="1">
      <c r="A2" s="64" t="s">
        <v>25</v>
      </c>
      <c r="B2" s="138" t="s">
        <v>521</v>
      </c>
      <c r="C2" s="138" t="s">
        <v>521</v>
      </c>
      <c r="D2" s="138" t="s">
        <v>521</v>
      </c>
      <c r="E2" s="138" t="s">
        <v>521</v>
      </c>
      <c r="F2" s="138" t="s">
        <v>521</v>
      </c>
      <c r="G2" s="138" t="s">
        <v>521</v>
      </c>
      <c r="H2" s="138" t="s">
        <v>521</v>
      </c>
      <c r="I2" s="138" t="s">
        <v>521</v>
      </c>
      <c r="J2" s="138" t="s">
        <v>521</v>
      </c>
      <c r="K2" s="138" t="s">
        <v>521</v>
      </c>
      <c r="L2" s="138" t="s">
        <v>521</v>
      </c>
      <c r="M2" s="138" t="s">
        <v>521</v>
      </c>
      <c r="N2" s="138" t="s">
        <v>521</v>
      </c>
      <c r="O2" s="140" t="s">
        <v>521</v>
      </c>
      <c r="P2" s="140" t="s">
        <v>521</v>
      </c>
      <c r="Q2" s="140" t="s">
        <v>521</v>
      </c>
    </row>
    <row r="3" spans="1:17">
      <c r="A3" s="159" t="s">
        <v>1</v>
      </c>
      <c r="B3" s="276">
        <v>0</v>
      </c>
      <c r="C3" s="276">
        <v>0</v>
      </c>
      <c r="D3" s="276">
        <v>0</v>
      </c>
      <c r="E3" s="276">
        <v>0</v>
      </c>
      <c r="F3" s="276">
        <v>0</v>
      </c>
      <c r="G3" s="276">
        <v>0</v>
      </c>
      <c r="H3" s="276">
        <v>0</v>
      </c>
      <c r="I3" s="276">
        <v>0</v>
      </c>
      <c r="J3" s="276">
        <v>0</v>
      </c>
      <c r="K3" s="276">
        <v>0</v>
      </c>
      <c r="L3" s="276">
        <v>0</v>
      </c>
      <c r="M3" s="276">
        <v>0</v>
      </c>
      <c r="N3" s="276">
        <v>0</v>
      </c>
      <c r="O3" s="277">
        <v>0</v>
      </c>
      <c r="P3" s="277">
        <v>0</v>
      </c>
      <c r="Q3" s="277">
        <v>0</v>
      </c>
    </row>
    <row r="4" spans="1:17">
      <c r="A4" s="159" t="s">
        <v>2</v>
      </c>
      <c r="B4" s="276">
        <v>89136101.671232879</v>
      </c>
      <c r="C4" s="276">
        <v>89015041.773224041</v>
      </c>
      <c r="D4" s="276">
        <v>92162298.547945201</v>
      </c>
      <c r="E4" s="276">
        <v>44200041.8630137</v>
      </c>
      <c r="F4" s="276">
        <v>28676367.8630137</v>
      </c>
      <c r="G4" s="276">
        <v>28837386.073770493</v>
      </c>
      <c r="H4" s="276">
        <v>28598630.05479452</v>
      </c>
      <c r="I4" s="276">
        <v>0</v>
      </c>
      <c r="J4" s="276">
        <v>0</v>
      </c>
      <c r="K4" s="276">
        <v>0</v>
      </c>
      <c r="L4" s="276">
        <v>0</v>
      </c>
      <c r="M4" s="276">
        <v>0</v>
      </c>
      <c r="N4" s="276">
        <v>0</v>
      </c>
      <c r="O4" s="277">
        <v>0</v>
      </c>
      <c r="P4" s="277">
        <v>0</v>
      </c>
      <c r="Q4" s="277">
        <v>0</v>
      </c>
    </row>
    <row r="5" spans="1:17">
      <c r="A5" s="159" t="s">
        <v>3</v>
      </c>
      <c r="B5" s="276">
        <v>243317684.86027399</v>
      </c>
      <c r="C5" s="276">
        <v>238685647.22950819</v>
      </c>
      <c r="D5" s="276">
        <v>210556462.92602739</v>
      </c>
      <c r="E5" s="276">
        <v>203081277.89863014</v>
      </c>
      <c r="F5" s="276">
        <v>198902231.43561643</v>
      </c>
      <c r="G5" s="276">
        <v>273607526.71857923</v>
      </c>
      <c r="H5" s="276">
        <v>196760730.50958905</v>
      </c>
      <c r="I5" s="276">
        <v>152373059.19452053</v>
      </c>
      <c r="J5" s="276">
        <v>0</v>
      </c>
      <c r="K5" s="276">
        <v>0</v>
      </c>
      <c r="L5" s="276">
        <v>0</v>
      </c>
      <c r="M5" s="276">
        <v>0</v>
      </c>
      <c r="N5" s="276">
        <v>0</v>
      </c>
      <c r="O5" s="277">
        <v>0</v>
      </c>
      <c r="P5" s="277">
        <v>0</v>
      </c>
      <c r="Q5" s="277">
        <v>0</v>
      </c>
    </row>
    <row r="6" spans="1:17">
      <c r="A6" s="159" t="s">
        <v>4</v>
      </c>
      <c r="B6" s="276">
        <v>14936970.808219178</v>
      </c>
      <c r="C6" s="276">
        <v>11513832.038251366</v>
      </c>
      <c r="D6" s="276">
        <v>7134731.1068493146</v>
      </c>
      <c r="E6" s="276">
        <v>0</v>
      </c>
      <c r="F6" s="276">
        <v>0</v>
      </c>
      <c r="G6" s="276">
        <v>0</v>
      </c>
      <c r="H6" s="276">
        <v>0</v>
      </c>
      <c r="I6" s="276">
        <v>0</v>
      </c>
      <c r="J6" s="276">
        <v>0</v>
      </c>
      <c r="K6" s="276">
        <v>0</v>
      </c>
      <c r="L6" s="276">
        <v>0</v>
      </c>
      <c r="M6" s="276">
        <v>0</v>
      </c>
      <c r="N6" s="276">
        <v>0</v>
      </c>
      <c r="O6" s="277">
        <v>0</v>
      </c>
      <c r="P6" s="277">
        <v>0</v>
      </c>
      <c r="Q6" s="277">
        <v>0</v>
      </c>
    </row>
    <row r="7" spans="1:17">
      <c r="A7" s="159" t="s">
        <v>5</v>
      </c>
      <c r="B7" s="276">
        <v>75516797.684931502</v>
      </c>
      <c r="C7" s="276">
        <v>44993175.150273226</v>
      </c>
      <c r="D7" s="276">
        <v>28613480.994520549</v>
      </c>
      <c r="E7" s="276">
        <v>25140906.358904108</v>
      </c>
      <c r="F7" s="276">
        <v>17878570.791780822</v>
      </c>
      <c r="G7" s="276">
        <v>15793118.188524591</v>
      </c>
      <c r="H7" s="276">
        <v>372130.67397260276</v>
      </c>
      <c r="I7" s="276">
        <v>0</v>
      </c>
      <c r="J7" s="276">
        <v>0</v>
      </c>
      <c r="K7" s="276">
        <v>0</v>
      </c>
      <c r="L7" s="276">
        <v>0</v>
      </c>
      <c r="M7" s="276">
        <v>0</v>
      </c>
      <c r="N7" s="276">
        <v>0</v>
      </c>
      <c r="O7" s="277">
        <v>0</v>
      </c>
      <c r="P7" s="277">
        <v>0</v>
      </c>
      <c r="Q7" s="277">
        <v>0</v>
      </c>
    </row>
    <row r="8" spans="1:17">
      <c r="A8" s="159" t="s">
        <v>6</v>
      </c>
      <c r="B8" s="276">
        <v>90000000</v>
      </c>
      <c r="C8" s="276">
        <v>90000000</v>
      </c>
      <c r="D8" s="276">
        <v>80975342.465753421</v>
      </c>
      <c r="E8" s="276">
        <v>35901369.8630137</v>
      </c>
      <c r="F8" s="276">
        <v>0</v>
      </c>
      <c r="G8" s="276">
        <v>0</v>
      </c>
      <c r="H8" s="276">
        <v>0</v>
      </c>
      <c r="I8" s="276">
        <v>0</v>
      </c>
      <c r="J8" s="276">
        <v>0</v>
      </c>
      <c r="K8" s="276">
        <v>0</v>
      </c>
      <c r="L8" s="276">
        <v>0</v>
      </c>
      <c r="M8" s="276">
        <v>0</v>
      </c>
      <c r="N8" s="276">
        <v>0</v>
      </c>
      <c r="O8" s="277">
        <v>0</v>
      </c>
      <c r="P8" s="277">
        <v>0</v>
      </c>
      <c r="Q8" s="277">
        <v>0</v>
      </c>
    </row>
    <row r="9" spans="1:17">
      <c r="A9" s="159" t="s">
        <v>7</v>
      </c>
      <c r="B9" s="276">
        <v>0</v>
      </c>
      <c r="C9" s="276">
        <v>0</v>
      </c>
      <c r="D9" s="276">
        <v>0</v>
      </c>
      <c r="E9" s="276">
        <v>0</v>
      </c>
      <c r="F9" s="276">
        <v>0</v>
      </c>
      <c r="G9" s="276">
        <v>0</v>
      </c>
      <c r="H9" s="276">
        <v>0</v>
      </c>
      <c r="I9" s="276">
        <v>0</v>
      </c>
      <c r="J9" s="276">
        <v>0</v>
      </c>
      <c r="K9" s="276">
        <v>0</v>
      </c>
      <c r="L9" s="276">
        <v>0</v>
      </c>
      <c r="M9" s="276">
        <v>0</v>
      </c>
      <c r="N9" s="276">
        <v>0</v>
      </c>
      <c r="O9" s="277">
        <v>0</v>
      </c>
      <c r="P9" s="277">
        <v>0</v>
      </c>
      <c r="Q9" s="277">
        <v>0</v>
      </c>
    </row>
    <row r="10" spans="1:17">
      <c r="A10" s="159" t="s">
        <v>8</v>
      </c>
      <c r="B10" s="276">
        <v>514110000</v>
      </c>
      <c r="C10" s="276">
        <v>514110000</v>
      </c>
      <c r="D10" s="276">
        <v>514110000</v>
      </c>
      <c r="E10" s="276">
        <v>514110000</v>
      </c>
      <c r="F10" s="276">
        <v>514110000</v>
      </c>
      <c r="G10" s="276">
        <v>514110000</v>
      </c>
      <c r="H10" s="276">
        <v>514110000</v>
      </c>
      <c r="I10" s="276">
        <v>514110000</v>
      </c>
      <c r="J10" s="276">
        <v>514110000</v>
      </c>
      <c r="K10" s="276">
        <v>514110000</v>
      </c>
      <c r="L10" s="276">
        <v>514110000</v>
      </c>
      <c r="M10" s="276">
        <v>514110000</v>
      </c>
      <c r="N10" s="276">
        <v>514110000</v>
      </c>
      <c r="O10" s="277">
        <v>514110000</v>
      </c>
      <c r="P10" s="277">
        <v>0</v>
      </c>
      <c r="Q10" s="277">
        <v>0</v>
      </c>
    </row>
    <row r="11" spans="1:17">
      <c r="A11" s="159" t="s">
        <v>9</v>
      </c>
      <c r="B11" s="276">
        <v>90000000</v>
      </c>
      <c r="C11" s="276">
        <v>90000000</v>
      </c>
      <c r="D11" s="276">
        <v>90000000</v>
      </c>
      <c r="E11" s="276">
        <v>90000000</v>
      </c>
      <c r="F11" s="276">
        <v>90000000</v>
      </c>
      <c r="G11" s="276">
        <v>90000000</v>
      </c>
      <c r="H11" s="276">
        <v>44876712.328767121</v>
      </c>
      <c r="I11" s="276">
        <v>0</v>
      </c>
      <c r="J11" s="276">
        <v>0</v>
      </c>
      <c r="K11" s="276">
        <v>0</v>
      </c>
      <c r="L11" s="276">
        <v>0</v>
      </c>
      <c r="M11" s="276">
        <v>0</v>
      </c>
      <c r="N11" s="276">
        <v>0</v>
      </c>
      <c r="O11" s="277">
        <v>0</v>
      </c>
      <c r="P11" s="277">
        <v>0</v>
      </c>
      <c r="Q11" s="277">
        <v>0</v>
      </c>
    </row>
    <row r="12" spans="1:17">
      <c r="A12" s="159" t="s">
        <v>10</v>
      </c>
      <c r="B12" s="276">
        <v>0</v>
      </c>
      <c r="C12" s="276">
        <v>0</v>
      </c>
      <c r="D12" s="276">
        <v>0</v>
      </c>
      <c r="E12" s="276">
        <v>0</v>
      </c>
      <c r="F12" s="276">
        <v>0</v>
      </c>
      <c r="G12" s="276">
        <v>0</v>
      </c>
      <c r="H12" s="276">
        <v>0</v>
      </c>
      <c r="I12" s="276">
        <v>0</v>
      </c>
      <c r="J12" s="276">
        <v>0</v>
      </c>
      <c r="K12" s="276">
        <v>0</v>
      </c>
      <c r="L12" s="276">
        <v>0</v>
      </c>
      <c r="M12" s="276">
        <v>0</v>
      </c>
      <c r="N12" s="276">
        <v>0</v>
      </c>
      <c r="O12" s="277">
        <v>0</v>
      </c>
      <c r="P12" s="277">
        <v>0</v>
      </c>
      <c r="Q12" s="277">
        <v>0</v>
      </c>
    </row>
    <row r="13" spans="1:17">
      <c r="A13" s="159" t="s">
        <v>477</v>
      </c>
      <c r="B13" s="276">
        <v>730821746.78356159</v>
      </c>
      <c r="C13" s="276">
        <v>705187762.71038246</v>
      </c>
      <c r="D13" s="276">
        <v>672206895.00547945</v>
      </c>
      <c r="E13" s="276">
        <v>583361098.41095889</v>
      </c>
      <c r="F13" s="276">
        <v>584865279.71232879</v>
      </c>
      <c r="G13" s="276">
        <v>491393907.1557377</v>
      </c>
      <c r="H13" s="276">
        <v>439116023.77260274</v>
      </c>
      <c r="I13" s="276">
        <v>393349125.8547945</v>
      </c>
      <c r="J13" s="276">
        <v>326978082.21917808</v>
      </c>
      <c r="K13" s="276">
        <v>241000000</v>
      </c>
      <c r="L13" s="276">
        <v>0</v>
      </c>
      <c r="M13" s="276">
        <v>0</v>
      </c>
      <c r="N13" s="276">
        <v>0</v>
      </c>
      <c r="O13" s="277">
        <v>0</v>
      </c>
      <c r="P13" s="277">
        <v>0</v>
      </c>
      <c r="Q13" s="277">
        <v>0</v>
      </c>
    </row>
    <row r="14" spans="1:17">
      <c r="A14" s="159" t="s">
        <v>11</v>
      </c>
      <c r="B14" s="276">
        <v>0</v>
      </c>
      <c r="C14" s="276">
        <v>0</v>
      </c>
      <c r="D14" s="276">
        <v>0</v>
      </c>
      <c r="E14" s="276">
        <v>0</v>
      </c>
      <c r="F14" s="276">
        <v>0</v>
      </c>
      <c r="G14" s="276">
        <v>0</v>
      </c>
      <c r="H14" s="276">
        <v>86301369.8630137</v>
      </c>
      <c r="I14" s="276">
        <v>0</v>
      </c>
      <c r="J14" s="276">
        <v>0</v>
      </c>
      <c r="K14" s="276">
        <v>0</v>
      </c>
      <c r="L14" s="276">
        <v>0</v>
      </c>
      <c r="M14" s="276">
        <v>0</v>
      </c>
      <c r="N14" s="276">
        <v>0</v>
      </c>
      <c r="O14" s="277">
        <v>0</v>
      </c>
      <c r="P14" s="277">
        <v>0</v>
      </c>
      <c r="Q14" s="277">
        <v>0</v>
      </c>
    </row>
    <row r="15" spans="1:17">
      <c r="A15" s="159" t="s">
        <v>12</v>
      </c>
      <c r="B15" s="276">
        <v>0</v>
      </c>
      <c r="C15" s="276">
        <v>0</v>
      </c>
      <c r="D15" s="276">
        <v>0</v>
      </c>
      <c r="E15" s="276">
        <v>0</v>
      </c>
      <c r="F15" s="276">
        <v>0</v>
      </c>
      <c r="G15" s="276">
        <v>0</v>
      </c>
      <c r="H15" s="276">
        <v>0</v>
      </c>
      <c r="I15" s="276">
        <v>0</v>
      </c>
      <c r="J15" s="276">
        <v>0</v>
      </c>
      <c r="K15" s="276">
        <v>0</v>
      </c>
      <c r="L15" s="276">
        <v>0</v>
      </c>
      <c r="M15" s="276">
        <v>0</v>
      </c>
      <c r="N15" s="276">
        <v>0</v>
      </c>
      <c r="O15" s="277">
        <v>0</v>
      </c>
      <c r="P15" s="277">
        <v>0</v>
      </c>
      <c r="Q15" s="277">
        <v>0</v>
      </c>
    </row>
    <row r="16" spans="1:17">
      <c r="A16" s="159" t="s">
        <v>13</v>
      </c>
      <c r="B16" s="276">
        <v>420000000</v>
      </c>
      <c r="C16" s="276">
        <v>420000000</v>
      </c>
      <c r="D16" s="276">
        <v>420000000</v>
      </c>
      <c r="E16" s="276">
        <v>420000000</v>
      </c>
      <c r="F16" s="276">
        <v>279616438.3561644</v>
      </c>
      <c r="G16" s="276">
        <v>70000000</v>
      </c>
      <c r="H16" s="276">
        <v>0</v>
      </c>
      <c r="I16" s="276">
        <v>0</v>
      </c>
      <c r="J16" s="276">
        <v>0</v>
      </c>
      <c r="K16" s="276">
        <v>0</v>
      </c>
      <c r="L16" s="276">
        <v>0</v>
      </c>
      <c r="M16" s="276">
        <v>0</v>
      </c>
      <c r="N16" s="276">
        <v>0</v>
      </c>
      <c r="O16" s="277">
        <v>0</v>
      </c>
      <c r="P16" s="277">
        <v>0</v>
      </c>
      <c r="Q16" s="277">
        <v>0</v>
      </c>
    </row>
    <row r="17" spans="1:17">
      <c r="A17" s="159" t="s">
        <v>14</v>
      </c>
      <c r="B17" s="276">
        <v>283440000</v>
      </c>
      <c r="C17" s="276">
        <v>283440000</v>
      </c>
      <c r="D17" s="276">
        <v>283440000</v>
      </c>
      <c r="E17" s="276">
        <v>283440000</v>
      </c>
      <c r="F17" s="276">
        <v>283440000</v>
      </c>
      <c r="G17" s="276">
        <v>283440000</v>
      </c>
      <c r="H17" s="276">
        <v>283440000</v>
      </c>
      <c r="I17" s="276">
        <v>283440000</v>
      </c>
      <c r="J17" s="276">
        <v>118440000</v>
      </c>
      <c r="K17" s="276">
        <v>118440000</v>
      </c>
      <c r="L17" s="276">
        <v>118440000</v>
      </c>
      <c r="M17" s="276">
        <v>0</v>
      </c>
      <c r="N17" s="276">
        <v>0</v>
      </c>
      <c r="O17" s="277">
        <v>0</v>
      </c>
      <c r="P17" s="277">
        <v>0</v>
      </c>
      <c r="Q17" s="277">
        <v>0</v>
      </c>
    </row>
    <row r="18" spans="1:17">
      <c r="A18" s="159" t="s">
        <v>15</v>
      </c>
      <c r="B18" s="276">
        <v>0</v>
      </c>
      <c r="C18" s="276">
        <v>0</v>
      </c>
      <c r="D18" s="276">
        <v>0</v>
      </c>
      <c r="E18" s="276">
        <v>0</v>
      </c>
      <c r="F18" s="276">
        <v>0</v>
      </c>
      <c r="G18" s="276">
        <v>0</v>
      </c>
      <c r="H18" s="276">
        <v>0</v>
      </c>
      <c r="I18" s="276">
        <v>0</v>
      </c>
      <c r="J18" s="276">
        <v>0</v>
      </c>
      <c r="K18" s="276">
        <v>0</v>
      </c>
      <c r="L18" s="276">
        <v>0</v>
      </c>
      <c r="M18" s="276">
        <v>0</v>
      </c>
      <c r="N18" s="276">
        <v>0</v>
      </c>
      <c r="O18" s="277">
        <v>0</v>
      </c>
      <c r="P18" s="277">
        <v>0</v>
      </c>
      <c r="Q18" s="277">
        <v>0</v>
      </c>
    </row>
    <row r="19" spans="1:17">
      <c r="A19" s="159" t="s">
        <v>16</v>
      </c>
      <c r="B19" s="276">
        <v>50742739.726027399</v>
      </c>
      <c r="C19" s="276">
        <v>51166366.120218582</v>
      </c>
      <c r="D19" s="276">
        <v>50742739.726027399</v>
      </c>
      <c r="E19" s="276">
        <v>50742739.726027399</v>
      </c>
      <c r="F19" s="276">
        <v>50742739.726027399</v>
      </c>
      <c r="G19" s="276">
        <v>0</v>
      </c>
      <c r="H19" s="276">
        <v>0</v>
      </c>
      <c r="I19" s="276">
        <v>0</v>
      </c>
      <c r="J19" s="276">
        <v>0</v>
      </c>
      <c r="K19" s="276">
        <v>0</v>
      </c>
      <c r="L19" s="276">
        <v>0</v>
      </c>
      <c r="M19" s="276">
        <v>0</v>
      </c>
      <c r="N19" s="276">
        <v>0</v>
      </c>
      <c r="O19" s="277">
        <v>0</v>
      </c>
      <c r="P19" s="277">
        <v>0</v>
      </c>
      <c r="Q19" s="277">
        <v>0</v>
      </c>
    </row>
    <row r="20" spans="1:17">
      <c r="A20" s="159" t="s">
        <v>17</v>
      </c>
      <c r="B20" s="276">
        <v>5424657.5342465751</v>
      </c>
      <c r="C20" s="276">
        <v>5469945.3551912569</v>
      </c>
      <c r="D20" s="276">
        <v>5424657.5342465751</v>
      </c>
      <c r="E20" s="276">
        <v>5424657.5342465751</v>
      </c>
      <c r="F20" s="276">
        <v>0</v>
      </c>
      <c r="G20" s="276">
        <v>5469945.3551912569</v>
      </c>
      <c r="H20" s="276">
        <v>5424657.5342465751</v>
      </c>
      <c r="I20" s="276">
        <v>0</v>
      </c>
      <c r="J20" s="276">
        <v>0</v>
      </c>
      <c r="K20" s="276">
        <v>0</v>
      </c>
      <c r="L20" s="276">
        <v>0</v>
      </c>
      <c r="M20" s="276">
        <v>0</v>
      </c>
      <c r="N20" s="276">
        <v>0</v>
      </c>
      <c r="O20" s="277">
        <v>0</v>
      </c>
      <c r="P20" s="277">
        <v>0</v>
      </c>
      <c r="Q20" s="277">
        <v>0</v>
      </c>
    </row>
    <row r="21" spans="1:17">
      <c r="A21" s="159" t="s">
        <v>18</v>
      </c>
      <c r="B21" s="276">
        <v>643392876.71232879</v>
      </c>
      <c r="C21" s="276">
        <v>643450000</v>
      </c>
      <c r="D21" s="276">
        <v>643392876.71232879</v>
      </c>
      <c r="E21" s="276">
        <v>623338082.19178081</v>
      </c>
      <c r="F21" s="276">
        <v>623338082.19178081</v>
      </c>
      <c r="G21" s="276">
        <v>593450000</v>
      </c>
      <c r="H21" s="276">
        <v>482435616.43835616</v>
      </c>
      <c r="I21" s="276">
        <v>422600000</v>
      </c>
      <c r="J21" s="276">
        <v>422600000</v>
      </c>
      <c r="K21" s="276">
        <v>422600000</v>
      </c>
      <c r="L21" s="276">
        <v>350000000</v>
      </c>
      <c r="M21" s="276">
        <v>0</v>
      </c>
      <c r="N21" s="276">
        <v>0</v>
      </c>
      <c r="O21" s="277">
        <v>0</v>
      </c>
      <c r="P21" s="277">
        <v>0</v>
      </c>
      <c r="Q21" s="277">
        <v>0</v>
      </c>
    </row>
    <row r="22" spans="1:17">
      <c r="A22" s="159" t="s">
        <v>19</v>
      </c>
      <c r="B22" s="276">
        <v>876298630.13698626</v>
      </c>
      <c r="C22" s="276">
        <v>926500000</v>
      </c>
      <c r="D22" s="276">
        <v>649178082.19178081</v>
      </c>
      <c r="E22" s="276">
        <v>574383561.64383566</v>
      </c>
      <c r="F22" s="276">
        <v>398904109.58904111</v>
      </c>
      <c r="G22" s="276">
        <v>392333333.33333331</v>
      </c>
      <c r="H22" s="276">
        <v>361095890.41095889</v>
      </c>
      <c r="I22" s="276">
        <v>361095890.41095889</v>
      </c>
      <c r="J22" s="276">
        <v>361095890.41095889</v>
      </c>
      <c r="K22" s="276">
        <v>198907103.8251366</v>
      </c>
      <c r="L22" s="276">
        <v>197260273.97260273</v>
      </c>
      <c r="M22" s="276">
        <v>160273972.60273972</v>
      </c>
      <c r="N22" s="276">
        <v>0</v>
      </c>
      <c r="O22" s="277">
        <v>0</v>
      </c>
      <c r="P22" s="277">
        <v>0</v>
      </c>
      <c r="Q22" s="277">
        <v>0</v>
      </c>
    </row>
    <row r="23" spans="1:17">
      <c r="A23" s="159" t="s">
        <v>20</v>
      </c>
      <c r="B23" s="276">
        <v>0</v>
      </c>
      <c r="C23" s="276">
        <v>0</v>
      </c>
      <c r="D23" s="276">
        <v>0</v>
      </c>
      <c r="E23" s="276">
        <v>0</v>
      </c>
      <c r="F23" s="276">
        <v>0</v>
      </c>
      <c r="G23" s="276">
        <v>0</v>
      </c>
      <c r="H23" s="276">
        <v>0</v>
      </c>
      <c r="I23" s="276">
        <v>0</v>
      </c>
      <c r="J23" s="276">
        <v>0</v>
      </c>
      <c r="K23" s="276">
        <v>0</v>
      </c>
      <c r="L23" s="276">
        <v>0</v>
      </c>
      <c r="M23" s="276">
        <v>0</v>
      </c>
      <c r="N23" s="276">
        <v>0</v>
      </c>
      <c r="O23" s="277">
        <v>0</v>
      </c>
      <c r="P23" s="277">
        <v>0</v>
      </c>
      <c r="Q23" s="277">
        <v>0</v>
      </c>
    </row>
    <row r="24" spans="1:17">
      <c r="A24" s="159" t="s">
        <v>155</v>
      </c>
      <c r="B24" s="276">
        <v>0</v>
      </c>
      <c r="C24" s="276">
        <v>0</v>
      </c>
      <c r="D24" s="276">
        <v>0</v>
      </c>
      <c r="E24" s="276">
        <v>0</v>
      </c>
      <c r="F24" s="276">
        <v>0</v>
      </c>
      <c r="G24" s="276">
        <v>0</v>
      </c>
      <c r="H24" s="276">
        <v>0</v>
      </c>
      <c r="I24" s="276">
        <v>0</v>
      </c>
      <c r="J24" s="276">
        <v>0</v>
      </c>
      <c r="K24" s="276">
        <v>0</v>
      </c>
      <c r="L24" s="276">
        <v>0</v>
      </c>
      <c r="M24" s="276">
        <v>0</v>
      </c>
      <c r="N24" s="276">
        <v>0</v>
      </c>
      <c r="O24" s="277">
        <v>0</v>
      </c>
      <c r="P24" s="277">
        <v>0</v>
      </c>
      <c r="Q24" s="277">
        <v>0</v>
      </c>
    </row>
    <row r="25" spans="1:17">
      <c r="A25" s="159" t="s">
        <v>533</v>
      </c>
      <c r="B25" s="276">
        <v>0</v>
      </c>
      <c r="C25" s="276">
        <v>0</v>
      </c>
      <c r="D25" s="276">
        <v>0</v>
      </c>
      <c r="E25" s="276">
        <v>0</v>
      </c>
      <c r="F25" s="276">
        <v>0</v>
      </c>
      <c r="G25" s="276">
        <v>0</v>
      </c>
      <c r="H25" s="276">
        <v>0</v>
      </c>
      <c r="I25" s="276">
        <v>0</v>
      </c>
      <c r="J25" s="276">
        <v>0</v>
      </c>
      <c r="K25" s="276">
        <v>0</v>
      </c>
      <c r="L25" s="276">
        <v>0</v>
      </c>
      <c r="M25" s="276">
        <v>0</v>
      </c>
      <c r="N25" s="276">
        <v>0</v>
      </c>
      <c r="O25" s="276">
        <v>0</v>
      </c>
      <c r="P25" s="276">
        <v>0</v>
      </c>
      <c r="Q25" s="276">
        <v>0</v>
      </c>
    </row>
    <row r="26" spans="1:17">
      <c r="A26" s="159" t="s">
        <v>21</v>
      </c>
      <c r="B26" s="276">
        <v>121747002.14794521</v>
      </c>
      <c r="C26" s="276">
        <v>71403827.420765027</v>
      </c>
      <c r="D26" s="276">
        <v>53730053.983561642</v>
      </c>
      <c r="E26" s="276">
        <v>26953626.235616438</v>
      </c>
      <c r="F26" s="276">
        <v>22649389.361643836</v>
      </c>
      <c r="G26" s="276">
        <v>15524157.385245902</v>
      </c>
      <c r="H26" s="276">
        <v>5236705.8082191776</v>
      </c>
      <c r="I26" s="276">
        <v>3005859.5452054795</v>
      </c>
      <c r="J26" s="276">
        <v>0</v>
      </c>
      <c r="K26" s="276">
        <v>0</v>
      </c>
      <c r="L26" s="276">
        <v>0</v>
      </c>
      <c r="M26" s="276">
        <v>0</v>
      </c>
      <c r="N26" s="276">
        <v>0</v>
      </c>
      <c r="O26" s="277">
        <v>0</v>
      </c>
      <c r="P26" s="277">
        <v>0</v>
      </c>
      <c r="Q26" s="277">
        <v>0</v>
      </c>
    </row>
    <row r="27" spans="1:17">
      <c r="A27" s="159" t="s">
        <v>22</v>
      </c>
      <c r="B27" s="276">
        <v>102865550.17260274</v>
      </c>
      <c r="C27" s="276">
        <v>81570525.546448082</v>
      </c>
      <c r="D27" s="276">
        <v>51920075.95890411</v>
      </c>
      <c r="E27" s="276">
        <v>34038113.076712325</v>
      </c>
      <c r="F27" s="276">
        <v>9764066.7753424663</v>
      </c>
      <c r="G27" s="276">
        <v>1861378.0109289617</v>
      </c>
      <c r="H27" s="276">
        <v>863413.62739726028</v>
      </c>
      <c r="I27" s="276">
        <v>181819.72602739726</v>
      </c>
      <c r="J27" s="276">
        <v>0</v>
      </c>
      <c r="K27" s="276">
        <v>0</v>
      </c>
      <c r="L27" s="276">
        <v>0</v>
      </c>
      <c r="M27" s="276">
        <v>0</v>
      </c>
      <c r="N27" s="276">
        <v>0</v>
      </c>
      <c r="O27" s="277">
        <v>0</v>
      </c>
      <c r="P27" s="277">
        <v>0</v>
      </c>
      <c r="Q27" s="277">
        <v>0</v>
      </c>
    </row>
    <row r="28" spans="1:17">
      <c r="A28" s="159" t="s">
        <v>23</v>
      </c>
      <c r="B28" s="276">
        <v>10700821.91780822</v>
      </c>
      <c r="C28" s="276">
        <v>8550000</v>
      </c>
      <c r="D28" s="276">
        <v>0</v>
      </c>
      <c r="E28" s="276">
        <v>0</v>
      </c>
      <c r="F28" s="276">
        <v>0</v>
      </c>
      <c r="G28" s="276">
        <v>0</v>
      </c>
      <c r="H28" s="276">
        <v>0</v>
      </c>
      <c r="I28" s="276">
        <v>0</v>
      </c>
      <c r="J28" s="276">
        <v>0</v>
      </c>
      <c r="K28" s="276">
        <v>0</v>
      </c>
      <c r="L28" s="276">
        <v>0</v>
      </c>
      <c r="M28" s="276">
        <v>0</v>
      </c>
      <c r="N28" s="276">
        <v>0</v>
      </c>
      <c r="O28" s="277">
        <v>0</v>
      </c>
      <c r="P28" s="277">
        <v>0</v>
      </c>
      <c r="Q28" s="277">
        <v>0</v>
      </c>
    </row>
    <row r="29" spans="1:17" ht="15.75" thickBot="1">
      <c r="A29" s="159" t="s">
        <v>24</v>
      </c>
      <c r="B29" s="276">
        <v>0</v>
      </c>
      <c r="C29" s="276">
        <v>0</v>
      </c>
      <c r="D29" s="276">
        <v>0</v>
      </c>
      <c r="E29" s="276">
        <v>0</v>
      </c>
      <c r="F29" s="276">
        <v>0</v>
      </c>
      <c r="G29" s="276">
        <v>0</v>
      </c>
      <c r="H29" s="276">
        <v>0</v>
      </c>
      <c r="I29" s="276">
        <v>0</v>
      </c>
      <c r="J29" s="276">
        <v>0</v>
      </c>
      <c r="K29" s="276">
        <v>0</v>
      </c>
      <c r="L29" s="276">
        <v>0</v>
      </c>
      <c r="M29" s="276">
        <v>0</v>
      </c>
      <c r="N29" s="276">
        <v>0</v>
      </c>
      <c r="O29" s="277">
        <v>0</v>
      </c>
      <c r="P29" s="277">
        <v>0</v>
      </c>
      <c r="Q29" s="277">
        <v>0</v>
      </c>
    </row>
    <row r="30" spans="1:17">
      <c r="A30" s="64" t="s">
        <v>370</v>
      </c>
      <c r="B30" s="142">
        <f>SUM(B3:B29)</f>
        <v>4362451580.1561651</v>
      </c>
      <c r="C30" s="142">
        <f t="shared" ref="C30:Q30" si="0">SUM(C3:C29)</f>
        <v>4275056123.3442621</v>
      </c>
      <c r="D30" s="142">
        <f t="shared" si="0"/>
        <v>3853587697.1534252</v>
      </c>
      <c r="E30" s="142">
        <f t="shared" si="0"/>
        <v>3514115474.8027396</v>
      </c>
      <c r="F30" s="142">
        <f t="shared" si="0"/>
        <v>3102887275.8027401</v>
      </c>
      <c r="G30" s="142">
        <f t="shared" si="0"/>
        <v>2775820752.2213116</v>
      </c>
      <c r="H30" s="142">
        <f t="shared" si="0"/>
        <v>2448631881.0219173</v>
      </c>
      <c r="I30" s="142">
        <f t="shared" si="0"/>
        <v>2130155754.7315068</v>
      </c>
      <c r="J30" s="142">
        <f t="shared" si="0"/>
        <v>1743223972.630137</v>
      </c>
      <c r="K30" s="142">
        <f t="shared" si="0"/>
        <v>1495057103.8251367</v>
      </c>
      <c r="L30" s="142">
        <f t="shared" si="0"/>
        <v>1179810273.9726028</v>
      </c>
      <c r="M30" s="142">
        <f t="shared" si="0"/>
        <v>674383972.60273969</v>
      </c>
      <c r="N30" s="142">
        <f t="shared" si="0"/>
        <v>514110000</v>
      </c>
      <c r="O30" s="142">
        <f t="shared" si="0"/>
        <v>514110000</v>
      </c>
      <c r="P30" s="142">
        <f t="shared" si="0"/>
        <v>0</v>
      </c>
      <c r="Q30" s="142">
        <f t="shared" si="0"/>
        <v>0</v>
      </c>
    </row>
    <row r="31" spans="1:17">
      <c r="A31" s="160" t="s">
        <v>401</v>
      </c>
      <c r="B31" s="324">
        <v>69493789.791441008</v>
      </c>
      <c r="C31" s="324">
        <v>56648302.876834989</v>
      </c>
      <c r="D31" s="324">
        <v>60021774.283854999</v>
      </c>
      <c r="E31" s="324">
        <v>54338644.404218994</v>
      </c>
      <c r="F31" s="324">
        <v>53022532.621399</v>
      </c>
      <c r="G31" s="324">
        <v>67799155.977915004</v>
      </c>
      <c r="H31" s="324">
        <v>57526422.603577003</v>
      </c>
      <c r="I31" s="324">
        <v>50015957.088471003</v>
      </c>
      <c r="J31" s="324">
        <v>37394005.751079999</v>
      </c>
      <c r="K31" s="324">
        <v>25210526.899999999</v>
      </c>
      <c r="L31" s="324">
        <v>15151880.75</v>
      </c>
      <c r="M31" s="324">
        <v>12180150.15</v>
      </c>
      <c r="N31" s="324">
        <v>187650.14999999997</v>
      </c>
      <c r="O31" s="324">
        <v>188164.25999999998</v>
      </c>
      <c r="P31" s="324">
        <v>0</v>
      </c>
      <c r="Q31" s="324">
        <v>0</v>
      </c>
    </row>
    <row r="32" spans="1:17">
      <c r="B32" s="180"/>
      <c r="C32" s="180"/>
      <c r="D32" s="180"/>
      <c r="E32" s="180"/>
      <c r="F32" s="180"/>
      <c r="G32" s="180"/>
      <c r="H32" s="180"/>
      <c r="I32" s="180"/>
      <c r="J32" s="180"/>
      <c r="K32" s="180"/>
      <c r="L32" s="180"/>
      <c r="M32" s="180"/>
      <c r="N32" s="180"/>
    </row>
    <row r="33" spans="2:19">
      <c r="B33" s="256"/>
      <c r="C33" s="256"/>
      <c r="D33" s="256"/>
      <c r="E33" s="256"/>
      <c r="F33" s="256"/>
      <c r="G33" s="173"/>
      <c r="H33" s="173"/>
      <c r="I33" s="173"/>
      <c r="J33" s="173"/>
      <c r="K33" s="173"/>
      <c r="L33" s="173"/>
      <c r="M33" s="173"/>
      <c r="N33" s="173"/>
      <c r="O33" s="173"/>
      <c r="P33" s="173"/>
      <c r="Q33" s="173"/>
      <c r="R33" s="173"/>
      <c r="S33" s="173"/>
    </row>
    <row r="34" spans="2:19">
      <c r="D34" s="149"/>
    </row>
    <row r="35" spans="2:19">
      <c r="B35" s="180"/>
      <c r="C35" s="137"/>
    </row>
    <row r="36" spans="2:19">
      <c r="B36" s="180"/>
      <c r="C36" s="137"/>
    </row>
    <row r="37" spans="2:19">
      <c r="B37" s="180"/>
      <c r="C37" s="137"/>
    </row>
    <row r="38" spans="2:19">
      <c r="B38" s="180"/>
      <c r="C38" s="137"/>
    </row>
    <row r="39" spans="2:19">
      <c r="B39" s="180"/>
      <c r="C39" s="137"/>
    </row>
    <row r="40" spans="2:19">
      <c r="B40" s="180"/>
      <c r="C40" s="137"/>
    </row>
    <row r="41" spans="2:19">
      <c r="B41" s="180"/>
      <c r="C41" s="137"/>
    </row>
    <row r="42" spans="2:19">
      <c r="B42" s="180"/>
      <c r="C42" s="137"/>
    </row>
    <row r="43" spans="2:19">
      <c r="B43" s="180"/>
      <c r="C43" s="137"/>
    </row>
    <row r="44" spans="2:19">
      <c r="B44" s="180"/>
      <c r="C44" s="137"/>
    </row>
    <row r="45" spans="2:19">
      <c r="B45" s="180"/>
      <c r="C45" s="137"/>
    </row>
    <row r="46" spans="2:19">
      <c r="B46" s="180"/>
      <c r="C46" s="137"/>
    </row>
    <row r="47" spans="2:19">
      <c r="B47" s="180"/>
      <c r="C47" s="137"/>
    </row>
    <row r="48" spans="2:19">
      <c r="B48" s="180"/>
      <c r="C48" s="137"/>
    </row>
    <row r="49" spans="2:3">
      <c r="B49" s="180"/>
      <c r="C49" s="137"/>
    </row>
    <row r="50" spans="2:3">
      <c r="B50" s="180"/>
      <c r="C50" s="137"/>
    </row>
    <row r="51" spans="2:3">
      <c r="B51" s="180"/>
      <c r="C51" s="137"/>
    </row>
    <row r="52" spans="2:3">
      <c r="B52" s="180"/>
      <c r="C52" s="137"/>
    </row>
    <row r="53" spans="2:3">
      <c r="B53" s="180"/>
      <c r="C53" s="137"/>
    </row>
    <row r="54" spans="2:3">
      <c r="B54" s="180"/>
      <c r="C54" s="137"/>
    </row>
    <row r="55" spans="2:3">
      <c r="B55" s="180"/>
      <c r="C55" s="137"/>
    </row>
    <row r="56" spans="2:3">
      <c r="B56" s="180"/>
      <c r="C56" s="137"/>
    </row>
    <row r="57" spans="2:3">
      <c r="B57" s="180"/>
      <c r="C57" s="137"/>
    </row>
    <row r="58" spans="2:3">
      <c r="B58" s="180"/>
      <c r="C58" s="137"/>
    </row>
    <row r="59" spans="2:3">
      <c r="B59" s="180"/>
      <c r="C59" s="137"/>
    </row>
    <row r="60" spans="2:3">
      <c r="B60" s="180"/>
      <c r="C60" s="13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7E1A5A33B347844B4ED484330DBE721" ma:contentTypeVersion="9" ma:contentTypeDescription="Create a new document." ma:contentTypeScope="" ma:versionID="f7ca865496f541558cf1c96a08aaf8f9">
  <xsd:schema xmlns:xsd="http://www.w3.org/2001/XMLSchema" xmlns:xs="http://www.w3.org/2001/XMLSchema" xmlns:p="http://schemas.microsoft.com/office/2006/metadata/properties" xmlns:ns3="8c7c00a5-eb39-49fd-b58c-147a0973ceb4" xmlns:ns4="7cf3313f-a311-4d92-b29c-b3cfb1868cf8" targetNamespace="http://schemas.microsoft.com/office/2006/metadata/properties" ma:root="true" ma:fieldsID="ceaaf4d7b97d1d8292b78f235b28c992" ns3:_="" ns4:_="">
    <xsd:import namespace="8c7c00a5-eb39-49fd-b58c-147a0973ceb4"/>
    <xsd:import namespace="7cf3313f-a311-4d92-b29c-b3cfb1868cf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7c00a5-eb39-49fd-b58c-147a0973ce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f3313f-a311-4d92-b29c-b3cfb1868cf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AED716-368F-4A61-BB5F-AAA360580702}">
  <ds:schemaRefs>
    <ds:schemaRef ds:uri="http://schemas.microsoft.com/sharepoint/v3/contenttype/forms"/>
  </ds:schemaRefs>
</ds:datastoreItem>
</file>

<file path=customXml/itemProps2.xml><?xml version="1.0" encoding="utf-8"?>
<ds:datastoreItem xmlns:ds="http://schemas.openxmlformats.org/officeDocument/2006/customXml" ds:itemID="{6308080F-7C72-4CB0-A9F4-75548D60836A}">
  <ds:schemaRefs>
    <ds:schemaRef ds:uri="http://schemas.microsoft.com/office/2006/documentManagement/types"/>
    <ds:schemaRef ds:uri="http://purl.org/dc/elements/1.1/"/>
    <ds:schemaRef ds:uri="http://purl.org/dc/dcmitype/"/>
    <ds:schemaRef ds:uri="7cf3313f-a311-4d92-b29c-b3cfb1868cf8"/>
    <ds:schemaRef ds:uri="http://schemas.openxmlformats.org/package/2006/metadata/core-properties"/>
    <ds:schemaRef ds:uri="http://www.w3.org/XML/1998/namespace"/>
    <ds:schemaRef ds:uri="8c7c00a5-eb39-49fd-b58c-147a0973ceb4"/>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8F2366F9-710E-47FA-9E55-FD42E437C8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7c00a5-eb39-49fd-b58c-147a0973ceb4"/>
    <ds:schemaRef ds:uri="7cf3313f-a311-4d92-b29c-b3cfb1868c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14</vt:i4>
      </vt:variant>
    </vt:vector>
  </HeadingPairs>
  <TitlesOfParts>
    <vt:vector size="51" baseType="lpstr">
      <vt:lpstr>Front Sheet</vt:lpstr>
      <vt:lpstr>Tariff Network Code Calculation</vt:lpstr>
      <vt:lpstr>Drop Down Inputs</vt:lpstr>
      <vt:lpstr>Revenue Input</vt:lpstr>
      <vt:lpstr>User Inputs</vt:lpstr>
      <vt:lpstr>Entry Interruption Prob's</vt:lpstr>
      <vt:lpstr>Exit Interruption Prob's</vt:lpstr>
      <vt:lpstr>Locations &amp; Types</vt:lpstr>
      <vt:lpstr>Existing Contracts - Entry</vt:lpstr>
      <vt:lpstr>18-19 FCC - Entry</vt:lpstr>
      <vt:lpstr>19-20 FCC - Entry</vt:lpstr>
      <vt:lpstr>20-21 FCC - Entry</vt:lpstr>
      <vt:lpstr>21-22 FCC - Entry</vt:lpstr>
      <vt:lpstr>22-23 FCC - Entry</vt:lpstr>
      <vt:lpstr>18-19 FCC - Exit</vt:lpstr>
      <vt:lpstr>19-20 FCC - Exit</vt:lpstr>
      <vt:lpstr>23-24 FCC - Entry</vt:lpstr>
      <vt:lpstr>24-25 FCC - Entry</vt:lpstr>
      <vt:lpstr>20-21 FCC - Exit</vt:lpstr>
      <vt:lpstr>21-22 FCC - Exit</vt:lpstr>
      <vt:lpstr>22-23 FCC - Exit</vt:lpstr>
      <vt:lpstr>23-24 FCC - Exit</vt:lpstr>
      <vt:lpstr>24-25 FCC - Exit</vt:lpstr>
      <vt:lpstr>Distance Matrix</vt:lpstr>
      <vt:lpstr>Distances En-En</vt:lpstr>
      <vt:lpstr>Distances Ex-Ex</vt:lpstr>
      <vt:lpstr>Nearest Location Prices</vt:lpstr>
      <vt:lpstr>Entry Capacity Split</vt:lpstr>
      <vt:lpstr>Exit Capacity Split</vt:lpstr>
      <vt:lpstr>Entry Prices</vt:lpstr>
      <vt:lpstr>Exit Prices</vt:lpstr>
      <vt:lpstr>Entry Anticipated Rev. Recovery</vt:lpstr>
      <vt:lpstr>Exit Anticipated Rev. Recovery</vt:lpstr>
      <vt:lpstr>Entry Prices Summary</vt:lpstr>
      <vt:lpstr>Exit Prices Summary</vt:lpstr>
      <vt:lpstr>Anticipated Entry Bookings</vt:lpstr>
      <vt:lpstr>Anticipated Exit Bookings</vt:lpstr>
      <vt:lpstr>Adjustment_Types</vt:lpstr>
      <vt:lpstr>Entry_Adjustment_Denominators</vt:lpstr>
      <vt:lpstr>Entry_Booking_Scenarios</vt:lpstr>
      <vt:lpstr>Entry_CRRC_Denominators</vt:lpstr>
      <vt:lpstr>Entry_Flow_Scenarios</vt:lpstr>
      <vt:lpstr>Entry_Forecast_Inputs</vt:lpstr>
      <vt:lpstr>Exit_Adjustment_Denominators</vt:lpstr>
      <vt:lpstr>Exit_Booking_Scenarios</vt:lpstr>
      <vt:lpstr>Exit_CRRC_Denominators</vt:lpstr>
      <vt:lpstr>Exit_Flow_Scenarios</vt:lpstr>
      <vt:lpstr>Exit_Forecast_Inputs</vt:lpstr>
      <vt:lpstr>Gas_Year</vt:lpstr>
      <vt:lpstr>Model_Type</vt:lpstr>
      <vt:lpstr>Yes_or_No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2020-08-28T15:53:49Z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0x01010027E1A5A33B347844B4ED484330DBE721</vt:lpwstr>
  </property>
</Properties>
</file>